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1/Fuel Conversion Working Group/Meeting 2- April/"/>
    </mc:Choice>
  </mc:AlternateContent>
  <xr:revisionPtr revIDLastSave="0" documentId="8_{822F1E33-F1EA-4F31-9E2F-3D2958B17DE3}" xr6:coauthVersionLast="46" xr6:coauthVersionMax="46" xr10:uidLastSave="{00000000-0000-0000-0000-000000000000}"/>
  <bookViews>
    <workbookView xWindow="28680" yWindow="-120" windowWidth="29040" windowHeight="15840" xr2:uid="{2AFCD9FD-1875-431C-BB02-E52B846B3E5C}"/>
  </bookViews>
  <sheets>
    <sheet name="Source Savings Calc" sheetId="1" r:id="rId1"/>
    <sheet name="Site Savings Calc" sheetId="2" r:id="rId2"/>
    <sheet name="Shee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D9" i="2"/>
  <c r="F9" i="2" s="1"/>
  <c r="D9" i="1"/>
  <c r="D14" i="3"/>
  <c r="H12" i="3"/>
  <c r="H14" i="3"/>
  <c r="I5" i="3"/>
  <c r="F8" i="3"/>
  <c r="C13" i="3"/>
  <c r="D16" i="3"/>
  <c r="F4" i="3"/>
  <c r="D8" i="3"/>
  <c r="F6" i="3"/>
  <c r="F5" i="3"/>
  <c r="F3" i="3"/>
  <c r="K2" i="3"/>
  <c r="C14" i="1"/>
  <c r="H16" i="3" l="1"/>
  <c r="C12" i="3"/>
  <c r="F5" i="2"/>
  <c r="C14" i="2"/>
  <c r="F8" i="2"/>
  <c r="F7" i="2"/>
  <c r="I7" i="2" s="1"/>
  <c r="F6" i="2"/>
  <c r="K4" i="2"/>
  <c r="D17" i="2" s="1"/>
  <c r="H17" i="2" s="1"/>
  <c r="F6" i="1"/>
  <c r="F7" i="1"/>
  <c r="F5" i="1"/>
  <c r="K4" i="1"/>
  <c r="F8" i="1"/>
  <c r="I7" i="1" l="1"/>
  <c r="D15" i="1"/>
  <c r="H15" i="1" s="1"/>
  <c r="D17" i="1"/>
  <c r="H17" i="1" s="1"/>
  <c r="D15" i="2"/>
  <c r="H15" i="2" s="1"/>
  <c r="C13" i="2"/>
  <c r="H13" i="2" s="1"/>
  <c r="C13" i="1"/>
  <c r="H13" i="1" s="1"/>
</calcChain>
</file>

<file path=xl/sharedStrings.xml><?xml version="1.0" encoding="utf-8"?>
<sst xmlns="http://schemas.openxmlformats.org/spreadsheetml/2006/main" count="106" uniqueCount="46">
  <si>
    <t>ΔkWhFuelSwitch</t>
  </si>
  <si>
    <t>ΔkWhEfficiencyImprovement</t>
  </si>
  <si>
    <t xml:space="preserve">ΔThermFuelSwitch </t>
  </si>
  <si>
    <t>Heat consumption of base ASHP</t>
  </si>
  <si>
    <t>Heat consumption of gas system</t>
  </si>
  <si>
    <t>Plus Heat savings between base and EE ASHP</t>
  </si>
  <si>
    <t>Therms</t>
  </si>
  <si>
    <t>kWh</t>
  </si>
  <si>
    <t>Measure supported by:</t>
  </si>
  <si>
    <t>Electric utility only</t>
  </si>
  <si>
    <t>1655 - 5759 + (531/0.1)</t>
  </si>
  <si>
    <t>N/A</t>
  </si>
  <si>
    <t>Electric and gas utility</t>
  </si>
  <si>
    <t>531 – (5,759 * 0.1)</t>
  </si>
  <si>
    <t>Gas utility only</t>
  </si>
  <si>
    <t>531 – (5,759 * 0.1) + (1655 * 0.1)</t>
  </si>
  <si>
    <t xml:space="preserve">SourceEnergySavings (MMBTUs)	</t>
  </si>
  <si>
    <t>Source MMBtu</t>
  </si>
  <si>
    <t>Hgrid</t>
  </si>
  <si>
    <t>Btu/kWh</t>
  </si>
  <si>
    <t>kWhtoTherm</t>
  </si>
  <si>
    <t>Cooling impact (savings)</t>
  </si>
  <si>
    <t>kWh at source to therm</t>
  </si>
  <si>
    <t>=  GasHeatReplaced – ASHPSourceHeatConsumed + ASHPSourceCoolingImpact</t>
  </si>
  <si>
    <t>Electric Utility claims (kWh):</t>
  </si>
  <si>
    <t>Gas Utility claims (therms):</t>
  </si>
  <si>
    <t>Site</t>
  </si>
  <si>
    <t>Site MMBtu</t>
  </si>
  <si>
    <t xml:space="preserve">SiteEnergySavings (MMBTUs)	</t>
  </si>
  <si>
    <t>1655 - 5759 + (531/0.03412)</t>
  </si>
  <si>
    <t>531 – (5,759 * 0.03412)</t>
  </si>
  <si>
    <t>531 – (5,759 * 0.03412) + (1655 * 0.03412)</t>
  </si>
  <si>
    <t>Total SiteEnergySavings (MMBtu)</t>
  </si>
  <si>
    <t>Total SourceEnergySavings (MMBtu)</t>
  </si>
  <si>
    <t>SOURCE Savings Calculation</t>
  </si>
  <si>
    <t>SITE Savings Calculation</t>
  </si>
  <si>
    <t>kWh at site to therm</t>
  </si>
  <si>
    <t>Consumption of efficient HP</t>
  </si>
  <si>
    <t>SOURCE</t>
  </si>
  <si>
    <t>SITE</t>
  </si>
  <si>
    <t>531 – (4,718 * 0.1)</t>
  </si>
  <si>
    <t>531 – (4,718 * 0.1) + (614 * 0.03412)</t>
  </si>
  <si>
    <t>=  GasHeatReplaced – ASHPSourceHeatConsumed + ASHPCoolingImpact</t>
  </si>
  <si>
    <t>=  GasHeatReplaced – ASHPSiteHeatConsumed + ASHPSiteCoolingImpact</t>
  </si>
  <si>
    <t>Based on IL TRM v9, 5.3.1 Air Source Heat Pump New Construction Fuel Switch example calculation.</t>
  </si>
  <si>
    <t>New ASHP heating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</si>
</sst>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quotePrefix="1"/>
    <xf numFmtId="3" fontId="2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E2AC6-11EE-46D6-A243-39C8D4F66F82}">
  <dimension ref="A1:L17"/>
  <sheetViews>
    <sheetView tabSelected="1" workbookViewId="0">
      <selection activeCell="F9" sqref="F9"/>
    </sheetView>
  </sheetViews>
  <sheetFormatPr defaultRowHeight="14.5" x14ac:dyDescent="0.35"/>
  <cols>
    <col min="2" max="2" width="27.453125" style="2" bestFit="1" customWidth="1"/>
    <col min="3" max="3" width="26.81640625" style="1" customWidth="1"/>
    <col min="5" max="5" width="11.81640625" customWidth="1"/>
    <col min="6" max="6" width="14" bestFit="1" customWidth="1"/>
    <col min="8" max="8" width="31" bestFit="1" customWidth="1"/>
    <col min="10" max="10" width="12.7265625" customWidth="1"/>
  </cols>
  <sheetData>
    <row r="1" spans="1:12" ht="26" x14ac:dyDescent="0.6">
      <c r="A1" s="13" t="s">
        <v>34</v>
      </c>
    </row>
    <row r="2" spans="1:12" x14ac:dyDescent="0.35">
      <c r="A2" s="15" t="s">
        <v>44</v>
      </c>
    </row>
    <row r="3" spans="1:12" x14ac:dyDescent="0.35">
      <c r="A3" s="15"/>
      <c r="J3" t="s">
        <v>18</v>
      </c>
      <c r="K3" s="3">
        <v>10000</v>
      </c>
      <c r="L3" t="s">
        <v>19</v>
      </c>
    </row>
    <row r="4" spans="1:12" x14ac:dyDescent="0.35">
      <c r="A4" s="15"/>
      <c r="F4" t="s">
        <v>17</v>
      </c>
      <c r="J4" t="s">
        <v>20</v>
      </c>
      <c r="K4">
        <f>K3/100000</f>
        <v>0.1</v>
      </c>
      <c r="L4" t="s">
        <v>22</v>
      </c>
    </row>
    <row r="5" spans="1:12" ht="29" x14ac:dyDescent="0.35">
      <c r="B5" s="2" t="s">
        <v>0</v>
      </c>
      <c r="C5" s="1" t="s">
        <v>3</v>
      </c>
      <c r="D5">
        <v>5759</v>
      </c>
      <c r="E5" t="s">
        <v>7</v>
      </c>
      <c r="F5">
        <f>D5*$K$3/1000000</f>
        <v>57.59</v>
      </c>
    </row>
    <row r="6" spans="1:12" x14ac:dyDescent="0.35">
      <c r="B6" s="19" t="s">
        <v>1</v>
      </c>
      <c r="C6" s="1" t="s">
        <v>21</v>
      </c>
      <c r="D6">
        <v>614</v>
      </c>
      <c r="E6" t="s">
        <v>7</v>
      </c>
      <c r="F6">
        <f>D6*$K$3/1000000</f>
        <v>6.14</v>
      </c>
      <c r="H6" t="s">
        <v>16</v>
      </c>
      <c r="I6" s="10" t="s">
        <v>23</v>
      </c>
    </row>
    <row r="7" spans="1:12" ht="29" x14ac:dyDescent="0.35">
      <c r="B7" s="19"/>
      <c r="C7" s="1" t="s">
        <v>5</v>
      </c>
      <c r="D7">
        <v>1041</v>
      </c>
      <c r="E7" t="s">
        <v>7</v>
      </c>
      <c r="F7">
        <f>D7*$K$3/1000000</f>
        <v>10.41</v>
      </c>
      <c r="I7" s="5">
        <f xml:space="preserve"> F8 - (F5 - F7)+F6</f>
        <v>12.059999999999995</v>
      </c>
    </row>
    <row r="8" spans="1:12" ht="29" x14ac:dyDescent="0.35">
      <c r="B8" s="2" t="s">
        <v>2</v>
      </c>
      <c r="C8" s="1" t="s">
        <v>4</v>
      </c>
      <c r="D8">
        <v>531</v>
      </c>
      <c r="E8" t="s">
        <v>6</v>
      </c>
      <c r="F8">
        <f>D8/10</f>
        <v>53.1</v>
      </c>
    </row>
    <row r="9" spans="1:12" ht="29" x14ac:dyDescent="0.35">
      <c r="C9" s="1" t="s">
        <v>45</v>
      </c>
      <c r="D9">
        <f>D5-D7</f>
        <v>4718</v>
      </c>
      <c r="E9" t="s">
        <v>7</v>
      </c>
      <c r="F9" s="4">
        <f>D9*$K$3/1000000</f>
        <v>47.18</v>
      </c>
    </row>
    <row r="11" spans="1:12" ht="26.25" customHeight="1" x14ac:dyDescent="0.35">
      <c r="B11" s="6" t="s">
        <v>8</v>
      </c>
      <c r="C11" s="6" t="s">
        <v>24</v>
      </c>
      <c r="D11" s="22" t="s">
        <v>25</v>
      </c>
      <c r="E11" s="22"/>
      <c r="F11" s="22"/>
      <c r="H11" s="12" t="s">
        <v>33</v>
      </c>
    </row>
    <row r="12" spans="1:12" x14ac:dyDescent="0.35">
      <c r="B12" s="20" t="s">
        <v>9</v>
      </c>
      <c r="C12" s="8" t="s">
        <v>10</v>
      </c>
      <c r="D12" s="21" t="s">
        <v>11</v>
      </c>
      <c r="E12" s="21"/>
      <c r="F12" s="21"/>
    </row>
    <row r="13" spans="1:12" x14ac:dyDescent="0.35">
      <c r="B13" s="20"/>
      <c r="C13" s="11">
        <f>((D6+D7)-D5+D8/K4)</f>
        <v>1206</v>
      </c>
      <c r="D13" s="21"/>
      <c r="E13" s="21"/>
      <c r="F13" s="21"/>
      <c r="H13" s="5">
        <f>((C13 *K3)/1000000)</f>
        <v>12.06</v>
      </c>
    </row>
    <row r="14" spans="1:12" x14ac:dyDescent="0.35">
      <c r="B14" s="20" t="s">
        <v>12</v>
      </c>
      <c r="C14" s="21">
        <f>(D6+D7)</f>
        <v>1655</v>
      </c>
      <c r="D14" s="23" t="s">
        <v>13</v>
      </c>
      <c r="E14" s="24"/>
      <c r="F14" s="25"/>
    </row>
    <row r="15" spans="1:12" x14ac:dyDescent="0.35">
      <c r="B15" s="20"/>
      <c r="C15" s="21"/>
      <c r="D15" s="16">
        <f xml:space="preserve"> ROUND(D8-(D5*K4),0)</f>
        <v>-45</v>
      </c>
      <c r="E15" s="16"/>
      <c r="F15" s="16"/>
      <c r="H15" s="5">
        <f>((C14*K3)/1000000)+D15/10</f>
        <v>12.05</v>
      </c>
    </row>
    <row r="16" spans="1:12" x14ac:dyDescent="0.35">
      <c r="B16" s="20" t="s">
        <v>14</v>
      </c>
      <c r="C16" s="21" t="s">
        <v>11</v>
      </c>
      <c r="D16" s="17" t="s">
        <v>15</v>
      </c>
      <c r="E16" s="17"/>
      <c r="F16" s="17"/>
    </row>
    <row r="17" spans="2:8" x14ac:dyDescent="0.35">
      <c r="B17" s="20"/>
      <c r="C17" s="21"/>
      <c r="D17" s="18">
        <f>D8 - (D5 * K4) + ((D6+D7) * K4)</f>
        <v>120.60000000000002</v>
      </c>
      <c r="E17" s="18"/>
      <c r="F17" s="18"/>
      <c r="H17" s="5">
        <f>D17/10</f>
        <v>12.060000000000002</v>
      </c>
    </row>
  </sheetData>
  <mergeCells count="12">
    <mergeCell ref="D15:F15"/>
    <mergeCell ref="D16:F16"/>
    <mergeCell ref="D17:F17"/>
    <mergeCell ref="B6:B7"/>
    <mergeCell ref="B12:B13"/>
    <mergeCell ref="B14:B15"/>
    <mergeCell ref="C14:C15"/>
    <mergeCell ref="B16:B17"/>
    <mergeCell ref="C16:C17"/>
    <mergeCell ref="D11:F11"/>
    <mergeCell ref="D12:F13"/>
    <mergeCell ref="D14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E8DF-FA46-43D2-8797-18BD20923A08}">
  <dimension ref="A1:L17"/>
  <sheetViews>
    <sheetView workbookViewId="0">
      <selection activeCell="F9" sqref="F9"/>
    </sheetView>
  </sheetViews>
  <sheetFormatPr defaultRowHeight="14.5" x14ac:dyDescent="0.35"/>
  <cols>
    <col min="2" max="2" width="27.453125" style="2" bestFit="1" customWidth="1"/>
    <col min="3" max="3" width="26.81640625" style="1" customWidth="1"/>
    <col min="5" max="5" width="12.26953125" customWidth="1"/>
    <col min="6" max="6" width="14" bestFit="1" customWidth="1"/>
    <col min="8" max="8" width="31" bestFit="1" customWidth="1"/>
    <col min="10" max="10" width="12.7265625" customWidth="1"/>
  </cols>
  <sheetData>
    <row r="1" spans="1:12" ht="26" x14ac:dyDescent="0.6">
      <c r="A1" s="13" t="s">
        <v>35</v>
      </c>
    </row>
    <row r="2" spans="1:12" x14ac:dyDescent="0.35">
      <c r="A2" s="15" t="s">
        <v>44</v>
      </c>
    </row>
    <row r="3" spans="1:12" x14ac:dyDescent="0.35">
      <c r="A3" s="15"/>
      <c r="J3" t="s">
        <v>26</v>
      </c>
      <c r="K3" s="3">
        <v>3412</v>
      </c>
      <c r="L3" t="s">
        <v>19</v>
      </c>
    </row>
    <row r="4" spans="1:12" x14ac:dyDescent="0.35">
      <c r="A4" s="15"/>
      <c r="F4" t="s">
        <v>27</v>
      </c>
      <c r="J4" t="s">
        <v>20</v>
      </c>
      <c r="K4">
        <f>K3/100000</f>
        <v>3.4119999999999998E-2</v>
      </c>
      <c r="L4" t="s">
        <v>36</v>
      </c>
    </row>
    <row r="5" spans="1:12" ht="29" x14ac:dyDescent="0.35">
      <c r="B5" s="2" t="s">
        <v>0</v>
      </c>
      <c r="C5" s="1" t="s">
        <v>3</v>
      </c>
      <c r="D5">
        <v>5759</v>
      </c>
      <c r="E5" t="s">
        <v>7</v>
      </c>
      <c r="F5" s="4">
        <f>D5*$K$3/1000000</f>
        <v>19.649708</v>
      </c>
    </row>
    <row r="6" spans="1:12" x14ac:dyDescent="0.35">
      <c r="B6" s="19" t="s">
        <v>1</v>
      </c>
      <c r="C6" s="1" t="s">
        <v>21</v>
      </c>
      <c r="D6">
        <v>614</v>
      </c>
      <c r="E6" t="s">
        <v>7</v>
      </c>
      <c r="F6" s="4">
        <f>D6*$K$3/1000000</f>
        <v>2.0949680000000002</v>
      </c>
      <c r="H6" t="s">
        <v>28</v>
      </c>
      <c r="I6" s="10" t="s">
        <v>43</v>
      </c>
    </row>
    <row r="7" spans="1:12" ht="29" x14ac:dyDescent="0.35">
      <c r="B7" s="19"/>
      <c r="C7" s="1" t="s">
        <v>5</v>
      </c>
      <c r="D7">
        <v>1041</v>
      </c>
      <c r="E7" t="s">
        <v>7</v>
      </c>
      <c r="F7" s="4">
        <f>D7*$K$3/1000000</f>
        <v>3.551892</v>
      </c>
      <c r="I7" s="5">
        <f xml:space="preserve"> F8 - (F5 - F7)+F6</f>
        <v>39.097152000000001</v>
      </c>
    </row>
    <row r="8" spans="1:12" ht="29" x14ac:dyDescent="0.35">
      <c r="B8" s="2" t="s">
        <v>2</v>
      </c>
      <c r="C8" s="1" t="s">
        <v>4</v>
      </c>
      <c r="D8">
        <v>531</v>
      </c>
      <c r="E8" t="s">
        <v>6</v>
      </c>
      <c r="F8" s="4">
        <f>D8/10</f>
        <v>53.1</v>
      </c>
    </row>
    <row r="9" spans="1:12" ht="29" x14ac:dyDescent="0.35">
      <c r="C9" s="1" t="s">
        <v>45</v>
      </c>
      <c r="D9">
        <f>D5-D7</f>
        <v>4718</v>
      </c>
      <c r="E9" t="s">
        <v>7</v>
      </c>
      <c r="F9" s="4">
        <f>D9*$K$3/1000000</f>
        <v>16.097816000000002</v>
      </c>
    </row>
    <row r="11" spans="1:12" ht="26.25" customHeight="1" x14ac:dyDescent="0.35">
      <c r="B11" s="6" t="s">
        <v>8</v>
      </c>
      <c r="C11" s="6" t="s">
        <v>24</v>
      </c>
      <c r="D11" s="22" t="s">
        <v>25</v>
      </c>
      <c r="E11" s="22"/>
      <c r="F11" s="22"/>
      <c r="H11" s="12" t="s">
        <v>32</v>
      </c>
    </row>
    <row r="12" spans="1:12" x14ac:dyDescent="0.35">
      <c r="B12" s="20" t="s">
        <v>9</v>
      </c>
      <c r="C12" s="8" t="s">
        <v>29</v>
      </c>
      <c r="D12" s="21" t="s">
        <v>11</v>
      </c>
      <c r="E12" s="21"/>
      <c r="F12" s="21"/>
    </row>
    <row r="13" spans="1:12" x14ac:dyDescent="0.35">
      <c r="B13" s="20"/>
      <c r="C13" s="11">
        <f>((D6+D7)-D5+D8/K4)</f>
        <v>11458.719812426731</v>
      </c>
      <c r="D13" s="21"/>
      <c r="E13" s="21"/>
      <c r="F13" s="21"/>
      <c r="H13" s="5">
        <f>((C13 *K3)/1000000)</f>
        <v>39.097152000000008</v>
      </c>
    </row>
    <row r="14" spans="1:12" x14ac:dyDescent="0.35">
      <c r="B14" s="20" t="s">
        <v>12</v>
      </c>
      <c r="C14" s="21">
        <f>(D6+D7)</f>
        <v>1655</v>
      </c>
      <c r="D14" s="23" t="s">
        <v>30</v>
      </c>
      <c r="E14" s="24"/>
      <c r="F14" s="25"/>
    </row>
    <row r="15" spans="1:12" x14ac:dyDescent="0.35">
      <c r="B15" s="20"/>
      <c r="C15" s="21"/>
      <c r="D15" s="16">
        <f xml:space="preserve"> ROUND(D8-(D5*K4),0)</f>
        <v>335</v>
      </c>
      <c r="E15" s="16"/>
      <c r="F15" s="16"/>
      <c r="H15" s="5">
        <f>((C14*K3)/1000000)+D15/10</f>
        <v>39.146860000000004</v>
      </c>
    </row>
    <row r="16" spans="1:12" x14ac:dyDescent="0.35">
      <c r="B16" s="20" t="s">
        <v>14</v>
      </c>
      <c r="C16" s="21" t="s">
        <v>11</v>
      </c>
      <c r="D16" s="17" t="s">
        <v>31</v>
      </c>
      <c r="E16" s="17"/>
      <c r="F16" s="17"/>
    </row>
    <row r="17" spans="2:8" x14ac:dyDescent="0.35">
      <c r="B17" s="20"/>
      <c r="C17" s="21"/>
      <c r="D17" s="18">
        <f>D8 - (D5 * K4) + ((D6+D7) * K4)</f>
        <v>390.97152</v>
      </c>
      <c r="E17" s="18"/>
      <c r="F17" s="18"/>
      <c r="H17" s="5">
        <f>D17/10</f>
        <v>39.097152000000001</v>
      </c>
    </row>
  </sheetData>
  <mergeCells count="12">
    <mergeCell ref="B16:B17"/>
    <mergeCell ref="C16:C17"/>
    <mergeCell ref="D16:F16"/>
    <mergeCell ref="D17:F17"/>
    <mergeCell ref="B6:B7"/>
    <mergeCell ref="D11:F11"/>
    <mergeCell ref="B12:B13"/>
    <mergeCell ref="D12:F13"/>
    <mergeCell ref="B14:B15"/>
    <mergeCell ref="C14:C15"/>
    <mergeCell ref="D14:F14"/>
    <mergeCell ref="D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F1D1-8D62-4001-89FD-5A27665F226E}">
  <dimension ref="A1:L16"/>
  <sheetViews>
    <sheetView workbookViewId="0">
      <selection activeCell="C12" sqref="C12"/>
    </sheetView>
  </sheetViews>
  <sheetFormatPr defaultRowHeight="14.5" x14ac:dyDescent="0.35"/>
  <cols>
    <col min="2" max="2" width="27.453125" style="2" bestFit="1" customWidth="1"/>
    <col min="3" max="3" width="26.81640625" style="1" customWidth="1"/>
    <col min="5" max="5" width="11.81640625" customWidth="1"/>
    <col min="6" max="6" width="14" bestFit="1" customWidth="1"/>
    <col min="8" max="8" width="31" bestFit="1" customWidth="1"/>
    <col min="10" max="10" width="12.7265625" customWidth="1"/>
  </cols>
  <sheetData>
    <row r="1" spans="1:12" ht="26" x14ac:dyDescent="0.6">
      <c r="A1" s="13" t="s">
        <v>34</v>
      </c>
      <c r="J1" t="s">
        <v>18</v>
      </c>
      <c r="K1" s="3">
        <v>10000</v>
      </c>
      <c r="L1" t="s">
        <v>19</v>
      </c>
    </row>
    <row r="2" spans="1:12" x14ac:dyDescent="0.35">
      <c r="F2" t="s">
        <v>17</v>
      </c>
      <c r="J2" t="s">
        <v>20</v>
      </c>
      <c r="K2">
        <f>K1/100000</f>
        <v>0.1</v>
      </c>
      <c r="L2" t="s">
        <v>22</v>
      </c>
    </row>
    <row r="3" spans="1:12" ht="29" x14ac:dyDescent="0.35">
      <c r="B3" s="2" t="s">
        <v>0</v>
      </c>
      <c r="C3" s="1" t="s">
        <v>3</v>
      </c>
      <c r="D3">
        <v>5759</v>
      </c>
      <c r="E3" t="s">
        <v>7</v>
      </c>
      <c r="F3">
        <f>D3*$K$1/1000000</f>
        <v>57.59</v>
      </c>
      <c r="G3" t="s">
        <v>38</v>
      </c>
    </row>
    <row r="4" spans="1:12" x14ac:dyDescent="0.35">
      <c r="B4" s="19" t="s">
        <v>1</v>
      </c>
      <c r="C4" s="1" t="s">
        <v>21</v>
      </c>
      <c r="D4">
        <v>614</v>
      </c>
      <c r="E4" t="s">
        <v>7</v>
      </c>
      <c r="F4">
        <f>D4*3412/1000000</f>
        <v>2.0949680000000002</v>
      </c>
      <c r="G4" t="s">
        <v>39</v>
      </c>
      <c r="H4" t="s">
        <v>16</v>
      </c>
      <c r="I4" s="10" t="s">
        <v>42</v>
      </c>
    </row>
    <row r="5" spans="1:12" ht="29" x14ac:dyDescent="0.35">
      <c r="B5" s="19"/>
      <c r="C5" s="1" t="s">
        <v>5</v>
      </c>
      <c r="D5">
        <v>1041</v>
      </c>
      <c r="E5" t="s">
        <v>7</v>
      </c>
      <c r="F5">
        <f t="shared" ref="F5" si="0">D5*$K$1/1000000</f>
        <v>10.41</v>
      </c>
      <c r="G5" t="s">
        <v>38</v>
      </c>
      <c r="I5" s="14">
        <f xml:space="preserve"> F6 - F8 +F4</f>
        <v>8.0149680000000014</v>
      </c>
    </row>
    <row r="6" spans="1:12" ht="29" x14ac:dyDescent="0.35">
      <c r="B6" s="2" t="s">
        <v>2</v>
      </c>
      <c r="C6" s="1" t="s">
        <v>4</v>
      </c>
      <c r="D6">
        <v>531</v>
      </c>
      <c r="E6" t="s">
        <v>6</v>
      </c>
      <c r="F6">
        <f>D6/10</f>
        <v>53.1</v>
      </c>
      <c r="G6" t="s">
        <v>38</v>
      </c>
    </row>
    <row r="8" spans="1:12" x14ac:dyDescent="0.35">
      <c r="B8" s="2" t="s">
        <v>37</v>
      </c>
      <c r="D8" s="1">
        <f>D3-D5</f>
        <v>4718</v>
      </c>
      <c r="E8" t="s">
        <v>7</v>
      </c>
      <c r="F8">
        <f t="shared" ref="F8" si="1">D8*$K$1/1000000</f>
        <v>47.18</v>
      </c>
      <c r="G8" t="s">
        <v>38</v>
      </c>
    </row>
    <row r="9" spans="1:12" x14ac:dyDescent="0.35">
      <c r="D9" s="1"/>
    </row>
    <row r="10" spans="1:12" ht="26.25" customHeight="1" x14ac:dyDescent="0.35">
      <c r="B10" s="7" t="s">
        <v>8</v>
      </c>
      <c r="C10" s="7" t="s">
        <v>24</v>
      </c>
      <c r="D10" s="22" t="s">
        <v>25</v>
      </c>
      <c r="E10" s="22"/>
      <c r="F10" s="22"/>
      <c r="H10" s="12" t="s">
        <v>33</v>
      </c>
    </row>
    <row r="11" spans="1:12" x14ac:dyDescent="0.35">
      <c r="B11" s="20" t="s">
        <v>9</v>
      </c>
      <c r="C11" s="9" t="s">
        <v>10</v>
      </c>
      <c r="D11" s="21" t="s">
        <v>11</v>
      </c>
      <c r="E11" s="21"/>
      <c r="F11" s="21"/>
    </row>
    <row r="12" spans="1:12" x14ac:dyDescent="0.35">
      <c r="B12" s="20"/>
      <c r="C12" s="11">
        <f>((D4+D5)-D3+D6/K2)</f>
        <v>1206</v>
      </c>
      <c r="D12" s="21"/>
      <c r="E12" s="21"/>
      <c r="F12" s="21"/>
      <c r="H12" s="14">
        <f>D4*0.003412+(D6/10-((D8 *K1)/1000000))</f>
        <v>8.0149680000000014</v>
      </c>
    </row>
    <row r="13" spans="1:12" x14ac:dyDescent="0.35">
      <c r="B13" s="20" t="s">
        <v>12</v>
      </c>
      <c r="C13" s="21">
        <f>D4</f>
        <v>614</v>
      </c>
      <c r="D13" s="23" t="s">
        <v>40</v>
      </c>
      <c r="E13" s="24"/>
      <c r="F13" s="25"/>
    </row>
    <row r="14" spans="1:12" x14ac:dyDescent="0.35">
      <c r="B14" s="20"/>
      <c r="C14" s="21"/>
      <c r="D14" s="16">
        <f>(D6-(D8*K2))</f>
        <v>59.199999999999989</v>
      </c>
      <c r="E14" s="16"/>
      <c r="F14" s="16"/>
      <c r="H14" s="14">
        <f>((C13*3412)/1000000)+D14/10</f>
        <v>8.0149679999999996</v>
      </c>
    </row>
    <row r="15" spans="1:12" x14ac:dyDescent="0.35">
      <c r="B15" s="20" t="s">
        <v>14</v>
      </c>
      <c r="C15" s="21" t="s">
        <v>11</v>
      </c>
      <c r="D15" s="17" t="s">
        <v>41</v>
      </c>
      <c r="E15" s="17"/>
      <c r="F15" s="17"/>
    </row>
    <row r="16" spans="1:12" x14ac:dyDescent="0.35">
      <c r="B16" s="20"/>
      <c r="C16" s="21"/>
      <c r="D16" s="18">
        <f>D6 - ((D3-D5) * K2) + (D4 * 0.03412)</f>
        <v>80.149679999999989</v>
      </c>
      <c r="E16" s="18"/>
      <c r="F16" s="18"/>
      <c r="H16" s="14">
        <f>D16/10</f>
        <v>8.0149679999999996</v>
      </c>
    </row>
  </sheetData>
  <mergeCells count="12">
    <mergeCell ref="B15:B16"/>
    <mergeCell ref="C15:C16"/>
    <mergeCell ref="D15:F15"/>
    <mergeCell ref="D16:F16"/>
    <mergeCell ref="B4:B5"/>
    <mergeCell ref="D10:F10"/>
    <mergeCell ref="B11:B12"/>
    <mergeCell ref="D11:F12"/>
    <mergeCell ref="B13:B14"/>
    <mergeCell ref="C13:C14"/>
    <mergeCell ref="D13:F13"/>
    <mergeCell ref="D14:F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9E6EF94BC004D8E8AF939996113A9" ma:contentTypeVersion="13" ma:contentTypeDescription="Create a new document." ma:contentTypeScope="" ma:versionID="449eef0590ebbe32b25763f4d6814b50">
  <xsd:schema xmlns:xsd="http://www.w3.org/2001/XMLSchema" xmlns:xs="http://www.w3.org/2001/XMLSchema" xmlns:p="http://schemas.microsoft.com/office/2006/metadata/properties" xmlns:ns3="7126d6c3-ea1a-4e60-930d-65478e63b206" xmlns:ns4="ca06ab1c-127d-41fd-b99b-df921c9f2ee5" targetNamespace="http://schemas.microsoft.com/office/2006/metadata/properties" ma:root="true" ma:fieldsID="5b0543ee75447d8aaa984fb06d9c852f" ns3:_="" ns4:_="">
    <xsd:import namespace="7126d6c3-ea1a-4e60-930d-65478e63b206"/>
    <xsd:import namespace="ca06ab1c-127d-41fd-b99b-df921c9f2e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6d6c3-ea1a-4e60-930d-65478e63b2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6ab1c-127d-41fd-b99b-df921c9f2e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77FF3B-6D7E-4A45-ACE5-AFE19D8D6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6d6c3-ea1a-4e60-930d-65478e63b206"/>
    <ds:schemaRef ds:uri="ca06ab1c-127d-41fd-b99b-df921c9f2e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152FA-83B2-434A-A744-44C64E871B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960595-7386-4CFE-BEAE-843C632A9EE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Source Savings Calc</vt:lpstr>
      <vt:lpstr>Site Savings Calc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Dent</dc:creator>
  <cp:lastModifiedBy>CJ Consulting</cp:lastModifiedBy>
  <dcterms:created xsi:type="dcterms:W3CDTF">2021-04-19T09:49:48Z</dcterms:created>
  <dcterms:modified xsi:type="dcterms:W3CDTF">2021-04-22T19:52:49Z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0x010100AA79E6EF94BC004D8E8AF939996113A9</vt:lpwstr>
  </property>
</Properties>
</file>