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9.xml" ContentType="application/vnd.openxmlformats-officedocument.spreadsheetml.worksheet+xml"/>
  <Override PartName="/xl/theme/theme1.xml" ContentType="application/vnd.openxmlformats-officedocument.theme+xml"/>
  <Override PartName="/xl/charts/chart1.xml" ContentType="application/vnd.openxmlformats-officedocument.drawingml.chart+xml"/>
  <Override PartName="/xl/worksheets/sheet8.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xl/externalLinks/externalLink1.xml" ContentType="application/vnd.openxmlformats-officedocument.spreadsheetml.externalLink+xml"/>
  <Override PartName="/xl/comments8.xml" ContentType="application/vnd.openxmlformats-officedocument.spreadsheetml.comments+xml"/>
  <Override PartName="/xl/calcChain.xml" ContentType="application/vnd.openxmlformats-officedocument.spreadsheetml.calcChain+xml"/>
  <Override PartName="/xl/comments4.xml" ContentType="application/vnd.openxmlformats-officedocument.spreadsheetml.comments+xml"/>
  <Override PartName="/xl/comments3.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2.xml" ContentType="application/vnd.openxmlformats-officedocument.spreadsheetml.comments+xml"/>
  <Override PartName="/xl/comments7.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5610" windowWidth="18195" windowHeight="4515" tabRatio="861"/>
  </bookViews>
  <sheets>
    <sheet name="Summary" sheetId="2" r:id="rId1"/>
    <sheet name="VFD Evap Condenser" sheetId="1" r:id="rId2"/>
    <sheet name="VFD Cooling Tower" sheetId="4" r:id="rId3"/>
    <sheet name="VFD Process Pumps" sheetId="5" r:id="rId4"/>
    <sheet name="VFD Evaporator Fans" sheetId="6" r:id="rId5"/>
    <sheet name="Install High Efficiency Nozzles" sheetId="7" r:id="rId6"/>
    <sheet name="Install NoLoss CondDrainValves" sheetId="8" r:id="rId7"/>
    <sheet name="Install Low P Filter" sheetId="9" r:id="rId8"/>
    <sheet name="Install Cycling Dryer" sheetId="3" r:id="rId9"/>
  </sheets>
  <externalReferences>
    <externalReference r:id="rId10"/>
  </externalReferences>
  <definedNames>
    <definedName name="End_Use">INDIRECT("AB1:AB"&amp;COUNTA('[1]AP Table'!$AB:$AB))</definedName>
    <definedName name="Measure_Type">INDIRECT("AF1:AF"&amp;COUNTA('[1]AP Table'!$AF:$AF))</definedName>
    <definedName name="Standard_Measure_Name_01">INDIRECT("Z"&amp;'[1]AP Table'!$O$3&amp;":Z"&amp;'[1]AP Table'!$P$3)</definedName>
    <definedName name="Standard_Measure_Name_02">INDIRECT("Z"&amp;'[1]AP Table'!$O$4&amp;":Z"&amp;'[1]AP Table'!$P$4)</definedName>
    <definedName name="Standard_Measure_Name_03">INDIRECT("Z"&amp;'[1]AP Table'!$O$5&amp;":Z"&amp;'[1]AP Table'!$P$5)</definedName>
    <definedName name="Standard_Measure_Name_04">INDIRECT("Z"&amp;'[1]AP Table'!$O$6&amp;":Z"&amp;'[1]AP Table'!$P$6)</definedName>
    <definedName name="Standard_Measure_Name_05">INDIRECT("Z"&amp;'[1]AP Table'!$O$7&amp;":Z"&amp;'[1]AP Table'!$P$7)</definedName>
    <definedName name="Standard_Measure_Name_06">INDIRECT("Z"&amp;'[1]AP Table'!$O$8&amp;":Z"&amp;'[1]AP Table'!$P$8)</definedName>
    <definedName name="Standard_Measure_Name_07">INDIRECT("Z"&amp;'[1]AP Table'!$O$9&amp;":Z"&amp;'[1]AP Table'!$P$9)</definedName>
    <definedName name="Standard_Measure_Name_08">INDIRECT("Z"&amp;'[1]AP Table'!$O$10&amp;":Z"&amp;'[1]AP Table'!$P$10)</definedName>
    <definedName name="Standard_Measure_Name_09">INDIRECT("Z"&amp;'[1]AP Table'!$O$11&amp;":Z"&amp;'[1]AP Table'!$P$11)</definedName>
    <definedName name="Standard_Measure_Name_10">INDIRECT("Z"&amp;'[1]AP Table'!$O$12&amp;":Z"&amp;'[1]AP Table'!$P$12)</definedName>
    <definedName name="Standard_Measure_Name_11">INDIRECT("Z"&amp;'[1]AP Table'!$O$13&amp;":Z"&amp;'[1]AP Table'!$P$13)</definedName>
    <definedName name="Standard_Measure_Name_12">INDIRECT("Z"&amp;'[1]AP Table'!$O$14&amp;":Z"&amp;'[1]AP Table'!$P$14)</definedName>
    <definedName name="Standard_Measure_Name_13">INDIRECT("Z"&amp;'[1]AP Table'!$O$15&amp;":Z"&amp;'[1]AP Table'!$P$15)</definedName>
    <definedName name="Standard_Measure_Name_14">INDIRECT("Z"&amp;'[1]AP Table'!$O$16&amp;":Z"&amp;'[1]AP Table'!$P$16)</definedName>
    <definedName name="Standard_Measure_Name_15">INDIRECT("Z"&amp;'[1]AP Table'!$O$17&amp;":Z"&amp;'[1]AP Table'!$P$17)</definedName>
    <definedName name="Standard_Measure_Name_16">INDIRECT("Z"&amp;'[1]AP Table'!$O$18&amp;":Z"&amp;'[1]AP Table'!$P$18)</definedName>
    <definedName name="Standard_Measure_Name_17">INDIRECT("Z"&amp;'[1]AP Table'!$O$19&amp;":Z"&amp;'[1]AP Table'!$P$19)</definedName>
    <definedName name="Standard_Measure_Name_18">INDIRECT("Z"&amp;'[1]AP Table'!$O$20&amp;":Z"&amp;'[1]AP Table'!$P$20)</definedName>
    <definedName name="Standard_Measure_Name_19">INDIRECT("Z"&amp;'[1]AP Table'!$O$21&amp;":Z"&amp;'[1]AP Table'!$P$21)</definedName>
    <definedName name="Standard_Measure_Name_20">INDIRECT("Z"&amp;'[1]AP Table'!$O$22&amp;":Z"&amp;'[1]AP Table'!$P$22)</definedName>
    <definedName name="Standard_Measure_Name_21">INDIRECT("Z"&amp;'[1]AP Table'!$O$23&amp;":Z"&amp;'[1]AP Table'!$P$23)</definedName>
    <definedName name="Standard_Measure_Name_22">INDIRECT("Z"&amp;'[1]AP Table'!$O$24&amp;":Z"&amp;'[1]AP Table'!$P$24)</definedName>
    <definedName name="Standard_Measure_Name_23">INDIRECT("Z"&amp;'[1]AP Table'!$O$25&amp;":Z"&amp;'[1]AP Table'!$P$25)</definedName>
    <definedName name="Standard_Measure_Name_24">INDIRECT("Z"&amp;'[1]AP Table'!$O$26&amp;":Z"&amp;'[1]AP Table'!$P$26)</definedName>
    <definedName name="Standard_Measure_Name_25">INDIRECT("Z"&amp;'[1]AP Table'!$O$27&amp;":Z"&amp;'[1]AP Table'!$P$27)</definedName>
    <definedName name="Standard_Measure_Name_26">INDIRECT("Z"&amp;'[1]AP Table'!$O$28&amp;":Z"&amp;'[1]AP Table'!$P$28)</definedName>
    <definedName name="Standard_Measure_Name_27">INDIRECT("Z"&amp;'[1]AP Table'!$O$29&amp;":Z"&amp;'[1]AP Table'!$P$29)</definedName>
    <definedName name="Standard_Measure_Name_28">INDIRECT("Z"&amp;'[1]AP Table'!$O$30&amp;":Z"&amp;'[1]AP Table'!$P$30)</definedName>
    <definedName name="Standard_Measure_Name_29">INDIRECT("Z"&amp;'[1]AP Table'!$O$31&amp;":Z"&amp;'[1]AP Table'!$P$31)</definedName>
    <definedName name="Standard_Measure_Name_30">INDIRECT("Z"&amp;'[1]AP Table'!$O$32&amp;":Z"&amp;'[1]AP Table'!$P$32)</definedName>
  </definedNames>
  <calcPr calcId="145621"/>
</workbook>
</file>

<file path=xl/calcChain.xml><?xml version="1.0" encoding="utf-8"?>
<calcChain xmlns="http://schemas.openxmlformats.org/spreadsheetml/2006/main">
  <c r="D34" i="3" l="1"/>
  <c r="D41" i="3"/>
  <c r="D30" i="3"/>
  <c r="D29" i="3"/>
  <c r="D19" i="3"/>
  <c r="D42" i="3"/>
  <c r="D35" i="3"/>
  <c r="D33" i="3"/>
  <c r="D28" i="3"/>
  <c r="D26" i="3"/>
  <c r="D18" i="3"/>
  <c r="F51" i="8"/>
  <c r="G44" i="8"/>
  <c r="F44" i="8"/>
  <c r="F49" i="8"/>
  <c r="F62" i="8"/>
  <c r="F68" i="8" s="1"/>
  <c r="F54" i="7" l="1"/>
  <c r="F64" i="7"/>
  <c r="F53" i="7"/>
  <c r="F49" i="7"/>
  <c r="H47" i="7"/>
  <c r="F48" i="7"/>
  <c r="C38" i="2" l="1"/>
  <c r="D38" i="3" l="1"/>
  <c r="D25" i="3" l="1"/>
  <c r="C30" i="2"/>
  <c r="F64" i="9"/>
  <c r="C29" i="2" s="1"/>
  <c r="F44" i="9"/>
  <c r="F28" i="9"/>
  <c r="Z34" i="9"/>
  <c r="Z33" i="9"/>
  <c r="O33" i="9"/>
  <c r="AF28" i="9"/>
  <c r="AE28" i="9"/>
  <c r="AD28" i="9"/>
  <c r="AC28" i="9"/>
  <c r="AB28" i="9"/>
  <c r="AA28" i="9"/>
  <c r="Z28" i="9"/>
  <c r="Y28" i="9"/>
  <c r="X28" i="9"/>
  <c r="W28" i="9"/>
  <c r="V28" i="9"/>
  <c r="Q27" i="9"/>
  <c r="R27" i="9" s="1"/>
  <c r="O27" i="9"/>
  <c r="I27" i="9"/>
  <c r="H27" i="9"/>
  <c r="G27" i="9"/>
  <c r="O34" i="9"/>
  <c r="AF26" i="9"/>
  <c r="AE26" i="9"/>
  <c r="AD26" i="9"/>
  <c r="AC26" i="9"/>
  <c r="AB26" i="9"/>
  <c r="AA26" i="9"/>
  <c r="Z26" i="9"/>
  <c r="Y26" i="9"/>
  <c r="X26" i="9"/>
  <c r="W26" i="9"/>
  <c r="V26" i="9"/>
  <c r="Q26" i="9"/>
  <c r="R26" i="9" s="1"/>
  <c r="O26" i="9"/>
  <c r="O25" i="9"/>
  <c r="AE24" i="9"/>
  <c r="AF22" i="9"/>
  <c r="AF24" i="9" s="1"/>
  <c r="AE22" i="9"/>
  <c r="AD22" i="9"/>
  <c r="AD24" i="9" s="1"/>
  <c r="AC22" i="9"/>
  <c r="AC24" i="9" s="1"/>
  <c r="AB22" i="9"/>
  <c r="AB24" i="9" s="1"/>
  <c r="AA22" i="9"/>
  <c r="AA24" i="9" s="1"/>
  <c r="Z22" i="9"/>
  <c r="Z24" i="9" s="1"/>
  <c r="Y22" i="9"/>
  <c r="Y24" i="9" s="1"/>
  <c r="X22" i="9"/>
  <c r="X24" i="9" s="1"/>
  <c r="W22" i="9"/>
  <c r="W24" i="9" s="1"/>
  <c r="V22" i="9"/>
  <c r="V24" i="9" s="1"/>
  <c r="B8" i="9"/>
  <c r="B5" i="9"/>
  <c r="B2" i="9"/>
  <c r="G34" i="9" l="1"/>
  <c r="G35" i="9" s="1"/>
  <c r="I34" i="9"/>
  <c r="I35" i="9" s="1"/>
  <c r="C36" i="2"/>
  <c r="H34" i="9"/>
  <c r="H35" i="9" s="1"/>
  <c r="C37" i="2"/>
  <c r="D40" i="3"/>
  <c r="C35" i="2" s="1"/>
  <c r="F34" i="9"/>
  <c r="F35" i="9" l="1"/>
  <c r="F40" i="9" s="1"/>
  <c r="F52" i="9" s="1"/>
  <c r="F39" i="9"/>
  <c r="F45" i="9" s="1"/>
  <c r="F56" i="9" s="1"/>
  <c r="F63" i="9" s="1"/>
  <c r="C28" i="2" s="1"/>
  <c r="F46" i="9" l="1"/>
  <c r="F53" i="9" s="1"/>
  <c r="F54" i="9" s="1"/>
  <c r="F62" i="9" s="1"/>
  <c r="C27" i="2" s="1"/>
  <c r="B3" i="9"/>
  <c r="F57" i="9" l="1"/>
  <c r="B4" i="9"/>
  <c r="F55" i="9"/>
  <c r="F59" i="9" l="1"/>
  <c r="B6" i="9"/>
  <c r="C22" i="2" l="1"/>
  <c r="G41" i="8"/>
  <c r="G45" i="8" s="1"/>
  <c r="G49" i="8" s="1"/>
  <c r="F28" i="8"/>
  <c r="Z33" i="8" s="1"/>
  <c r="J52" i="8"/>
  <c r="J53" i="8" s="1"/>
  <c r="I52" i="8"/>
  <c r="I53" i="8" s="1"/>
  <c r="H52" i="8"/>
  <c r="H53" i="8" s="1"/>
  <c r="G53" i="8"/>
  <c r="F53" i="8"/>
  <c r="J44" i="8"/>
  <c r="J45" i="8" s="1"/>
  <c r="J49" i="8" s="1"/>
  <c r="I44" i="8"/>
  <c r="I45" i="8" s="1"/>
  <c r="I49" i="8" s="1"/>
  <c r="H44" i="8"/>
  <c r="H45" i="8" s="1"/>
  <c r="H49" i="8" s="1"/>
  <c r="F45" i="8"/>
  <c r="Z34" i="8"/>
  <c r="O33" i="8"/>
  <c r="F31" i="8"/>
  <c r="AF28" i="8"/>
  <c r="AE28" i="8"/>
  <c r="AD28" i="8"/>
  <c r="AC28" i="8"/>
  <c r="AB28" i="8"/>
  <c r="AA28" i="8"/>
  <c r="Z28" i="8"/>
  <c r="Y28" i="8"/>
  <c r="X28" i="8"/>
  <c r="W28" i="8"/>
  <c r="V28" i="8"/>
  <c r="Q27" i="8"/>
  <c r="R27" i="8" s="1"/>
  <c r="O27" i="8"/>
  <c r="O34" i="8"/>
  <c r="AF26" i="8"/>
  <c r="AE26" i="8"/>
  <c r="AD26" i="8"/>
  <c r="AC26" i="8"/>
  <c r="AB26" i="8"/>
  <c r="AA26" i="8"/>
  <c r="Z26" i="8"/>
  <c r="Y26" i="8"/>
  <c r="X26" i="8"/>
  <c r="W26" i="8"/>
  <c r="V26" i="8"/>
  <c r="Q26" i="8"/>
  <c r="R26" i="8" s="1"/>
  <c r="O26" i="8"/>
  <c r="O25" i="8"/>
  <c r="AF22" i="8"/>
  <c r="AF24" i="8" s="1"/>
  <c r="AE22" i="8"/>
  <c r="AE24" i="8" s="1"/>
  <c r="AD22" i="8"/>
  <c r="AD24" i="8" s="1"/>
  <c r="AC22" i="8"/>
  <c r="AC24" i="8" s="1"/>
  <c r="AB22" i="8"/>
  <c r="AB24" i="8" s="1"/>
  <c r="AA22" i="8"/>
  <c r="AA24" i="8" s="1"/>
  <c r="Z22" i="8"/>
  <c r="Z24" i="8" s="1"/>
  <c r="Y22" i="8"/>
  <c r="Y24" i="8" s="1"/>
  <c r="X22" i="8"/>
  <c r="X24" i="8" s="1"/>
  <c r="W22" i="8"/>
  <c r="W24" i="8" s="1"/>
  <c r="V22" i="8"/>
  <c r="V24" i="8" s="1"/>
  <c r="B5" i="8"/>
  <c r="B2" i="8"/>
  <c r="F32" i="8" l="1"/>
  <c r="F33" i="8"/>
  <c r="C21" i="2"/>
  <c r="F50" i="8" l="1"/>
  <c r="G51" i="8"/>
  <c r="G50" i="8" s="1"/>
  <c r="J51" i="8"/>
  <c r="J50" i="8" s="1"/>
  <c r="H51" i="8"/>
  <c r="H50" i="8" s="1"/>
  <c r="I51" i="8"/>
  <c r="I50" i="8" s="1"/>
  <c r="B8" i="8"/>
  <c r="F59" i="8" l="1"/>
  <c r="F66" i="8" s="1"/>
  <c r="F60" i="8"/>
  <c r="B4" i="8" l="1"/>
  <c r="F67" i="8"/>
  <c r="C20" i="2" s="1"/>
  <c r="B3" i="8"/>
  <c r="F61" i="8"/>
  <c r="C19" i="2"/>
  <c r="F87" i="8"/>
  <c r="C14" i="2"/>
  <c r="F28" i="7"/>
  <c r="J57" i="7"/>
  <c r="I57" i="7"/>
  <c r="H57" i="7"/>
  <c r="G57" i="7"/>
  <c r="F57" i="7"/>
  <c r="J47" i="7"/>
  <c r="J48" i="7" s="1"/>
  <c r="J49" i="7" s="1"/>
  <c r="J53" i="7" s="1"/>
  <c r="I47" i="7"/>
  <c r="I48" i="7" s="1"/>
  <c r="I49" i="7" s="1"/>
  <c r="I53" i="7" s="1"/>
  <c r="H48" i="7"/>
  <c r="H49" i="7" s="1"/>
  <c r="H53" i="7" s="1"/>
  <c r="G47" i="7"/>
  <c r="G48" i="7" s="1"/>
  <c r="G49" i="7" s="1"/>
  <c r="G53" i="7" s="1"/>
  <c r="Z34" i="7"/>
  <c r="F33" i="7" s="1"/>
  <c r="F55" i="7" s="1"/>
  <c r="Z33" i="7"/>
  <c r="O33" i="7"/>
  <c r="AF28" i="7"/>
  <c r="AE28" i="7"/>
  <c r="AD28" i="7"/>
  <c r="AC28" i="7"/>
  <c r="AB28" i="7"/>
  <c r="AA28" i="7"/>
  <c r="Z28" i="7"/>
  <c r="Y28" i="7"/>
  <c r="X28" i="7"/>
  <c r="W28" i="7"/>
  <c r="V28" i="7"/>
  <c r="Q27" i="7"/>
  <c r="R27" i="7" s="1"/>
  <c r="O27" i="7"/>
  <c r="F31" i="7"/>
  <c r="AF26" i="7"/>
  <c r="AE26" i="7"/>
  <c r="AD26" i="7"/>
  <c r="AC26" i="7"/>
  <c r="AB26" i="7"/>
  <c r="AA26" i="7"/>
  <c r="Z26" i="7"/>
  <c r="Y26" i="7"/>
  <c r="X26" i="7"/>
  <c r="W26" i="7"/>
  <c r="V26" i="7"/>
  <c r="Q26" i="7"/>
  <c r="R26" i="7" s="1"/>
  <c r="O26" i="7"/>
  <c r="O25" i="7"/>
  <c r="AF22" i="7"/>
  <c r="AF24" i="7" s="1"/>
  <c r="AE22" i="7"/>
  <c r="AE24" i="7" s="1"/>
  <c r="AD22" i="7"/>
  <c r="AD24" i="7" s="1"/>
  <c r="AC22" i="7"/>
  <c r="AC24" i="7" s="1"/>
  <c r="AB22" i="7"/>
  <c r="AB24" i="7" s="1"/>
  <c r="AA22" i="7"/>
  <c r="AA24" i="7" s="1"/>
  <c r="Z22" i="7"/>
  <c r="Z24" i="7" s="1"/>
  <c r="Y22" i="7"/>
  <c r="Y24" i="7" s="1"/>
  <c r="X22" i="7"/>
  <c r="X24" i="7" s="1"/>
  <c r="W22" i="7"/>
  <c r="W24" i="7" s="1"/>
  <c r="V22" i="7"/>
  <c r="V24" i="7" s="1"/>
  <c r="B5" i="7"/>
  <c r="B2" i="7"/>
  <c r="F66" i="7" l="1"/>
  <c r="F72" i="7" s="1"/>
  <c r="C13" i="2" s="1"/>
  <c r="B6" i="8"/>
  <c r="F63" i="8"/>
  <c r="O34" i="7"/>
  <c r="F32" i="7" s="1"/>
  <c r="B8" i="7" l="1"/>
  <c r="G55" i="7"/>
  <c r="H55" i="7"/>
  <c r="H54" i="7" s="1"/>
  <c r="I55" i="7"/>
  <c r="I54" i="7" s="1"/>
  <c r="J55" i="7"/>
  <c r="J54" i="7" s="1"/>
  <c r="G54" i="7" l="1"/>
  <c r="F71" i="7" s="1"/>
  <c r="C12" i="2" s="1"/>
  <c r="F63" i="7"/>
  <c r="F65" i="7" l="1"/>
  <c r="B6" i="7" s="1"/>
  <c r="F70" i="7"/>
  <c r="C11" i="2" s="1"/>
  <c r="G89" i="7"/>
  <c r="G88" i="7"/>
  <c r="G87" i="7"/>
  <c r="G86" i="7"/>
  <c r="G85" i="7"/>
  <c r="G84" i="7"/>
  <c r="G83" i="7"/>
  <c r="G82" i="7"/>
  <c r="G81" i="7"/>
  <c r="G80" i="7"/>
  <c r="G79" i="7"/>
  <c r="G78" i="7"/>
  <c r="B3" i="7"/>
  <c r="F89" i="7"/>
  <c r="F88" i="7"/>
  <c r="F87" i="7"/>
  <c r="F86" i="7"/>
  <c r="F85" i="7"/>
  <c r="F84" i="7"/>
  <c r="F83" i="7"/>
  <c r="F82" i="7"/>
  <c r="F81" i="7"/>
  <c r="F80" i="7"/>
  <c r="F79" i="7"/>
  <c r="F78" i="7"/>
  <c r="B4" i="7"/>
  <c r="F67" i="7" l="1"/>
  <c r="F90" i="7"/>
  <c r="F6" i="2" l="1"/>
  <c r="E41" i="6"/>
  <c r="AA20" i="6"/>
  <c r="AA19" i="6"/>
  <c r="AA18" i="6"/>
  <c r="AA17" i="6"/>
  <c r="O17" i="6"/>
  <c r="S17" i="6" s="1"/>
  <c r="AA36" i="6" l="1"/>
  <c r="AA35" i="6"/>
  <c r="D63" i="6" s="1"/>
  <c r="F5" i="2" s="1"/>
  <c r="D47" i="6"/>
  <c r="C47" i="6"/>
  <c r="E47" i="6" s="1"/>
  <c r="D46" i="6"/>
  <c r="C46" i="6"/>
  <c r="E46" i="6" s="1"/>
  <c r="D45" i="6"/>
  <c r="C45" i="6"/>
  <c r="E45" i="6" s="1"/>
  <c r="O45" i="6"/>
  <c r="D44" i="6"/>
  <c r="C44" i="6"/>
  <c r="E44" i="6" s="1"/>
  <c r="O44" i="6"/>
  <c r="D43" i="6"/>
  <c r="C43" i="6"/>
  <c r="E43" i="6" s="1"/>
  <c r="O43" i="6"/>
  <c r="D42" i="6"/>
  <c r="C42" i="6"/>
  <c r="E42" i="6" s="1"/>
  <c r="O42" i="6"/>
  <c r="D41" i="6"/>
  <c r="C41" i="6"/>
  <c r="O41" i="6"/>
  <c r="O40" i="6"/>
  <c r="O39" i="6"/>
  <c r="O38" i="6"/>
  <c r="O37" i="6"/>
  <c r="O36" i="6"/>
  <c r="O35" i="6"/>
  <c r="O34" i="6"/>
  <c r="O33" i="6"/>
  <c r="O32" i="6"/>
  <c r="O31" i="6"/>
  <c r="O30" i="6"/>
  <c r="O29" i="6"/>
  <c r="O28" i="6"/>
  <c r="O27" i="6"/>
  <c r="O26" i="6"/>
  <c r="O25" i="6"/>
  <c r="O24" i="6"/>
  <c r="O23" i="6"/>
  <c r="O22" i="6"/>
  <c r="G22" i="6"/>
  <c r="O21" i="6"/>
  <c r="G21" i="6"/>
  <c r="O20" i="6"/>
  <c r="G20" i="6"/>
  <c r="O19" i="6"/>
  <c r="G19" i="6"/>
  <c r="O18" i="6"/>
  <c r="G18" i="6"/>
  <c r="G17" i="6"/>
  <c r="G16" i="6"/>
  <c r="B2" i="6"/>
  <c r="G23" i="6" l="1"/>
  <c r="Q20" i="6" s="1"/>
  <c r="R20" i="6" s="1"/>
  <c r="S20" i="6"/>
  <c r="S22" i="6"/>
  <c r="S24" i="6"/>
  <c r="S28" i="6"/>
  <c r="S23" i="6"/>
  <c r="S25" i="6"/>
  <c r="S27" i="6"/>
  <c r="S29" i="6"/>
  <c r="S31" i="6"/>
  <c r="S33" i="6"/>
  <c r="S35" i="6"/>
  <c r="S37" i="6"/>
  <c r="S39" i="6"/>
  <c r="S41" i="6"/>
  <c r="S43" i="6"/>
  <c r="S45" i="6"/>
  <c r="S18" i="6"/>
  <c r="S19" i="6"/>
  <c r="S21" i="6"/>
  <c r="S26" i="6"/>
  <c r="S30" i="6"/>
  <c r="S32" i="6"/>
  <c r="Q34" i="6"/>
  <c r="R34" i="6" s="1"/>
  <c r="S34" i="6"/>
  <c r="S36" i="6"/>
  <c r="Q38" i="6"/>
  <c r="R38" i="6" s="1"/>
  <c r="S38" i="6"/>
  <c r="S40" i="6"/>
  <c r="Q42" i="6"/>
  <c r="R42" i="6" s="1"/>
  <c r="S42" i="6"/>
  <c r="S44" i="6"/>
  <c r="B9" i="6"/>
  <c r="E49" i="6"/>
  <c r="D57" i="6" s="1"/>
  <c r="Q44" i="6" l="1"/>
  <c r="R44" i="6" s="1"/>
  <c r="Q40" i="6"/>
  <c r="R40" i="6" s="1"/>
  <c r="W40" i="6" s="1"/>
  <c r="Q36" i="6"/>
  <c r="R36" i="6" s="1"/>
  <c r="Q32" i="6"/>
  <c r="R32" i="6" s="1"/>
  <c r="Q30" i="6"/>
  <c r="R30" i="6" s="1"/>
  <c r="Q26" i="6"/>
  <c r="R26" i="6" s="1"/>
  <c r="W26" i="6" s="1"/>
  <c r="Q21" i="6"/>
  <c r="R21" i="6" s="1"/>
  <c r="Q19" i="6"/>
  <c r="R19" i="6" s="1"/>
  <c r="Q18" i="6"/>
  <c r="R18" i="6" s="1"/>
  <c r="Q45" i="6"/>
  <c r="R45" i="6" s="1"/>
  <c r="Q43" i="6"/>
  <c r="R43" i="6" s="1"/>
  <c r="Q41" i="6"/>
  <c r="R41" i="6" s="1"/>
  <c r="Q39" i="6"/>
  <c r="R39" i="6" s="1"/>
  <c r="Q37" i="6"/>
  <c r="R37" i="6" s="1"/>
  <c r="Q35" i="6"/>
  <c r="R35" i="6" s="1"/>
  <c r="Q33" i="6"/>
  <c r="R33" i="6" s="1"/>
  <c r="Q31" i="6"/>
  <c r="R31" i="6" s="1"/>
  <c r="Q29" i="6"/>
  <c r="R29" i="6" s="1"/>
  <c r="Q27" i="6"/>
  <c r="R27" i="6" s="1"/>
  <c r="Q25" i="6"/>
  <c r="R25" i="6" s="1"/>
  <c r="Q23" i="6"/>
  <c r="R23" i="6" s="1"/>
  <c r="Q28" i="6"/>
  <c r="R28" i="6" s="1"/>
  <c r="Q24" i="6"/>
  <c r="R24" i="6" s="1"/>
  <c r="Q22" i="6"/>
  <c r="R22" i="6" s="1"/>
  <c r="T44" i="6"/>
  <c r="U44" i="6" s="1"/>
  <c r="T42" i="6"/>
  <c r="U42" i="6" s="1"/>
  <c r="T40" i="6"/>
  <c r="U40" i="6" s="1"/>
  <c r="T38" i="6"/>
  <c r="U38" i="6" s="1"/>
  <c r="T36" i="6"/>
  <c r="U36" i="6" s="1"/>
  <c r="T34" i="6"/>
  <c r="U34" i="6" s="1"/>
  <c r="W34" i="6" s="1"/>
  <c r="T32" i="6"/>
  <c r="U32" i="6" s="1"/>
  <c r="T30" i="6"/>
  <c r="U30" i="6" s="1"/>
  <c r="T26" i="6"/>
  <c r="U26" i="6" s="1"/>
  <c r="T21" i="6"/>
  <c r="U21" i="6" s="1"/>
  <c r="T19" i="6"/>
  <c r="U19" i="6" s="1"/>
  <c r="T18" i="6"/>
  <c r="U18" i="6" s="1"/>
  <c r="W18" i="6" s="1"/>
  <c r="T45" i="6"/>
  <c r="U45" i="6" s="1"/>
  <c r="T43" i="6"/>
  <c r="U43" i="6" s="1"/>
  <c r="T41" i="6"/>
  <c r="U41" i="6" s="1"/>
  <c r="T39" i="6"/>
  <c r="U39" i="6" s="1"/>
  <c r="T37" i="6"/>
  <c r="U37" i="6" s="1"/>
  <c r="T35" i="6"/>
  <c r="U35" i="6" s="1"/>
  <c r="T33" i="6"/>
  <c r="U33" i="6" s="1"/>
  <c r="T31" i="6"/>
  <c r="U31" i="6" s="1"/>
  <c r="T29" i="6"/>
  <c r="U29" i="6" s="1"/>
  <c r="T27" i="6"/>
  <c r="U27" i="6" s="1"/>
  <c r="T25" i="6"/>
  <c r="U25" i="6" s="1"/>
  <c r="T23" i="6"/>
  <c r="U23" i="6" s="1"/>
  <c r="T28" i="6"/>
  <c r="U28" i="6" s="1"/>
  <c r="T24" i="6"/>
  <c r="U24" i="6" s="1"/>
  <c r="T22" i="6"/>
  <c r="U22" i="6" s="1"/>
  <c r="T20" i="6"/>
  <c r="U20" i="6" s="1"/>
  <c r="W20" i="6" s="1"/>
  <c r="W44" i="6"/>
  <c r="W42" i="6"/>
  <c r="W38" i="6"/>
  <c r="W30" i="6"/>
  <c r="W33" i="6"/>
  <c r="Q17" i="6"/>
  <c r="P19" i="6"/>
  <c r="P21" i="6"/>
  <c r="P23" i="6"/>
  <c r="P25" i="6"/>
  <c r="P27" i="6"/>
  <c r="P29" i="6"/>
  <c r="P31" i="6"/>
  <c r="P33" i="6"/>
  <c r="P35" i="6"/>
  <c r="P37" i="6"/>
  <c r="P39" i="6"/>
  <c r="P41" i="6"/>
  <c r="P43" i="6"/>
  <c r="P45" i="6"/>
  <c r="T17" i="6"/>
  <c r="U17" i="6" s="1"/>
  <c r="P18" i="6"/>
  <c r="P20" i="6"/>
  <c r="P22" i="6"/>
  <c r="P24" i="6"/>
  <c r="P26" i="6"/>
  <c r="P28" i="6"/>
  <c r="P30" i="6"/>
  <c r="P32" i="6"/>
  <c r="P34" i="6"/>
  <c r="P36" i="6"/>
  <c r="P38" i="6"/>
  <c r="P40" i="6"/>
  <c r="P42" i="6"/>
  <c r="P44" i="6"/>
  <c r="P17" i="6"/>
  <c r="B8" i="6"/>
  <c r="V24" i="6"/>
  <c r="V33" i="6"/>
  <c r="V36" i="6"/>
  <c r="V40" i="6"/>
  <c r="V41" i="6"/>
  <c r="V44" i="6"/>
  <c r="V27" i="6" l="1"/>
  <c r="W25" i="6"/>
  <c r="W41" i="6"/>
  <c r="W32" i="6"/>
  <c r="V45" i="6"/>
  <c r="V34" i="6"/>
  <c r="V26" i="6"/>
  <c r="W36" i="6"/>
  <c r="V42" i="6"/>
  <c r="V37" i="6"/>
  <c r="V29" i="6"/>
  <c r="V21" i="6"/>
  <c r="W28" i="6"/>
  <c r="W29" i="6"/>
  <c r="W37" i="6"/>
  <c r="W45" i="6"/>
  <c r="V32" i="6"/>
  <c r="W22" i="6"/>
  <c r="W19" i="6"/>
  <c r="V39" i="6"/>
  <c r="V35" i="6"/>
  <c r="V31" i="6"/>
  <c r="V20" i="6"/>
  <c r="V23" i="6"/>
  <c r="V43" i="6"/>
  <c r="V38" i="6"/>
  <c r="V30" i="6"/>
  <c r="V25" i="6"/>
  <c r="V18" i="6"/>
  <c r="W24" i="6"/>
  <c r="W23" i="6"/>
  <c r="W27" i="6"/>
  <c r="W31" i="6"/>
  <c r="W35" i="6"/>
  <c r="W39" i="6"/>
  <c r="W43" i="6"/>
  <c r="W21" i="6"/>
  <c r="V28" i="6"/>
  <c r="V22" i="6"/>
  <c r="D54" i="6" s="1"/>
  <c r="D62" i="6" s="1"/>
  <c r="F4" i="2" s="1"/>
  <c r="V19" i="6"/>
  <c r="U46" i="6"/>
  <c r="V17" i="6"/>
  <c r="R17" i="6"/>
  <c r="W17" i="6" s="1"/>
  <c r="R46" i="6" l="1"/>
  <c r="B3" i="6"/>
  <c r="W46" i="6"/>
  <c r="D55" i="6" l="1"/>
  <c r="B4" i="6" s="1"/>
  <c r="D53" i="6"/>
  <c r="D61" i="6" l="1"/>
  <c r="F3" i="2" s="1"/>
  <c r="D56" i="6"/>
  <c r="E6" i="2"/>
  <c r="J29" i="5"/>
  <c r="D28" i="5"/>
  <c r="J28" i="5" s="1"/>
  <c r="E36" i="5"/>
  <c r="F36" i="5"/>
  <c r="D36" i="5"/>
  <c r="D19" i="5"/>
  <c r="F35" i="5" s="1"/>
  <c r="O24" i="5"/>
  <c r="O25" i="5"/>
  <c r="O26" i="5"/>
  <c r="O27" i="5"/>
  <c r="O28" i="5"/>
  <c r="O30" i="5"/>
  <c r="O31" i="5"/>
  <c r="O32" i="5"/>
  <c r="O23" i="5"/>
  <c r="O22" i="5"/>
  <c r="O21" i="5"/>
  <c r="O20" i="5"/>
  <c r="O19" i="5"/>
  <c r="O18" i="5"/>
  <c r="O17" i="5"/>
  <c r="O16" i="5"/>
  <c r="J15" i="5"/>
  <c r="D18" i="5"/>
  <c r="J30" i="5" l="1"/>
  <c r="D42" i="5" s="1"/>
  <c r="J18" i="5"/>
  <c r="D22" i="5"/>
  <c r="B6" i="6"/>
  <c r="D58" i="6"/>
  <c r="O35" i="5"/>
  <c r="D30" i="5"/>
  <c r="D35" i="5"/>
  <c r="E35" i="5"/>
  <c r="O34" i="5"/>
  <c r="D48" i="5" s="1"/>
  <c r="E5" i="2" s="1"/>
  <c r="B9" i="5"/>
  <c r="B8" i="5"/>
  <c r="J22" i="5"/>
  <c r="D37" i="5" l="1"/>
  <c r="D23" i="5" s="1"/>
  <c r="D25" i="5" s="1"/>
  <c r="D24" i="5"/>
  <c r="J23" i="5" l="1"/>
  <c r="D26" i="5"/>
  <c r="J26" i="5" s="1"/>
  <c r="D41" i="5" s="1"/>
  <c r="J25" i="5"/>
  <c r="J24" i="5"/>
  <c r="D40" i="5" s="1"/>
  <c r="D47" i="5" s="1"/>
  <c r="E4" i="2" s="1"/>
  <c r="D43" i="5" l="1"/>
  <c r="D46" i="5"/>
  <c r="E3" i="2" s="1"/>
  <c r="B6" i="5"/>
  <c r="D44" i="5"/>
  <c r="B4" i="5"/>
  <c r="B3" i="5"/>
  <c r="Y23" i="4"/>
  <c r="Y22" i="4"/>
  <c r="Y21" i="4"/>
  <c r="Y20" i="4"/>
  <c r="Y19" i="4"/>
  <c r="Y18" i="4"/>
  <c r="Y17" i="4"/>
  <c r="Y16" i="4"/>
  <c r="D6" i="2"/>
  <c r="H67" i="4"/>
  <c r="V46" i="4"/>
  <c r="O46" i="4"/>
  <c r="V45" i="4"/>
  <c r="O45" i="4"/>
  <c r="V44" i="4"/>
  <c r="O44" i="4"/>
  <c r="V43" i="4"/>
  <c r="O43" i="4"/>
  <c r="V42" i="4"/>
  <c r="O42" i="4"/>
  <c r="V41" i="4"/>
  <c r="D41" i="4"/>
  <c r="C41" i="4"/>
  <c r="E41" i="4" s="1"/>
  <c r="F41" i="4" s="1"/>
  <c r="V40" i="4"/>
  <c r="D40" i="4"/>
  <c r="C40" i="4"/>
  <c r="E40" i="4" s="1"/>
  <c r="F40" i="4" s="1"/>
  <c r="V39" i="4"/>
  <c r="D39" i="4"/>
  <c r="C39" i="4"/>
  <c r="E39" i="4" s="1"/>
  <c r="F39" i="4" s="1"/>
  <c r="V38" i="4"/>
  <c r="D38" i="4"/>
  <c r="C38" i="4"/>
  <c r="E38" i="4" s="1"/>
  <c r="F38" i="4" s="1"/>
  <c r="V37" i="4"/>
  <c r="V36" i="4"/>
  <c r="D36" i="4"/>
  <c r="C36" i="4"/>
  <c r="V35" i="4"/>
  <c r="V34" i="4"/>
  <c r="V33" i="4"/>
  <c r="V32" i="4"/>
  <c r="V31" i="4"/>
  <c r="V30" i="4"/>
  <c r="V29" i="4"/>
  <c r="O29" i="4"/>
  <c r="O41" i="4"/>
  <c r="V28" i="4"/>
  <c r="O28" i="4"/>
  <c r="V27" i="4"/>
  <c r="O27" i="4"/>
  <c r="V26" i="4"/>
  <c r="O26" i="4"/>
  <c r="V25" i="4"/>
  <c r="O25" i="4"/>
  <c r="V24" i="4"/>
  <c r="O24" i="4"/>
  <c r="V23" i="4"/>
  <c r="O23" i="4"/>
  <c r="V22" i="4"/>
  <c r="O22" i="4"/>
  <c r="G22" i="4"/>
  <c r="V21" i="4"/>
  <c r="O21" i="4"/>
  <c r="G21" i="4"/>
  <c r="V20" i="4"/>
  <c r="O20" i="4"/>
  <c r="G20" i="4"/>
  <c r="V19" i="4"/>
  <c r="O19" i="4"/>
  <c r="G19" i="4"/>
  <c r="V18" i="4"/>
  <c r="O18" i="4"/>
  <c r="G18" i="4"/>
  <c r="G17" i="4"/>
  <c r="B2" i="4"/>
  <c r="G23" i="4" l="1"/>
  <c r="Y34" i="4"/>
  <c r="Y33" i="4"/>
  <c r="D56" i="4" s="1"/>
  <c r="D5" i="2" s="1"/>
  <c r="E36" i="4"/>
  <c r="F36" i="4" s="1"/>
  <c r="F42" i="4" s="1"/>
  <c r="P18" i="4"/>
  <c r="P20" i="4"/>
  <c r="P22" i="4"/>
  <c r="P26" i="4"/>
  <c r="P19" i="4"/>
  <c r="P21" i="4"/>
  <c r="R46" i="4"/>
  <c r="S46" i="4" s="1"/>
  <c r="R45" i="4"/>
  <c r="S45" i="4" s="1"/>
  <c r="P45" i="4"/>
  <c r="R43" i="4"/>
  <c r="S43" i="4" s="1"/>
  <c r="P43" i="4"/>
  <c r="R44" i="4"/>
  <c r="S44" i="4" s="1"/>
  <c r="R42" i="4"/>
  <c r="S42" i="4" s="1"/>
  <c r="R41" i="4"/>
  <c r="S41" i="4" s="1"/>
  <c r="R29" i="4"/>
  <c r="S29" i="4" s="1"/>
  <c r="R28" i="4"/>
  <c r="S28" i="4" s="1"/>
  <c r="P27" i="4"/>
  <c r="R25" i="4"/>
  <c r="S25" i="4" s="1"/>
  <c r="P25" i="4"/>
  <c r="R23" i="4"/>
  <c r="S23" i="4" s="1"/>
  <c r="P23" i="4"/>
  <c r="R22" i="4"/>
  <c r="S22" i="4" s="1"/>
  <c r="R21" i="4"/>
  <c r="S21" i="4" s="1"/>
  <c r="R20" i="4"/>
  <c r="S20" i="4" s="1"/>
  <c r="R19" i="4"/>
  <c r="S19" i="4" s="1"/>
  <c r="R18" i="4"/>
  <c r="S18" i="4" s="1"/>
  <c r="R27" i="4"/>
  <c r="S27" i="4" s="1"/>
  <c r="R26" i="4"/>
  <c r="S26" i="4" s="1"/>
  <c r="R24" i="4"/>
  <c r="S24" i="4" s="1"/>
  <c r="P24" i="4"/>
  <c r="P29" i="4"/>
  <c r="P42" i="4"/>
  <c r="P44" i="4"/>
  <c r="P28" i="4"/>
  <c r="P41" i="4"/>
  <c r="P46" i="4"/>
  <c r="O30" i="4"/>
  <c r="P30" i="4" s="1"/>
  <c r="O32" i="4"/>
  <c r="P32" i="4" s="1"/>
  <c r="O34" i="4"/>
  <c r="P34" i="4" s="1"/>
  <c r="O36" i="4"/>
  <c r="P36" i="4" s="1"/>
  <c r="O38" i="4"/>
  <c r="P38" i="4" s="1"/>
  <c r="O40" i="4"/>
  <c r="P40" i="4" s="1"/>
  <c r="O31" i="4"/>
  <c r="P31" i="4" s="1"/>
  <c r="O33" i="4"/>
  <c r="P33" i="4" s="1"/>
  <c r="O35" i="4"/>
  <c r="P35" i="4" s="1"/>
  <c r="O37" i="4"/>
  <c r="P37" i="4" s="1"/>
  <c r="O39" i="4"/>
  <c r="P39" i="4" s="1"/>
  <c r="B8" i="4" l="1"/>
  <c r="D49" i="4"/>
  <c r="B9" i="4"/>
  <c r="Q39" i="4"/>
  <c r="Q35" i="4"/>
  <c r="Q31" i="4"/>
  <c r="Q38" i="4"/>
  <c r="Q34" i="4"/>
  <c r="Q30" i="4"/>
  <c r="Q41" i="4"/>
  <c r="U41" i="4"/>
  <c r="Q44" i="4"/>
  <c r="U44" i="4"/>
  <c r="Q29" i="4"/>
  <c r="U29" i="4"/>
  <c r="U23" i="4"/>
  <c r="D46" i="4" s="1"/>
  <c r="D55" i="4" s="1"/>
  <c r="D4" i="2" s="1"/>
  <c r="Q23" i="4"/>
  <c r="U25" i="4"/>
  <c r="Q25" i="4"/>
  <c r="Q27" i="4"/>
  <c r="U27" i="4"/>
  <c r="R33" i="4"/>
  <c r="S33" i="4" s="1"/>
  <c r="R37" i="4"/>
  <c r="S37" i="4" s="1"/>
  <c r="R32" i="4"/>
  <c r="S32" i="4" s="1"/>
  <c r="R36" i="4"/>
  <c r="S36" i="4" s="1"/>
  <c r="R40" i="4"/>
  <c r="S40" i="4" s="1"/>
  <c r="U21" i="4"/>
  <c r="Q21" i="4"/>
  <c r="Q26" i="4"/>
  <c r="U26" i="4"/>
  <c r="U20" i="4"/>
  <c r="Q20" i="4"/>
  <c r="Q37" i="4"/>
  <c r="Q33" i="4"/>
  <c r="Q40" i="4"/>
  <c r="Q36" i="4"/>
  <c r="Q32" i="4"/>
  <c r="U46" i="4"/>
  <c r="Q46" i="4"/>
  <c r="U28" i="4"/>
  <c r="Q28" i="4"/>
  <c r="Q42" i="4"/>
  <c r="U42" i="4"/>
  <c r="Q24" i="4"/>
  <c r="U24" i="4"/>
  <c r="R31" i="4"/>
  <c r="S31" i="4" s="1"/>
  <c r="R35" i="4"/>
  <c r="S35" i="4" s="1"/>
  <c r="R39" i="4"/>
  <c r="S39" i="4" s="1"/>
  <c r="R30" i="4"/>
  <c r="S30" i="4" s="1"/>
  <c r="R34" i="4"/>
  <c r="S34" i="4" s="1"/>
  <c r="R38" i="4"/>
  <c r="S38" i="4" s="1"/>
  <c r="U43" i="4"/>
  <c r="Q43" i="4"/>
  <c r="U45" i="4"/>
  <c r="Q45" i="4"/>
  <c r="U19" i="4"/>
  <c r="Q19" i="4"/>
  <c r="U22" i="4"/>
  <c r="Q22" i="4"/>
  <c r="U18" i="4"/>
  <c r="Q18" i="4"/>
  <c r="U33" i="4" l="1"/>
  <c r="Q47" i="4"/>
  <c r="S47" i="4"/>
  <c r="U36" i="4"/>
  <c r="U37" i="4"/>
  <c r="U32" i="4"/>
  <c r="U40" i="4"/>
  <c r="B3" i="4"/>
  <c r="U31" i="4"/>
  <c r="U35" i="4"/>
  <c r="U39" i="4"/>
  <c r="U30" i="4"/>
  <c r="U34" i="4"/>
  <c r="U38" i="4"/>
  <c r="D45" i="4" l="1"/>
  <c r="D47" i="4"/>
  <c r="D48" i="4" l="1"/>
  <c r="D54" i="4"/>
  <c r="D3" i="2" s="1"/>
  <c r="B4" i="4"/>
  <c r="B6" i="4" l="1"/>
  <c r="D50" i="4"/>
  <c r="C6" i="2"/>
  <c r="AH17" i="1"/>
  <c r="AH18" i="1"/>
  <c r="AH19" i="1"/>
  <c r="AH20" i="1"/>
  <c r="AH21" i="1"/>
  <c r="AH22" i="1"/>
  <c r="AH23" i="1"/>
  <c r="AH16" i="1"/>
  <c r="D29" i="1"/>
  <c r="Q21" i="1"/>
  <c r="AH33" i="1" l="1"/>
  <c r="D59" i="1" s="1"/>
  <c r="C5" i="2" s="1"/>
  <c r="AH34" i="1"/>
  <c r="AH41" i="1"/>
  <c r="AH42" i="1"/>
  <c r="AH43" i="1"/>
  <c r="AH44" i="1"/>
  <c r="AH45" i="1"/>
  <c r="AH46" i="1"/>
  <c r="AH47" i="1"/>
  <c r="AH48" i="1"/>
  <c r="AH49" i="1"/>
  <c r="AH50" i="1"/>
  <c r="AH51" i="1"/>
  <c r="AH52" i="1"/>
  <c r="AH53" i="1"/>
  <c r="AH54" i="1"/>
  <c r="AH55" i="1"/>
  <c r="AH56" i="1"/>
  <c r="AH57" i="1"/>
  <c r="AH58" i="1"/>
  <c r="AH59" i="1"/>
  <c r="AH60" i="1"/>
  <c r="AH61" i="1"/>
  <c r="AH62" i="1"/>
  <c r="AH63" i="1"/>
  <c r="AH64" i="1"/>
  <c r="AH65" i="1"/>
  <c r="AH66" i="1"/>
  <c r="AH67" i="1"/>
  <c r="AH68" i="1"/>
  <c r="AH69" i="1"/>
  <c r="AH40" i="1"/>
  <c r="AX87" i="1"/>
  <c r="AW87" i="1"/>
  <c r="AV87" i="1"/>
  <c r="AU87" i="1"/>
  <c r="AT87" i="1"/>
  <c r="AS87" i="1"/>
  <c r="AR87" i="1"/>
  <c r="AQ87" i="1"/>
  <c r="AP87" i="1"/>
  <c r="AO87" i="1"/>
  <c r="AN87" i="1"/>
  <c r="AM87" i="1"/>
  <c r="AL87" i="1"/>
  <c r="AK87" i="1"/>
  <c r="AJ87" i="1"/>
  <c r="AI87" i="1"/>
  <c r="AH87" i="1"/>
  <c r="I66" i="1"/>
  <c r="Q46" i="1"/>
  <c r="R46" i="1" s="1"/>
  <c r="P46" i="1"/>
  <c r="Q45" i="1"/>
  <c r="R45" i="1" s="1"/>
  <c r="P45" i="1"/>
  <c r="Q44" i="1"/>
  <c r="R44" i="1" s="1"/>
  <c r="P44" i="1"/>
  <c r="D44" i="1"/>
  <c r="C44" i="1"/>
  <c r="E44" i="1" s="1"/>
  <c r="F44" i="1" s="1"/>
  <c r="Q43" i="1"/>
  <c r="R43" i="1" s="1"/>
  <c r="P43" i="1"/>
  <c r="D43" i="1"/>
  <c r="C43" i="1"/>
  <c r="E43" i="1" s="1"/>
  <c r="F43" i="1" s="1"/>
  <c r="Q42" i="1"/>
  <c r="R42" i="1" s="1"/>
  <c r="P42" i="1"/>
  <c r="D42" i="1"/>
  <c r="C42" i="1"/>
  <c r="E42" i="1" s="1"/>
  <c r="F42" i="1" s="1"/>
  <c r="Q41" i="1"/>
  <c r="R41" i="1" s="1"/>
  <c r="P41" i="1"/>
  <c r="D41" i="1"/>
  <c r="C41" i="1"/>
  <c r="E41" i="1" s="1"/>
  <c r="F41" i="1" s="1"/>
  <c r="Q40" i="1"/>
  <c r="R40" i="1" s="1"/>
  <c r="P40" i="1"/>
  <c r="D40" i="1"/>
  <c r="Q39" i="1"/>
  <c r="R39" i="1" s="1"/>
  <c r="P39" i="1"/>
  <c r="D39" i="1"/>
  <c r="C39" i="1"/>
  <c r="Q38" i="1"/>
  <c r="R38" i="1" s="1"/>
  <c r="P38" i="1"/>
  <c r="Q37" i="1"/>
  <c r="R37" i="1" s="1"/>
  <c r="P37" i="1"/>
  <c r="Q36" i="1"/>
  <c r="R36" i="1" s="1"/>
  <c r="P36" i="1"/>
  <c r="Q35" i="1"/>
  <c r="R35" i="1" s="1"/>
  <c r="P35" i="1"/>
  <c r="Q34" i="1"/>
  <c r="R34" i="1" s="1"/>
  <c r="P34" i="1"/>
  <c r="Q33" i="1"/>
  <c r="R33" i="1" s="1"/>
  <c r="P33" i="1"/>
  <c r="Q32" i="1"/>
  <c r="R32" i="1" s="1"/>
  <c r="P32" i="1"/>
  <c r="Q31" i="1"/>
  <c r="R31" i="1" s="1"/>
  <c r="P31" i="1"/>
  <c r="Q30" i="1"/>
  <c r="R30" i="1" s="1"/>
  <c r="P30" i="1"/>
  <c r="Q29" i="1"/>
  <c r="R29" i="1" s="1"/>
  <c r="P29" i="1"/>
  <c r="Q28" i="1"/>
  <c r="R28" i="1" s="1"/>
  <c r="P28" i="1"/>
  <c r="Q27" i="1"/>
  <c r="R27" i="1" s="1"/>
  <c r="P27" i="1"/>
  <c r="Q26" i="1"/>
  <c r="R26" i="1" s="1"/>
  <c r="P26" i="1"/>
  <c r="Q25" i="1"/>
  <c r="R25" i="1" s="1"/>
  <c r="P25" i="1"/>
  <c r="Q24" i="1"/>
  <c r="R24" i="1" s="1"/>
  <c r="P24" i="1"/>
  <c r="Q23" i="1"/>
  <c r="R23" i="1" s="1"/>
  <c r="P23" i="1"/>
  <c r="Q22" i="1"/>
  <c r="R22" i="1" s="1"/>
  <c r="P22" i="1"/>
  <c r="H22" i="1"/>
  <c r="R21" i="1"/>
  <c r="P21" i="1"/>
  <c r="H21" i="1"/>
  <c r="Q20" i="1"/>
  <c r="R20" i="1" s="1"/>
  <c r="P20" i="1"/>
  <c r="H20" i="1"/>
  <c r="Q19" i="1"/>
  <c r="R19" i="1" s="1"/>
  <c r="P19" i="1"/>
  <c r="Q18" i="1"/>
  <c r="R18" i="1" s="1"/>
  <c r="P18" i="1"/>
  <c r="H17" i="1"/>
  <c r="B2" i="1"/>
  <c r="H23" i="1" l="1"/>
  <c r="AH71" i="1"/>
  <c r="G17" i="1" s="1"/>
  <c r="G23" i="1" s="1"/>
  <c r="G25" i="1" s="1"/>
  <c r="S20" i="1" s="1"/>
  <c r="T20" i="1" s="1"/>
  <c r="AH72" i="1"/>
  <c r="E39" i="1"/>
  <c r="F39" i="1" s="1"/>
  <c r="F45" i="1" s="1"/>
  <c r="X20" i="1" l="1"/>
  <c r="Y20" i="1" s="1"/>
  <c r="Z20" i="1" s="1"/>
  <c r="U20" i="1"/>
  <c r="S18" i="1"/>
  <c r="T18" i="1" s="1"/>
  <c r="S22" i="1"/>
  <c r="T22" i="1" s="1"/>
  <c r="S24" i="1"/>
  <c r="T24" i="1" s="1"/>
  <c r="S19" i="1"/>
  <c r="T19" i="1" s="1"/>
  <c r="S25" i="1"/>
  <c r="T25" i="1" s="1"/>
  <c r="S27" i="1"/>
  <c r="T27" i="1" s="1"/>
  <c r="S29" i="1"/>
  <c r="T29" i="1" s="1"/>
  <c r="S31" i="1"/>
  <c r="T31" i="1" s="1"/>
  <c r="S33" i="1"/>
  <c r="T33" i="1" s="1"/>
  <c r="S35" i="1"/>
  <c r="T35" i="1" s="1"/>
  <c r="S36" i="1"/>
  <c r="T36" i="1" s="1"/>
  <c r="S38" i="1"/>
  <c r="T38" i="1" s="1"/>
  <c r="S40" i="1"/>
  <c r="T40" i="1" s="1"/>
  <c r="S42" i="1"/>
  <c r="T42" i="1" s="1"/>
  <c r="S44" i="1"/>
  <c r="T44" i="1" s="1"/>
  <c r="S23" i="1"/>
  <c r="T23" i="1" s="1"/>
  <c r="S45" i="1"/>
  <c r="T45" i="1" s="1"/>
  <c r="S21" i="1"/>
  <c r="T21" i="1" s="1"/>
  <c r="S26" i="1"/>
  <c r="T26" i="1" s="1"/>
  <c r="S28" i="1"/>
  <c r="T28" i="1" s="1"/>
  <c r="S30" i="1"/>
  <c r="T30" i="1" s="1"/>
  <c r="S32" i="1"/>
  <c r="T32" i="1" s="1"/>
  <c r="S34" i="1"/>
  <c r="T34" i="1" s="1"/>
  <c r="S46" i="1"/>
  <c r="T46" i="1" s="1"/>
  <c r="S37" i="1"/>
  <c r="T37" i="1" s="1"/>
  <c r="S39" i="1"/>
  <c r="T39" i="1" s="1"/>
  <c r="S41" i="1"/>
  <c r="T41" i="1" s="1"/>
  <c r="S43" i="1"/>
  <c r="T43" i="1" s="1"/>
  <c r="B9" i="1"/>
  <c r="D52" i="1"/>
  <c r="B8" i="1"/>
  <c r="V20" i="1"/>
  <c r="U45" i="1" l="1"/>
  <c r="V45" i="1" s="1"/>
  <c r="X45" i="1"/>
  <c r="Y45" i="1" s="1"/>
  <c r="Z45" i="1" s="1"/>
  <c r="U40" i="1"/>
  <c r="V40" i="1" s="1"/>
  <c r="X40" i="1"/>
  <c r="Y40" i="1" s="1"/>
  <c r="Z40" i="1" s="1"/>
  <c r="U33" i="1"/>
  <c r="V33" i="1" s="1"/>
  <c r="X33" i="1"/>
  <c r="Y33" i="1" s="1"/>
  <c r="Z33" i="1" s="1"/>
  <c r="U25" i="1"/>
  <c r="V25" i="1" s="1"/>
  <c r="W25" i="1" s="1"/>
  <c r="X25" i="1"/>
  <c r="Y25" i="1" s="1"/>
  <c r="Z25" i="1" s="1"/>
  <c r="X46" i="1"/>
  <c r="Y46" i="1" s="1"/>
  <c r="Z46" i="1" s="1"/>
  <c r="U46" i="1"/>
  <c r="V46" i="1" s="1"/>
  <c r="W46" i="1" s="1"/>
  <c r="X28" i="1"/>
  <c r="Y28" i="1" s="1"/>
  <c r="Z28" i="1" s="1"/>
  <c r="U28" i="1"/>
  <c r="V28" i="1" s="1"/>
  <c r="W28" i="1" s="1"/>
  <c r="X23" i="1"/>
  <c r="Y23" i="1" s="1"/>
  <c r="Z23" i="1" s="1"/>
  <c r="U23" i="1"/>
  <c r="V23" i="1" s="1"/>
  <c r="AB23" i="1" s="1"/>
  <c r="D49" i="1" s="1"/>
  <c r="D58" i="1" s="1"/>
  <c r="C4" i="2" s="1"/>
  <c r="X38" i="1"/>
  <c r="Y38" i="1" s="1"/>
  <c r="Z38" i="1" s="1"/>
  <c r="U38" i="1"/>
  <c r="V38" i="1" s="1"/>
  <c r="W38" i="1" s="1"/>
  <c r="U31" i="1"/>
  <c r="V31" i="1" s="1"/>
  <c r="X31" i="1"/>
  <c r="Y31" i="1" s="1"/>
  <c r="Z31" i="1" s="1"/>
  <c r="U19" i="1"/>
  <c r="V19" i="1" s="1"/>
  <c r="X19" i="1"/>
  <c r="Y19" i="1" s="1"/>
  <c r="Z19" i="1" s="1"/>
  <c r="U41" i="1"/>
  <c r="V41" i="1" s="1"/>
  <c r="X41" i="1"/>
  <c r="Y41" i="1" s="1"/>
  <c r="Z41" i="1" s="1"/>
  <c r="X34" i="1"/>
  <c r="Y34" i="1" s="1"/>
  <c r="Z34" i="1" s="1"/>
  <c r="U34" i="1"/>
  <c r="V34" i="1" s="1"/>
  <c r="X26" i="1"/>
  <c r="Y26" i="1" s="1"/>
  <c r="U26" i="1"/>
  <c r="V26" i="1" s="1"/>
  <c r="X44" i="1"/>
  <c r="Y44" i="1" s="1"/>
  <c r="Z44" i="1" s="1"/>
  <c r="U44" i="1"/>
  <c r="V44" i="1" s="1"/>
  <c r="X36" i="1"/>
  <c r="U36" i="1"/>
  <c r="V36" i="1" s="1"/>
  <c r="AB36" i="1" s="1"/>
  <c r="U29" i="1"/>
  <c r="V29" i="1" s="1"/>
  <c r="W29" i="1" s="1"/>
  <c r="X29" i="1"/>
  <c r="Y29" i="1" s="1"/>
  <c r="Z29" i="1" s="1"/>
  <c r="U24" i="1"/>
  <c r="V24" i="1" s="1"/>
  <c r="X24" i="1"/>
  <c r="Y24" i="1" s="1"/>
  <c r="Z24" i="1" s="1"/>
  <c r="Y37" i="1"/>
  <c r="Z37" i="1" s="1"/>
  <c r="U37" i="1"/>
  <c r="V37" i="1" s="1"/>
  <c r="W37" i="1" s="1"/>
  <c r="X37" i="1"/>
  <c r="X30" i="1"/>
  <c r="Y30" i="1" s="1"/>
  <c r="U30" i="1"/>
  <c r="V30" i="1" s="1"/>
  <c r="W30" i="1" s="1"/>
  <c r="U18" i="1"/>
  <c r="V18" i="1" s="1"/>
  <c r="X18" i="1"/>
  <c r="Y18" i="1" s="1"/>
  <c r="Z18" i="1" s="1"/>
  <c r="X43" i="1"/>
  <c r="Y43" i="1" s="1"/>
  <c r="Z43" i="1" s="1"/>
  <c r="U43" i="1"/>
  <c r="V43" i="1" s="1"/>
  <c r="U39" i="1"/>
  <c r="V39" i="1" s="1"/>
  <c r="X39" i="1"/>
  <c r="Y39" i="1" s="1"/>
  <c r="Z39" i="1" s="1"/>
  <c r="X32" i="1"/>
  <c r="Y32" i="1" s="1"/>
  <c r="Z32" i="1" s="1"/>
  <c r="U32" i="1"/>
  <c r="V32" i="1" s="1"/>
  <c r="U21" i="1"/>
  <c r="V21" i="1" s="1"/>
  <c r="W21" i="1" s="1"/>
  <c r="X21" i="1"/>
  <c r="Y21" i="1" s="1"/>
  <c r="Z21" i="1" s="1"/>
  <c r="X42" i="1"/>
  <c r="Y42" i="1" s="1"/>
  <c r="Z42" i="1" s="1"/>
  <c r="U42" i="1"/>
  <c r="V42" i="1" s="1"/>
  <c r="X35" i="1"/>
  <c r="Y35" i="1" s="1"/>
  <c r="Z35" i="1" s="1"/>
  <c r="U35" i="1"/>
  <c r="V35" i="1" s="1"/>
  <c r="X27" i="1"/>
  <c r="Y27" i="1" s="1"/>
  <c r="Z27" i="1" s="1"/>
  <c r="U27" i="1"/>
  <c r="V27" i="1" s="1"/>
  <c r="X22" i="1"/>
  <c r="Y22" i="1" s="1"/>
  <c r="Z22" i="1" s="1"/>
  <c r="U22" i="1"/>
  <c r="V22" i="1" s="1"/>
  <c r="W22" i="1" s="1"/>
  <c r="Y36" i="1"/>
  <c r="Z36" i="1" s="1"/>
  <c r="W24" i="1"/>
  <c r="W45" i="1"/>
  <c r="AB45" i="1"/>
  <c r="W23" i="1"/>
  <c r="AB46" i="1"/>
  <c r="AB20" i="1"/>
  <c r="W20" i="1"/>
  <c r="AB22" i="1"/>
  <c r="W35" i="1"/>
  <c r="AB33" i="1"/>
  <c r="W33" i="1"/>
  <c r="W31" i="1"/>
  <c r="AB29" i="1"/>
  <c r="W27" i="1"/>
  <c r="AB41" i="1"/>
  <c r="W41" i="1"/>
  <c r="W44" i="1"/>
  <c r="AB37" i="1"/>
  <c r="W26" i="1"/>
  <c r="W34" i="1"/>
  <c r="W39" i="1"/>
  <c r="W43" i="1"/>
  <c r="AB42" i="1"/>
  <c r="W42" i="1"/>
  <c r="W32" i="1"/>
  <c r="AB32" i="1" l="1"/>
  <c r="AB25" i="1"/>
  <c r="AB35" i="1"/>
  <c r="AB19" i="1"/>
  <c r="AB24" i="1"/>
  <c r="AB43" i="1"/>
  <c r="AB44" i="1"/>
  <c r="Z30" i="1"/>
  <c r="AB30" i="1"/>
  <c r="W40" i="1"/>
  <c r="AB40" i="1"/>
  <c r="Z26" i="1"/>
  <c r="Z47" i="1" s="1"/>
  <c r="AB26" i="1"/>
  <c r="W19" i="1"/>
  <c r="W36" i="1"/>
  <c r="AB28" i="1"/>
  <c r="AB38" i="1"/>
  <c r="AB39" i="1"/>
  <c r="AB34" i="1"/>
  <c r="AB27" i="1"/>
  <c r="AB31" i="1"/>
  <c r="AB21" i="1"/>
  <c r="AB18" i="1"/>
  <c r="W18" i="1"/>
  <c r="W47" i="1" s="1"/>
  <c r="B3" i="1"/>
  <c r="D48" i="1" l="1"/>
  <c r="D50" i="1"/>
  <c r="D57" i="1" s="1"/>
  <c r="C3" i="2" s="1"/>
  <c r="D51" i="1" l="1"/>
  <c r="B4" i="1"/>
  <c r="B6" i="1" l="1"/>
  <c r="D53" i="1"/>
</calcChain>
</file>

<file path=xl/comments1.xml><?xml version="1.0" encoding="utf-8"?>
<comments xmlns="http://schemas.openxmlformats.org/spreadsheetml/2006/main">
  <authors>
    <author>Bartels, Jeff</author>
  </authors>
  <commentList>
    <comment ref="U16" authorId="0">
      <text>
        <r>
          <rPr>
            <b/>
            <sz val="8"/>
            <color indexed="81"/>
            <rFont val="Tahoma"/>
            <family val="2"/>
          </rPr>
          <t>Bartels, Jeff:</t>
        </r>
        <r>
          <rPr>
            <sz val="8"/>
            <color indexed="81"/>
            <rFont val="Tahoma"/>
            <family val="2"/>
          </rPr>
          <t xml:space="preserve">
Based on IRC Energy Efficiency Guidebook.  Tower has 10% capacity with no fan power due to natural convection.</t>
        </r>
      </text>
    </comment>
    <comment ref="X16" authorId="0">
      <text>
        <r>
          <rPr>
            <b/>
            <sz val="8"/>
            <color indexed="81"/>
            <rFont val="Tahoma"/>
            <family val="2"/>
          </rPr>
          <t>Bartels, Jeff:</t>
        </r>
        <r>
          <rPr>
            <sz val="8"/>
            <color indexed="81"/>
            <rFont val="Tahoma"/>
            <family val="2"/>
          </rPr>
          <t xml:space="preserve">
Based on IRC Energy Efficiency Guidebook.  Tower has a heat rejection to the 0.76 power of fan speed.  Fan speed is related to hp to the 3 power.  Combined, part load ratio to the 3.95 power = fan power.  
For a more conservative calculation, a cubic relation is used instead.  Also, a minimum power of 10% is also used to prevent significantly overstating savings.</t>
        </r>
      </text>
    </comment>
    <comment ref="F17" authorId="0">
      <text>
        <r>
          <rPr>
            <b/>
            <sz val="9"/>
            <color indexed="81"/>
            <rFont val="Tahoma"/>
            <family val="2"/>
          </rPr>
          <t>Bartels, Jeff:</t>
        </r>
        <r>
          <rPr>
            <sz val="9"/>
            <color indexed="81"/>
            <rFont val="Tahoma"/>
            <family val="2"/>
          </rPr>
          <t xml:space="preserve">
Assume 93%, premium efficiency 20 hp motor.  All motors of smaller size will have a lower efficiency, making this calculation more conservative.</t>
        </r>
      </text>
    </comment>
    <comment ref="G17" authorId="0">
      <text>
        <r>
          <rPr>
            <b/>
            <sz val="9"/>
            <color indexed="81"/>
            <rFont val="Tahoma"/>
            <family val="2"/>
          </rPr>
          <t>Bartels, Jeff:</t>
        </r>
        <r>
          <rPr>
            <sz val="9"/>
            <color indexed="81"/>
            <rFont val="Tahoma"/>
            <family val="2"/>
          </rPr>
          <t xml:space="preserve">
Based on scaling for average ratio of MBH/hp.</t>
        </r>
      </text>
    </comment>
    <comment ref="D28" authorId="0">
      <text>
        <r>
          <rPr>
            <b/>
            <sz val="8"/>
            <color indexed="81"/>
            <rFont val="Tahoma"/>
            <family val="2"/>
          </rPr>
          <t>Bartels, Jeff:</t>
        </r>
        <r>
          <rPr>
            <sz val="8"/>
            <color indexed="81"/>
            <rFont val="Tahoma"/>
            <family val="2"/>
          </rPr>
          <t xml:space="preserve">
Given the heat rejection of the evaporative condenser and design conditions, the tonnage has been set such that the evaporative condenser is at full load at 95F ambient conditions (design conditions).  </t>
        </r>
      </text>
    </comment>
    <comment ref="C29" authorId="0">
      <text>
        <r>
          <rPr>
            <b/>
            <sz val="9"/>
            <color indexed="81"/>
            <rFont val="Tahoma"/>
            <family val="2"/>
          </rPr>
          <t>Bartels, Jeff:</t>
        </r>
        <r>
          <rPr>
            <sz val="9"/>
            <color indexed="81"/>
            <rFont val="Tahoma"/>
            <family val="2"/>
          </rPr>
          <t xml:space="preserve">
Any standard cooling profiles?</t>
        </r>
      </text>
    </comment>
    <comment ref="D29" authorId="0">
      <text>
        <r>
          <rPr>
            <b/>
            <sz val="9"/>
            <color indexed="81"/>
            <rFont val="Tahoma"/>
            <family val="2"/>
          </rPr>
          <t>Bartels, Jeff:</t>
        </r>
        <r>
          <rPr>
            <sz val="9"/>
            <color indexed="81"/>
            <rFont val="Tahoma"/>
            <family val="2"/>
          </rPr>
          <t xml:space="preserve">
Cooling load half of the design conditions at lower outdoor temperatures.</t>
        </r>
      </text>
    </comment>
    <comment ref="D31" authorId="0">
      <text>
        <r>
          <rPr>
            <b/>
            <sz val="8"/>
            <color indexed="81"/>
            <rFont val="Tahoma"/>
            <family val="2"/>
          </rPr>
          <t>Bartels, Jeff:</t>
        </r>
        <r>
          <rPr>
            <sz val="8"/>
            <color indexed="81"/>
            <rFont val="Tahoma"/>
            <family val="2"/>
          </rPr>
          <t xml:space="preserve">
10-15F is typically a good value.
</t>
        </r>
      </text>
    </comment>
    <comment ref="D32" authorId="0">
      <text>
        <r>
          <rPr>
            <b/>
            <sz val="8"/>
            <color indexed="81"/>
            <rFont val="Tahoma"/>
            <family val="2"/>
          </rPr>
          <t>Bartels, Jeff:</t>
        </r>
        <r>
          <rPr>
            <sz val="8"/>
            <color indexed="81"/>
            <rFont val="Tahoma"/>
            <family val="2"/>
          </rPr>
          <t xml:space="preserve">
Low temperature is limited by defrost or other system factors.  This should be a value you obtain on-site.</t>
        </r>
      </text>
    </comment>
    <comment ref="F40" authorId="0">
      <text>
        <r>
          <rPr>
            <b/>
            <sz val="9"/>
            <color indexed="81"/>
            <rFont val="Tahoma"/>
            <family val="2"/>
          </rPr>
          <t>Bartels, Jeff:</t>
        </r>
        <r>
          <rPr>
            <sz val="9"/>
            <color indexed="81"/>
            <rFont val="Tahoma"/>
            <family val="2"/>
          </rPr>
          <t xml:space="preserve">
Any better sources? I can see this beeing $500-$2000 max.</t>
        </r>
      </text>
    </comment>
  </commentList>
</comments>
</file>

<file path=xl/comments2.xml><?xml version="1.0" encoding="utf-8"?>
<comments xmlns="http://schemas.openxmlformats.org/spreadsheetml/2006/main">
  <authors>
    <author>Bartels, Jeff</author>
  </authors>
  <commentList>
    <comment ref="F17" authorId="0">
      <text>
        <r>
          <rPr>
            <b/>
            <sz val="9"/>
            <color indexed="81"/>
            <rFont val="Tahoma"/>
            <family val="2"/>
          </rPr>
          <t>Bartels, Jeff:</t>
        </r>
        <r>
          <rPr>
            <sz val="9"/>
            <color indexed="81"/>
            <rFont val="Tahoma"/>
            <family val="2"/>
          </rPr>
          <t xml:space="preserve">
Assume 93%, premium efficiency 20 hp motor.  All motors of smaller size will have a lower efficiency, making this calculation more conservative.</t>
        </r>
      </text>
    </comment>
    <comment ref="C29" authorId="0">
      <text>
        <r>
          <rPr>
            <b/>
            <sz val="9"/>
            <color indexed="81"/>
            <rFont val="Tahoma"/>
            <family val="2"/>
          </rPr>
          <t>Bartels, Jeff:</t>
        </r>
        <r>
          <rPr>
            <sz val="9"/>
            <color indexed="81"/>
            <rFont val="Tahoma"/>
            <family val="2"/>
          </rPr>
          <t xml:space="preserve">
Any standard profiles?</t>
        </r>
      </text>
    </comment>
  </commentList>
</comments>
</file>

<file path=xl/comments3.xml><?xml version="1.0" encoding="utf-8"?>
<comments xmlns="http://schemas.openxmlformats.org/spreadsheetml/2006/main">
  <authors>
    <author>Bartels, Jeff</author>
  </authors>
  <commentList>
    <comment ref="D15" authorId="0">
      <text>
        <r>
          <rPr>
            <b/>
            <sz val="9"/>
            <color indexed="81"/>
            <rFont val="Tahoma"/>
            <family val="2"/>
          </rPr>
          <t>Bartels, Jeff:</t>
        </r>
        <r>
          <rPr>
            <sz val="9"/>
            <color indexed="81"/>
            <rFont val="Tahoma"/>
            <family val="2"/>
          </rPr>
          <t xml:space="preserve">
Selected as a standard size for calculation purposes
</t>
        </r>
      </text>
    </comment>
    <comment ref="D17" authorId="0">
      <text>
        <r>
          <rPr>
            <b/>
            <sz val="9"/>
            <color indexed="81"/>
            <rFont val="Tahoma"/>
            <family val="2"/>
          </rPr>
          <t>Bartels, Jeff:</t>
        </r>
        <r>
          <rPr>
            <sz val="9"/>
            <color indexed="81"/>
            <rFont val="Tahoma"/>
            <family val="2"/>
          </rPr>
          <t xml:space="preserve">
Assumed premium at roughly 40 hp.  In general, for process pumps the value will fall between 91 and 96.2% for premium efficiency motors.  If they use an existing motor, the efficiency will be less.  </t>
        </r>
      </text>
    </comment>
    <comment ref="D19" authorId="0">
      <text>
        <r>
          <rPr>
            <b/>
            <sz val="9"/>
            <color indexed="81"/>
            <rFont val="Tahoma"/>
            <family val="2"/>
          </rPr>
          <t>Bartels, Jeff:</t>
        </r>
        <r>
          <rPr>
            <sz val="9"/>
            <color indexed="81"/>
            <rFont val="Tahoma"/>
            <family val="2"/>
          </rPr>
          <t xml:space="preserve">
based on a 5 day, 24 hour workweek with 2 weeks shutdown/year.  </t>
        </r>
      </text>
    </comment>
    <comment ref="E19" authorId="0">
      <text>
        <r>
          <rPr>
            <b/>
            <sz val="9"/>
            <color indexed="81"/>
            <rFont val="Tahoma"/>
            <family val="2"/>
          </rPr>
          <t>Bartels, Jeff:</t>
        </r>
        <r>
          <rPr>
            <sz val="9"/>
            <color indexed="81"/>
            <rFont val="Tahoma"/>
            <family val="2"/>
          </rPr>
          <t xml:space="preserve">
hours?</t>
        </r>
      </text>
    </comment>
    <comment ref="F34" authorId="0">
      <text>
        <r>
          <rPr>
            <b/>
            <sz val="9"/>
            <color indexed="81"/>
            <rFont val="Tahoma"/>
            <family val="2"/>
          </rPr>
          <t>Bartels, Jeff:</t>
        </r>
        <r>
          <rPr>
            <sz val="9"/>
            <color indexed="81"/>
            <rFont val="Tahoma"/>
            <family val="2"/>
          </rPr>
          <t xml:space="preserve">
what should this profile look like? We don't have a good source. Every site is different!</t>
        </r>
      </text>
    </comment>
  </commentList>
</comments>
</file>

<file path=xl/comments4.xml><?xml version="1.0" encoding="utf-8"?>
<comments xmlns="http://schemas.openxmlformats.org/spreadsheetml/2006/main">
  <authors>
    <author>Bartels, Jeff</author>
  </authors>
  <commentList>
    <comment ref="S15" authorId="0">
      <text>
        <r>
          <rPr>
            <b/>
            <sz val="9"/>
            <color indexed="81"/>
            <rFont val="Tahoma"/>
            <family val="2"/>
          </rPr>
          <t>Bartels, Jeff:</t>
        </r>
        <r>
          <rPr>
            <sz val="9"/>
            <color indexed="81"/>
            <rFont val="Tahoma"/>
            <family val="2"/>
          </rPr>
          <t xml:space="preserve">
Equation is based on the Industrial Refrigeration Energy Efficiency Guidebook.  Fan speed to the 0.55 power is equivalent to % capacity.  A 2.5 exponent relates fan speed to power.  A minimum % power of 10% is applied to not overstate savings.  
Note that these fans have very low static pressure requirements with no static pressure setpoint, simply a coil that has a squared relationship between flow and pressure loss.  The fan can go to very low speed and still have flow.</t>
        </r>
      </text>
    </comment>
    <comment ref="D16" authorId="0">
      <text>
        <r>
          <rPr>
            <b/>
            <sz val="9"/>
            <color indexed="81"/>
            <rFont val="Tahoma"/>
            <family val="2"/>
          </rPr>
          <t>Bartels, Jeff:</t>
        </r>
        <r>
          <rPr>
            <sz val="9"/>
            <color indexed="81"/>
            <rFont val="Tahoma"/>
            <family val="2"/>
          </rPr>
          <t xml:space="preserve">
Evaporators will have 1 to 10 fans ranging in size from &lt;1 hp to maybe 10 hp.  If more airflow is required, the number of fans increases, not necessarily the hp.</t>
        </r>
      </text>
    </comment>
    <comment ref="F16" authorId="0">
      <text>
        <r>
          <rPr>
            <b/>
            <sz val="9"/>
            <color indexed="81"/>
            <rFont val="Tahoma"/>
            <family val="2"/>
          </rPr>
          <t>Bartels, Jeff:</t>
        </r>
        <r>
          <rPr>
            <sz val="9"/>
            <color indexed="81"/>
            <rFont val="Tahoma"/>
            <family val="2"/>
          </rPr>
          <t xml:space="preserve">
For a 1-10 hp motor, efficiency will range from 85.5 to 91.7% for premium.  Assumed 91% as a conservative estimate.</t>
        </r>
      </text>
    </comment>
  </commentList>
</comments>
</file>

<file path=xl/comments5.xml><?xml version="1.0" encoding="utf-8"?>
<comments xmlns="http://schemas.openxmlformats.org/spreadsheetml/2006/main">
  <authors>
    <author>Bartels, Jeff</author>
    <author>dhusmann</author>
  </authors>
  <commentList>
    <comment ref="F18" authorId="0">
      <text>
        <r>
          <rPr>
            <b/>
            <sz val="9"/>
            <color indexed="81"/>
            <rFont val="Tahoma"/>
            <family val="2"/>
          </rPr>
          <t>Bartels, Jeff:</t>
        </r>
        <r>
          <rPr>
            <sz val="9"/>
            <color indexed="81"/>
            <rFont val="Tahoma"/>
            <family val="2"/>
          </rPr>
          <t xml:space="preserve">
any statistics on what fraction of systems have a VFD for trim? If so, we could apply some weighting to the type of compressor.
This applies to all CA calculators.
Diana:  Accorind to the CAC program (http://www.compressedairchallenge.org/library/evaluation/Evaluation.pdf), maybe 4 out of 100 program participants had improved compressor controls (which could include VSDs), so I say no weighting is necessary.</t>
        </r>
      </text>
    </comment>
    <comment ref="F42" authorId="0">
      <text>
        <r>
          <rPr>
            <b/>
            <sz val="9"/>
            <color indexed="81"/>
            <rFont val="Tahoma"/>
            <family val="2"/>
          </rPr>
          <t>Bartels, Jeff:</t>
        </r>
        <r>
          <rPr>
            <sz val="9"/>
            <color indexed="81"/>
            <rFont val="Tahoma"/>
            <family val="2"/>
          </rPr>
          <t xml:space="preserve">
see if any other programs have any values for % operating. This is pretty safe, but maybe others are claiming continuous blowoff.</t>
        </r>
      </text>
    </comment>
    <comment ref="F45" authorId="1">
      <text>
        <r>
          <rPr>
            <b/>
            <sz val="9"/>
            <color indexed="81"/>
            <rFont val="Tahoma"/>
            <family val="2"/>
          </rPr>
          <t>dhusmann:</t>
        </r>
        <r>
          <rPr>
            <sz val="9"/>
            <color indexed="81"/>
            <rFont val="Tahoma"/>
            <family val="2"/>
          </rPr>
          <t xml:space="preserve">
New York TRM confirms this number</t>
        </r>
      </text>
    </comment>
    <comment ref="F47" authorId="0">
      <text>
        <r>
          <rPr>
            <b/>
            <sz val="9"/>
            <color indexed="81"/>
            <rFont val="Tahoma"/>
            <family val="2"/>
          </rPr>
          <t>Bartels, Jeff:</t>
        </r>
        <r>
          <rPr>
            <sz val="9"/>
            <color indexed="81"/>
            <rFont val="Tahoma"/>
            <family val="2"/>
          </rPr>
          <t xml:space="preserve">
Compare this to other programs. 15 is very conservative, but I can see applications with as high as 
Diana: NY TRM uses 21.</t>
        </r>
      </text>
    </comment>
    <comment ref="F52" authorId="0">
      <text>
        <r>
          <rPr>
            <b/>
            <sz val="9"/>
            <color indexed="81"/>
            <rFont val="Tahoma"/>
            <family val="2"/>
          </rPr>
          <t>Bartels, Jeff:</t>
        </r>
        <r>
          <rPr>
            <sz val="9"/>
            <color indexed="81"/>
            <rFont val="Tahoma"/>
            <family val="2"/>
          </rPr>
          <t xml:space="preserve">
Savings from this measure vary depending on the application and selected nozzle.  Are the sources below good enough?
Sources:
Compressed Air Challenge Tipsheet #2
http://www.compressedairchallenge.org/library/tipsheets/tipsheet02.pdf
File shows a savings of 75% for installing nozzles on open blow guns.
Energy Savings in Compressed Air Systems (Book)
Air Power USA, Inc.
Page 8-3, Book states that compressed air consumption can be reduced by 50% or more.
Scales Industrial Technologies
http://www.scalesair.com/equipment/otherproducts/airknives/index.php
Website shows savings up to 70%
Exair Air Nozzles and Jets
http://airnozzles.info/jets_and_nozzles/ajan_page.htm
Website shows savings as much as 80%
Phase To Inc.
http://www.phaseto.com/Noise%20Control%20Spotlight%20-%20Acoustical%20Nozzles.htm
Website shows savings up to 50%
Diana:  I think these are good enough.</t>
        </r>
      </text>
    </comment>
    <comment ref="F56" authorId="0">
      <text>
        <r>
          <rPr>
            <b/>
            <sz val="9"/>
            <color indexed="81"/>
            <rFont val="Tahoma"/>
            <family val="2"/>
          </rPr>
          <t>Bartels, Jeff:</t>
        </r>
        <r>
          <rPr>
            <sz val="9"/>
            <color indexed="81"/>
            <rFont val="Tahoma"/>
            <family val="2"/>
          </rPr>
          <t xml:space="preserve">
Any sources. I know these cost $100, and $100 is really safe. But there are exceptions really cheap and expensive.
Decent source: http://www.airtx.com/
plus $20-$50 installation.
</t>
        </r>
      </text>
    </comment>
  </commentList>
</comments>
</file>

<file path=xl/comments6.xml><?xml version="1.0" encoding="utf-8"?>
<comments xmlns="http://schemas.openxmlformats.org/spreadsheetml/2006/main">
  <authors>
    <author>Bartels, Jeff</author>
  </authors>
  <commentList>
    <comment ref="G42" authorId="0">
      <text>
        <r>
          <rPr>
            <b/>
            <sz val="9"/>
            <color indexed="81"/>
            <rFont val="Tahoma"/>
            <family val="2"/>
          </rPr>
          <t>Bartels, Jeff:</t>
        </r>
        <r>
          <rPr>
            <sz val="9"/>
            <color indexed="81"/>
            <rFont val="Tahoma"/>
            <family val="2"/>
          </rPr>
          <t xml:space="preserve">
Valve will open for 5-30 seconds to push the moisture and water out of the line.</t>
        </r>
      </text>
    </comment>
    <comment ref="F43" authorId="0">
      <text>
        <r>
          <rPr>
            <b/>
            <sz val="9"/>
            <color indexed="81"/>
            <rFont val="Tahoma"/>
            <family val="2"/>
          </rPr>
          <t>Bartels, Jeff:</t>
        </r>
        <r>
          <rPr>
            <sz val="9"/>
            <color indexed="81"/>
            <rFont val="Tahoma"/>
            <family val="2"/>
          </rPr>
          <t xml:space="preserve">
Estimate based on cracked open valve.</t>
        </r>
      </text>
    </comment>
    <comment ref="G43" authorId="0">
      <text>
        <r>
          <rPr>
            <b/>
            <sz val="9"/>
            <color indexed="81"/>
            <rFont val="Tahoma"/>
            <family val="2"/>
          </rPr>
          <t>Bartels, Jeff:</t>
        </r>
        <r>
          <rPr>
            <sz val="9"/>
            <color indexed="81"/>
            <rFont val="Tahoma"/>
            <family val="2"/>
          </rPr>
          <t xml:space="preserve">
The valve will have an orifice of 1/4 to 3/8 inch in diameter, corresponding to a flow of 60-150 CFM @ 100 psig.  90 used for an approximation.  </t>
        </r>
      </text>
    </comment>
    <comment ref="F55" authorId="0">
      <text>
        <r>
          <rPr>
            <b/>
            <sz val="9"/>
            <color indexed="81"/>
            <rFont val="Tahoma"/>
            <family val="2"/>
          </rPr>
          <t>Bartels, Jeff:</t>
        </r>
        <r>
          <rPr>
            <sz val="9"/>
            <color indexed="81"/>
            <rFont val="Tahoma"/>
            <family val="2"/>
          </rPr>
          <t xml:space="preserve">
is this truly the ratio? From what I see in the field, it's pretty close</t>
        </r>
      </text>
    </comment>
  </commentList>
</comments>
</file>

<file path=xl/comments7.xml><?xml version="1.0" encoding="utf-8"?>
<comments xmlns="http://schemas.openxmlformats.org/spreadsheetml/2006/main">
  <authors>
    <author>Bartels, Jeff</author>
  </authors>
  <commentList>
    <comment ref="G43" authorId="0">
      <text>
        <r>
          <rPr>
            <b/>
            <sz val="9"/>
            <color indexed="81"/>
            <rFont val="Tahoma"/>
            <family val="2"/>
          </rPr>
          <t>Bartels, Jeff:</t>
        </r>
        <r>
          <rPr>
            <sz val="9"/>
            <color indexed="81"/>
            <rFont val="Tahoma"/>
            <family val="2"/>
          </rPr>
          <t xml:space="preserve">
investigate this comment
Diana:  The DOE (http://www1.eere.energy.gov/manufacturing/tech_deployment/pdfs/compressed_air14.pdf) says no more than 3 psi.  The CAC says no more than 2-3 psi.
Washington State, Rhode Island, and Connecticut require the low pressure drop filter to be 1 psi or less.</t>
        </r>
      </text>
    </comment>
  </commentList>
</comments>
</file>

<file path=xl/comments8.xml><?xml version="1.0" encoding="utf-8"?>
<comments xmlns="http://schemas.openxmlformats.org/spreadsheetml/2006/main">
  <authors>
    <author>Bartels, Jeff</author>
  </authors>
  <commentList>
    <comment ref="D15" authorId="0">
      <text>
        <r>
          <rPr>
            <b/>
            <sz val="9"/>
            <color indexed="81"/>
            <rFont val="Tahoma"/>
            <family val="2"/>
          </rPr>
          <t>Bartels, Jeff:</t>
        </r>
        <r>
          <rPr>
            <sz val="9"/>
            <color indexed="81"/>
            <rFont val="Tahoma"/>
            <family val="2"/>
          </rPr>
          <t xml:space="preserve">
look into average size dryers, etc.
Diana: This seems large, because the CLC has calculations for air dryers rangine from less than 100 CFM to more than 400.  Consumers Energy has prescriptive incentives up to 600 CFM only.
Jeff and I think that having the incentive/CFM will make this a non-issue.</t>
        </r>
      </text>
    </comment>
    <comment ref="E27" authorId="0">
      <text>
        <r>
          <rPr>
            <b/>
            <sz val="9"/>
            <color indexed="81"/>
            <rFont val="Tahoma"/>
            <family val="2"/>
          </rPr>
          <t>Bartels, Jeff:</t>
        </r>
        <r>
          <rPr>
            <sz val="9"/>
            <color indexed="81"/>
            <rFont val="Tahoma"/>
            <family val="2"/>
          </rPr>
          <t xml:space="preserve">
any other sources, studies?
Diana:  HeatSink (http://www.glauber.com/Products/Compressors/zeks/zeks1/zeks2) recommends 0.24.  I feel like these sites are inclined to report lower numbers though.</t>
        </r>
      </text>
    </comment>
    <comment ref="D38" authorId="0">
      <text>
        <r>
          <rPr>
            <b/>
            <sz val="9"/>
            <color indexed="81"/>
            <rFont val="Tahoma"/>
            <family val="2"/>
          </rPr>
          <t>Bartels, Jeff:</t>
        </r>
        <r>
          <rPr>
            <sz val="9"/>
            <color indexed="81"/>
            <rFont val="Tahoma"/>
            <family val="2"/>
          </rPr>
          <t xml:space="preserve">
Is this cost okay? I know it is real. The incremental cost is a LOT less, more like $3,000 for this size machine. Are we doing incremental or full?</t>
        </r>
      </text>
    </comment>
  </commentList>
</comments>
</file>

<file path=xl/sharedStrings.xml><?xml version="1.0" encoding="utf-8"?>
<sst xmlns="http://schemas.openxmlformats.org/spreadsheetml/2006/main" count="987" uniqueCount="424">
  <si>
    <t>Data for Appendix Summary</t>
  </si>
  <si>
    <t>ECM Name</t>
  </si>
  <si>
    <t>Peak Summer kW</t>
  </si>
  <si>
    <t>Electricity [kWh]</t>
  </si>
  <si>
    <t>Natural Gas [therms]</t>
  </si>
  <si>
    <t>Electricity [$]</t>
  </si>
  <si>
    <t>Natural Gas [$]</t>
  </si>
  <si>
    <t>Estimated Installed Cost</t>
  </si>
  <si>
    <t>Prescriptive Rebate (Leave Blank if N/A)</t>
  </si>
  <si>
    <t>Lookup Table</t>
  </si>
  <si>
    <t>MBH Base</t>
  </si>
  <si>
    <t>R-717 Rated Tons</t>
  </si>
  <si>
    <t>Measure:</t>
  </si>
  <si>
    <t>Install Variable Speed Drives on Evaporative Condenser Fans</t>
  </si>
  <si>
    <t xml:space="preserve">Description:  </t>
  </si>
  <si>
    <t>Change from on-off cycling of fan for capacity control to VFD drive</t>
  </si>
  <si>
    <t>Cost Data</t>
  </si>
  <si>
    <t>2012 RS Means Mechanical</t>
  </si>
  <si>
    <t>Specifications, Assumptions, and Formulas</t>
  </si>
  <si>
    <t>Weather Data</t>
  </si>
  <si>
    <t>Tons of Cooling (tons)</t>
  </si>
  <si>
    <t>SCT (F)</t>
  </si>
  <si>
    <t>Heat Rejection Cap. Factor</t>
  </si>
  <si>
    <t>Cooling Tower Capacity (tons)</t>
  </si>
  <si>
    <t>Tower Part Load Ratio</t>
  </si>
  <si>
    <t>Existing On-off Operation</t>
  </si>
  <si>
    <t>Proposed VFD Operation</t>
  </si>
  <si>
    <t>VFD HP</t>
  </si>
  <si>
    <t>Cost (Incl O&amp;P)</t>
  </si>
  <si>
    <t xml:space="preserve">Warning - if they currently have two-speed fan control, savings may be significantly less.  VFD savings can be very low if they already have 2-speed operation.
Calculation heat rejection factors are based on R717 (ammonia).  If other refrigerants are used, a different lookup table will be required.  </t>
  </si>
  <si>
    <t>Evaporative Condenser Fan Inventory</t>
  </si>
  <si>
    <t>Horsepower</t>
  </si>
  <si>
    <t>Estimated Load Factor</t>
  </si>
  <si>
    <t>Efficiency</t>
  </si>
  <si>
    <t>Power (kW)</t>
  </si>
  <si>
    <t>On-off Power Ratio</t>
  </si>
  <si>
    <t>Avg. kW</t>
  </si>
  <si>
    <t>Consumption (kWh)</t>
  </si>
  <si>
    <t>VFD Power Ratio</t>
  </si>
  <si>
    <t>kW Reduction</t>
  </si>
  <si>
    <t>DB Temperature BIN</t>
  </si>
  <si>
    <t>Occupied</t>
  </si>
  <si>
    <t>Unoccupied</t>
  </si>
  <si>
    <t>Total</t>
  </si>
  <si>
    <t>MCWB</t>
  </si>
  <si>
    <t>OA</t>
  </si>
  <si>
    <t>-</t>
  </si>
  <si>
    <t>Total:</t>
  </si>
  <si>
    <t>Total Evaporative Condenser Base Heat Rejection (MBH)</t>
  </si>
  <si>
    <t>Current Operation</t>
  </si>
  <si>
    <t>Estimated cooling load varies linearly with outside air temperature as follows:</t>
  </si>
  <si>
    <t>You can enter either MBH Base or R-717 Rated Tons for the evaporative condenser size.
Calculations assume a 75% adiabatic efficiency compressors.  This is fairly accurate - most will be between 65% (reciprocating) and 80% (fully loaded screw).</t>
  </si>
  <si>
    <t xml:space="preserve">tons of cooling load at </t>
  </si>
  <si>
    <r>
      <rPr>
        <sz val="10"/>
        <rFont val="Calibri"/>
        <family val="2"/>
      </rPr>
      <t>°</t>
    </r>
    <r>
      <rPr>
        <sz val="10"/>
        <rFont val="Arial"/>
        <family val="2"/>
      </rPr>
      <t>F and higher</t>
    </r>
  </si>
  <si>
    <r>
      <rPr>
        <sz val="10"/>
        <rFont val="Calibri"/>
        <family val="2"/>
      </rPr>
      <t>°</t>
    </r>
    <r>
      <rPr>
        <sz val="10"/>
        <rFont val="Arial"/>
        <family val="2"/>
      </rPr>
      <t>F and lower</t>
    </r>
  </si>
  <si>
    <t>Cooling Tower Approach Temperature (F)</t>
  </si>
  <si>
    <t>Estimate</t>
  </si>
  <si>
    <t>Minimum Condensing Temperature (F)</t>
  </si>
  <si>
    <t>Approximate based on existing pressure setpoint of about 150 psig</t>
  </si>
  <si>
    <t>VFD Efficiency</t>
  </si>
  <si>
    <t>Cost Estimate</t>
  </si>
  <si>
    <t>VFD hp</t>
  </si>
  <si>
    <t>Each</t>
  </si>
  <si>
    <t>Total Cost</t>
  </si>
  <si>
    <t>Total Estimated Equipment and Installation Cost:</t>
  </si>
  <si>
    <t>Total Hours</t>
  </si>
  <si>
    <t>Occ. Hours: 0:00-24:00 M-F 0:00-24:00 Sat., and 0:00-24:00 Sun.</t>
  </si>
  <si>
    <t>Summary</t>
  </si>
  <si>
    <t xml:space="preserve">VFD Savings </t>
  </si>
  <si>
    <t>Peak kW Reduction</t>
  </si>
  <si>
    <t>Annual kWh Reduction</t>
  </si>
  <si>
    <t>Annual Cost Reduction</t>
  </si>
  <si>
    <t>Total Installed Cost</t>
  </si>
  <si>
    <t>Simple Payback</t>
  </si>
  <si>
    <t>See Industrial Refrigeration Energy Efficiency Guidebook for formulas and relations</t>
  </si>
  <si>
    <t>Paste these cells into the Bill Calculator:</t>
  </si>
  <si>
    <t>Month</t>
  </si>
  <si>
    <t>kWh Reduction</t>
  </si>
  <si>
    <t>% On Peak</t>
  </si>
  <si>
    <t>weighting</t>
  </si>
  <si>
    <t xml:space="preserve">Note, the peak is set for the max temperature in the month.  At cooler temperatures, the refrigeration facility won't be at peak load. </t>
  </si>
  <si>
    <t>Jan</t>
  </si>
  <si>
    <t>Feb</t>
  </si>
  <si>
    <t>Mar</t>
  </si>
  <si>
    <t>Apr</t>
  </si>
  <si>
    <t>May</t>
  </si>
  <si>
    <t>Jun</t>
  </si>
  <si>
    <t>Jul</t>
  </si>
  <si>
    <t>Aug</t>
  </si>
  <si>
    <t>Sep</t>
  </si>
  <si>
    <t>Oct</t>
  </si>
  <si>
    <t>Nov</t>
  </si>
  <si>
    <t>Dec</t>
  </si>
  <si>
    <t>Measure Text</t>
  </si>
  <si>
    <t>Table is based on standard evaporator capacity factors.  This particular table is from the BAC Product and Application Handbook, Volume III , page G28.  All condensers have very similar curves.  The specific curve for the tower would be best, but the error in approximating existing loads is far more significant than the error in this table.  This also assumes no scale and "like new" performance, which may not be the case.</t>
  </si>
  <si>
    <t>Condensing Pressure (psig)</t>
  </si>
  <si>
    <t>Condensing Temp (F)</t>
  </si>
  <si>
    <t>Entering Wet Bulb Temperature (F)</t>
  </si>
  <si>
    <t>R-717</t>
  </si>
  <si>
    <t>Lookup Column</t>
  </si>
  <si>
    <t>Added column - basically if the condensing temp is below 80, assume the tower performs like it is 80 (conservative)</t>
  </si>
  <si>
    <t>Rated R717 Conditions, 20F Suction</t>
  </si>
  <si>
    <t>Source</t>
  </si>
  <si>
    <t>Implementation Cost ($/unit)</t>
  </si>
  <si>
    <t>Measure Life</t>
  </si>
  <si>
    <t>Install VFD on Evaporative Condenser Fan</t>
  </si>
  <si>
    <t>The evaporative condenser currently has a single-speed fan with on-off operation to maintain condensing temperature</t>
  </si>
  <si>
    <t>Key Assumptions for Deemed Savings Calculations</t>
  </si>
  <si>
    <t>The condenser is designed for 95F peak condensing temperature</t>
  </si>
  <si>
    <t>Model</t>
  </si>
  <si>
    <t>Pump</t>
  </si>
  <si>
    <t>Reference Evaporative Condenser fan size versus rated heat rejection.  From Baltimore AirCoil for the VCA models.</t>
  </si>
  <si>
    <t>Base Heat Rejection Method (MBH)</t>
  </si>
  <si>
    <t>Fan hp</t>
  </si>
  <si>
    <t>MBH/hp</t>
  </si>
  <si>
    <t>Average MBH/hp</t>
  </si>
  <si>
    <t>StDev</t>
  </si>
  <si>
    <t>Generic Evaporative Condenser</t>
  </si>
  <si>
    <t>TMY3 Dry Bulb BIN Data for CHICAGO OHARE INTL AP</t>
  </si>
  <si>
    <t>The refrigeration system operates 24/7</t>
  </si>
  <si>
    <t>The load somewhat varies based on outdoor temperature, although there is significant base load due to the freezers or processes in the space</t>
  </si>
  <si>
    <t>Assumed value</t>
  </si>
  <si>
    <t>$/hp</t>
  </si>
  <si>
    <t>Average $/hp</t>
  </si>
  <si>
    <t>NA</t>
  </si>
  <si>
    <t>Deemed Savings (kWh/yr/hp)</t>
  </si>
  <si>
    <t>Using PJM method at 84F</t>
  </si>
  <si>
    <t>PJM Method at 84F</t>
  </si>
  <si>
    <t>15 years</t>
  </si>
  <si>
    <t>Programming Cost</t>
  </si>
  <si>
    <t>RS Means</t>
  </si>
  <si>
    <t>Assumed</t>
  </si>
  <si>
    <t>A cooling tower has a capacity exponent of 0.95, meaning at part load it has more cooling surface per ton of cooling, allowing for more efficient operation.</t>
  </si>
  <si>
    <t>A fan has a capacity exponent of 3 from the affinity laws.  The affinity laws work closely here since the system curve changes with varying flow</t>
  </si>
  <si>
    <t xml:space="preserve">The industrial refrigeration guidebook gives a capacity exponent of 3.95 for fan power.  </t>
  </si>
  <si>
    <t>As a more conservative estimate, an exponent of 3 is used in this calculator.</t>
  </si>
  <si>
    <t>Install Variable Speed Drives on Cooling Tower Fans</t>
  </si>
  <si>
    <t>% Capacity</t>
  </si>
  <si>
    <t>Existing</t>
  </si>
  <si>
    <t>Proposed</t>
  </si>
  <si>
    <t>Cooling Tower Fan Inventory</t>
  </si>
  <si>
    <t>Cooling tower fans are turned off below:</t>
  </si>
  <si>
    <r>
      <rPr>
        <sz val="10"/>
        <rFont val="Calibri"/>
        <family val="2"/>
      </rPr>
      <t>°</t>
    </r>
    <r>
      <rPr>
        <sz val="10"/>
        <rFont val="Arial"/>
        <family val="2"/>
      </rPr>
      <t xml:space="preserve">F </t>
    </r>
  </si>
  <si>
    <t>of design demand, at</t>
  </si>
  <si>
    <t>Install VFD on Cooling Tower Fan</t>
  </si>
  <si>
    <t>Only reviewing costs through 30 hp.  Larger cooling towers likely have multiple fans of this size unless dealing with very large industrial or power plant systems not applicable to this measure.</t>
  </si>
  <si>
    <t>Generic Cooling Tower</t>
  </si>
  <si>
    <t>Install Variable Speed Drives on Process Pumps</t>
  </si>
  <si>
    <t>Measure: Install Variable Speed Drives on Process Pumps</t>
  </si>
  <si>
    <t>Totals</t>
  </si>
  <si>
    <t>Pump hp</t>
  </si>
  <si>
    <t>Load Factor</t>
  </si>
  <si>
    <t>Motor Efficiency</t>
  </si>
  <si>
    <t>Pump kW</t>
  </si>
  <si>
    <t>Annual Hours</t>
  </si>
  <si>
    <t>VFD Pump Operation</t>
  </si>
  <si>
    <t>Peak kW</t>
  </si>
  <si>
    <t>Average kW</t>
  </si>
  <si>
    <t>Average kW Reduction</t>
  </si>
  <si>
    <t>VFD Cost (RS Means)</t>
  </si>
  <si>
    <t>VFD Operation Estimates and Calculations</t>
  </si>
  <si>
    <t>Operates between 40% and 90% throughout year</t>
  </si>
  <si>
    <t>Hours @ Speed</t>
  </si>
  <si>
    <t>Assumed to be equally distributed</t>
  </si>
  <si>
    <t>VFD kW Fraction</t>
  </si>
  <si>
    <t>Weighted VFD kW Power</t>
  </si>
  <si>
    <t>Total kW Reduction</t>
  </si>
  <si>
    <t>Total kWh Reduction</t>
  </si>
  <si>
    <t>Estimated Cost</t>
  </si>
  <si>
    <t>Annual Cost Savings</t>
  </si>
  <si>
    <t>The distribution of fan sizes is equal across all considered fan sizes (for cost purposes)</t>
  </si>
  <si>
    <t>The evaporative cooling tower baseline condition has a single-speed fan with on-off operation to maintain condensing temperature</t>
  </si>
  <si>
    <t>The cooling load occurs 24/7</t>
  </si>
  <si>
    <t>Estimated cooling tower load varies linearly with outside air temperature as follows:</t>
  </si>
  <si>
    <t>The cooling tower load varies based on outdoor temperature since the tower has a higher differential between cooling water and ambient temperature during cold periods</t>
  </si>
  <si>
    <t>The evaporative condenser baseline condition has a single-speed fan with on-off operation to maintain condensing temperature</t>
  </si>
  <si>
    <t>Generic Process Pump</t>
  </si>
  <si>
    <t>% of Full Flow</t>
  </si>
  <si>
    <t>Linear relation due to process pumping and pressure requirements</t>
  </si>
  <si>
    <t xml:space="preserve">Programming Cost </t>
  </si>
  <si>
    <t>Penalty assuming peak flow during peak demand conditions (conservative)</t>
  </si>
  <si>
    <t>Deemed Savings (kW/hp)</t>
  </si>
  <si>
    <t>Install VFD on Process Cooling Pump</t>
  </si>
  <si>
    <t>Confidence (1-10, 10 highest)</t>
  </si>
  <si>
    <t>Part load relations at constant load for a cooling tower could be developed.</t>
  </si>
  <si>
    <t>What is the process and how does it vary?</t>
  </si>
  <si>
    <t>Conficence description</t>
  </si>
  <si>
    <t>Install Variable Speed Drives on Ventilation Fans</t>
  </si>
  <si>
    <t>Fan Inventory</t>
  </si>
  <si>
    <t>Existing Peak kW</t>
  </si>
  <si>
    <t>Existing Annual kWh</t>
  </si>
  <si>
    <t>For help on input variables, please see the help files located here:</t>
  </si>
  <si>
    <t>Q:\Common Files\Tech Resources\Calculators\00 Calculation Guides</t>
  </si>
  <si>
    <t xml:space="preserve">Recommended Operation:   </t>
  </si>
  <si>
    <t>Variable Speed Drive</t>
  </si>
  <si>
    <t xml:space="preserve">VFD Efficiency:  </t>
  </si>
  <si>
    <r>
      <rPr>
        <sz val="10"/>
        <rFont val="Calibri"/>
        <family val="2"/>
      </rPr>
      <t>°</t>
    </r>
    <r>
      <rPr>
        <sz val="11"/>
        <color theme="1"/>
        <rFont val="Calibri"/>
        <family val="2"/>
        <scheme val="minor"/>
      </rPr>
      <t>F and higher</t>
    </r>
  </si>
  <si>
    <r>
      <rPr>
        <sz val="10"/>
        <rFont val="Calibri"/>
        <family val="2"/>
      </rPr>
      <t>°</t>
    </r>
    <r>
      <rPr>
        <sz val="11"/>
        <color theme="1"/>
        <rFont val="Calibri"/>
        <family val="2"/>
        <scheme val="minor"/>
      </rPr>
      <t>F and lower</t>
    </r>
  </si>
  <si>
    <t>VFD Installed Cost</t>
  </si>
  <si>
    <t xml:space="preserve">kWh weighting </t>
  </si>
  <si>
    <t>Esisting Operation:</t>
  </si>
  <si>
    <t>On-off Control</t>
  </si>
  <si>
    <t>The evaporator baseline is assumed to be a single speed evaporator motor with on-off thermostat control for the space</t>
  </si>
  <si>
    <t>Estimate evaporator load varies linearly with outside air temperature as follows:</t>
  </si>
  <si>
    <t>Existing Evaporator Load</t>
  </si>
  <si>
    <t>Existing Average kW</t>
  </si>
  <si>
    <t xml:space="preserve">System Operation: </t>
  </si>
  <si>
    <t>Space Refrigerated at all times</t>
  </si>
  <si>
    <t>VFD % Power</t>
  </si>
  <si>
    <t>VFD Peak &amp; Avg. kW</t>
  </si>
  <si>
    <t>Proposed Annual kWh</t>
  </si>
  <si>
    <t>Only reviewing costs through 10 hp.  Most larger evaporators have multiple fans, not larger motors.</t>
  </si>
  <si>
    <t>Existing and proposed operation are based on relations given in the Industrial Refrigeration Energy Efficiency Guidebook.</t>
  </si>
  <si>
    <t>Generic Evap Fan VFD</t>
  </si>
  <si>
    <t>Programming</t>
  </si>
  <si>
    <t>Install VFD on Evaporator Fans</t>
  </si>
  <si>
    <t>Install High-Efficiency Air Nozzles</t>
  </si>
  <si>
    <t>Compressor Information</t>
  </si>
  <si>
    <t>Notes</t>
  </si>
  <si>
    <t xml:space="preserve">The compressor entered here should be the compressor that sees the reduction in demand.  For example, if there are 3 compressors base-loaded and 1 compressor that is trim, you would enter the trim compressor since the other compressors would not be impacted by changes in use.  </t>
  </si>
  <si>
    <t>Compressor Name/Description</t>
  </si>
  <si>
    <t>Operation curves and load/unload penalty are from the Compressed Air Challenge</t>
  </si>
  <si>
    <t>Manufacturer</t>
  </si>
  <si>
    <t>Type - Control</t>
  </si>
  <si>
    <t xml:space="preserve"> Compressor Operation Curves</t>
  </si>
  <si>
    <t>Load Unload Penalty</t>
  </si>
  <si>
    <t>0-40% Load Curve (y=mx+b)</t>
  </si>
  <si>
    <t>40-100% Load Curve (y=mx+b)</t>
  </si>
  <si>
    <t>% Load</t>
  </si>
  <si>
    <t>Nominal Compressor hp</t>
  </si>
  <si>
    <t>m</t>
  </si>
  <si>
    <t>b</t>
  </si>
  <si>
    <t xml:space="preserve">m </t>
  </si>
  <si>
    <t>Row</t>
  </si>
  <si>
    <t xml:space="preserve">Note that for extremely large reductions in demand that result in a compressor being turned off, a different calculation method would be required.  For such a measures, consider the actual pre and post loading of all compressors involved in a separate calculator. </t>
  </si>
  <si>
    <t>Rated Flow (CFM)</t>
  </si>
  <si>
    <t>Reciprocating - On/off Control</t>
  </si>
  <si>
    <t>Gal/CFM</t>
  </si>
  <si>
    <t>Compressor Shaft bhp</t>
  </si>
  <si>
    <t>Reciprocating - Load/Unload</t>
  </si>
  <si>
    <t>same as ratio of 1</t>
  </si>
  <si>
    <t>Pressure at Rated Flow (psig)</t>
  </si>
  <si>
    <t>Screw - Load/Unload</t>
  </si>
  <si>
    <t>&amp; penalty</t>
  </si>
  <si>
    <t>Screw - Inlet Modulation</t>
  </si>
  <si>
    <t>average</t>
  </si>
  <si>
    <t>VFD Efficiency (if applicable)</t>
  </si>
  <si>
    <t>Screw - Inlet Modulation w/ Unloading</t>
  </si>
  <si>
    <t>Motor Load Factor</t>
  </si>
  <si>
    <t>Screw - Variable Displacement</t>
  </si>
  <si>
    <t>Package input power is a key parameter.  It is either calculated from the compressor shaft bhp, or calculated based on the estimated load factor of the compressor.  Many times compressor manufacturers will indicated package input power for new compressors, in which case the package input power can be overwritten with the manufacturer supplied value (with notes to the side).</t>
  </si>
  <si>
    <t>Package Input Power (kW)</t>
  </si>
  <si>
    <t>Screw - VFD</t>
  </si>
  <si>
    <t>System Storage (gallons)</t>
  </si>
  <si>
    <t>System Pressure</t>
  </si>
  <si>
    <t>For the above compressors, Screw - Inlet Modulation machines are assumed to have no peak impact.  These machines have little variance.</t>
  </si>
  <si>
    <t>Compressor Design Efficacy (CFM/kW)</t>
  </si>
  <si>
    <t>For reference</t>
  </si>
  <si>
    <t>Compressor Operating Efficacy (CFM/kW)</t>
  </si>
  <si>
    <t xml:space="preserve">Adjusted from rated conditions based on actual operating pressure. </t>
  </si>
  <si>
    <t>System Power Reduction per Reduced Air Demand (kW/CFM)</t>
  </si>
  <si>
    <t>Calculated based on the type of compressor control.  This assumes the compressor will be between 40% and 100% capacity before and after the changes to the system demand.</t>
  </si>
  <si>
    <t>Compressor Adjusted Capacity (CFM)</t>
  </si>
  <si>
    <t>http://www.chreed.com/help_pages/quincy_sizing_formulas.htm</t>
  </si>
  <si>
    <t>Compressor Adjusted Power (kW)</t>
  </si>
  <si>
    <t>Based on 1% savings per 2 psig reduction in CA pressure</t>
  </si>
  <si>
    <t>Penalty</t>
  </si>
  <si>
    <t>If possible, try to look up the CAGI data sheets for the compressor(s).  They are usually available and contain many key parameters useful for this analysis.  They are available here:</t>
  </si>
  <si>
    <t xml:space="preserve">Compressed Air System Pressurized Hours </t>
  </si>
  <si>
    <t>Type of Opening</t>
  </si>
  <si>
    <t>Coefficient of Flow</t>
  </si>
  <si>
    <t>Existing Air Nozzle Operation</t>
  </si>
  <si>
    <t>Well Rounded</t>
  </si>
  <si>
    <t>Location/Process</t>
  </si>
  <si>
    <t xml:space="preserve">Sharp Edged </t>
  </si>
  <si>
    <t>Annual Operating Hours</t>
  </si>
  <si>
    <t>Blow-off Pressure (psig)</t>
  </si>
  <si>
    <t>Blow-off Type</t>
  </si>
  <si>
    <t>Cycle Time (seconds)</t>
  </si>
  <si>
    <t>Blow-off Time per Cycle (seconds)</t>
  </si>
  <si>
    <t>http://www.cagi.org/verification/ea_sheets.htm</t>
  </si>
  <si>
    <t>Number of Nozzles</t>
  </si>
  <si>
    <t>Nozzle Inside Diameter (inches)</t>
  </si>
  <si>
    <t>Calculation assumes an atmospheric pressure of 14.5 psia.  This should be reasonable for most applications.  Also, the equation has other inaccuracies that are more significant.</t>
  </si>
  <si>
    <t>Air Flow through Each Nozzle (CFM)</t>
  </si>
  <si>
    <t>Air Flow through All Nozzles (CFM)</t>
  </si>
  <si>
    <t>See this guide to estimate flow through an orifice.</t>
  </si>
  <si>
    <t>Average Flow of Air Loss (CFM)</t>
  </si>
  <si>
    <t>http://www.energystar.gov/ia/business/industry/compressed_air3.pdf</t>
  </si>
  <si>
    <t>High-Efficiency Air Nozzle Operation</t>
  </si>
  <si>
    <t>Energy Savings (%)</t>
  </si>
  <si>
    <t>Reduced Air Consumption (CFM)</t>
  </si>
  <si>
    <t>Reduced Peak Demand (kW)</t>
  </si>
  <si>
    <t>Reduced Energy Consumption (kWh)</t>
  </si>
  <si>
    <t>Cost per Nozzle</t>
  </si>
  <si>
    <t>Description of Input Parameters</t>
  </si>
  <si>
    <t>Annual Energy Savings (kWh)</t>
  </si>
  <si>
    <t>Peak Demand Savings (kW)</t>
  </si>
  <si>
    <t>% on peak</t>
  </si>
  <si>
    <t>Generic Compressor</t>
  </si>
  <si>
    <t>Inlet modulation with unloading as a conservative estimate. A VFD compressor would provide more savings for such an application</t>
  </si>
  <si>
    <t>100 hp nominal</t>
  </si>
  <si>
    <t>Compressor is based on a 100 hp nominal, oil flooded, single-stage, air-cooled, rotary screw machine</t>
  </si>
  <si>
    <t>Compressor performance based on CAGI datasheets.  Ingersoll Rand R75I-A110 used for reference.</t>
  </si>
  <si>
    <t>Assumed 2 gal/CFM, although this value is not relevant unless load-unload compressor control is selected.</t>
  </si>
  <si>
    <t xml:space="preserve">Assumed 100 psig.  90 psig required by most end uses, so the compressor is at least 5-10 psig higher to account for pressure losses and to allow a storage buffer for demand events.  </t>
  </si>
  <si>
    <t>Generic Blowoff</t>
  </si>
  <si>
    <t>Continuous</t>
  </si>
  <si>
    <t>Intermittent</t>
  </si>
  <si>
    <t>Assumed 30% utilization factor for the blowoff application. This will vary since hand-operated blow-off applications could have a very low percentage, and continuous applications on an assembly line may be at 100% utilization.  Compressed air nozzle flow conservatively estimated at 15 CFM.  Many generic nozzles have flow of such rating.  Savings are roughly 50% for an upgrade, although the value varies depending on the actual application.</t>
  </si>
  <si>
    <t>Cost is approximate</t>
  </si>
  <si>
    <t>Deemed Savings (kWh/yr/nozzle)</t>
  </si>
  <si>
    <t>Deemed Savings (kW/nozzle)</t>
  </si>
  <si>
    <t>10 Years</t>
  </si>
  <si>
    <t>There are a lot of variables that come into play.  Savings could be MUCH more or much less.</t>
  </si>
  <si>
    <t>Install No-loss Condensate Drain Valves</t>
  </si>
  <si>
    <t>Existing Condensate Drains</t>
  </si>
  <si>
    <t>Location</t>
  </si>
  <si>
    <t>Type</t>
  </si>
  <si>
    <t>Quantity</t>
  </si>
  <si>
    <t>Time Between Valve Cycling (seconds)</t>
  </si>
  <si>
    <t>Valve Open Time (seconds)</t>
  </si>
  <si>
    <t>Flow through Open Drain (CFM)</t>
  </si>
  <si>
    <t>Average CFM Flow per Drain</t>
  </si>
  <si>
    <t>Total Air Consumption (CFM)</t>
  </si>
  <si>
    <t>Proposed No-loss Condensate Drains</t>
  </si>
  <si>
    <t>Cost per No-loss Drain</t>
  </si>
  <si>
    <t>Cracked Open Valve</t>
  </si>
  <si>
    <t>Timer Drain Valve</t>
  </si>
  <si>
    <t>Timer Drain</t>
  </si>
  <si>
    <t>Deemed Savings (kWh/yr/drain)</t>
  </si>
  <si>
    <t>Deemed Savings (kW/drain)</t>
  </si>
  <si>
    <t>Cost based on example projects from ComEd CA program.
Savings based on a 3 to 1 ratio of timer drains to cracked valves</t>
  </si>
  <si>
    <t>Some uncertainty about actual timer settings and ratio of cracked to timer valves.</t>
  </si>
  <si>
    <t>Reduce Compressed Air System Pressure</t>
  </si>
  <si>
    <t>Compressor Operating Hours</t>
  </si>
  <si>
    <t>Peak Demand Operation</t>
  </si>
  <si>
    <t>Compressor % Capacity</t>
  </si>
  <si>
    <t>Compressor Power (kW)</t>
  </si>
  <si>
    <t>Adjusted based on compressor loading and operating pressure</t>
  </si>
  <si>
    <t>Compressor Energy Use (kWh)</t>
  </si>
  <si>
    <t>Calculated</t>
  </si>
  <si>
    <t>Existing System Operation</t>
  </si>
  <si>
    <t>System Pressure (psig)</t>
  </si>
  <si>
    <t>Peak Demand (kW)</t>
  </si>
  <si>
    <t>Calculated from entries above</t>
  </si>
  <si>
    <t>Annual Energy Use (kWh)</t>
  </si>
  <si>
    <t>Proposed Operation</t>
  </si>
  <si>
    <t>Calculated based on 1% reduction in power per 2 psi reduction in system pressure</t>
  </si>
  <si>
    <t>Calculated based on 1% reduction in energy consumption per 2 psi reduction in system pressure</t>
  </si>
  <si>
    <t>Baseline Energy Use (kWh)</t>
  </si>
  <si>
    <t>Upgrade Energy Use (kWh)</t>
  </si>
  <si>
    <t xml:space="preserve">Savings % </t>
  </si>
  <si>
    <t>Operates On-peak</t>
  </si>
  <si>
    <t>Assumed not at full load all of the time</t>
  </si>
  <si>
    <t>Current operation with high pressure loss filter</t>
  </si>
  <si>
    <t>Reduced Filter Loss (psi)</t>
  </si>
  <si>
    <t>New System Pressure (psig)</t>
  </si>
  <si>
    <t>Pressure will be reduced from a roughly 3 psi pressure drop through a filter to less than 1 psi, for a 2 psi savings.</t>
  </si>
  <si>
    <t>Calc.</t>
  </si>
  <si>
    <t>No source - simply an estimate based on knowledge of systems</t>
  </si>
  <si>
    <t>Element should be replaced as required to sustain low pressure drop.  New type of filter will remain in place for many years.</t>
  </si>
  <si>
    <t>5 years</t>
  </si>
  <si>
    <t>Deemed Savings (kWh/yr/Compressor hp)</t>
  </si>
  <si>
    <t>Deemed Savings (kW/Compressor hp)</t>
  </si>
  <si>
    <t xml:space="preserve">Some uncertainty about pressure loss through filters.  </t>
  </si>
  <si>
    <t>Install No-loss Condensate Drains</t>
  </si>
  <si>
    <t>Install Low Pressure Drop Filter</t>
  </si>
  <si>
    <t xml:space="preserve"> …And reduce system pressure</t>
  </si>
  <si>
    <t>Cycling Dryer Calculations</t>
  </si>
  <si>
    <t>Calculations are based on Zeks cycling dryer savings calculations and factors</t>
  </si>
  <si>
    <t>Dryer Rated kW</t>
  </si>
  <si>
    <t>Non Cycling Dryer Operation</t>
  </si>
  <si>
    <t>Reference calculations based on 1,000 CFM cycling dryer (air cooled) assuming it is properly sized with the correct adjustments for operating conditions</t>
  </si>
  <si>
    <t>Zeks 1000 NCF</t>
  </si>
  <si>
    <t>Zeks 1000 HSF</t>
  </si>
  <si>
    <t>Operating Hours</t>
  </si>
  <si>
    <t>Dryer operates continuously</t>
  </si>
  <si>
    <t xml:space="preserve">Refrigerated dryers are rarely shut off. </t>
  </si>
  <si>
    <t>Annual Energy Consumption (kWh/yr)</t>
  </si>
  <si>
    <t>Cycling Dryer Operation</t>
  </si>
  <si>
    <t>Compressed Air Load Description</t>
  </si>
  <si>
    <t>Compressed Air System Operating Hours</t>
  </si>
  <si>
    <t>Average % Flow</t>
  </si>
  <si>
    <t>Assumed dryer is not at full flow at all times, although near full flow for a conservative estimate</t>
  </si>
  <si>
    <t>Flow Factor</t>
  </si>
  <si>
    <t>Operating Hours Factor</t>
  </si>
  <si>
    <t>Ambient Temperature Factor</t>
  </si>
  <si>
    <t>Based on operating at 70% flow</t>
  </si>
  <si>
    <t>Based on only operating loaded 6,000 out of 8,760 hours</t>
  </si>
  <si>
    <t>Dryer Utilization Factor</t>
  </si>
  <si>
    <t>Dryer Inlet Pressure (psig)</t>
  </si>
  <si>
    <t>Average Dryer kW</t>
  </si>
  <si>
    <t>Annual Energy Use Reduction (kWh/yr)</t>
  </si>
  <si>
    <t>Peak Demand Reduction (kW)</t>
  </si>
  <si>
    <t>Average</t>
  </si>
  <si>
    <t>Average Demand Reduction (kW)</t>
  </si>
  <si>
    <t>Average assuming the unit is at a higher moisture load in the summer months and peak occurs during operation hours</t>
  </si>
  <si>
    <t>Based on AirPower USA book "Energy Savings in Compressed Air Systems."  pg 2-15.  Monitored operation in the northern US has the refrigeration compressor loaded about 50% of the time.  This conservatively agrees with the Zeks value of 0.31, and also agrees with Nexant measured values of less than 25% load on a cycling dryer.</t>
  </si>
  <si>
    <t>Rated Capacity (CFM)</t>
  </si>
  <si>
    <t>Deemed Savings (kWh/yr/Dryer CFM)</t>
  </si>
  <si>
    <t>Deemed Savings (kW/Dryer CFM)</t>
  </si>
  <si>
    <t>1000 CFM Cycling Dryer Cost</t>
  </si>
  <si>
    <t>Based on an installed project</t>
  </si>
  <si>
    <t>Installation Cost</t>
  </si>
  <si>
    <t>Install a Refrigerated Cycling Dryer</t>
  </si>
  <si>
    <t>Some uncertainty about how we want to present cost, also seasonal factor</t>
  </si>
  <si>
    <t>From DOE's Evaluation of the Compressed Air Challenge</t>
  </si>
  <si>
    <t>Application</t>
  </si>
  <si>
    <t>Number of drains installed</t>
  </si>
  <si>
    <t>Number of nozzles installed</t>
  </si>
  <si>
    <t>Quantity of filters</t>
  </si>
  <si>
    <t>Compressor HP</t>
  </si>
  <si>
    <t>Is a VFD compressor installed at the facility? Y/N</t>
  </si>
  <si>
    <t>hp of compressors that feed air through filter</t>
  </si>
  <si>
    <t>Equipment ID/Location</t>
  </si>
  <si>
    <t>Dryer Rated CFM</t>
  </si>
  <si>
    <t>Need make and model of new dryer</t>
  </si>
  <si>
    <t>State that noncycling dryers do not meet requirements</t>
  </si>
  <si>
    <t>State that only refrigerated dryers meet requirements</t>
  </si>
  <si>
    <t xml:space="preserve">50% project cost 100% incremental </t>
  </si>
  <si>
    <t xml:space="preserve">Make and model </t>
  </si>
  <si>
    <t>Manufacturer's spec sheet identifying CFM of air consumption</t>
  </si>
  <si>
    <t>Manufacturer's spec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</si>
</sst>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quot;$&quot;#,##0"/>
    <numFmt numFmtId="168" formatCode="0.0%"/>
    <numFmt numFmtId="169" formatCode="0.0"/>
    <numFmt numFmtId="170" formatCode="#,##0.0_);\(#,##0.0\)"/>
    <numFmt numFmtId="171" formatCode="0.000"/>
    <numFmt numFmtId="172" formatCode="&quot;$&quot;#,##0.000"/>
    <numFmt numFmtId="173" formatCode="&quot;$&quot;#,##0\ ;\(&quot;$&quot;#,##0\)"/>
    <numFmt numFmtId="174" formatCode="[$-409]mmmm\-yy;@"/>
    <numFmt numFmtId="175" formatCode="General_)"/>
    <numFmt numFmtId="176" formatCode="&quot;$&quot;#,##0.00"/>
    <numFmt numFmtId="177" formatCode="_(* #,##0.0000_);_(* \(#,##0.0000\);_(* &quot;-&quot;??_);_(@_)"/>
    <numFmt numFmtId="178" formatCode="_(* #,##0.0000000_);_(* \(#,##0.0000000\);_(* &quot;-&quot;??_);_(@_)"/>
    <numFmt numFmtId="179" formatCode="_(* #,##0.000_);_(* \(#,##0.000\);_(* &quot;-&quot;??_);_(@_)"/>
    <numFmt numFmtId="180" formatCode="_(* #,##0.00000_);_(* \(#,##0.00000\);_(* &quot;-&quot;??_);_(@_)"/>
  </numFmts>
  <fonts count="5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3F3F3F"/>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8"/>
      <name val="Arial"/>
      <family val="2"/>
    </font>
    <font>
      <sz val="8"/>
      <name val="Arial"/>
      <family val="2"/>
    </font>
    <font>
      <sz val="10"/>
      <color rgb="FFFF0000"/>
      <name val="Arial"/>
      <family val="2"/>
    </font>
    <font>
      <sz val="10"/>
      <color indexed="12"/>
      <name val="Arial"/>
      <family val="2"/>
    </font>
    <font>
      <u/>
      <sz val="10"/>
      <name val="Arial"/>
      <family val="2"/>
    </font>
    <font>
      <sz val="10"/>
      <name val="Calibri"/>
      <family val="2"/>
    </font>
    <font>
      <sz val="10"/>
      <color theme="4" tint="-0.249977111117893"/>
      <name val="Arial"/>
      <family val="2"/>
    </font>
    <font>
      <b/>
      <sz val="10"/>
      <color theme="4" tint="-0.249977111117893"/>
      <name val="Arial"/>
      <family val="2"/>
    </font>
    <font>
      <i/>
      <sz val="10"/>
      <name val="Arial"/>
      <family val="2"/>
    </font>
    <font>
      <sz val="11"/>
      <name val="Times New Roman"/>
      <family val="1"/>
    </font>
    <font>
      <b/>
      <sz val="14"/>
      <name val="Arial"/>
      <family val="2"/>
    </font>
    <font>
      <b/>
      <sz val="8"/>
      <color indexed="81"/>
      <name val="Tahoma"/>
      <family val="2"/>
    </font>
    <font>
      <sz val="8"/>
      <color indexed="81"/>
      <name val="Tahoma"/>
      <family val="2"/>
    </font>
    <font>
      <sz val="11"/>
      <color indexed="8"/>
      <name val="Calibri"/>
      <family val="2"/>
    </font>
    <font>
      <sz val="11"/>
      <color indexed="9"/>
      <name val="Calibri"/>
      <family val="2"/>
    </font>
    <font>
      <sz val="11"/>
      <color theme="4" tint="-0.24994659260841701"/>
      <name val="Calibri"/>
      <family val="2"/>
      <scheme val="minor"/>
    </font>
    <font>
      <sz val="11"/>
      <name val="Calibri"/>
      <family val="2"/>
      <scheme val="minor"/>
    </font>
    <font>
      <b/>
      <sz val="11"/>
      <color indexed="52"/>
      <name val="Calibri"/>
      <family val="2"/>
    </font>
    <font>
      <sz val="10"/>
      <color indexed="8"/>
      <name val="Arial"/>
      <family val="2"/>
    </font>
    <font>
      <sz val="14"/>
      <color indexed="16"/>
      <name val="Times New Roman"/>
      <family val="1"/>
    </font>
    <font>
      <b/>
      <sz val="15"/>
      <color indexed="62"/>
      <name val="Calibri"/>
      <family val="2"/>
    </font>
    <font>
      <b/>
      <sz val="13"/>
      <color indexed="62"/>
      <name val="Calibri"/>
      <family val="2"/>
    </font>
    <font>
      <b/>
      <sz val="11"/>
      <color indexed="62"/>
      <name val="Calibri"/>
      <family val="2"/>
    </font>
    <font>
      <u/>
      <sz val="10"/>
      <color indexed="12"/>
      <name val="Arial"/>
      <family val="2"/>
    </font>
    <font>
      <b/>
      <sz val="11"/>
      <name val="Calibri"/>
      <family val="2"/>
      <scheme val="minor"/>
    </font>
    <font>
      <sz val="7"/>
      <name val="Small Fonts"/>
      <family val="2"/>
    </font>
    <font>
      <sz val="10"/>
      <color theme="1"/>
      <name val="Arial"/>
      <family val="2"/>
    </font>
    <font>
      <b/>
      <sz val="11"/>
      <color indexed="63"/>
      <name val="Calibri"/>
      <family val="2"/>
    </font>
    <font>
      <b/>
      <sz val="18"/>
      <color indexed="62"/>
      <name val="Cambria"/>
      <family val="2"/>
    </font>
    <font>
      <b/>
      <sz val="11"/>
      <color indexed="8"/>
      <name val="Calibri"/>
      <family val="2"/>
    </font>
    <font>
      <sz val="12"/>
      <name val="Times New Roman"/>
      <family val="1"/>
    </font>
    <font>
      <sz val="9"/>
      <color indexed="81"/>
      <name val="Tahoma"/>
      <family val="2"/>
    </font>
    <font>
      <b/>
      <sz val="9"/>
      <color indexed="81"/>
      <name val="Tahoma"/>
      <family val="2"/>
    </font>
    <font>
      <sz val="10"/>
      <name val="Arial"/>
      <family val="2"/>
    </font>
    <font>
      <sz val="10"/>
      <color rgb="FF3333FF"/>
      <name val="Arial"/>
      <family val="2"/>
    </font>
    <font>
      <b/>
      <sz val="10"/>
      <color rgb="FF0000FF"/>
      <name val="Arial"/>
      <family val="2"/>
    </font>
    <font>
      <sz val="10"/>
      <color rgb="FF0000FF"/>
      <name val="Arial"/>
      <family val="2"/>
    </font>
    <font>
      <u/>
      <sz val="11"/>
      <color theme="10"/>
      <name val="Calibri"/>
      <family val="2"/>
      <scheme val="minor"/>
    </font>
    <font>
      <b/>
      <sz val="11"/>
      <color rgb="FFFF0000"/>
      <name val="Calibri"/>
      <family val="2"/>
      <scheme val="minor"/>
    </font>
    <font>
      <b/>
      <u/>
      <sz val="11"/>
      <color theme="10"/>
      <name val="Calibri"/>
      <family val="2"/>
      <scheme val="minor"/>
    </font>
    <font>
      <u/>
      <sz val="11"/>
      <color theme="1"/>
      <name val="Calibri"/>
      <family val="2"/>
      <scheme val="minor"/>
    </font>
  </fonts>
  <fills count="46">
    <fill>
      <patternFill patternType="none"/>
    </fill>
    <fill>
      <patternFill patternType="gray125"/>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6"/>
        <bgColor indexed="64"/>
      </patternFill>
    </fill>
    <fill>
      <patternFill patternType="solid">
        <fgColor theme="0"/>
        <bgColor indexed="64"/>
      </patternFill>
    </fill>
    <fill>
      <patternFill patternType="solid">
        <fgColor theme="1"/>
        <bgColor indexed="64"/>
      </patternFill>
    </fill>
    <fill>
      <patternFill patternType="solid">
        <fgColor indexed="41"/>
        <bgColor indexed="64"/>
      </patternFill>
    </fill>
    <fill>
      <patternFill patternType="solid">
        <fgColor theme="0" tint="-0.14999847407452621"/>
        <bgColor indexed="64"/>
      </patternFill>
    </fill>
    <fill>
      <patternFill patternType="solid">
        <fgColor indexed="9"/>
        <bgColor indexed="64"/>
      </patternFill>
    </fill>
    <fill>
      <patternFill patternType="solid">
        <fgColor theme="9"/>
        <bgColor indexed="64"/>
      </patternFill>
    </fill>
    <fill>
      <patternFill patternType="solid">
        <fgColor theme="2" tint="-0.249977111117893"/>
        <bgColor indexed="64"/>
      </patternFill>
    </fill>
    <fill>
      <patternFill patternType="solid">
        <fgColor rgb="FFFFFF00"/>
        <bgColor indexed="64"/>
      </patternFill>
    </fill>
    <fill>
      <patternFill patternType="solid">
        <fgColor indexed="22"/>
      </patternFill>
    </fill>
    <fill>
      <patternFill patternType="solid">
        <fgColor indexed="47"/>
      </patternFill>
    </fill>
    <fill>
      <patternFill patternType="solid">
        <fgColor indexed="26"/>
      </patternFill>
    </fill>
    <fill>
      <patternFill patternType="solid">
        <fgColor indexed="43"/>
      </patternFill>
    </fill>
    <fill>
      <patternFill patternType="solid">
        <fgColor indexed="49"/>
      </patternFill>
    </fill>
    <fill>
      <patternFill patternType="solid">
        <fgColor indexed="55"/>
      </patternFill>
    </fill>
    <fill>
      <patternFill patternType="solid">
        <fgColor indexed="54"/>
      </patternFill>
    </fill>
    <fill>
      <patternFill patternType="solid">
        <fgColor theme="0" tint="-0.34998626667073579"/>
        <bgColor indexed="64"/>
      </patternFill>
    </fill>
    <fill>
      <patternFill patternType="solid">
        <fgColor theme="8" tint="0.79998168889431442"/>
        <bgColor indexed="64"/>
      </patternFill>
    </fill>
    <fill>
      <patternFill patternType="solid">
        <fgColor rgb="FFE6E6E6"/>
        <bgColor indexed="64"/>
      </patternFill>
    </fill>
    <fill>
      <patternFill patternType="solid">
        <fgColor indexed="9"/>
      </patternFill>
    </fill>
    <fill>
      <patternFill patternType="solid">
        <fgColor rgb="FFCBCBCB"/>
        <bgColor indexed="64"/>
      </patternFill>
    </fill>
    <fill>
      <patternFill patternType="solid">
        <fgColor indexed="22"/>
        <bgColor indexed="64"/>
      </patternFill>
    </fill>
    <fill>
      <patternFill patternType="solid">
        <fgColor theme="9" tint="0.79998168889431442"/>
        <bgColor indexed="64"/>
      </patternFill>
    </fill>
    <fill>
      <patternFill patternType="solid">
        <fgColor rgb="FFFFFF99"/>
        <bgColor indexed="64"/>
      </patternFill>
    </fill>
    <fill>
      <patternFill patternType="solid">
        <fgColor theme="6" tint="0.79998168889431442"/>
        <bgColor indexed="64"/>
      </patternFill>
    </fill>
    <fill>
      <patternFill patternType="solid">
        <fgColor rgb="FF0070C0"/>
        <bgColor indexed="64"/>
      </patternFill>
    </fill>
    <fill>
      <patternFill patternType="solid">
        <fgColor theme="9" tint="0.59999389629810485"/>
        <bgColor indexed="64"/>
      </patternFill>
    </fill>
    <fill>
      <patternFill patternType="solid">
        <fgColor rgb="FFFFC000"/>
        <bgColor indexed="64"/>
      </patternFill>
    </fill>
  </fills>
  <borders count="9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8"/>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indexed="64"/>
      </top>
      <bottom style="thin">
        <color auto="1"/>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medium">
        <color indexed="64"/>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auto="1"/>
      </left>
      <right style="thin">
        <color indexed="64"/>
      </right>
      <top style="medium">
        <color indexed="64"/>
      </top>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s>
  <cellStyleXfs count="1354">
    <xf numFmtId="0" fontId="0" fillId="0" borderId="0"/>
    <xf numFmtId="43" fontId="11" fillId="0" borderId="0" applyFont="0" applyFill="0" applyBorder="0" applyAlignment="0" applyProtection="0"/>
    <xf numFmtId="44" fontId="11" fillId="0" borderId="0" applyFont="0" applyFill="0" applyBorder="0" applyAlignment="0" applyProtection="0"/>
    <xf numFmtId="9" fontId="11" fillId="0" borderId="0" applyFont="0" applyFill="0" applyBorder="0" applyAlignment="0" applyProtection="0"/>
    <xf numFmtId="0" fontId="11" fillId="0" borderId="0"/>
    <xf numFmtId="0" fontId="11" fillId="0" borderId="0"/>
    <xf numFmtId="0" fontId="11" fillId="0" borderId="0"/>
    <xf numFmtId="0" fontId="1" fillId="0" borderId="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6" fillId="27"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6" fillId="27"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6" fillId="2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6" fillId="2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6" fillId="2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6" fillId="2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6" fillId="27"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6" fillId="27"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6" fillId="2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6" fillId="27"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6" fillId="3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6" fillId="3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6" fillId="2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6" fillId="2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6" fillId="28"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6" fillId="28"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0" fillId="7" borderId="0" applyNumberFormat="0" applyBorder="0" applyAlignment="0" applyProtection="0"/>
    <xf numFmtId="0" fontId="27" fillId="31"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27" fillId="31"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11" borderId="0" applyNumberFormat="0" applyBorder="0" applyAlignment="0" applyProtection="0"/>
    <xf numFmtId="0" fontId="27" fillId="3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27" fillId="3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5" borderId="0" applyNumberFormat="0" applyBorder="0" applyAlignment="0" applyProtection="0"/>
    <xf numFmtId="0" fontId="27" fillId="32"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27" fillId="32"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7" borderId="0" applyNumberFormat="0" applyBorder="0" applyAlignment="0" applyProtection="0"/>
    <xf numFmtId="0" fontId="27" fillId="28"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27" fillId="28"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4" borderId="0" applyNumberFormat="0" applyBorder="0" applyAlignment="0" applyProtection="0"/>
    <xf numFmtId="0" fontId="27" fillId="31"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27" fillId="31"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12" borderId="0" applyNumberFormat="0" applyBorder="0" applyAlignment="0" applyProtection="0"/>
    <xf numFmtId="0" fontId="27" fillId="33"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27" fillId="33"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 fillId="34" borderId="0" applyNumberFormat="0" applyFont="0" applyBorder="0" applyAlignment="0" applyProtection="0"/>
    <xf numFmtId="0" fontId="1" fillId="34" borderId="0" applyNumberFormat="0" applyFont="0" applyBorder="0" applyAlignment="0" applyProtection="0"/>
    <xf numFmtId="0" fontId="1" fillId="34" borderId="0" applyNumberFormat="0" applyFont="0" applyBorder="0" applyAlignment="0" applyProtection="0"/>
    <xf numFmtId="0" fontId="1" fillId="34" borderId="0" applyNumberFormat="0" applyFont="0" applyBorder="0" applyAlignment="0" applyProtection="0"/>
    <xf numFmtId="0" fontId="1" fillId="34" borderId="0" applyNumberFormat="0" applyFont="0" applyBorder="0" applyAlignment="0" applyProtection="0"/>
    <xf numFmtId="1" fontId="28" fillId="35" borderId="57" applyNumberFormat="0" applyBorder="0" applyAlignment="0" applyProtection="0">
      <alignment horizontal="left"/>
    </xf>
    <xf numFmtId="1" fontId="28" fillId="35" borderId="57" applyNumberFormat="0" applyBorder="0" applyAlignment="0" applyProtection="0">
      <alignment horizontal="left"/>
    </xf>
    <xf numFmtId="1" fontId="28" fillId="35" borderId="57" applyNumberFormat="0" applyBorder="0" applyAlignment="0" applyProtection="0">
      <alignment horizontal="left"/>
    </xf>
    <xf numFmtId="1" fontId="28" fillId="35" borderId="57" applyNumberFormat="0" applyBorder="0" applyAlignment="0" applyProtection="0">
      <alignment horizontal="left"/>
    </xf>
    <xf numFmtId="1" fontId="29" fillId="36" borderId="57" applyNumberFormat="0" applyBorder="0" applyAlignment="0" applyProtection="0">
      <alignment horizontal="left"/>
    </xf>
    <xf numFmtId="0" fontId="7" fillId="2" borderId="4" applyNumberFormat="0" applyAlignment="0" applyProtection="0"/>
    <xf numFmtId="0" fontId="30" fillId="37" borderId="58"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30" fillId="37" borderId="58" applyNumberFormat="0" applyAlignment="0" applyProtection="0"/>
    <xf numFmtId="0" fontId="30" fillId="37" borderId="58" applyNumberFormat="0" applyAlignment="0" applyProtection="0"/>
    <xf numFmtId="0" fontId="30" fillId="37" borderId="58"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30" fillId="37" borderId="58" applyNumberFormat="0" applyAlignment="0" applyProtection="0"/>
    <xf numFmtId="0" fontId="30" fillId="37" borderId="58"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0" fontId="7" fillId="2" borderId="4"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11" fillId="0" borderId="0" applyFont="0" applyFill="0" applyBorder="0" applyAlignment="0" applyProtection="0"/>
    <xf numFmtId="42" fontId="3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3" fontId="11" fillId="0" borderId="0" applyFont="0" applyFill="0" applyBorder="0" applyAlignment="0" applyProtection="0"/>
    <xf numFmtId="0" fontId="9" fillId="38" borderId="33" applyNumberFormat="0" applyFont="0" applyBorder="0" applyAlignment="0" applyProtection="0">
      <alignment horizontal="center" wrapText="1"/>
    </xf>
    <xf numFmtId="14" fontId="32" fillId="39" borderId="0" applyProtection="0"/>
    <xf numFmtId="0" fontId="29" fillId="40" borderId="59" applyNumberFormat="0" applyFont="0" applyBorder="0" applyAlignment="0" applyProtection="0">
      <alignment horizontal="left"/>
    </xf>
    <xf numFmtId="0" fontId="29" fillId="40" borderId="59" applyNumberFormat="0" applyFont="0" applyBorder="0" applyAlignment="0" applyProtection="0">
      <alignment horizontal="left"/>
    </xf>
    <xf numFmtId="0" fontId="29" fillId="40" borderId="59" applyNumberFormat="0" applyFont="0" applyBorder="0" applyAlignment="0" applyProtection="0">
      <alignment horizontal="left"/>
    </xf>
    <xf numFmtId="0" fontId="29" fillId="40" borderId="59" applyNumberFormat="0" applyFont="0" applyBorder="0" applyAlignment="0" applyProtection="0">
      <alignment horizontal="left"/>
    </xf>
    <xf numFmtId="2" fontId="11" fillId="0" borderId="0" applyFont="0" applyFill="0" applyBorder="0" applyAlignment="0" applyProtection="0"/>
    <xf numFmtId="0" fontId="3" fillId="0" borderId="1" applyNumberFormat="0" applyFill="0" applyAlignment="0" applyProtection="0"/>
    <xf numFmtId="0" fontId="33" fillId="0" borderId="60"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3" fillId="0" borderId="60"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4" fillId="0" borderId="2" applyNumberFormat="0" applyFill="0" applyAlignment="0" applyProtection="0"/>
    <xf numFmtId="0" fontId="34" fillId="0" borderId="61"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34" fillId="0" borderId="61"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35" fillId="0" borderId="62"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35" fillId="0" borderId="62"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3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3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36" fillId="0" borderId="0" applyNumberFormat="0" applyFill="0" applyBorder="0" applyAlignment="0" applyProtection="0">
      <alignment vertical="top"/>
      <protection locked="0"/>
    </xf>
    <xf numFmtId="174" fontId="36" fillId="0" borderId="0" applyNumberFormat="0" applyFill="0" applyBorder="0" applyAlignment="0" applyProtection="0">
      <alignment vertical="top"/>
      <protection locked="0"/>
    </xf>
    <xf numFmtId="0" fontId="37" fillId="22" borderId="33" applyNumberFormat="0" applyFont="0" applyBorder="0" applyAlignment="0" applyProtection="0">
      <alignment horizontal="center"/>
    </xf>
    <xf numFmtId="0" fontId="29" fillId="41" borderId="59" applyNumberFormat="0" applyFont="0" applyBorder="0" applyAlignment="0" applyProtection="0">
      <alignment horizontal="left"/>
    </xf>
    <xf numFmtId="0" fontId="29" fillId="41" borderId="59" applyNumberFormat="0" applyFont="0" applyBorder="0" applyAlignment="0" applyProtection="0">
      <alignment horizontal="left"/>
    </xf>
    <xf numFmtId="0" fontId="29" fillId="41" borderId="59" applyNumberFormat="0" applyFont="0" applyBorder="0" applyAlignment="0" applyProtection="0">
      <alignment horizontal="left"/>
    </xf>
    <xf numFmtId="0" fontId="29" fillId="41" borderId="59" applyNumberFormat="0" applyFont="0" applyBorder="0" applyAlignment="0" applyProtection="0">
      <alignment horizontal="left"/>
    </xf>
    <xf numFmtId="37" fontId="38" fillId="0" borderId="0"/>
    <xf numFmtId="0" fontId="11" fillId="0" borderId="0"/>
    <xf numFmtId="0" fontId="1" fillId="0" borderId="0"/>
    <xf numFmtId="174"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39" fillId="0" borderId="0"/>
    <xf numFmtId="0" fontId="39" fillId="0" borderId="0"/>
    <xf numFmtId="0" fontId="39" fillId="0" borderId="0"/>
    <xf numFmtId="0" fontId="11" fillId="0" borderId="0"/>
    <xf numFmtId="174" fontId="11" fillId="0" borderId="0"/>
    <xf numFmtId="0" fontId="11" fillId="0" borderId="0"/>
    <xf numFmtId="0" fontId="11" fillId="0" borderId="0"/>
    <xf numFmtId="0" fontId="1" fillId="0" borderId="0"/>
    <xf numFmtId="0" fontId="1" fillId="0" borderId="0"/>
    <xf numFmtId="17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4" fontId="1" fillId="0" borderId="0"/>
    <xf numFmtId="17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4"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4" fontId="1" fillId="0" borderId="0"/>
    <xf numFmtId="17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174" fontId="11" fillId="0" borderId="0"/>
    <xf numFmtId="0" fontId="39"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39" fillId="0" borderId="0"/>
    <xf numFmtId="0" fontId="39" fillId="0" borderId="0"/>
    <xf numFmtId="0" fontId="1" fillId="0" borderId="0"/>
    <xf numFmtId="0" fontId="39" fillId="0" borderId="0"/>
    <xf numFmtId="0" fontId="39" fillId="0" borderId="0"/>
    <xf numFmtId="0" fontId="39" fillId="0" borderId="0"/>
    <xf numFmtId="0" fontId="11" fillId="0" borderId="0"/>
    <xf numFmtId="0" fontId="11" fillId="0" borderId="0"/>
    <xf numFmtId="0" fontId="11" fillId="0" borderId="0"/>
    <xf numFmtId="0" fontId="11" fillId="0" borderId="0"/>
    <xf numFmtId="174" fontId="11" fillId="0" borderId="0"/>
    <xf numFmtId="0" fontId="11" fillId="0" borderId="0"/>
    <xf numFmtId="174"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1" fillId="0" borderId="0"/>
    <xf numFmtId="0" fontId="11" fillId="0" borderId="0"/>
    <xf numFmtId="0" fontId="1" fillId="0" borderId="0"/>
    <xf numFmtId="17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9"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26" fillId="29" borderId="63"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26" fillId="29" borderId="63"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0" fontId="1" fillId="42" borderId="59" applyNumberFormat="0" applyFont="0" applyBorder="0" applyAlignment="0" applyProtection="0">
      <alignment horizontal="left"/>
    </xf>
    <xf numFmtId="0" fontId="1" fillId="42" borderId="59" applyNumberFormat="0" applyFont="0" applyBorder="0" applyAlignment="0" applyProtection="0">
      <alignment horizontal="left"/>
    </xf>
    <xf numFmtId="0" fontId="1" fillId="42" borderId="59" applyNumberFormat="0" applyFont="0" applyBorder="0" applyAlignment="0" applyProtection="0">
      <alignment horizontal="left"/>
    </xf>
    <xf numFmtId="0" fontId="1" fillId="42" borderId="59" applyNumberFormat="0" applyFont="0" applyBorder="0" applyAlignment="0" applyProtection="0">
      <alignment horizontal="left"/>
    </xf>
    <xf numFmtId="0" fontId="1" fillId="0" borderId="59" applyNumberFormat="0" applyFont="0" applyBorder="0" applyAlignment="0" applyProtection="0">
      <alignment horizontal="left"/>
    </xf>
    <xf numFmtId="0" fontId="6" fillId="2" borderId="5" applyNumberFormat="0" applyAlignment="0" applyProtection="0"/>
    <xf numFmtId="0" fontId="40" fillId="37" borderId="64"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40" fillId="37" borderId="64" applyNumberFormat="0" applyAlignment="0" applyProtection="0"/>
    <xf numFmtId="0" fontId="40" fillId="37" borderId="64" applyNumberFormat="0" applyAlignment="0" applyProtection="0"/>
    <xf numFmtId="0" fontId="40" fillId="37" borderId="64" applyNumberFormat="0" applyAlignment="0" applyProtection="0"/>
    <xf numFmtId="0" fontId="40" fillId="37" borderId="64"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40" fillId="37" borderId="64" applyNumberFormat="0" applyAlignment="0" applyProtection="0"/>
    <xf numFmtId="0" fontId="40" fillId="37" borderId="64" applyNumberFormat="0" applyAlignment="0" applyProtection="0"/>
    <xf numFmtId="0" fontId="40" fillId="37" borderId="64"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0" fontId="6" fillId="2" borderId="5"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36" borderId="27" applyNumberFormat="0" applyFont="0" applyBorder="0" applyAlignment="0" applyProtection="0"/>
    <xf numFmtId="0" fontId="1" fillId="36" borderId="27" applyNumberFormat="0" applyFont="0" applyBorder="0" applyAlignment="0" applyProtection="0"/>
    <xf numFmtId="0" fontId="1" fillId="36" borderId="27" applyNumberFormat="0" applyFont="0" applyBorder="0" applyAlignment="0" applyProtection="0"/>
    <xf numFmtId="0" fontId="1" fillId="36" borderId="27" applyNumberFormat="0" applyFont="0" applyBorder="0" applyAlignment="0" applyProtection="0"/>
    <xf numFmtId="0" fontId="1" fillId="36" borderId="27" applyNumberFormat="0" applyFont="0" applyBorder="0" applyAlignment="0" applyProtection="0"/>
    <xf numFmtId="0" fontId="8" fillId="43" borderId="20" applyNumberFormat="0" applyBorder="0" applyProtection="0">
      <alignment horizontal="center" vertical="center"/>
    </xf>
    <xf numFmtId="0" fontId="2" fillId="0" borderId="0" applyNumberFormat="0" applyFill="0" applyBorder="0" applyAlignment="0" applyProtection="0"/>
    <xf numFmtId="0" fontId="4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9" fillId="0" borderId="7" applyNumberFormat="0" applyFill="0" applyAlignment="0" applyProtection="0"/>
    <xf numFmtId="0" fontId="42" fillId="0" borderId="65"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42" fillId="0" borderId="65"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9" fillId="0" borderId="7" applyNumberFormat="0" applyFill="0" applyAlignment="0" applyProtection="0"/>
    <xf numFmtId="0" fontId="29" fillId="0" borderId="59" applyNumberFormat="0" applyFont="0" applyBorder="0" applyAlignment="0" applyProtection="0">
      <alignment horizontal="left"/>
    </xf>
    <xf numFmtId="0" fontId="29" fillId="0" borderId="59" applyNumberFormat="0" applyFont="0" applyBorder="0" applyAlignment="0" applyProtection="0">
      <alignment horizontal="left"/>
    </xf>
    <xf numFmtId="0" fontId="29" fillId="0" borderId="59" applyNumberFormat="0" applyFont="0" applyBorder="0" applyAlignment="0" applyProtection="0">
      <alignment horizontal="left"/>
    </xf>
    <xf numFmtId="0" fontId="29" fillId="0" borderId="59" applyNumberFormat="0" applyFont="0" applyBorder="0" applyAlignment="0" applyProtection="0">
      <alignment horizontal="left"/>
    </xf>
    <xf numFmtId="175" fontId="43" fillId="0" borderId="0">
      <alignment vertical="top" wrapText="1"/>
    </xf>
    <xf numFmtId="0" fontId="46" fillId="0" borderId="0"/>
    <xf numFmtId="0" fontId="50"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50" fillId="0" borderId="0" applyNumberFormat="0" applyFill="0" applyBorder="0" applyAlignment="0" applyProtection="0"/>
  </cellStyleXfs>
  <cellXfs count="726">
    <xf numFmtId="0" fontId="0" fillId="0" borderId="0" xfId="0"/>
    <xf numFmtId="0" fontId="11" fillId="19" borderId="0" xfId="4" applyFont="1" applyFill="1"/>
    <xf numFmtId="0" fontId="11" fillId="20" borderId="0" xfId="4" applyFont="1" applyFill="1"/>
    <xf numFmtId="0" fontId="13" fillId="18" borderId="8" xfId="4" applyFont="1" applyFill="1" applyBorder="1" applyAlignment="1">
      <alignment horizontal="left" wrapText="1"/>
    </xf>
    <xf numFmtId="164" fontId="14" fillId="21" borderId="8" xfId="4" applyNumberFormat="1" applyFont="1" applyFill="1" applyBorder="1" applyAlignment="1">
      <alignment horizontal="left" wrapText="1"/>
    </xf>
    <xf numFmtId="164" fontId="11" fillId="21" borderId="8" xfId="4" applyNumberFormat="1" applyFont="1" applyFill="1" applyBorder="1"/>
    <xf numFmtId="165" fontId="11" fillId="21" borderId="8" xfId="4" applyNumberFormat="1" applyFont="1" applyFill="1" applyBorder="1"/>
    <xf numFmtId="166" fontId="11" fillId="21" borderId="8" xfId="2" applyNumberFormat="1" applyFont="1" applyFill="1" applyBorder="1"/>
    <xf numFmtId="166" fontId="0" fillId="21" borderId="8" xfId="2" applyNumberFormat="1" applyFont="1" applyFill="1" applyBorder="1"/>
    <xf numFmtId="0" fontId="11" fillId="19" borderId="8" xfId="4" applyFont="1" applyFill="1" applyBorder="1"/>
    <xf numFmtId="0" fontId="11" fillId="19" borderId="0" xfId="4" applyFont="1" applyFill="1" applyBorder="1"/>
    <xf numFmtId="43" fontId="11" fillId="19" borderId="0" xfId="4" applyNumberFormat="1" applyFont="1" applyFill="1"/>
    <xf numFmtId="0" fontId="11" fillId="19" borderId="9" xfId="4" applyFont="1" applyFill="1" applyBorder="1"/>
    <xf numFmtId="0" fontId="11" fillId="19" borderId="10" xfId="4" applyFont="1" applyFill="1" applyBorder="1"/>
    <xf numFmtId="0" fontId="11" fillId="19" borderId="11" xfId="4" applyFont="1" applyFill="1" applyBorder="1"/>
    <xf numFmtId="0" fontId="11" fillId="19" borderId="12" xfId="4" applyFont="1" applyFill="1" applyBorder="1"/>
    <xf numFmtId="0" fontId="11" fillId="19" borderId="13" xfId="4" applyFont="1" applyFill="1" applyBorder="1"/>
    <xf numFmtId="0" fontId="11" fillId="19" borderId="14" xfId="4" applyFont="1" applyFill="1" applyBorder="1"/>
    <xf numFmtId="0" fontId="11" fillId="19" borderId="15" xfId="4" applyFont="1" applyFill="1" applyBorder="1"/>
    <xf numFmtId="0" fontId="12" fillId="22" borderId="16" xfId="4" applyNumberFormat="1" applyFont="1" applyFill="1" applyBorder="1" applyAlignment="1">
      <alignment horizontal="left"/>
    </xf>
    <xf numFmtId="0" fontId="11" fillId="22" borderId="17" xfId="4" applyNumberFormat="1" applyFont="1" applyFill="1" applyBorder="1" applyAlignment="1">
      <alignment horizontal="right"/>
    </xf>
    <xf numFmtId="0" fontId="11" fillId="22" borderId="18" xfId="4" applyNumberFormat="1" applyFont="1" applyFill="1" applyBorder="1" applyAlignment="1">
      <alignment horizontal="right"/>
    </xf>
    <xf numFmtId="0" fontId="11" fillId="19" borderId="0" xfId="4" applyNumberFormat="1" applyFont="1" applyFill="1" applyBorder="1" applyAlignment="1">
      <alignment horizontal="right"/>
    </xf>
    <xf numFmtId="0" fontId="12" fillId="22" borderId="9" xfId="4" applyNumberFormat="1" applyFont="1" applyFill="1" applyBorder="1" applyAlignment="1"/>
    <xf numFmtId="0" fontId="12" fillId="22" borderId="10" xfId="4" applyNumberFormat="1" applyFont="1" applyFill="1" applyBorder="1" applyAlignment="1"/>
    <xf numFmtId="0" fontId="11" fillId="22" borderId="25" xfId="4" applyFont="1" applyFill="1" applyBorder="1" applyAlignment="1">
      <alignment horizontal="center"/>
    </xf>
    <xf numFmtId="0" fontId="11" fillId="22" borderId="0" xfId="4" applyFont="1" applyFill="1" applyBorder="1" applyAlignment="1">
      <alignment horizontal="center"/>
    </xf>
    <xf numFmtId="0" fontId="11" fillId="22" borderId="0" xfId="4" applyNumberFormat="1" applyFont="1" applyFill="1" applyBorder="1" applyAlignment="1">
      <alignment horizontal="center" wrapText="1"/>
    </xf>
    <xf numFmtId="0" fontId="11" fillId="19" borderId="26" xfId="4" applyNumberFormat="1" applyFont="1" applyFill="1" applyBorder="1" applyAlignment="1">
      <alignment horizontal="center" wrapText="1"/>
    </xf>
    <xf numFmtId="0" fontId="11" fillId="22" borderId="26" xfId="4" applyNumberFormat="1" applyFont="1" applyFill="1" applyBorder="1" applyAlignment="1">
      <alignment horizontal="center" wrapText="1"/>
    </xf>
    <xf numFmtId="0" fontId="11" fillId="22" borderId="24" xfId="4" applyFont="1" applyFill="1" applyBorder="1"/>
    <xf numFmtId="0" fontId="12" fillId="19" borderId="9" xfId="4" applyFont="1" applyFill="1" applyBorder="1" applyAlignment="1"/>
    <xf numFmtId="0" fontId="12" fillId="19" borderId="10" xfId="4" applyFont="1" applyFill="1" applyBorder="1" applyAlignment="1"/>
    <xf numFmtId="0" fontId="11" fillId="19" borderId="10" xfId="4" applyFill="1" applyBorder="1" applyAlignment="1">
      <alignment horizontal="center"/>
    </xf>
    <xf numFmtId="167" fontId="11" fillId="19" borderId="8" xfId="4" applyNumberFormat="1" applyFont="1" applyFill="1" applyBorder="1"/>
    <xf numFmtId="0" fontId="11" fillId="19" borderId="27" xfId="4" applyFont="1" applyFill="1" applyBorder="1" applyAlignment="1">
      <alignment horizontal="left" wrapText="1"/>
    </xf>
    <xf numFmtId="0" fontId="11" fillId="19" borderId="8" xfId="4" applyNumberFormat="1" applyFont="1" applyFill="1" applyBorder="1" applyAlignment="1">
      <alignment horizontal="center" wrapText="1"/>
    </xf>
    <xf numFmtId="9" fontId="11" fillId="19" borderId="8" xfId="4" applyNumberFormat="1" applyFont="1" applyFill="1" applyBorder="1" applyAlignment="1">
      <alignment horizontal="center" wrapText="1"/>
    </xf>
    <xf numFmtId="168" fontId="11" fillId="19" borderId="8" xfId="4" applyNumberFormat="1" applyFont="1" applyFill="1" applyBorder="1" applyAlignment="1">
      <alignment horizontal="center"/>
    </xf>
    <xf numFmtId="165" fontId="11" fillId="19" borderId="8" xfId="1" applyNumberFormat="1" applyFont="1" applyFill="1" applyBorder="1" applyAlignment="1">
      <alignment horizontal="center"/>
    </xf>
    <xf numFmtId="164" fontId="16" fillId="19" borderId="8" xfId="1" applyNumberFormat="1" applyFont="1" applyFill="1" applyBorder="1" applyAlignment="1">
      <alignment horizontal="center" wrapText="1"/>
    </xf>
    <xf numFmtId="164" fontId="11" fillId="19" borderId="0" xfId="1" applyNumberFormat="1" applyFont="1" applyFill="1" applyAlignment="1">
      <alignment horizontal="right" indent="4"/>
    </xf>
    <xf numFmtId="0" fontId="11" fillId="19" borderId="32" xfId="4" applyFont="1" applyFill="1" applyBorder="1"/>
    <xf numFmtId="0" fontId="11" fillId="19" borderId="33" xfId="4" applyFont="1" applyFill="1" applyBorder="1" applyAlignment="1">
      <alignment horizontal="center"/>
    </xf>
    <xf numFmtId="0" fontId="11" fillId="19" borderId="33" xfId="4" applyFill="1" applyBorder="1" applyAlignment="1">
      <alignment horizontal="center"/>
    </xf>
    <xf numFmtId="0" fontId="11" fillId="19" borderId="0" xfId="4" applyFont="1" applyFill="1" applyBorder="1" applyAlignment="1">
      <alignment horizontal="center"/>
    </xf>
    <xf numFmtId="0" fontId="11" fillId="19" borderId="25" xfId="4" applyFill="1" applyBorder="1" applyAlignment="1">
      <alignment horizontal="right"/>
    </xf>
    <xf numFmtId="0" fontId="11" fillId="19" borderId="0" xfId="4" applyFill="1" applyBorder="1" applyAlignment="1">
      <alignment horizontal="center"/>
    </xf>
    <xf numFmtId="169" fontId="11" fillId="19" borderId="0" xfId="4" applyNumberFormat="1" applyFill="1" applyBorder="1" applyAlignment="1">
      <alignment horizontal="center"/>
    </xf>
    <xf numFmtId="165" fontId="11" fillId="19" borderId="27" xfId="1" applyNumberFormat="1" applyFont="1" applyFill="1" applyBorder="1" applyAlignment="1">
      <alignment horizontal="center"/>
    </xf>
    <xf numFmtId="164" fontId="11" fillId="19" borderId="8" xfId="1" applyNumberFormat="1" applyFont="1" applyFill="1" applyBorder="1" applyAlignment="1">
      <alignment horizontal="center"/>
    </xf>
    <xf numFmtId="43" fontId="11" fillId="19" borderId="8" xfId="1" applyFont="1" applyFill="1" applyBorder="1" applyAlignment="1">
      <alignment horizontal="center"/>
    </xf>
    <xf numFmtId="43" fontId="11" fillId="19" borderId="28" xfId="1" applyFont="1" applyFill="1" applyBorder="1" applyAlignment="1">
      <alignment horizontal="center"/>
    </xf>
    <xf numFmtId="43" fontId="11" fillId="19" borderId="27" xfId="1" applyFont="1" applyFill="1" applyBorder="1" applyAlignment="1">
      <alignment horizontal="center"/>
    </xf>
    <xf numFmtId="170" fontId="11" fillId="19" borderId="8" xfId="1" applyNumberFormat="1" applyFont="1" applyFill="1" applyBorder="1" applyAlignment="1">
      <alignment horizontal="right"/>
    </xf>
    <xf numFmtId="165" fontId="11" fillId="19" borderId="29" xfId="1" applyNumberFormat="1" applyFont="1" applyFill="1" applyBorder="1" applyAlignment="1">
      <alignment horizontal="right"/>
    </xf>
    <xf numFmtId="43" fontId="11" fillId="19" borderId="30" xfId="1" applyFont="1" applyFill="1" applyBorder="1" applyAlignment="1">
      <alignment horizontal="center"/>
    </xf>
    <xf numFmtId="170" fontId="11" fillId="19" borderId="35" xfId="4" applyNumberFormat="1" applyFont="1" applyFill="1" applyBorder="1"/>
    <xf numFmtId="0" fontId="11" fillId="19" borderId="0" xfId="4" applyFill="1" applyBorder="1" applyAlignment="1">
      <alignment horizontal="right"/>
    </xf>
    <xf numFmtId="165" fontId="11" fillId="19" borderId="36" xfId="1" applyNumberFormat="1" applyFont="1" applyFill="1" applyBorder="1" applyAlignment="1">
      <alignment horizontal="center"/>
    </xf>
    <xf numFmtId="164" fontId="16" fillId="19" borderId="36" xfId="1" applyNumberFormat="1" applyFont="1" applyFill="1" applyBorder="1" applyAlignment="1">
      <alignment horizontal="center" wrapText="1"/>
    </xf>
    <xf numFmtId="0" fontId="11" fillId="22" borderId="25" xfId="4" applyFont="1" applyFill="1" applyBorder="1"/>
    <xf numFmtId="0" fontId="11" fillId="22" borderId="0" xfId="4" applyFont="1" applyFill="1" applyBorder="1"/>
    <xf numFmtId="0" fontId="11" fillId="22" borderId="0" xfId="4" applyFont="1" applyFill="1" applyBorder="1" applyAlignment="1">
      <alignment horizontal="right"/>
    </xf>
    <xf numFmtId="165" fontId="11" fillId="22" borderId="37" xfId="1" applyNumberFormat="1" applyFont="1" applyFill="1" applyBorder="1" applyAlignment="1">
      <alignment horizontal="center" wrapText="1"/>
    </xf>
    <xf numFmtId="164" fontId="11" fillId="22" borderId="37" xfId="1" applyNumberFormat="1" applyFont="1" applyFill="1" applyBorder="1" applyAlignment="1">
      <alignment horizontal="center" wrapText="1"/>
    </xf>
    <xf numFmtId="164" fontId="16" fillId="22" borderId="0" xfId="1" applyNumberFormat="1" applyFont="1" applyFill="1" applyBorder="1" applyAlignment="1">
      <alignment horizontal="center" wrapText="1"/>
    </xf>
    <xf numFmtId="165" fontId="11" fillId="22" borderId="8" xfId="1" applyNumberFormat="1" applyFont="1" applyFill="1" applyBorder="1" applyAlignment="1">
      <alignment horizontal="center" wrapText="1"/>
    </xf>
    <xf numFmtId="0" fontId="17" fillId="22" borderId="25" xfId="4" applyFont="1" applyFill="1" applyBorder="1" applyAlignment="1"/>
    <xf numFmtId="43" fontId="11" fillId="22" borderId="0" xfId="4" applyNumberFormat="1" applyFont="1" applyFill="1" applyBorder="1"/>
    <xf numFmtId="3" fontId="12" fillId="22" borderId="24" xfId="4" applyNumberFormat="1" applyFont="1" applyFill="1" applyBorder="1" applyAlignment="1">
      <alignment horizontal="center" wrapText="1"/>
    </xf>
    <xf numFmtId="0" fontId="11" fillId="22" borderId="25" xfId="4" applyFont="1" applyFill="1" applyBorder="1" applyAlignment="1"/>
    <xf numFmtId="171" fontId="11" fillId="22" borderId="0" xfId="4" applyNumberFormat="1" applyFont="1" applyFill="1" applyBorder="1" applyAlignment="1">
      <alignment horizontal="center" wrapText="1"/>
    </xf>
    <xf numFmtId="3" fontId="12" fillId="22" borderId="0" xfId="4" applyNumberFormat="1" applyFont="1" applyFill="1" applyBorder="1" applyAlignment="1">
      <alignment horizontal="center" wrapText="1"/>
    </xf>
    <xf numFmtId="9" fontId="12" fillId="19" borderId="0" xfId="3" applyFont="1" applyFill="1"/>
    <xf numFmtId="3" fontId="11" fillId="19" borderId="8" xfId="4" applyNumberFormat="1" applyFont="1" applyFill="1" applyBorder="1" applyAlignment="1">
      <alignment horizontal="center" wrapText="1"/>
    </xf>
    <xf numFmtId="3" fontId="11" fillId="22" borderId="0" xfId="4" applyNumberFormat="1" applyFont="1" applyFill="1" applyBorder="1" applyAlignment="1">
      <alignment horizontal="left" wrapText="1"/>
    </xf>
    <xf numFmtId="0" fontId="11" fillId="22" borderId="24" xfId="4" applyFill="1" applyBorder="1"/>
    <xf numFmtId="0" fontId="12" fillId="22" borderId="25" xfId="4" applyFont="1" applyFill="1" applyBorder="1" applyAlignment="1">
      <alignment wrapText="1"/>
    </xf>
    <xf numFmtId="3" fontId="12" fillId="19" borderId="0" xfId="1" applyNumberFormat="1" applyFont="1" applyFill="1" applyBorder="1" applyAlignment="1">
      <alignment horizontal="center"/>
    </xf>
    <xf numFmtId="165" fontId="11" fillId="22" borderId="0" xfId="1" applyNumberFormat="1" applyFont="1" applyFill="1" applyBorder="1" applyAlignment="1">
      <alignment horizontal="center"/>
    </xf>
    <xf numFmtId="3" fontId="11" fillId="22" borderId="0" xfId="4" applyNumberFormat="1" applyFont="1" applyFill="1" applyBorder="1" applyAlignment="1">
      <alignment horizontal="center" wrapText="1"/>
    </xf>
    <xf numFmtId="3" fontId="11" fillId="22" borderId="24" xfId="4" applyNumberFormat="1" applyFont="1" applyFill="1" applyBorder="1" applyAlignment="1">
      <alignment horizontal="left" wrapText="1"/>
    </xf>
    <xf numFmtId="3" fontId="11" fillId="19" borderId="0" xfId="1" applyNumberFormat="1" applyFont="1" applyFill="1" applyBorder="1" applyAlignment="1">
      <alignment horizontal="left"/>
    </xf>
    <xf numFmtId="171" fontId="11" fillId="22" borderId="0" xfId="4" applyNumberFormat="1" applyFont="1" applyFill="1" applyBorder="1" applyAlignment="1">
      <alignment horizontal="left"/>
    </xf>
    <xf numFmtId="3" fontId="12" fillId="22" borderId="0" xfId="4" applyNumberFormat="1" applyFont="1" applyFill="1" applyBorder="1" applyAlignment="1">
      <alignment horizontal="center"/>
    </xf>
    <xf numFmtId="165" fontId="11" fillId="19" borderId="8" xfId="1" applyNumberFormat="1" applyFont="1" applyFill="1" applyBorder="1"/>
    <xf numFmtId="171" fontId="11" fillId="22" borderId="38" xfId="4" applyNumberFormat="1" applyFont="1" applyFill="1" applyBorder="1" applyAlignment="1">
      <alignment horizontal="left"/>
    </xf>
    <xf numFmtId="171" fontId="11" fillId="22" borderId="0" xfId="4" applyNumberFormat="1" applyFont="1" applyFill="1" applyBorder="1" applyAlignment="1"/>
    <xf numFmtId="0" fontId="11" fillId="22" borderId="0" xfId="4" applyFill="1" applyBorder="1"/>
    <xf numFmtId="9" fontId="11" fillId="19" borderId="8" xfId="3" applyFont="1" applyFill="1" applyBorder="1" applyAlignment="1">
      <alignment horizontal="center"/>
    </xf>
    <xf numFmtId="0" fontId="11" fillId="22" borderId="12" xfId="4" applyFont="1" applyFill="1" applyBorder="1"/>
    <xf numFmtId="0" fontId="11" fillId="22" borderId="13" xfId="4" applyFont="1" applyFill="1" applyBorder="1"/>
    <xf numFmtId="0" fontId="11" fillId="22" borderId="13" xfId="4" applyFill="1" applyBorder="1"/>
    <xf numFmtId="0" fontId="11" fillId="22" borderId="15" xfId="4" applyFill="1" applyBorder="1"/>
    <xf numFmtId="3" fontId="11" fillId="19" borderId="0" xfId="4" applyNumberFormat="1" applyFont="1" applyFill="1" applyBorder="1" applyAlignment="1">
      <alignment horizontal="center" wrapText="1"/>
    </xf>
    <xf numFmtId="0" fontId="12" fillId="22" borderId="16" xfId="4" applyFont="1" applyFill="1" applyBorder="1"/>
    <xf numFmtId="0" fontId="11" fillId="22" borderId="17" xfId="4" applyFont="1" applyFill="1" applyBorder="1"/>
    <xf numFmtId="0" fontId="11" fillId="22" borderId="18" xfId="4" applyFont="1" applyFill="1" applyBorder="1"/>
    <xf numFmtId="0" fontId="12" fillId="22" borderId="25" xfId="4" applyNumberFormat="1" applyFont="1" applyFill="1" applyBorder="1" applyAlignment="1">
      <alignment horizontal="left"/>
    </xf>
    <xf numFmtId="0" fontId="11" fillId="22" borderId="0" xfId="4" applyNumberFormat="1" applyFont="1" applyFill="1" applyBorder="1" applyAlignment="1">
      <alignment horizontal="center"/>
    </xf>
    <xf numFmtId="0" fontId="11" fillId="22" borderId="24" xfId="4" applyNumberFormat="1" applyFont="1" applyFill="1" applyBorder="1" applyAlignment="1">
      <alignment horizontal="center"/>
    </xf>
    <xf numFmtId="0" fontId="11" fillId="19" borderId="0" xfId="4" applyNumberFormat="1" applyFont="1" applyFill="1" applyBorder="1" applyAlignment="1">
      <alignment horizontal="center"/>
    </xf>
    <xf numFmtId="0" fontId="11" fillId="19" borderId="27" xfId="4" applyFont="1" applyFill="1" applyBorder="1"/>
    <xf numFmtId="0" fontId="19" fillId="19" borderId="8" xfId="4" applyNumberFormat="1" applyFont="1" applyFill="1" applyBorder="1" applyAlignment="1">
      <alignment horizontal="center"/>
    </xf>
    <xf numFmtId="167" fontId="11" fillId="19" borderId="8" xfId="4" applyNumberFormat="1" applyFont="1" applyFill="1" applyBorder="1" applyAlignment="1">
      <alignment horizontal="center"/>
    </xf>
    <xf numFmtId="167" fontId="19" fillId="19" borderId="29" xfId="4" applyNumberFormat="1" applyFont="1" applyFill="1" applyBorder="1"/>
    <xf numFmtId="167" fontId="19" fillId="19" borderId="0" xfId="4" applyNumberFormat="1" applyFont="1" applyFill="1" applyBorder="1"/>
    <xf numFmtId="0" fontId="11" fillId="19" borderId="40" xfId="4" applyFont="1" applyFill="1" applyBorder="1"/>
    <xf numFmtId="0" fontId="19" fillId="19" borderId="37" xfId="4" applyNumberFormat="1" applyFont="1" applyFill="1" applyBorder="1" applyAlignment="1">
      <alignment horizontal="center"/>
    </xf>
    <xf numFmtId="167" fontId="11" fillId="19" borderId="37" xfId="4" applyNumberFormat="1" applyFont="1" applyFill="1" applyBorder="1" applyAlignment="1">
      <alignment horizontal="center"/>
    </xf>
    <xf numFmtId="167" fontId="19" fillId="19" borderId="41" xfId="4" applyNumberFormat="1" applyFont="1" applyFill="1" applyBorder="1"/>
    <xf numFmtId="172" fontId="11" fillId="19" borderId="0" xfId="4" applyNumberFormat="1" applyFont="1" applyFill="1"/>
    <xf numFmtId="0" fontId="11" fillId="19" borderId="0" xfId="4" applyFont="1" applyFill="1" applyBorder="1" applyAlignment="1">
      <alignment horizontal="left"/>
    </xf>
    <xf numFmtId="167" fontId="19" fillId="19" borderId="42" xfId="4" applyNumberFormat="1" applyFont="1" applyFill="1" applyBorder="1"/>
    <xf numFmtId="167" fontId="20" fillId="19" borderId="46" xfId="4" applyNumberFormat="1" applyFont="1" applyFill="1" applyBorder="1"/>
    <xf numFmtId="167" fontId="20" fillId="19" borderId="0" xfId="4" applyNumberFormat="1" applyFont="1" applyFill="1" applyBorder="1"/>
    <xf numFmtId="0" fontId="11" fillId="19" borderId="0" xfId="4" applyFont="1" applyFill="1" applyBorder="1" applyAlignment="1">
      <alignment horizontal="left" wrapText="1"/>
    </xf>
    <xf numFmtId="0" fontId="21" fillId="19" borderId="0" xfId="4" applyFont="1" applyFill="1" applyBorder="1" applyAlignment="1">
      <alignment horizontal="left" wrapText="1"/>
    </xf>
    <xf numFmtId="0" fontId="11" fillId="19" borderId="0" xfId="4" applyFont="1" applyFill="1" applyBorder="1" applyAlignment="1">
      <alignment wrapText="1"/>
    </xf>
    <xf numFmtId="0" fontId="11" fillId="19" borderId="47" xfId="4" applyFill="1" applyBorder="1" applyAlignment="1">
      <alignment horizontal="right"/>
    </xf>
    <xf numFmtId="0" fontId="11" fillId="19" borderId="48" xfId="4" applyFill="1" applyBorder="1" applyAlignment="1">
      <alignment horizontal="center"/>
    </xf>
    <xf numFmtId="169" fontId="11" fillId="19" borderId="48" xfId="4" applyNumberFormat="1" applyFill="1" applyBorder="1" applyAlignment="1">
      <alignment horizontal="center"/>
    </xf>
    <xf numFmtId="165" fontId="11" fillId="19" borderId="49" xfId="1" applyNumberFormat="1" applyFont="1" applyFill="1" applyBorder="1" applyAlignment="1">
      <alignment horizontal="center"/>
    </xf>
    <xf numFmtId="164" fontId="11" fillId="19" borderId="36" xfId="1" applyNumberFormat="1" applyFont="1" applyFill="1" applyBorder="1" applyAlignment="1">
      <alignment horizontal="center"/>
    </xf>
    <xf numFmtId="43" fontId="11" fillId="19" borderId="36" xfId="1" applyFont="1" applyFill="1" applyBorder="1" applyAlignment="1">
      <alignment horizontal="center"/>
    </xf>
    <xf numFmtId="43" fontId="11" fillId="19" borderId="50" xfId="1" applyFont="1" applyFill="1" applyBorder="1" applyAlignment="1">
      <alignment horizontal="center"/>
    </xf>
    <xf numFmtId="43" fontId="11" fillId="19" borderId="49" xfId="1" applyFont="1" applyFill="1" applyBorder="1" applyAlignment="1">
      <alignment horizontal="center"/>
    </xf>
    <xf numFmtId="170" fontId="11" fillId="19" borderId="36" xfId="1" applyNumberFormat="1" applyFont="1" applyFill="1" applyBorder="1" applyAlignment="1">
      <alignment horizontal="right"/>
    </xf>
    <xf numFmtId="165" fontId="11" fillId="19" borderId="42" xfId="1" applyNumberFormat="1" applyFont="1" applyFill="1" applyBorder="1" applyAlignment="1">
      <alignment horizontal="right"/>
    </xf>
    <xf numFmtId="170" fontId="11" fillId="19" borderId="51" xfId="4" applyNumberFormat="1" applyFont="1" applyFill="1" applyBorder="1"/>
    <xf numFmtId="0" fontId="11" fillId="19" borderId="12" xfId="4" applyFont="1" applyFill="1" applyBorder="1" applyAlignment="1">
      <alignment horizontal="right"/>
    </xf>
    <xf numFmtId="0" fontId="11" fillId="19" borderId="13" xfId="4" applyFill="1" applyBorder="1" applyAlignment="1">
      <alignment horizontal="center"/>
    </xf>
    <xf numFmtId="0" fontId="11" fillId="19" borderId="52" xfId="4" applyFont="1" applyFill="1" applyBorder="1" applyAlignment="1">
      <alignment horizontal="right" wrapText="1"/>
    </xf>
    <xf numFmtId="0" fontId="11" fillId="19" borderId="53" xfId="4" applyFont="1" applyFill="1" applyBorder="1" applyAlignment="1">
      <alignment horizontal="right" wrapText="1"/>
    </xf>
    <xf numFmtId="0" fontId="11" fillId="19" borderId="54" xfId="4" applyFont="1" applyFill="1" applyBorder="1" applyAlignment="1">
      <alignment horizontal="right" wrapText="1"/>
    </xf>
    <xf numFmtId="165" fontId="11" fillId="19" borderId="46" xfId="4" applyNumberFormat="1" applyFont="1" applyFill="1" applyBorder="1" applyAlignment="1">
      <alignment horizontal="right" wrapText="1"/>
    </xf>
    <xf numFmtId="0" fontId="11" fillId="19" borderId="55" xfId="4" applyFont="1" applyFill="1" applyBorder="1" applyAlignment="1">
      <alignment horizontal="right" wrapText="1"/>
    </xf>
    <xf numFmtId="165" fontId="11" fillId="19" borderId="53" xfId="4" applyNumberFormat="1" applyFont="1" applyFill="1" applyBorder="1" applyAlignment="1">
      <alignment horizontal="right" wrapText="1"/>
    </xf>
    <xf numFmtId="0" fontId="11" fillId="19" borderId="0" xfId="4" applyFill="1"/>
    <xf numFmtId="0" fontId="12" fillId="22" borderId="16" xfId="4" applyFont="1" applyFill="1" applyBorder="1" applyAlignment="1">
      <alignment horizontal="left"/>
    </xf>
    <xf numFmtId="0" fontId="11" fillId="22" borderId="18" xfId="4" applyFont="1" applyFill="1" applyBorder="1" applyAlignment="1">
      <alignment horizontal="left"/>
    </xf>
    <xf numFmtId="9" fontId="19" fillId="19" borderId="41" xfId="3" applyNumberFormat="1" applyFont="1" applyFill="1" applyBorder="1"/>
    <xf numFmtId="164" fontId="19" fillId="19" borderId="29" xfId="1" applyNumberFormat="1" applyFont="1" applyFill="1" applyBorder="1"/>
    <xf numFmtId="165" fontId="19" fillId="19" borderId="29" xfId="1" applyNumberFormat="1" applyFont="1" applyFill="1" applyBorder="1"/>
    <xf numFmtId="166" fontId="11" fillId="19" borderId="29" xfId="2" applyNumberFormat="1" applyFont="1" applyFill="1" applyBorder="1"/>
    <xf numFmtId="166" fontId="19" fillId="19" borderId="29" xfId="2" applyNumberFormat="1" applyFont="1" applyFill="1" applyBorder="1"/>
    <xf numFmtId="164" fontId="19" fillId="19" borderId="56" xfId="1" applyNumberFormat="1" applyFont="1" applyFill="1" applyBorder="1"/>
    <xf numFmtId="0" fontId="11" fillId="19" borderId="0" xfId="6" applyFill="1"/>
    <xf numFmtId="0" fontId="11" fillId="19" borderId="8" xfId="4" applyFont="1" applyFill="1" applyBorder="1" applyAlignment="1">
      <alignment horizontal="center" wrapText="1"/>
    </xf>
    <xf numFmtId="0" fontId="1" fillId="23" borderId="8" xfId="7" applyFill="1" applyBorder="1"/>
    <xf numFmtId="0" fontId="1" fillId="23" borderId="0" xfId="7" applyFill="1" applyBorder="1"/>
    <xf numFmtId="9" fontId="1" fillId="23" borderId="0" xfId="3" applyFont="1" applyFill="1"/>
    <xf numFmtId="3" fontId="11" fillId="19" borderId="8" xfId="4" applyNumberFormat="1" applyFont="1" applyFill="1" applyBorder="1"/>
    <xf numFmtId="169" fontId="11" fillId="19" borderId="8" xfId="4" applyNumberFormat="1" applyFont="1" applyFill="1" applyBorder="1"/>
    <xf numFmtId="9" fontId="1" fillId="23" borderId="8" xfId="7" applyNumberFormat="1" applyFill="1" applyBorder="1"/>
    <xf numFmtId="9" fontId="1" fillId="23" borderId="0" xfId="7" applyNumberFormat="1" applyFill="1" applyBorder="1"/>
    <xf numFmtId="0" fontId="22" fillId="19" borderId="0" xfId="4" applyFont="1" applyFill="1" applyAlignment="1">
      <alignment horizontal="left" vertical="top" wrapText="1"/>
    </xf>
    <xf numFmtId="0" fontId="23" fillId="19" borderId="0" xfId="4" applyFont="1" applyFill="1"/>
    <xf numFmtId="0" fontId="11" fillId="19" borderId="0" xfId="4" applyFont="1" applyFill="1" applyAlignment="1">
      <alignment horizontal="left" vertical="top" wrapText="1"/>
    </xf>
    <xf numFmtId="0" fontId="11" fillId="24" borderId="8" xfId="4" applyFill="1" applyBorder="1" applyAlignment="1">
      <alignment horizontal="center" wrapText="1"/>
    </xf>
    <xf numFmtId="0" fontId="11" fillId="24" borderId="8" xfId="4" applyFill="1" applyBorder="1" applyAlignment="1">
      <alignment horizontal="center"/>
    </xf>
    <xf numFmtId="0" fontId="11" fillId="25" borderId="8" xfId="4" applyFill="1" applyBorder="1" applyAlignment="1">
      <alignment horizontal="center"/>
    </xf>
    <xf numFmtId="164" fontId="0" fillId="25" borderId="8" xfId="1" applyNumberFormat="1" applyFont="1" applyFill="1" applyBorder="1"/>
    <xf numFmtId="164" fontId="0" fillId="25" borderId="8" xfId="1" applyNumberFormat="1" applyFont="1" applyFill="1" applyBorder="1" applyAlignment="1">
      <alignment horizontal="center"/>
    </xf>
    <xf numFmtId="43" fontId="0" fillId="25" borderId="8" xfId="1" applyFont="1" applyFill="1" applyBorder="1"/>
    <xf numFmtId="164" fontId="0" fillId="0" borderId="8" xfId="1" applyNumberFormat="1" applyFont="1" applyBorder="1"/>
    <xf numFmtId="164" fontId="0" fillId="0" borderId="8" xfId="1" applyNumberFormat="1" applyFont="1" applyBorder="1" applyAlignment="1">
      <alignment horizontal="center"/>
    </xf>
    <xf numFmtId="43" fontId="0" fillId="0" borderId="8" xfId="1" applyFont="1" applyBorder="1"/>
    <xf numFmtId="43" fontId="0" fillId="26" borderId="8" xfId="1" applyFont="1" applyFill="1" applyBorder="1"/>
    <xf numFmtId="0" fontId="11" fillId="26" borderId="0" xfId="4" applyFont="1" applyFill="1"/>
    <xf numFmtId="0" fontId="0" fillId="0" borderId="0" xfId="0" applyAlignment="1">
      <alignment horizontal="center" wrapText="1"/>
    </xf>
    <xf numFmtId="0" fontId="11" fillId="44" borderId="8" xfId="4" applyFont="1" applyFill="1" applyBorder="1"/>
    <xf numFmtId="165" fontId="11" fillId="19" borderId="0" xfId="1" applyNumberFormat="1" applyFont="1" applyFill="1"/>
    <xf numFmtId="43" fontId="11" fillId="19" borderId="8" xfId="1" applyNumberFormat="1" applyFont="1" applyFill="1" applyBorder="1" applyAlignment="1">
      <alignment horizontal="center"/>
    </xf>
    <xf numFmtId="176" fontId="19" fillId="19" borderId="0" xfId="4" applyNumberFormat="1" applyFont="1" applyFill="1" applyBorder="1"/>
    <xf numFmtId="167" fontId="11" fillId="19" borderId="0" xfId="4" applyNumberFormat="1" applyFont="1" applyFill="1"/>
    <xf numFmtId="176" fontId="11" fillId="19" borderId="0" xfId="4" applyNumberFormat="1" applyFont="1" applyFill="1"/>
    <xf numFmtId="166" fontId="11" fillId="19" borderId="0" xfId="2" applyNumberFormat="1" applyFont="1" applyFill="1"/>
    <xf numFmtId="43" fontId="0" fillId="0" borderId="0" xfId="0" applyNumberFormat="1"/>
    <xf numFmtId="165" fontId="0" fillId="0" borderId="0" xfId="0" applyNumberFormat="1"/>
    <xf numFmtId="0" fontId="0" fillId="0" borderId="8" xfId="0" applyBorder="1"/>
    <xf numFmtId="165" fontId="11" fillId="19" borderId="8" xfId="4" applyNumberFormat="1" applyFont="1" applyFill="1" applyBorder="1"/>
    <xf numFmtId="43" fontId="11" fillId="19" borderId="8" xfId="1" applyNumberFormat="1" applyFont="1" applyFill="1" applyBorder="1"/>
    <xf numFmtId="166" fontId="11" fillId="19" borderId="8" xfId="4" applyNumberFormat="1" applyFont="1" applyFill="1" applyBorder="1"/>
    <xf numFmtId="0" fontId="11" fillId="19" borderId="8" xfId="4" applyFont="1" applyFill="1" applyBorder="1" applyAlignment="1">
      <alignment horizontal="center"/>
    </xf>
    <xf numFmtId="9" fontId="11" fillId="19" borderId="34" xfId="3" applyFont="1" applyFill="1" applyBorder="1" applyAlignment="1">
      <alignment horizontal="center"/>
    </xf>
    <xf numFmtId="170" fontId="11" fillId="19" borderId="27" xfId="1" applyNumberFormat="1" applyFont="1" applyFill="1" applyBorder="1" applyAlignment="1">
      <alignment horizontal="right"/>
    </xf>
    <xf numFmtId="164" fontId="11" fillId="19" borderId="27" xfId="1" applyNumberFormat="1" applyFont="1" applyFill="1" applyBorder="1" applyAlignment="1"/>
    <xf numFmtId="3" fontId="12" fillId="22" borderId="13" xfId="4" applyNumberFormat="1" applyFont="1" applyFill="1" applyBorder="1" applyAlignment="1">
      <alignment horizontal="center" wrapText="1"/>
    </xf>
    <xf numFmtId="3" fontId="12" fillId="22" borderId="15" xfId="4" applyNumberFormat="1" applyFont="1" applyFill="1" applyBorder="1" applyAlignment="1">
      <alignment horizontal="center" wrapText="1"/>
    </xf>
    <xf numFmtId="9" fontId="11" fillId="19" borderId="75" xfId="3" applyFont="1" applyFill="1" applyBorder="1" applyAlignment="1">
      <alignment horizontal="center"/>
    </xf>
    <xf numFmtId="170" fontId="11" fillId="19" borderId="49" xfId="1" applyNumberFormat="1" applyFont="1" applyFill="1" applyBorder="1" applyAlignment="1">
      <alignment horizontal="right"/>
    </xf>
    <xf numFmtId="164" fontId="11" fillId="19" borderId="49" xfId="1" applyNumberFormat="1" applyFont="1" applyFill="1" applyBorder="1" applyAlignment="1"/>
    <xf numFmtId="0" fontId="11" fillId="19" borderId="51" xfId="4" applyFont="1" applyFill="1" applyBorder="1" applyAlignment="1">
      <alignment horizontal="right" wrapText="1"/>
    </xf>
    <xf numFmtId="165" fontId="11" fillId="19" borderId="52" xfId="4" applyNumberFormat="1" applyFont="1" applyFill="1" applyBorder="1" applyAlignment="1">
      <alignment horizontal="right" wrapText="1"/>
    </xf>
    <xf numFmtId="0" fontId="1" fillId="23" borderId="8" xfId="928" applyFill="1" applyBorder="1"/>
    <xf numFmtId="9" fontId="1" fillId="23" borderId="8" xfId="928" applyNumberFormat="1" applyFill="1" applyBorder="1"/>
    <xf numFmtId="0" fontId="11" fillId="23" borderId="0" xfId="884" applyFont="1" applyFill="1"/>
    <xf numFmtId="0" fontId="11" fillId="23" borderId="0" xfId="884" applyFill="1"/>
    <xf numFmtId="0" fontId="13" fillId="18" borderId="8" xfId="884" applyFont="1" applyFill="1" applyBorder="1" applyAlignment="1">
      <alignment horizontal="left" wrapText="1"/>
    </xf>
    <xf numFmtId="164" fontId="11" fillId="21" borderId="8" xfId="6" applyNumberFormat="1" applyFont="1" applyFill="1" applyBorder="1" applyAlignment="1">
      <alignment horizontal="left" wrapText="1"/>
    </xf>
    <xf numFmtId="164" fontId="11" fillId="21" borderId="8" xfId="884" applyNumberFormat="1" applyFill="1" applyBorder="1"/>
    <xf numFmtId="165" fontId="11" fillId="21" borderId="8" xfId="884" applyNumberFormat="1" applyFill="1" applyBorder="1"/>
    <xf numFmtId="0" fontId="12" fillId="23" borderId="0" xfId="884" applyFont="1" applyFill="1"/>
    <xf numFmtId="166" fontId="11" fillId="21" borderId="8" xfId="717" applyNumberFormat="1" applyFont="1" applyFill="1" applyBorder="1"/>
    <xf numFmtId="166" fontId="0" fillId="21" borderId="8" xfId="717" applyNumberFormat="1" applyFont="1" applyFill="1" applyBorder="1"/>
    <xf numFmtId="0" fontId="11" fillId="23" borderId="76" xfId="884" applyFont="1" applyFill="1" applyBorder="1"/>
    <xf numFmtId="0" fontId="11" fillId="23" borderId="77" xfId="884" applyFill="1" applyBorder="1"/>
    <xf numFmtId="0" fontId="11" fillId="23" borderId="78" xfId="884" applyFill="1" applyBorder="1"/>
    <xf numFmtId="0" fontId="11" fillId="19" borderId="27" xfId="884" applyFont="1" applyFill="1" applyBorder="1"/>
    <xf numFmtId="0" fontId="11" fillId="19" borderId="8" xfId="884" applyFont="1" applyFill="1" applyBorder="1" applyAlignment="1">
      <alignment horizontal="center" wrapText="1"/>
    </xf>
    <xf numFmtId="0" fontId="11" fillId="23" borderId="29" xfId="884" applyFont="1" applyFill="1" applyBorder="1"/>
    <xf numFmtId="165" fontId="11" fillId="23" borderId="8" xfId="1" applyNumberFormat="1" applyFont="1" applyFill="1" applyBorder="1" applyAlignment="1">
      <alignment horizontal="center"/>
    </xf>
    <xf numFmtId="165" fontId="11" fillId="23" borderId="29" xfId="1" applyNumberFormat="1" applyFont="1" applyFill="1" applyBorder="1" applyAlignment="1">
      <alignment horizontal="center"/>
    </xf>
    <xf numFmtId="9" fontId="11" fillId="23" borderId="8" xfId="3" applyFont="1" applyFill="1" applyBorder="1"/>
    <xf numFmtId="9" fontId="11" fillId="23" borderId="29" xfId="3" applyFont="1" applyFill="1" applyBorder="1"/>
    <xf numFmtId="168" fontId="11" fillId="23" borderId="8" xfId="3" applyNumberFormat="1" applyFont="1" applyFill="1" applyBorder="1"/>
    <xf numFmtId="168" fontId="11" fillId="23" borderId="29" xfId="3" applyNumberFormat="1" applyFont="1" applyFill="1" applyBorder="1"/>
    <xf numFmtId="43" fontId="11" fillId="23" borderId="8" xfId="1" applyFont="1" applyFill="1" applyBorder="1"/>
    <xf numFmtId="43" fontId="11" fillId="23" borderId="29" xfId="1" applyFont="1" applyFill="1" applyBorder="1"/>
    <xf numFmtId="165" fontId="11" fillId="23" borderId="8" xfId="1" applyNumberFormat="1" applyFont="1" applyFill="1" applyBorder="1"/>
    <xf numFmtId="165" fontId="11" fillId="23" borderId="29" xfId="1" applyNumberFormat="1" applyFont="1" applyFill="1" applyBorder="1"/>
    <xf numFmtId="43" fontId="11" fillId="23" borderId="8" xfId="884" applyNumberFormat="1" applyFill="1" applyBorder="1"/>
    <xf numFmtId="43" fontId="11" fillId="23" borderId="29" xfId="884" applyNumberFormat="1" applyFill="1" applyBorder="1"/>
    <xf numFmtId="0" fontId="11" fillId="23" borderId="8" xfId="884" applyFill="1" applyBorder="1"/>
    <xf numFmtId="0" fontId="11" fillId="23" borderId="29" xfId="884" applyFill="1" applyBorder="1"/>
    <xf numFmtId="0" fontId="11" fillId="23" borderId="80" xfId="884" applyFont="1" applyFill="1" applyBorder="1"/>
    <xf numFmtId="166" fontId="11" fillId="23" borderId="81" xfId="2" applyNumberFormat="1" applyFont="1" applyFill="1" applyBorder="1"/>
    <xf numFmtId="166" fontId="11" fillId="23" borderId="56" xfId="2" applyNumberFormat="1" applyFont="1" applyFill="1" applyBorder="1"/>
    <xf numFmtId="0" fontId="11" fillId="23" borderId="0" xfId="884" applyFont="1" applyFill="1" applyBorder="1"/>
    <xf numFmtId="0" fontId="11" fillId="23" borderId="0" xfId="884" applyFill="1" applyBorder="1"/>
    <xf numFmtId="0" fontId="11" fillId="23" borderId="8" xfId="884" applyFont="1" applyFill="1" applyBorder="1"/>
    <xf numFmtId="0" fontId="12" fillId="19" borderId="0" xfId="884" applyFont="1" applyFill="1" applyBorder="1" applyAlignment="1">
      <alignment horizontal="center"/>
    </xf>
    <xf numFmtId="0" fontId="46" fillId="23" borderId="27" xfId="1341" applyFill="1" applyBorder="1"/>
    <xf numFmtId="43" fontId="46" fillId="23" borderId="29" xfId="1341" applyNumberFormat="1" applyFill="1" applyBorder="1"/>
    <xf numFmtId="0" fontId="46" fillId="19" borderId="0" xfId="1341" applyFill="1" applyBorder="1"/>
    <xf numFmtId="165" fontId="46" fillId="23" borderId="29" xfId="1341" applyNumberFormat="1" applyFill="1" applyBorder="1"/>
    <xf numFmtId="166" fontId="11" fillId="23" borderId="29" xfId="725" applyNumberFormat="1" applyFont="1" applyFill="1" applyBorder="1"/>
    <xf numFmtId="166" fontId="11" fillId="19" borderId="29" xfId="725" applyNumberFormat="1" applyFont="1" applyFill="1" applyBorder="1"/>
    <xf numFmtId="164" fontId="46" fillId="23" borderId="29" xfId="1341" applyNumberFormat="1" applyFill="1" applyBorder="1"/>
    <xf numFmtId="0" fontId="11" fillId="23" borderId="0" xfId="895" applyFont="1" applyFill="1"/>
    <xf numFmtId="0" fontId="11" fillId="23" borderId="8" xfId="895" applyFont="1" applyFill="1" applyBorder="1" applyAlignment="1">
      <alignment horizontal="center" wrapText="1"/>
    </xf>
    <xf numFmtId="0" fontId="11" fillId="23" borderId="8" xfId="895" applyFont="1" applyFill="1" applyBorder="1"/>
    <xf numFmtId="3" fontId="11" fillId="19" borderId="8" xfId="895" applyNumberFormat="1" applyFont="1" applyFill="1" applyBorder="1"/>
    <xf numFmtId="169" fontId="11" fillId="23" borderId="8" xfId="895" applyNumberFormat="1" applyFont="1" applyFill="1" applyBorder="1"/>
    <xf numFmtId="166" fontId="11" fillId="23" borderId="0" xfId="2" applyNumberFormat="1" applyFont="1" applyFill="1" applyBorder="1"/>
    <xf numFmtId="166" fontId="11" fillId="23" borderId="8" xfId="2" applyNumberFormat="1" applyFont="1" applyFill="1" applyBorder="1"/>
    <xf numFmtId="0" fontId="11" fillId="23" borderId="27" xfId="884" applyFont="1" applyFill="1" applyBorder="1"/>
    <xf numFmtId="166" fontId="11" fillId="23" borderId="29" xfId="2" applyNumberFormat="1" applyFont="1" applyFill="1" applyBorder="1"/>
    <xf numFmtId="0" fontId="0" fillId="0" borderId="8" xfId="0" applyBorder="1" applyAlignment="1">
      <alignment horizontal="center" wrapText="1"/>
    </xf>
    <xf numFmtId="165" fontId="0" fillId="0" borderId="8" xfId="1" applyNumberFormat="1" applyFont="1" applyBorder="1"/>
    <xf numFmtId="43" fontId="0" fillId="0" borderId="8" xfId="0" applyNumberFormat="1" applyBorder="1"/>
    <xf numFmtId="166" fontId="0" fillId="0" borderId="8" xfId="2" applyNumberFormat="1" applyFont="1" applyBorder="1"/>
    <xf numFmtId="165" fontId="0" fillId="0" borderId="8" xfId="0" applyNumberFormat="1" applyBorder="1" applyAlignment="1">
      <alignment horizontal="center"/>
    </xf>
    <xf numFmtId="0" fontId="11" fillId="19" borderId="0" xfId="863" applyFont="1" applyFill="1"/>
    <xf numFmtId="0" fontId="13" fillId="18" borderId="8" xfId="863" applyFont="1" applyFill="1" applyBorder="1" applyAlignment="1">
      <alignment horizontal="left" wrapText="1"/>
    </xf>
    <xf numFmtId="164" fontId="14" fillId="21" borderId="8" xfId="863" applyNumberFormat="1" applyFont="1" applyFill="1" applyBorder="1" applyAlignment="1">
      <alignment horizontal="left" wrapText="1"/>
    </xf>
    <xf numFmtId="164" fontId="11" fillId="21" borderId="8" xfId="863" applyNumberFormat="1" applyFont="1" applyFill="1" applyBorder="1"/>
    <xf numFmtId="165" fontId="11" fillId="21" borderId="8" xfId="863" applyNumberFormat="1" applyFont="1" applyFill="1" applyBorder="1"/>
    <xf numFmtId="166" fontId="11" fillId="21" borderId="8" xfId="772" applyNumberFormat="1" applyFont="1" applyFill="1" applyBorder="1"/>
    <xf numFmtId="166" fontId="0" fillId="21" borderId="8" xfId="772" applyNumberFormat="1" applyFont="1" applyFill="1" applyBorder="1"/>
    <xf numFmtId="0" fontId="11" fillId="19" borderId="0" xfId="863" applyFont="1" applyFill="1" applyBorder="1"/>
    <xf numFmtId="0" fontId="11" fillId="19" borderId="76" xfId="863" applyFont="1" applyFill="1" applyBorder="1"/>
    <xf numFmtId="0" fontId="11" fillId="19" borderId="77" xfId="863" applyFill="1" applyBorder="1"/>
    <xf numFmtId="0" fontId="11" fillId="19" borderId="77" xfId="863" applyFont="1" applyFill="1" applyBorder="1"/>
    <xf numFmtId="0" fontId="11" fillId="19" borderId="78" xfId="863" applyFont="1" applyFill="1" applyBorder="1"/>
    <xf numFmtId="0" fontId="12" fillId="22" borderId="16" xfId="863" applyNumberFormat="1" applyFont="1" applyFill="1" applyBorder="1" applyAlignment="1">
      <alignment horizontal="left"/>
    </xf>
    <xf numFmtId="0" fontId="11" fillId="22" borderId="17" xfId="863" applyNumberFormat="1" applyFont="1" applyFill="1" applyBorder="1" applyAlignment="1">
      <alignment horizontal="right"/>
    </xf>
    <xf numFmtId="0" fontId="11" fillId="22" borderId="18" xfId="863" applyNumberFormat="1" applyFont="1" applyFill="1" applyBorder="1" applyAlignment="1">
      <alignment horizontal="right"/>
    </xf>
    <xf numFmtId="0" fontId="11" fillId="19" borderId="0" xfId="863" applyNumberFormat="1" applyFont="1" applyFill="1" applyBorder="1" applyAlignment="1">
      <alignment horizontal="right"/>
    </xf>
    <xf numFmtId="0" fontId="11" fillId="22" borderId="25" xfId="863" applyFont="1" applyFill="1" applyBorder="1" applyAlignment="1">
      <alignment horizontal="center"/>
    </xf>
    <xf numFmtId="0" fontId="11" fillId="22" borderId="0" xfId="863" applyFont="1" applyFill="1" applyBorder="1" applyAlignment="1">
      <alignment horizontal="center"/>
    </xf>
    <xf numFmtId="0" fontId="11" fillId="22" borderId="0" xfId="863" applyNumberFormat="1" applyFont="1" applyFill="1" applyBorder="1" applyAlignment="1">
      <alignment horizontal="center" wrapText="1"/>
    </xf>
    <xf numFmtId="0" fontId="11" fillId="19" borderId="0" xfId="863" applyFill="1"/>
    <xf numFmtId="0" fontId="11" fillId="19" borderId="27" xfId="863" applyFont="1" applyFill="1" applyBorder="1" applyAlignment="1">
      <alignment horizontal="left" wrapText="1"/>
    </xf>
    <xf numFmtId="0" fontId="11" fillId="19" borderId="8" xfId="863" applyNumberFormat="1" applyFont="1" applyFill="1" applyBorder="1" applyAlignment="1">
      <alignment horizontal="center" wrapText="1"/>
    </xf>
    <xf numFmtId="9" fontId="11" fillId="19" borderId="8" xfId="863" applyNumberFormat="1" applyFont="1" applyFill="1" applyBorder="1" applyAlignment="1">
      <alignment horizontal="center" wrapText="1"/>
    </xf>
    <xf numFmtId="168" fontId="11" fillId="19" borderId="28" xfId="863" applyNumberFormat="1" applyFont="1" applyFill="1" applyBorder="1" applyAlignment="1">
      <alignment horizontal="center"/>
    </xf>
    <xf numFmtId="0" fontId="11" fillId="19" borderId="0" xfId="1074" applyFont="1" applyFill="1" applyAlignment="1">
      <alignment horizontal="left" vertical="top"/>
    </xf>
    <xf numFmtId="9" fontId="11" fillId="19" borderId="27" xfId="1272" applyFont="1" applyFill="1" applyBorder="1" applyAlignment="1">
      <alignment horizontal="center"/>
    </xf>
    <xf numFmtId="164" fontId="11" fillId="19" borderId="8" xfId="657" applyNumberFormat="1" applyFont="1" applyFill="1" applyBorder="1" applyAlignment="1">
      <alignment horizontal="right" vertical="top"/>
    </xf>
    <xf numFmtId="165" fontId="11" fillId="19" borderId="8" xfId="657" applyNumberFormat="1" applyFont="1" applyFill="1" applyBorder="1"/>
    <xf numFmtId="164" fontId="11" fillId="19" borderId="8" xfId="863" applyNumberFormat="1" applyFont="1" applyFill="1" applyBorder="1"/>
    <xf numFmtId="165" fontId="11" fillId="19" borderId="29" xfId="657" applyNumberFormat="1" applyFont="1" applyFill="1" applyBorder="1"/>
    <xf numFmtId="43" fontId="11" fillId="19" borderId="0" xfId="559" applyFont="1" applyFill="1" applyBorder="1" applyAlignment="1">
      <alignment horizontal="center" wrapText="1"/>
    </xf>
    <xf numFmtId="0" fontId="11" fillId="19" borderId="0" xfId="1074" applyFont="1" applyFill="1" applyAlignment="1">
      <alignment vertical="top"/>
    </xf>
    <xf numFmtId="0" fontId="11" fillId="22" borderId="25" xfId="863" applyFont="1" applyFill="1" applyBorder="1"/>
    <xf numFmtId="0" fontId="11" fillId="22" borderId="0" xfId="863" applyFont="1" applyFill="1" applyBorder="1"/>
    <xf numFmtId="0" fontId="11" fillId="22" borderId="0" xfId="863" applyFont="1" applyFill="1" applyBorder="1" applyAlignment="1">
      <alignment horizontal="right"/>
    </xf>
    <xf numFmtId="0" fontId="11" fillId="22" borderId="24" xfId="863" applyFont="1" applyFill="1" applyBorder="1"/>
    <xf numFmtId="3" fontId="11" fillId="19" borderId="0" xfId="657" applyNumberFormat="1" applyFont="1" applyFill="1" applyBorder="1" applyAlignment="1">
      <alignment horizontal="left"/>
    </xf>
    <xf numFmtId="0" fontId="11" fillId="22" borderId="25" xfId="863" applyFill="1" applyBorder="1" applyAlignment="1">
      <alignment horizontal="right"/>
    </xf>
    <xf numFmtId="0" fontId="11" fillId="22" borderId="0" xfId="863" applyFill="1" applyBorder="1"/>
    <xf numFmtId="3" fontId="12" fillId="19" borderId="0" xfId="657" applyNumberFormat="1" applyFont="1" applyFill="1" applyBorder="1" applyAlignment="1">
      <alignment horizontal="center"/>
    </xf>
    <xf numFmtId="9" fontId="11" fillId="19" borderId="8" xfId="1272" applyFont="1" applyFill="1" applyBorder="1" applyAlignment="1">
      <alignment horizontal="center"/>
    </xf>
    <xf numFmtId="177" fontId="11" fillId="19" borderId="0" xfId="559" applyNumberFormat="1" applyFont="1" applyFill="1" applyBorder="1" applyAlignment="1">
      <alignment horizontal="center" wrapText="1"/>
    </xf>
    <xf numFmtId="3" fontId="11" fillId="19" borderId="0" xfId="863" applyNumberFormat="1" applyFont="1" applyFill="1" applyBorder="1" applyAlignment="1">
      <alignment horizontal="center" wrapText="1"/>
    </xf>
    <xf numFmtId="0" fontId="11" fillId="22" borderId="25" xfId="863" applyFont="1" applyFill="1" applyBorder="1" applyAlignment="1"/>
    <xf numFmtId="171" fontId="11" fillId="22" borderId="0" xfId="863" applyNumberFormat="1" applyFont="1" applyFill="1" applyBorder="1" applyAlignment="1">
      <alignment horizontal="center" wrapText="1"/>
    </xf>
    <xf numFmtId="3" fontId="12" fillId="22" borderId="0" xfId="863" applyNumberFormat="1" applyFont="1" applyFill="1" applyBorder="1" applyAlignment="1">
      <alignment horizontal="center" wrapText="1"/>
    </xf>
    <xf numFmtId="3" fontId="12" fillId="22" borderId="24" xfId="863" applyNumberFormat="1" applyFont="1" applyFill="1" applyBorder="1" applyAlignment="1">
      <alignment horizontal="center" wrapText="1"/>
    </xf>
    <xf numFmtId="3" fontId="11" fillId="19" borderId="8" xfId="863" applyNumberFormat="1" applyFont="1" applyFill="1" applyBorder="1" applyAlignment="1">
      <alignment horizontal="center" wrapText="1"/>
    </xf>
    <xf numFmtId="3" fontId="11" fillId="22" borderId="24" xfId="863" applyNumberFormat="1" applyFont="1" applyFill="1" applyBorder="1" applyAlignment="1">
      <alignment horizontal="left" wrapText="1"/>
    </xf>
    <xf numFmtId="0" fontId="15" fillId="19" borderId="0" xfId="863" applyFont="1" applyFill="1"/>
    <xf numFmtId="0" fontId="11" fillId="19" borderId="0" xfId="863" applyFont="1" applyFill="1" applyBorder="1" applyAlignment="1"/>
    <xf numFmtId="171" fontId="11" fillId="19" borderId="0" xfId="863" applyNumberFormat="1" applyFont="1" applyFill="1" applyBorder="1" applyAlignment="1">
      <alignment horizontal="center" wrapText="1"/>
    </xf>
    <xf numFmtId="3" fontId="12" fillId="19" borderId="0" xfId="863" applyNumberFormat="1" applyFont="1" applyFill="1" applyBorder="1" applyAlignment="1">
      <alignment horizontal="center" wrapText="1"/>
    </xf>
    <xf numFmtId="0" fontId="12" fillId="22" borderId="16" xfId="863" applyFont="1" applyFill="1" applyBorder="1"/>
    <xf numFmtId="0" fontId="11" fillId="22" borderId="17" xfId="863" applyFont="1" applyFill="1" applyBorder="1"/>
    <xf numFmtId="0" fontId="11" fillId="22" borderId="18" xfId="863" applyFont="1" applyFill="1" applyBorder="1"/>
    <xf numFmtId="0" fontId="12" fillId="22" borderId="40" xfId="863" applyNumberFormat="1" applyFont="1" applyFill="1" applyBorder="1" applyAlignment="1">
      <alignment horizontal="left"/>
    </xf>
    <xf numFmtId="0" fontId="11" fillId="22" borderId="37" xfId="863" applyFont="1" applyFill="1" applyBorder="1" applyAlignment="1">
      <alignment horizontal="center"/>
    </xf>
    <xf numFmtId="0" fontId="11" fillId="22" borderId="41" xfId="863" applyNumberFormat="1" applyFill="1" applyBorder="1" applyAlignment="1">
      <alignment horizontal="center" wrapText="1"/>
    </xf>
    <xf numFmtId="0" fontId="11" fillId="19" borderId="0" xfId="863" applyNumberFormat="1" applyFill="1" applyBorder="1" applyAlignment="1">
      <alignment wrapText="1"/>
    </xf>
    <xf numFmtId="0" fontId="11" fillId="19" borderId="0" xfId="863" applyNumberFormat="1" applyFont="1" applyFill="1" applyBorder="1" applyAlignment="1">
      <alignment horizontal="center"/>
    </xf>
    <xf numFmtId="0" fontId="47" fillId="19" borderId="27" xfId="863" applyFont="1" applyFill="1" applyBorder="1"/>
    <xf numFmtId="0" fontId="47" fillId="19" borderId="8" xfId="863" applyFont="1" applyFill="1" applyBorder="1"/>
    <xf numFmtId="166" fontId="47" fillId="19" borderId="29" xfId="683" applyNumberFormat="1" applyFont="1" applyFill="1" applyBorder="1" applyAlignment="1">
      <alignment horizontal="center" wrapText="1"/>
    </xf>
    <xf numFmtId="3" fontId="19" fillId="19" borderId="0" xfId="863" applyNumberFormat="1" applyFont="1" applyFill="1" applyBorder="1" applyAlignment="1">
      <alignment horizontal="center"/>
    </xf>
    <xf numFmtId="167" fontId="19" fillId="19" borderId="0" xfId="863" applyNumberFormat="1" applyFont="1" applyFill="1" applyBorder="1"/>
    <xf numFmtId="9" fontId="11" fillId="19" borderId="49" xfId="1272" applyFont="1" applyFill="1" applyBorder="1" applyAlignment="1">
      <alignment horizontal="center"/>
    </xf>
    <xf numFmtId="164" fontId="11" fillId="19" borderId="36" xfId="657" applyNumberFormat="1" applyFont="1" applyFill="1" applyBorder="1" applyAlignment="1">
      <alignment horizontal="right" vertical="top"/>
    </xf>
    <xf numFmtId="165" fontId="11" fillId="19" borderId="36" xfId="657" applyNumberFormat="1" applyFont="1" applyFill="1" applyBorder="1"/>
    <xf numFmtId="164" fontId="11" fillId="19" borderId="36" xfId="863" applyNumberFormat="1" applyFont="1" applyFill="1" applyBorder="1"/>
    <xf numFmtId="165" fontId="11" fillId="19" borderId="42" xfId="657" applyNumberFormat="1" applyFont="1" applyFill="1" applyBorder="1"/>
    <xf numFmtId="0" fontId="11" fillId="19" borderId="52" xfId="863" applyFont="1" applyFill="1" applyBorder="1"/>
    <xf numFmtId="0" fontId="11" fillId="19" borderId="53" xfId="863" applyFill="1" applyBorder="1"/>
    <xf numFmtId="165" fontId="11" fillId="19" borderId="53" xfId="657" applyNumberFormat="1" applyFont="1" applyFill="1" applyBorder="1"/>
    <xf numFmtId="0" fontId="11" fillId="19" borderId="53" xfId="863" applyFont="1" applyFill="1" applyBorder="1"/>
    <xf numFmtId="165" fontId="11" fillId="19" borderId="46" xfId="657" applyNumberFormat="1" applyFont="1" applyFill="1" applyBorder="1"/>
    <xf numFmtId="9" fontId="11" fillId="19" borderId="0" xfId="1272" applyFont="1" applyFill="1" applyBorder="1" applyAlignment="1">
      <alignment horizontal="center"/>
    </xf>
    <xf numFmtId="164" fontId="11" fillId="19" borderId="0" xfId="657" applyNumberFormat="1" applyFont="1" applyFill="1" applyBorder="1" applyAlignment="1">
      <alignment horizontal="right" vertical="top"/>
    </xf>
    <xf numFmtId="164" fontId="11" fillId="19" borderId="0" xfId="863" applyNumberFormat="1" applyFont="1" applyFill="1" applyBorder="1"/>
    <xf numFmtId="1" fontId="11" fillId="19" borderId="0" xfId="863" applyNumberFormat="1" applyFont="1" applyFill="1" applyBorder="1"/>
    <xf numFmtId="0" fontId="47" fillId="19" borderId="80" xfId="863" applyFont="1" applyFill="1" applyBorder="1"/>
    <xf numFmtId="0" fontId="47" fillId="19" borderId="81" xfId="863" applyFont="1" applyFill="1" applyBorder="1"/>
    <xf numFmtId="166" fontId="47" fillId="19" borderId="56" xfId="683" applyNumberFormat="1" applyFont="1" applyFill="1" applyBorder="1" applyAlignment="1">
      <alignment horizontal="center" wrapText="1"/>
    </xf>
    <xf numFmtId="0" fontId="47" fillId="19" borderId="82" xfId="863" applyFont="1" applyFill="1" applyBorder="1"/>
    <xf numFmtId="0" fontId="47" fillId="19" borderId="83" xfId="863" applyFont="1" applyFill="1" applyBorder="1" applyAlignment="1">
      <alignment horizontal="center"/>
    </xf>
    <xf numFmtId="0" fontId="12" fillId="19" borderId="0" xfId="863" applyFont="1" applyFill="1" applyBorder="1" applyAlignment="1"/>
    <xf numFmtId="167" fontId="20" fillId="19" borderId="0" xfId="863" applyNumberFormat="1" applyFont="1" applyFill="1" applyBorder="1"/>
    <xf numFmtId="0" fontId="11" fillId="19" borderId="0" xfId="863" applyFill="1" applyBorder="1" applyAlignment="1">
      <alignment horizontal="right"/>
    </xf>
    <xf numFmtId="0" fontId="11" fillId="19" borderId="0" xfId="863" applyFill="1" applyBorder="1"/>
    <xf numFmtId="0" fontId="12" fillId="22" borderId="80" xfId="863" applyFont="1" applyFill="1" applyBorder="1" applyAlignment="1"/>
    <xf numFmtId="0" fontId="12" fillId="22" borderId="81" xfId="863" applyFont="1" applyFill="1" applyBorder="1" applyAlignment="1"/>
    <xf numFmtId="166" fontId="48" fillId="19" borderId="56" xfId="683" applyNumberFormat="1" applyFont="1" applyFill="1" applyBorder="1"/>
    <xf numFmtId="0" fontId="21" fillId="19" borderId="0" xfId="863" applyFont="1" applyFill="1" applyBorder="1" applyAlignment="1">
      <alignment horizontal="left" wrapText="1"/>
    </xf>
    <xf numFmtId="0" fontId="11" fillId="19" borderId="0" xfId="863" applyFont="1" applyFill="1" applyBorder="1" applyAlignment="1">
      <alignment wrapText="1"/>
    </xf>
    <xf numFmtId="9" fontId="12" fillId="19" borderId="0" xfId="1181" applyFont="1" applyFill="1" applyBorder="1" applyAlignment="1">
      <alignment horizontal="center" wrapText="1"/>
    </xf>
    <xf numFmtId="166" fontId="48" fillId="19" borderId="0" xfId="683" applyNumberFormat="1" applyFont="1" applyFill="1" applyBorder="1"/>
    <xf numFmtId="0" fontId="11" fillId="19" borderId="0" xfId="863" applyFont="1" applyFill="1" applyBorder="1" applyAlignment="1">
      <alignment horizontal="left" wrapText="1"/>
    </xf>
    <xf numFmtId="167" fontId="11" fillId="19" borderId="0" xfId="863" applyNumberFormat="1" applyFont="1" applyFill="1" applyBorder="1" applyAlignment="1">
      <alignment horizontal="center"/>
    </xf>
    <xf numFmtId="9" fontId="12" fillId="19" borderId="0" xfId="1181" applyNumberFormat="1" applyFont="1" applyFill="1" applyBorder="1" applyAlignment="1">
      <alignment horizontal="center" wrapText="1"/>
    </xf>
    <xf numFmtId="0" fontId="12" fillId="22" borderId="16" xfId="863" applyFont="1" applyFill="1" applyBorder="1" applyAlignment="1">
      <alignment horizontal="left"/>
    </xf>
    <xf numFmtId="0" fontId="11" fillId="22" borderId="18" xfId="863" applyFont="1" applyFill="1" applyBorder="1" applyAlignment="1">
      <alignment horizontal="left"/>
    </xf>
    <xf numFmtId="6" fontId="11" fillId="19" borderId="0" xfId="863" applyNumberFormat="1" applyFont="1" applyFill="1" applyBorder="1" applyAlignment="1">
      <alignment horizontal="center"/>
    </xf>
    <xf numFmtId="0" fontId="11" fillId="19" borderId="0" xfId="863" applyFont="1" applyFill="1" applyBorder="1" applyAlignment="1">
      <alignment horizontal="left"/>
    </xf>
    <xf numFmtId="9" fontId="49" fillId="19" borderId="85" xfId="1181" applyNumberFormat="1" applyFont="1" applyFill="1" applyBorder="1"/>
    <xf numFmtId="169" fontId="11" fillId="19" borderId="0" xfId="863" applyNumberFormat="1" applyFont="1" applyFill="1" applyBorder="1" applyAlignment="1">
      <alignment horizontal="center"/>
    </xf>
    <xf numFmtId="164" fontId="49" fillId="19" borderId="29" xfId="559" applyNumberFormat="1" applyFont="1" applyFill="1" applyBorder="1"/>
    <xf numFmtId="165" fontId="49" fillId="19" borderId="29" xfId="559" applyNumberFormat="1" applyFont="1" applyFill="1" applyBorder="1"/>
    <xf numFmtId="166" fontId="11" fillId="19" borderId="29" xfId="683" applyNumberFormat="1" applyFont="1" applyFill="1" applyBorder="1"/>
    <xf numFmtId="166" fontId="49" fillId="19" borderId="29" xfId="683" applyNumberFormat="1" applyFont="1" applyFill="1" applyBorder="1"/>
    <xf numFmtId="0" fontId="11" fillId="22" borderId="12" xfId="863" applyFont="1" applyFill="1" applyBorder="1"/>
    <xf numFmtId="164" fontId="49" fillId="19" borderId="56" xfId="559" applyNumberFormat="1" applyFont="1" applyFill="1" applyBorder="1"/>
    <xf numFmtId="169" fontId="11" fillId="19" borderId="0" xfId="863" applyNumberFormat="1" applyFont="1" applyFill="1" applyBorder="1"/>
    <xf numFmtId="3" fontId="11" fillId="19" borderId="0" xfId="863" applyNumberFormat="1" applyFont="1" applyFill="1" applyBorder="1"/>
    <xf numFmtId="0" fontId="11" fillId="19" borderId="0" xfId="1041" applyFill="1"/>
    <xf numFmtId="0" fontId="11" fillId="19" borderId="0" xfId="895" applyFont="1" applyFill="1"/>
    <xf numFmtId="0" fontId="11" fillId="19" borderId="8" xfId="895" applyFont="1" applyFill="1" applyBorder="1" applyAlignment="1">
      <alignment horizontal="center" wrapText="1"/>
    </xf>
    <xf numFmtId="0" fontId="11" fillId="19" borderId="0" xfId="1041" applyFont="1" applyFill="1"/>
    <xf numFmtId="0" fontId="11" fillId="19" borderId="8" xfId="895" applyFont="1" applyFill="1" applyBorder="1"/>
    <xf numFmtId="169" fontId="11" fillId="19" borderId="8" xfId="895" applyNumberFormat="1" applyFont="1" applyFill="1" applyBorder="1"/>
    <xf numFmtId="0" fontId="22" fillId="0" borderId="0" xfId="895" applyFont="1" applyAlignment="1">
      <alignment horizontal="left" vertical="top" wrapText="1"/>
    </xf>
    <xf numFmtId="0" fontId="12" fillId="23" borderId="0" xfId="895" applyFont="1" applyFill="1"/>
    <xf numFmtId="0" fontId="0" fillId="19" borderId="0" xfId="0" applyFill="1"/>
    <xf numFmtId="0" fontId="11" fillId="19" borderId="55" xfId="863" applyFont="1" applyFill="1" applyBorder="1"/>
    <xf numFmtId="164" fontId="11" fillId="19" borderId="30" xfId="1272" applyNumberFormat="1" applyFont="1" applyFill="1" applyBorder="1" applyAlignment="1">
      <alignment horizontal="center"/>
    </xf>
    <xf numFmtId="9" fontId="11" fillId="19" borderId="8" xfId="3" applyFont="1" applyFill="1" applyBorder="1"/>
    <xf numFmtId="0" fontId="12" fillId="19" borderId="0" xfId="863" applyNumberFormat="1" applyFont="1" applyFill="1" applyBorder="1" applyAlignment="1">
      <alignment horizontal="center"/>
    </xf>
    <xf numFmtId="164" fontId="11" fillId="19" borderId="86" xfId="1272" applyNumberFormat="1" applyFont="1" applyFill="1" applyBorder="1" applyAlignment="1">
      <alignment horizontal="center"/>
    </xf>
    <xf numFmtId="9" fontId="11" fillId="19" borderId="36" xfId="3" applyFont="1" applyFill="1" applyBorder="1"/>
    <xf numFmtId="0" fontId="0" fillId="0" borderId="0" xfId="0" applyAlignment="1">
      <alignment horizontal="center"/>
    </xf>
    <xf numFmtId="0" fontId="0" fillId="22" borderId="25" xfId="0" applyFill="1" applyBorder="1"/>
    <xf numFmtId="0" fontId="0" fillId="22" borderId="0" xfId="0" applyFill="1" applyBorder="1"/>
    <xf numFmtId="0" fontId="0" fillId="22" borderId="24" xfId="0" applyFill="1" applyBorder="1"/>
    <xf numFmtId="164" fontId="16" fillId="19" borderId="8" xfId="657" applyNumberFormat="1" applyFont="1" applyFill="1" applyBorder="1" applyAlignment="1">
      <alignment horizontal="center" wrapText="1"/>
    </xf>
    <xf numFmtId="164" fontId="16" fillId="19" borderId="36" xfId="657" applyNumberFormat="1" applyFont="1" applyFill="1" applyBorder="1" applyAlignment="1">
      <alignment horizontal="center" wrapText="1"/>
    </xf>
    <xf numFmtId="164" fontId="16" fillId="19" borderId="37" xfId="657" applyNumberFormat="1" applyFont="1" applyFill="1" applyBorder="1" applyAlignment="1">
      <alignment horizontal="center" wrapText="1"/>
    </xf>
    <xf numFmtId="0" fontId="12" fillId="19" borderId="0" xfId="888" applyFont="1" applyFill="1" applyBorder="1" applyAlignment="1">
      <alignment horizontal="center"/>
    </xf>
    <xf numFmtId="0" fontId="11" fillId="23" borderId="0" xfId="888" applyFont="1" applyFill="1"/>
    <xf numFmtId="0" fontId="11" fillId="23" borderId="0" xfId="888" applyFill="1"/>
    <xf numFmtId="0" fontId="11" fillId="20" borderId="0" xfId="888" applyFill="1"/>
    <xf numFmtId="0" fontId="11" fillId="34" borderId="0" xfId="888" applyFill="1"/>
    <xf numFmtId="0" fontId="13" fillId="18" borderId="8" xfId="888" applyFont="1" applyFill="1" applyBorder="1" applyAlignment="1">
      <alignment horizontal="left" wrapText="1"/>
    </xf>
    <xf numFmtId="164" fontId="11" fillId="21" borderId="8" xfId="888" applyNumberFormat="1" applyFont="1" applyFill="1" applyBorder="1" applyAlignment="1">
      <alignment horizontal="left" wrapText="1"/>
    </xf>
    <xf numFmtId="164" fontId="11" fillId="19" borderId="0" xfId="888" applyNumberFormat="1" applyFont="1" applyFill="1" applyBorder="1" applyAlignment="1">
      <alignment horizontal="left" wrapText="1"/>
    </xf>
    <xf numFmtId="164" fontId="11" fillId="21" borderId="8" xfId="888" applyNumberFormat="1" applyFill="1" applyBorder="1"/>
    <xf numFmtId="164" fontId="11" fillId="19" borderId="0" xfId="888" applyNumberFormat="1" applyFill="1" applyBorder="1"/>
    <xf numFmtId="165" fontId="11" fillId="21" borderId="8" xfId="888" applyNumberFormat="1" applyFill="1" applyBorder="1"/>
    <xf numFmtId="165" fontId="11" fillId="19" borderId="0" xfId="888" applyNumberFormat="1" applyFill="1" applyBorder="1"/>
    <xf numFmtId="0" fontId="12" fillId="23" borderId="0" xfId="888" applyFont="1" applyFill="1"/>
    <xf numFmtId="166" fontId="11" fillId="21" borderId="8" xfId="719" applyNumberFormat="1" applyFont="1" applyFill="1" applyBorder="1"/>
    <xf numFmtId="166" fontId="11" fillId="19" borderId="0" xfId="719" applyNumberFormat="1" applyFont="1" applyFill="1" applyBorder="1"/>
    <xf numFmtId="166" fontId="1" fillId="21" borderId="8" xfId="719" applyNumberFormat="1" applyFont="1" applyFill="1" applyBorder="1"/>
    <xf numFmtId="166" fontId="1" fillId="19" borderId="0" xfId="719" applyNumberFormat="1" applyFont="1" applyFill="1" applyBorder="1"/>
    <xf numFmtId="0" fontId="1" fillId="19" borderId="0" xfId="881" applyFill="1"/>
    <xf numFmtId="0" fontId="1" fillId="20" borderId="0" xfId="881" applyFill="1"/>
    <xf numFmtId="0" fontId="1" fillId="34" borderId="0" xfId="881" applyFill="1" applyBorder="1"/>
    <xf numFmtId="0" fontId="1" fillId="34" borderId="0" xfId="881" applyFill="1"/>
    <xf numFmtId="0" fontId="1" fillId="22" borderId="9" xfId="881" applyFill="1" applyBorder="1"/>
    <xf numFmtId="0" fontId="1" fillId="22" borderId="10" xfId="881" applyFill="1" applyBorder="1"/>
    <xf numFmtId="0" fontId="0" fillId="22" borderId="10" xfId="881" applyFont="1" applyFill="1" applyBorder="1"/>
    <xf numFmtId="0" fontId="1" fillId="22" borderId="11" xfId="881" applyFill="1" applyBorder="1"/>
    <xf numFmtId="0" fontId="1" fillId="22" borderId="25" xfId="881" applyFill="1" applyBorder="1"/>
    <xf numFmtId="0" fontId="1" fillId="22" borderId="0" xfId="881" applyFill="1" applyBorder="1"/>
    <xf numFmtId="0" fontId="1" fillId="22" borderId="24" xfId="881" applyFill="1" applyBorder="1"/>
    <xf numFmtId="0" fontId="9" fillId="22" borderId="0" xfId="881" applyFont="1" applyFill="1" applyBorder="1" applyAlignment="1">
      <alignment horizontal="right"/>
    </xf>
    <xf numFmtId="0" fontId="1" fillId="22" borderId="0" xfId="881" applyFont="1" applyFill="1" applyBorder="1"/>
    <xf numFmtId="0" fontId="1" fillId="22" borderId="0" xfId="881" applyFill="1" applyBorder="1" applyAlignment="1">
      <alignment vertical="top"/>
    </xf>
    <xf numFmtId="0" fontId="1" fillId="19" borderId="8" xfId="881" applyFill="1" applyBorder="1" applyAlignment="1">
      <alignment horizontal="center" wrapText="1"/>
    </xf>
    <xf numFmtId="0" fontId="1" fillId="34" borderId="8" xfId="881" applyFill="1" applyBorder="1"/>
    <xf numFmtId="9" fontId="0" fillId="34" borderId="8" xfId="1225" applyFont="1" applyFill="1" applyBorder="1"/>
    <xf numFmtId="165" fontId="0" fillId="19" borderId="8" xfId="591" applyNumberFormat="1" applyFont="1" applyFill="1" applyBorder="1"/>
    <xf numFmtId="43" fontId="0" fillId="34" borderId="8" xfId="591" applyFont="1" applyFill="1" applyBorder="1"/>
    <xf numFmtId="164" fontId="0" fillId="34" borderId="8" xfId="591" applyNumberFormat="1" applyFont="1" applyFill="1" applyBorder="1"/>
    <xf numFmtId="168" fontId="0" fillId="34" borderId="8" xfId="1225" applyNumberFormat="1" applyFont="1" applyFill="1" applyBorder="1"/>
    <xf numFmtId="168" fontId="0" fillId="19" borderId="8" xfId="1225" applyNumberFormat="1" applyFont="1" applyFill="1" applyBorder="1"/>
    <xf numFmtId="43" fontId="1" fillId="19" borderId="0" xfId="881" applyNumberFormat="1" applyFill="1"/>
    <xf numFmtId="168" fontId="0" fillId="19" borderId="8" xfId="1225" applyNumberFormat="1" applyFont="1" applyFill="1" applyBorder="1" applyAlignment="1">
      <alignment horizontal="right"/>
    </xf>
    <xf numFmtId="0" fontId="1" fillId="19" borderId="0" xfId="881" applyFill="1" applyAlignment="1">
      <alignment vertical="top" wrapText="1"/>
    </xf>
    <xf numFmtId="9" fontId="0" fillId="19" borderId="8" xfId="1225" applyNumberFormat="1" applyFont="1" applyFill="1" applyBorder="1"/>
    <xf numFmtId="164" fontId="29" fillId="19" borderId="8" xfId="617" applyNumberFormat="1" applyFont="1" applyFill="1" applyBorder="1"/>
    <xf numFmtId="0" fontId="1" fillId="22" borderId="24" xfId="881" applyFill="1" applyBorder="1" applyAlignment="1">
      <alignment vertical="top"/>
    </xf>
    <xf numFmtId="164" fontId="0" fillId="34" borderId="0" xfId="591" applyNumberFormat="1" applyFont="1" applyFill="1"/>
    <xf numFmtId="168" fontId="0" fillId="34" borderId="0" xfId="1225" applyNumberFormat="1" applyFont="1" applyFill="1"/>
    <xf numFmtId="43" fontId="29" fillId="22" borderId="8" xfId="591" applyNumberFormat="1" applyFont="1" applyFill="1" applyBorder="1"/>
    <xf numFmtId="43" fontId="1" fillId="22" borderId="8" xfId="881" applyNumberFormat="1" applyFill="1" applyBorder="1"/>
    <xf numFmtId="178" fontId="0" fillId="34" borderId="0" xfId="591" applyNumberFormat="1" applyFont="1" applyFill="1"/>
    <xf numFmtId="43" fontId="1" fillId="34" borderId="0" xfId="881" applyNumberFormat="1" applyFill="1"/>
    <xf numFmtId="0" fontId="1" fillId="22" borderId="0" xfId="881" applyFill="1" applyBorder="1" applyAlignment="1">
      <alignment wrapText="1"/>
    </xf>
    <xf numFmtId="0" fontId="1" fillId="34" borderId="0" xfId="881" applyFill="1" applyAlignment="1">
      <alignment horizontal="right"/>
    </xf>
    <xf numFmtId="165" fontId="1" fillId="19" borderId="8" xfId="881" applyNumberFormat="1" applyFill="1" applyBorder="1"/>
    <xf numFmtId="0" fontId="0" fillId="34" borderId="8" xfId="0" applyFill="1" applyBorder="1" applyProtection="1"/>
    <xf numFmtId="0" fontId="0" fillId="22" borderId="0" xfId="881" applyFont="1" applyFill="1" applyBorder="1"/>
    <xf numFmtId="0" fontId="0" fillId="19" borderId="8" xfId="881" applyFont="1" applyFill="1" applyBorder="1"/>
    <xf numFmtId="0" fontId="0" fillId="19" borderId="8" xfId="881" applyFont="1" applyFill="1" applyBorder="1" applyAlignment="1">
      <alignment horizontal="center" wrapText="1"/>
    </xf>
    <xf numFmtId="0" fontId="1" fillId="0" borderId="8" xfId="881" applyBorder="1" applyAlignment="1">
      <alignment horizontal="center" wrapText="1"/>
    </xf>
    <xf numFmtId="165" fontId="0" fillId="19" borderId="8" xfId="1" applyNumberFormat="1" applyFont="1" applyFill="1" applyBorder="1"/>
    <xf numFmtId="0" fontId="0" fillId="19" borderId="8" xfId="881" applyFont="1" applyFill="1" applyBorder="1" applyAlignment="1">
      <alignment horizontal="center"/>
    </xf>
    <xf numFmtId="164" fontId="0" fillId="19" borderId="8" xfId="1" applyNumberFormat="1" applyFont="1" applyFill="1" applyBorder="1"/>
    <xf numFmtId="165" fontId="1" fillId="19" borderId="8" xfId="1" applyNumberFormat="1" applyFont="1" applyFill="1" applyBorder="1"/>
    <xf numFmtId="179" fontId="1" fillId="19" borderId="8" xfId="1" applyNumberFormat="1" applyFont="1" applyFill="1" applyBorder="1"/>
    <xf numFmtId="165" fontId="1" fillId="19" borderId="8" xfId="1" applyNumberFormat="1" applyFont="1" applyFill="1" applyBorder="1" applyAlignment="1">
      <alignment horizontal="center"/>
    </xf>
    <xf numFmtId="0" fontId="0" fillId="34" borderId="0" xfId="881" applyFont="1" applyFill="1"/>
    <xf numFmtId="0" fontId="0" fillId="22" borderId="8" xfId="881" applyFont="1" applyFill="1" applyBorder="1"/>
    <xf numFmtId="164" fontId="29" fillId="22" borderId="8" xfId="1" applyNumberFormat="1" applyFont="1" applyFill="1" applyBorder="1" applyProtection="1"/>
    <xf numFmtId="164" fontId="29" fillId="22" borderId="8" xfId="1" applyNumberFormat="1" applyFont="1" applyFill="1" applyBorder="1"/>
    <xf numFmtId="0" fontId="1" fillId="19" borderId="0" xfId="881" applyFont="1" applyFill="1"/>
    <xf numFmtId="0" fontId="29" fillId="22" borderId="0" xfId="881" applyFont="1" applyFill="1" applyBorder="1"/>
    <xf numFmtId="9" fontId="29" fillId="19" borderId="8" xfId="1181" applyFont="1" applyFill="1" applyBorder="1" applyProtection="1">
      <protection locked="0"/>
    </xf>
    <xf numFmtId="0" fontId="1" fillId="22" borderId="8" xfId="881" applyFill="1" applyBorder="1"/>
    <xf numFmtId="164" fontId="29" fillId="22" borderId="8" xfId="881" applyNumberFormat="1" applyFont="1" applyFill="1" applyBorder="1"/>
    <xf numFmtId="43" fontId="29" fillId="22" borderId="8" xfId="1" applyNumberFormat="1" applyFont="1" applyFill="1" applyBorder="1"/>
    <xf numFmtId="165" fontId="29" fillId="22" borderId="8" xfId="1" applyNumberFormat="1" applyFont="1" applyFill="1" applyBorder="1"/>
    <xf numFmtId="0" fontId="0" fillId="0" borderId="8" xfId="881" applyFont="1" applyBorder="1"/>
    <xf numFmtId="166" fontId="29" fillId="0" borderId="8" xfId="719" applyNumberFormat="1" applyFont="1" applyBorder="1"/>
    <xf numFmtId="0" fontId="1" fillId="22" borderId="8" xfId="881" applyFont="1" applyFill="1" applyBorder="1"/>
    <xf numFmtId="166" fontId="29" fillId="22" borderId="8" xfId="719" applyNumberFormat="1" applyFont="1" applyFill="1" applyBorder="1"/>
    <xf numFmtId="0" fontId="1" fillId="22" borderId="0" xfId="881" applyFont="1" applyFill="1" applyBorder="1" applyAlignment="1">
      <alignment horizontal="right"/>
    </xf>
    <xf numFmtId="0" fontId="53" fillId="22" borderId="0" xfId="881" applyFont="1" applyFill="1" applyBorder="1"/>
    <xf numFmtId="165" fontId="29" fillId="22" borderId="91" xfId="881" applyNumberFormat="1" applyFont="1" applyFill="1" applyBorder="1"/>
    <xf numFmtId="43" fontId="29" fillId="22" borderId="91" xfId="881" applyNumberFormat="1" applyFont="1" applyFill="1" applyBorder="1"/>
    <xf numFmtId="166" fontId="0" fillId="19" borderId="91" xfId="735" applyNumberFormat="1" applyFont="1" applyFill="1" applyBorder="1" applyAlignment="1">
      <alignment horizontal="right"/>
    </xf>
    <xf numFmtId="166" fontId="0" fillId="19" borderId="91" xfId="735" applyNumberFormat="1" applyFont="1" applyFill="1" applyBorder="1"/>
    <xf numFmtId="164" fontId="1" fillId="22" borderId="91" xfId="881" applyNumberFormat="1" applyFill="1" applyBorder="1"/>
    <xf numFmtId="0" fontId="1" fillId="22" borderId="12" xfId="881" applyFill="1" applyBorder="1"/>
    <xf numFmtId="0" fontId="1" fillId="22" borderId="13" xfId="881" applyFill="1" applyBorder="1"/>
    <xf numFmtId="0" fontId="1" fillId="22" borderId="15" xfId="881" applyFill="1" applyBorder="1"/>
    <xf numFmtId="0" fontId="11" fillId="19" borderId="0" xfId="961" applyFont="1" applyFill="1"/>
    <xf numFmtId="0" fontId="11" fillId="19" borderId="91" xfId="961" applyFont="1" applyFill="1" applyBorder="1" applyAlignment="1">
      <alignment horizontal="center" wrapText="1"/>
    </xf>
    <xf numFmtId="0" fontId="11" fillId="23" borderId="91" xfId="888" applyFill="1" applyBorder="1"/>
    <xf numFmtId="0" fontId="11" fillId="19" borderId="91" xfId="961" applyFont="1" applyFill="1" applyBorder="1"/>
    <xf numFmtId="3" fontId="11" fillId="19" borderId="91" xfId="961" applyNumberFormat="1" applyFont="1" applyFill="1" applyBorder="1"/>
    <xf numFmtId="169" fontId="11" fillId="19" borderId="91" xfId="961" applyNumberFormat="1" applyFont="1" applyFill="1" applyBorder="1"/>
    <xf numFmtId="9" fontId="11" fillId="23" borderId="91" xfId="888" applyNumberFormat="1" applyFill="1" applyBorder="1"/>
    <xf numFmtId="3" fontId="11" fillId="23" borderId="0" xfId="888" applyNumberFormat="1" applyFont="1" applyFill="1"/>
    <xf numFmtId="165" fontId="1" fillId="19" borderId="8" xfId="881" applyNumberFormat="1" applyFill="1" applyBorder="1" applyAlignment="1">
      <alignment horizontal="right"/>
    </xf>
    <xf numFmtId="0" fontId="13" fillId="18" borderId="91" xfId="888" applyFont="1" applyFill="1" applyBorder="1" applyAlignment="1">
      <alignment horizontal="left" wrapText="1"/>
    </xf>
    <xf numFmtId="164" fontId="11" fillId="21" borderId="91" xfId="888" applyNumberFormat="1" applyFont="1" applyFill="1" applyBorder="1" applyAlignment="1">
      <alignment horizontal="left" wrapText="1"/>
    </xf>
    <xf numFmtId="164" fontId="11" fillId="21" borderId="91" xfId="888" applyNumberFormat="1" applyFill="1" applyBorder="1"/>
    <xf numFmtId="165" fontId="11" fillId="21" borderId="91" xfId="888" applyNumberFormat="1" applyFill="1" applyBorder="1"/>
    <xf numFmtId="166" fontId="11" fillId="21" borderId="91" xfId="719" applyNumberFormat="1" applyFont="1" applyFill="1" applyBorder="1"/>
    <xf numFmtId="166" fontId="1" fillId="21" borderId="91" xfId="719" applyNumberFormat="1" applyFont="1" applyFill="1" applyBorder="1"/>
    <xf numFmtId="0" fontId="1" fillId="19" borderId="91" xfId="881" applyFont="1" applyFill="1" applyBorder="1" applyAlignment="1">
      <alignment horizontal="center"/>
    </xf>
    <xf numFmtId="0" fontId="1" fillId="19" borderId="91" xfId="881" applyFill="1" applyBorder="1" applyAlignment="1">
      <alignment horizontal="center"/>
    </xf>
    <xf numFmtId="0" fontId="1" fillId="19" borderId="91" xfId="881" applyFill="1" applyBorder="1" applyAlignment="1">
      <alignment horizontal="center" wrapText="1"/>
    </xf>
    <xf numFmtId="0" fontId="1" fillId="34" borderId="91" xfId="881" applyFill="1" applyBorder="1"/>
    <xf numFmtId="9" fontId="0" fillId="34" borderId="91" xfId="1225" applyFont="1" applyFill="1" applyBorder="1"/>
    <xf numFmtId="165" fontId="0" fillId="19" borderId="91" xfId="591" applyNumberFormat="1" applyFont="1" applyFill="1" applyBorder="1"/>
    <xf numFmtId="43" fontId="0" fillId="34" borderId="91" xfId="591" applyFont="1" applyFill="1" applyBorder="1"/>
    <xf numFmtId="164" fontId="0" fillId="34" borderId="91" xfId="591" applyNumberFormat="1" applyFont="1" applyFill="1" applyBorder="1"/>
    <xf numFmtId="168" fontId="0" fillId="34" borderId="91" xfId="1225" applyNumberFormat="1" applyFont="1" applyFill="1" applyBorder="1"/>
    <xf numFmtId="168" fontId="0" fillId="19" borderId="91" xfId="1225" applyNumberFormat="1" applyFont="1" applyFill="1" applyBorder="1"/>
    <xf numFmtId="168" fontId="0" fillId="19" borderId="91" xfId="1225" applyNumberFormat="1" applyFont="1" applyFill="1" applyBorder="1" applyAlignment="1">
      <alignment horizontal="right"/>
    </xf>
    <xf numFmtId="9" fontId="0" fillId="19" borderId="91" xfId="1225" applyNumberFormat="1" applyFont="1" applyFill="1" applyBorder="1"/>
    <xf numFmtId="164" fontId="29" fillId="19" borderId="91" xfId="617" applyNumberFormat="1" applyFont="1" applyFill="1" applyBorder="1"/>
    <xf numFmtId="0" fontId="1" fillId="19" borderId="91" xfId="881" applyFill="1" applyBorder="1" applyAlignment="1">
      <alignment horizontal="right"/>
    </xf>
    <xf numFmtId="43" fontId="29" fillId="22" borderId="91" xfId="591" applyNumberFormat="1" applyFont="1" applyFill="1" applyBorder="1"/>
    <xf numFmtId="43" fontId="1" fillId="22" borderId="91" xfId="881" applyNumberFormat="1" applyFill="1" applyBorder="1"/>
    <xf numFmtId="165" fontId="1" fillId="19" borderId="91" xfId="881" applyNumberFormat="1" applyFill="1" applyBorder="1"/>
    <xf numFmtId="0" fontId="1" fillId="19" borderId="91" xfId="881" applyFill="1" applyBorder="1"/>
    <xf numFmtId="0" fontId="1" fillId="0" borderId="91" xfId="881" applyBorder="1"/>
    <xf numFmtId="165" fontId="1" fillId="19" borderId="91" xfId="1" applyNumberFormat="1" applyFont="1" applyFill="1" applyBorder="1"/>
    <xf numFmtId="165" fontId="1" fillId="0" borderId="91" xfId="1" applyNumberFormat="1" applyFont="1" applyBorder="1"/>
    <xf numFmtId="0" fontId="1" fillId="0" borderId="91" xfId="881" applyFont="1" applyBorder="1"/>
    <xf numFmtId="165" fontId="1" fillId="0" borderId="91" xfId="881" applyNumberFormat="1" applyBorder="1"/>
    <xf numFmtId="0" fontId="1" fillId="22" borderId="91" xfId="881" applyFill="1" applyBorder="1"/>
    <xf numFmtId="164" fontId="1" fillId="22" borderId="91" xfId="1" applyNumberFormat="1" applyFont="1" applyFill="1" applyBorder="1"/>
    <xf numFmtId="165" fontId="1" fillId="22" borderId="91" xfId="1" applyNumberFormat="1" applyFont="1" applyFill="1" applyBorder="1"/>
    <xf numFmtId="43" fontId="1" fillId="22" borderId="91" xfId="1" applyNumberFormat="1" applyFont="1" applyFill="1" applyBorder="1"/>
    <xf numFmtId="166" fontId="1" fillId="0" borderId="91" xfId="719" applyNumberFormat="1" applyFont="1" applyBorder="1"/>
    <xf numFmtId="0" fontId="1" fillId="22" borderId="91" xfId="881" applyFont="1" applyFill="1" applyBorder="1"/>
    <xf numFmtId="166" fontId="1" fillId="22" borderId="91" xfId="719" applyNumberFormat="1" applyFont="1" applyFill="1" applyBorder="1"/>
    <xf numFmtId="0" fontId="1" fillId="22" borderId="33" xfId="881" applyFont="1" applyFill="1" applyBorder="1" applyAlignment="1">
      <alignment horizontal="center"/>
    </xf>
    <xf numFmtId="0" fontId="0" fillId="19" borderId="91" xfId="881" applyFont="1" applyFill="1" applyBorder="1"/>
    <xf numFmtId="165" fontId="0" fillId="0" borderId="91" xfId="1" applyNumberFormat="1" applyFont="1" applyBorder="1"/>
    <xf numFmtId="0" fontId="1" fillId="22" borderId="10" xfId="881" applyFont="1" applyFill="1" applyBorder="1"/>
    <xf numFmtId="0" fontId="1" fillId="19" borderId="0" xfId="881" applyFont="1" applyFill="1" applyBorder="1" applyAlignment="1">
      <alignment horizontal="center"/>
    </xf>
    <xf numFmtId="0" fontId="1" fillId="19" borderId="0" xfId="881" applyFill="1" applyBorder="1"/>
    <xf numFmtId="0" fontId="1" fillId="22" borderId="0" xfId="881" applyFont="1" applyFill="1" applyBorder="1" applyAlignment="1">
      <alignment horizontal="center"/>
    </xf>
    <xf numFmtId="165" fontId="1" fillId="19" borderId="91" xfId="881" applyNumberFormat="1" applyFill="1" applyBorder="1" applyAlignment="1">
      <alignment horizontal="center" wrapText="1"/>
    </xf>
    <xf numFmtId="0" fontId="1" fillId="22" borderId="0" xfId="881" applyFont="1" applyFill="1" applyBorder="1" applyAlignment="1">
      <alignment vertical="top"/>
    </xf>
    <xf numFmtId="9" fontId="1" fillId="19" borderId="91" xfId="3" applyFont="1" applyFill="1" applyBorder="1"/>
    <xf numFmtId="0" fontId="1" fillId="22" borderId="0" xfId="881" applyFont="1" applyFill="1" applyBorder="1" applyAlignment="1">
      <alignment wrapText="1"/>
    </xf>
    <xf numFmtId="0" fontId="1" fillId="22" borderId="38" xfId="881" applyFont="1" applyFill="1" applyBorder="1" applyAlignment="1">
      <alignment horizontal="left" wrapText="1"/>
    </xf>
    <xf numFmtId="165" fontId="1" fillId="22" borderId="0" xfId="881" applyNumberFormat="1" applyFill="1" applyBorder="1"/>
    <xf numFmtId="0" fontId="11" fillId="22" borderId="0" xfId="888" applyFill="1" applyBorder="1"/>
    <xf numFmtId="0" fontId="11" fillId="22" borderId="24" xfId="888" applyFill="1" applyBorder="1"/>
    <xf numFmtId="0" fontId="11" fillId="22" borderId="0" xfId="888" applyFont="1" applyFill="1" applyBorder="1"/>
    <xf numFmtId="164" fontId="0" fillId="22" borderId="91" xfId="1" applyNumberFormat="1" applyFont="1" applyFill="1" applyBorder="1"/>
    <xf numFmtId="165" fontId="11" fillId="22" borderId="91" xfId="888" applyNumberFormat="1" applyFill="1" applyBorder="1"/>
    <xf numFmtId="0" fontId="11" fillId="19" borderId="91" xfId="888" applyFill="1" applyBorder="1"/>
    <xf numFmtId="0" fontId="1" fillId="22" borderId="0" xfId="883" applyFill="1" applyBorder="1"/>
    <xf numFmtId="165" fontId="1" fillId="22" borderId="91" xfId="881" applyNumberFormat="1" applyFill="1" applyBorder="1"/>
    <xf numFmtId="168" fontId="29" fillId="22" borderId="91" xfId="3" applyNumberFormat="1" applyFont="1" applyFill="1" applyBorder="1"/>
    <xf numFmtId="164" fontId="29" fillId="22" borderId="91" xfId="881" applyNumberFormat="1" applyFont="1" applyFill="1" applyBorder="1"/>
    <xf numFmtId="0" fontId="11" fillId="19" borderId="0" xfId="888" applyFill="1"/>
    <xf numFmtId="0" fontId="0" fillId="19" borderId="38" xfId="881" applyFont="1" applyFill="1" applyBorder="1" applyAlignment="1">
      <alignment horizontal="left" vertical="top" wrapText="1"/>
    </xf>
    <xf numFmtId="165" fontId="11" fillId="19" borderId="91" xfId="888" applyNumberFormat="1" applyFill="1" applyBorder="1"/>
    <xf numFmtId="0" fontId="0" fillId="19" borderId="0" xfId="881" applyFont="1" applyFill="1"/>
    <xf numFmtId="0" fontId="0" fillId="0" borderId="91" xfId="0" applyBorder="1"/>
    <xf numFmtId="0" fontId="0" fillId="0" borderId="91" xfId="0" applyBorder="1" applyAlignment="1">
      <alignment wrapText="1"/>
    </xf>
    <xf numFmtId="9" fontId="0" fillId="0" borderId="91" xfId="3" applyFont="1" applyBorder="1"/>
    <xf numFmtId="164" fontId="0" fillId="0" borderId="91" xfId="1" applyNumberFormat="1" applyFont="1" applyBorder="1"/>
    <xf numFmtId="43" fontId="0" fillId="0" borderId="91" xfId="1" applyFont="1" applyBorder="1"/>
    <xf numFmtId="43" fontId="0" fillId="0" borderId="91" xfId="0" applyNumberFormat="1" applyBorder="1"/>
    <xf numFmtId="165" fontId="0" fillId="0" borderId="91" xfId="0" applyNumberFormat="1" applyBorder="1"/>
    <xf numFmtId="0" fontId="0" fillId="22" borderId="91" xfId="0" applyFill="1" applyBorder="1"/>
    <xf numFmtId="0" fontId="0" fillId="22" borderId="91" xfId="0" applyFill="1" applyBorder="1" applyAlignment="1">
      <alignment wrapText="1"/>
    </xf>
    <xf numFmtId="0" fontId="0" fillId="0" borderId="91" xfId="0" applyFill="1" applyBorder="1"/>
    <xf numFmtId="166" fontId="0" fillId="0" borderId="91" xfId="2" applyNumberFormat="1" applyFont="1" applyBorder="1"/>
    <xf numFmtId="177" fontId="0" fillId="0" borderId="8" xfId="0" applyNumberFormat="1" applyBorder="1"/>
    <xf numFmtId="179" fontId="1" fillId="26" borderId="8" xfId="1" applyNumberFormat="1" applyFont="1" applyFill="1" applyBorder="1"/>
    <xf numFmtId="164" fontId="0" fillId="26" borderId="8" xfId="1" applyNumberFormat="1" applyFont="1" applyFill="1" applyBorder="1"/>
    <xf numFmtId="9" fontId="29" fillId="26" borderId="8" xfId="1181" applyFont="1" applyFill="1" applyBorder="1" applyProtection="1">
      <protection locked="0"/>
    </xf>
    <xf numFmtId="166" fontId="29" fillId="26" borderId="8" xfId="719" applyNumberFormat="1" applyFont="1" applyFill="1" applyBorder="1"/>
    <xf numFmtId="0" fontId="1" fillId="26" borderId="8" xfId="881" applyFill="1" applyBorder="1" applyAlignment="1">
      <alignment horizontal="center" wrapText="1"/>
    </xf>
    <xf numFmtId="0" fontId="0" fillId="26" borderId="91" xfId="0" applyFill="1" applyBorder="1" applyAlignment="1">
      <alignment wrapText="1"/>
    </xf>
    <xf numFmtId="166" fontId="0" fillId="26" borderId="91" xfId="2" applyNumberFormat="1" applyFont="1" applyFill="1" applyBorder="1"/>
    <xf numFmtId="0" fontId="12" fillId="26" borderId="25" xfId="4" applyFont="1" applyFill="1" applyBorder="1" applyAlignment="1">
      <alignment wrapText="1"/>
    </xf>
    <xf numFmtId="167" fontId="19" fillId="26" borderId="41" xfId="4" applyNumberFormat="1" applyFont="1" applyFill="1" applyBorder="1"/>
    <xf numFmtId="165" fontId="11" fillId="26" borderId="8" xfId="1" applyNumberFormat="1" applyFont="1" applyFill="1" applyBorder="1"/>
    <xf numFmtId="9" fontId="11" fillId="26" borderId="8" xfId="3" applyFont="1" applyFill="1" applyBorder="1"/>
    <xf numFmtId="0" fontId="12" fillId="26" borderId="25" xfId="863" applyFont="1" applyFill="1" applyBorder="1" applyAlignment="1">
      <alignment wrapText="1"/>
    </xf>
    <xf numFmtId="166" fontId="47" fillId="26" borderId="84" xfId="683" applyNumberFormat="1" applyFont="1" applyFill="1" applyBorder="1" applyAlignment="1">
      <alignment horizontal="center" wrapText="1"/>
    </xf>
    <xf numFmtId="164" fontId="29" fillId="45" borderId="8" xfId="1" applyNumberFormat="1" applyFont="1" applyFill="1" applyBorder="1" applyProtection="1"/>
    <xf numFmtId="165" fontId="0" fillId="45" borderId="91" xfId="1" applyNumberFormat="1" applyFont="1" applyFill="1" applyBorder="1"/>
    <xf numFmtId="177" fontId="1" fillId="22" borderId="8" xfId="881" applyNumberFormat="1" applyFill="1" applyBorder="1"/>
    <xf numFmtId="179" fontId="1" fillId="22" borderId="91" xfId="881" applyNumberFormat="1" applyFill="1" applyBorder="1"/>
    <xf numFmtId="180" fontId="11" fillId="19" borderId="8" xfId="1" applyNumberFormat="1" applyFont="1" applyFill="1" applyBorder="1"/>
    <xf numFmtId="0" fontId="12" fillId="18" borderId="8" xfId="4" applyFont="1" applyFill="1" applyBorder="1" applyAlignment="1">
      <alignment horizontal="center"/>
    </xf>
    <xf numFmtId="0" fontId="11" fillId="22" borderId="19" xfId="4" applyNumberFormat="1" applyFont="1" applyFill="1" applyBorder="1" applyAlignment="1">
      <alignment horizontal="center" wrapText="1"/>
    </xf>
    <xf numFmtId="0" fontId="11" fillId="22" borderId="27" xfId="4" applyNumberFormat="1" applyFont="1" applyFill="1" applyBorder="1" applyAlignment="1">
      <alignment horizontal="center" wrapText="1"/>
    </xf>
    <xf numFmtId="0" fontId="11" fillId="22" borderId="20" xfId="4" applyNumberFormat="1" applyFont="1" applyFill="1" applyBorder="1" applyAlignment="1">
      <alignment horizontal="center" wrapText="1"/>
    </xf>
    <xf numFmtId="0" fontId="11" fillId="22" borderId="8" xfId="4" applyNumberFormat="1" applyFont="1" applyFill="1" applyBorder="1" applyAlignment="1">
      <alignment horizontal="center" wrapText="1"/>
    </xf>
    <xf numFmtId="0" fontId="12" fillId="22" borderId="19" xfId="4" applyNumberFormat="1" applyFont="1" applyFill="1" applyBorder="1" applyAlignment="1">
      <alignment horizontal="center"/>
    </xf>
    <xf numFmtId="0" fontId="12" fillId="22" borderId="20" xfId="4" applyNumberFormat="1" applyFont="1" applyFill="1" applyBorder="1" applyAlignment="1">
      <alignment horizontal="center"/>
    </xf>
    <xf numFmtId="0" fontId="12" fillId="22" borderId="22" xfId="4" applyNumberFormat="1" applyFont="1" applyFill="1" applyBorder="1" applyAlignment="1">
      <alignment horizontal="center"/>
    </xf>
    <xf numFmtId="0" fontId="12" fillId="22" borderId="23" xfId="4" applyNumberFormat="1" applyFont="1" applyFill="1" applyBorder="1" applyAlignment="1">
      <alignment horizontal="center"/>
    </xf>
    <xf numFmtId="0" fontId="15" fillId="19" borderId="0" xfId="4" applyFont="1" applyFill="1" applyAlignment="1">
      <alignment horizontal="left" vertical="top" wrapText="1"/>
    </xf>
    <xf numFmtId="0" fontId="15" fillId="19" borderId="24" xfId="4" applyFont="1" applyFill="1" applyBorder="1" applyAlignment="1">
      <alignment horizontal="left" vertical="top" wrapText="1"/>
    </xf>
    <xf numFmtId="0" fontId="11" fillId="22" borderId="8" xfId="4" applyFont="1" applyFill="1" applyBorder="1" applyAlignment="1">
      <alignment horizontal="center" wrapText="1"/>
    </xf>
    <xf numFmtId="0" fontId="11" fillId="22" borderId="29" xfId="4" applyFont="1" applyFill="1" applyBorder="1" applyAlignment="1">
      <alignment horizontal="center" wrapText="1"/>
    </xf>
    <xf numFmtId="0" fontId="11" fillId="22" borderId="30" xfId="4" applyNumberFormat="1" applyFont="1" applyFill="1" applyBorder="1" applyAlignment="1">
      <alignment horizontal="center" wrapText="1"/>
    </xf>
    <xf numFmtId="0" fontId="11" fillId="22" borderId="21" xfId="4" applyNumberFormat="1" applyFont="1" applyFill="1" applyBorder="1" applyAlignment="1">
      <alignment horizontal="center" wrapText="1"/>
    </xf>
    <xf numFmtId="0" fontId="11" fillId="22" borderId="28" xfId="4" applyNumberFormat="1" applyFont="1" applyFill="1" applyBorder="1" applyAlignment="1">
      <alignment horizontal="center" wrapText="1"/>
    </xf>
    <xf numFmtId="0" fontId="11" fillId="24" borderId="8" xfId="4" applyFill="1" applyBorder="1" applyAlignment="1">
      <alignment horizontal="center" wrapText="1"/>
    </xf>
    <xf numFmtId="0" fontId="11" fillId="24" borderId="8" xfId="4" applyFill="1" applyBorder="1" applyAlignment="1">
      <alignment horizontal="center"/>
    </xf>
    <xf numFmtId="0" fontId="11" fillId="25" borderId="28" xfId="4" applyFont="1" applyFill="1" applyBorder="1" applyAlignment="1">
      <alignment horizontal="center"/>
    </xf>
    <xf numFmtId="0" fontId="11" fillId="25" borderId="30" xfId="4" applyFont="1" applyFill="1" applyBorder="1" applyAlignment="1">
      <alignment horizontal="center"/>
    </xf>
    <xf numFmtId="0" fontId="11" fillId="22" borderId="31" xfId="4" applyFont="1" applyFill="1" applyBorder="1" applyAlignment="1">
      <alignment horizontal="center" wrapText="1"/>
    </xf>
    <xf numFmtId="0" fontId="11" fillId="22" borderId="34" xfId="4" applyFont="1" applyFill="1" applyBorder="1" applyAlignment="1">
      <alignment horizontal="center" wrapText="1"/>
    </xf>
    <xf numFmtId="0" fontId="11" fillId="19" borderId="0" xfId="4" applyFont="1" applyFill="1" applyAlignment="1">
      <alignment horizontal="left" vertical="top" wrapText="1"/>
    </xf>
    <xf numFmtId="0" fontId="11" fillId="19" borderId="24" xfId="4" applyFont="1" applyFill="1" applyBorder="1" applyAlignment="1">
      <alignment horizontal="left" vertical="top" wrapText="1"/>
    </xf>
    <xf numFmtId="171" fontId="11" fillId="22" borderId="38" xfId="4" applyNumberFormat="1" applyFont="1" applyFill="1" applyBorder="1" applyAlignment="1">
      <alignment horizontal="center" wrapText="1"/>
    </xf>
    <xf numFmtId="171" fontId="11" fillId="22" borderId="39" xfId="4" applyNumberFormat="1" applyFont="1" applyFill="1" applyBorder="1" applyAlignment="1">
      <alignment horizontal="center" wrapText="1"/>
    </xf>
    <xf numFmtId="0" fontId="12" fillId="22" borderId="43" xfId="4" applyFont="1" applyFill="1" applyBorder="1" applyAlignment="1">
      <alignment horizontal="right"/>
    </xf>
    <xf numFmtId="0" fontId="12" fillId="22" borderId="44" xfId="4" applyFont="1" applyFill="1" applyBorder="1" applyAlignment="1">
      <alignment horizontal="right"/>
    </xf>
    <xf numFmtId="0" fontId="12" fillId="22" borderId="45" xfId="4" applyFont="1" applyFill="1" applyBorder="1" applyAlignment="1">
      <alignment horizontal="right"/>
    </xf>
    <xf numFmtId="0" fontId="11" fillId="19" borderId="33" xfId="4" applyFont="1" applyFill="1" applyBorder="1" applyAlignment="1">
      <alignment horizontal="left" vertical="top" wrapText="1"/>
    </xf>
    <xf numFmtId="0" fontId="22" fillId="19" borderId="0" xfId="4" applyFont="1" applyFill="1" applyAlignment="1">
      <alignment horizontal="left" vertical="top" wrapText="1"/>
    </xf>
    <xf numFmtId="0" fontId="11" fillId="22" borderId="69" xfId="4" applyNumberFormat="1" applyFont="1" applyFill="1" applyBorder="1" applyAlignment="1">
      <alignment horizontal="center" wrapText="1"/>
    </xf>
    <xf numFmtId="0" fontId="11" fillId="22" borderId="35" xfId="4" applyNumberFormat="1" applyFont="1" applyFill="1" applyBorder="1" applyAlignment="1">
      <alignment horizontal="center" wrapText="1"/>
    </xf>
    <xf numFmtId="0" fontId="11" fillId="22" borderId="74" xfId="4" applyNumberFormat="1" applyFont="1" applyFill="1" applyBorder="1" applyAlignment="1">
      <alignment horizontal="center" wrapText="1"/>
    </xf>
    <xf numFmtId="0" fontId="12" fillId="22" borderId="70" xfId="4" applyNumberFormat="1" applyFont="1" applyFill="1" applyBorder="1" applyAlignment="1">
      <alignment horizontal="center"/>
    </xf>
    <xf numFmtId="0" fontId="12" fillId="22" borderId="71" xfId="4" applyNumberFormat="1" applyFont="1" applyFill="1" applyBorder="1" applyAlignment="1">
      <alignment horizontal="center"/>
    </xf>
    <xf numFmtId="0" fontId="11" fillId="22" borderId="72" xfId="4" applyFont="1" applyFill="1" applyBorder="1" applyAlignment="1">
      <alignment horizontal="center" wrapText="1"/>
    </xf>
    <xf numFmtId="0" fontId="11" fillId="22" borderId="40" xfId="4" applyFont="1" applyFill="1" applyBorder="1" applyAlignment="1">
      <alignment horizontal="center" wrapText="1"/>
    </xf>
    <xf numFmtId="0" fontId="11" fillId="22" borderId="73" xfId="4" applyFont="1" applyFill="1" applyBorder="1" applyAlignment="1">
      <alignment horizontal="center" wrapText="1"/>
    </xf>
    <xf numFmtId="0" fontId="11" fillId="22" borderId="41" xfId="4" applyFont="1" applyFill="1" applyBorder="1" applyAlignment="1">
      <alignment horizontal="center" wrapText="1"/>
    </xf>
    <xf numFmtId="0" fontId="11" fillId="22" borderId="0" xfId="4" applyFont="1" applyFill="1" applyBorder="1" applyAlignment="1">
      <alignment horizontal="center"/>
    </xf>
    <xf numFmtId="0" fontId="11" fillId="22" borderId="39" xfId="4" applyFont="1" applyFill="1" applyBorder="1" applyAlignment="1">
      <alignment horizontal="center"/>
    </xf>
    <xf numFmtId="0" fontId="22" fillId="0" borderId="0" xfId="895" applyFont="1" applyAlignment="1">
      <alignment horizontal="left" vertical="top" wrapText="1"/>
    </xf>
    <xf numFmtId="0" fontId="22" fillId="23" borderId="0" xfId="1341" applyFont="1" applyFill="1" applyAlignment="1">
      <alignment horizontal="left" vertical="top" wrapText="1"/>
    </xf>
    <xf numFmtId="0" fontId="12" fillId="18" borderId="8" xfId="884" applyFont="1" applyFill="1" applyBorder="1" applyAlignment="1">
      <alignment horizontal="center"/>
    </xf>
    <xf numFmtId="0" fontId="12" fillId="22" borderId="19" xfId="884" applyFont="1" applyFill="1" applyBorder="1" applyAlignment="1">
      <alignment horizontal="left"/>
    </xf>
    <xf numFmtId="0" fontId="12" fillId="22" borderId="20" xfId="884" applyFont="1" applyFill="1" applyBorder="1" applyAlignment="1">
      <alignment horizontal="left"/>
    </xf>
    <xf numFmtId="0" fontId="12" fillId="22" borderId="22" xfId="884" applyFont="1" applyFill="1" applyBorder="1" applyAlignment="1">
      <alignment horizontal="left"/>
    </xf>
    <xf numFmtId="0" fontId="11" fillId="22" borderId="27" xfId="884" applyFont="1" applyFill="1" applyBorder="1" applyAlignment="1">
      <alignment horizontal="left"/>
    </xf>
    <xf numFmtId="0" fontId="11" fillId="22" borderId="8" xfId="884" applyFont="1" applyFill="1" applyBorder="1" applyAlignment="1">
      <alignment horizontal="left"/>
    </xf>
    <xf numFmtId="0" fontId="11" fillId="22" borderId="29" xfId="884" applyFont="1" applyFill="1" applyBorder="1" applyAlignment="1">
      <alignment horizontal="left"/>
    </xf>
    <xf numFmtId="0" fontId="12" fillId="22" borderId="28" xfId="884" applyFont="1" applyFill="1" applyBorder="1" applyAlignment="1">
      <alignment horizontal="left"/>
    </xf>
    <xf numFmtId="0" fontId="12" fillId="22" borderId="79" xfId="884" applyFont="1" applyFill="1" applyBorder="1" applyAlignment="1">
      <alignment horizontal="left"/>
    </xf>
    <xf numFmtId="0" fontId="12" fillId="22" borderId="30" xfId="884" applyFont="1" applyFill="1" applyBorder="1" applyAlignment="1">
      <alignment horizontal="left"/>
    </xf>
    <xf numFmtId="0" fontId="12" fillId="22" borderId="19" xfId="884" applyFont="1" applyFill="1" applyBorder="1" applyAlignment="1">
      <alignment horizontal="center"/>
    </xf>
    <xf numFmtId="0" fontId="12" fillId="22" borderId="22" xfId="884" applyFont="1" applyFill="1" applyBorder="1" applyAlignment="1">
      <alignment horizontal="center"/>
    </xf>
    <xf numFmtId="0" fontId="12" fillId="18" borderId="8" xfId="863" applyFont="1" applyFill="1" applyBorder="1" applyAlignment="1">
      <alignment horizontal="center"/>
    </xf>
    <xf numFmtId="0" fontId="12" fillId="19" borderId="0" xfId="863" applyNumberFormat="1" applyFont="1" applyFill="1" applyBorder="1" applyAlignment="1">
      <alignment horizontal="center"/>
    </xf>
    <xf numFmtId="0" fontId="11" fillId="19" borderId="19" xfId="863" applyNumberFormat="1" applyFont="1" applyFill="1" applyBorder="1" applyAlignment="1">
      <alignment horizontal="center" wrapText="1"/>
    </xf>
    <xf numFmtId="0" fontId="11" fillId="19" borderId="27" xfId="863" applyNumberFormat="1" applyFont="1" applyFill="1" applyBorder="1" applyAlignment="1">
      <alignment horizontal="center" wrapText="1"/>
    </xf>
    <xf numFmtId="0" fontId="11" fillId="19" borderId="20" xfId="863" applyNumberFormat="1" applyFont="1" applyFill="1" applyBorder="1" applyAlignment="1">
      <alignment horizontal="center" wrapText="1"/>
    </xf>
    <xf numFmtId="0" fontId="11" fillId="19" borderId="8" xfId="863" applyNumberFormat="1" applyFont="1" applyFill="1" applyBorder="1" applyAlignment="1">
      <alignment horizontal="center" wrapText="1"/>
    </xf>
    <xf numFmtId="0" fontId="11" fillId="19" borderId="20" xfId="863" applyNumberFormat="1" applyFill="1" applyBorder="1" applyAlignment="1">
      <alignment horizontal="center" wrapText="1"/>
    </xf>
    <xf numFmtId="0" fontId="11" fillId="22" borderId="25" xfId="863" applyFill="1" applyBorder="1" applyAlignment="1">
      <alignment horizontal="left" vertical="top" wrapText="1"/>
    </xf>
    <xf numFmtId="0" fontId="11" fillId="22" borderId="0" xfId="863" applyFill="1" applyBorder="1" applyAlignment="1">
      <alignment horizontal="left" vertical="top" wrapText="1"/>
    </xf>
    <xf numFmtId="0" fontId="11" fillId="22" borderId="24" xfId="863" applyFill="1" applyBorder="1" applyAlignment="1">
      <alignment horizontal="left" vertical="top" wrapText="1"/>
    </xf>
    <xf numFmtId="0" fontId="11" fillId="22" borderId="12" xfId="863" applyFill="1" applyBorder="1" applyAlignment="1">
      <alignment horizontal="left" vertical="top" wrapText="1"/>
    </xf>
    <xf numFmtId="0" fontId="11" fillId="22" borderId="13" xfId="863" applyFill="1" applyBorder="1" applyAlignment="1">
      <alignment horizontal="left" vertical="top" wrapText="1"/>
    </xf>
    <xf numFmtId="0" fontId="11" fillId="22" borderId="15" xfId="863" applyFill="1" applyBorder="1" applyAlignment="1">
      <alignment horizontal="left" vertical="top" wrapText="1"/>
    </xf>
    <xf numFmtId="0" fontId="11" fillId="19" borderId="22" xfId="863" applyNumberFormat="1" applyFont="1" applyFill="1" applyBorder="1" applyAlignment="1">
      <alignment horizontal="center" wrapText="1"/>
    </xf>
    <xf numFmtId="0" fontId="11" fillId="19" borderId="29" xfId="863" applyNumberFormat="1" applyFont="1" applyFill="1" applyBorder="1" applyAlignment="1">
      <alignment horizontal="center" wrapText="1"/>
    </xf>
    <xf numFmtId="0" fontId="11" fillId="19" borderId="28" xfId="863" applyFont="1" applyFill="1" applyBorder="1" applyAlignment="1">
      <alignment horizontal="left"/>
    </xf>
    <xf numFmtId="0" fontId="11" fillId="19" borderId="79" xfId="863" applyFont="1" applyFill="1" applyBorder="1" applyAlignment="1">
      <alignment horizontal="left"/>
    </xf>
    <xf numFmtId="0" fontId="11" fillId="19" borderId="30" xfId="863" applyFont="1" applyFill="1" applyBorder="1" applyAlignment="1">
      <alignment horizontal="left"/>
    </xf>
    <xf numFmtId="171" fontId="11" fillId="22" borderId="38" xfId="863" applyNumberFormat="1" applyFont="1" applyFill="1" applyBorder="1" applyAlignment="1">
      <alignment horizontal="center" wrapText="1"/>
    </xf>
    <xf numFmtId="171" fontId="11" fillId="22" borderId="39" xfId="863" applyNumberFormat="1" applyFont="1" applyFill="1" applyBorder="1" applyAlignment="1">
      <alignment horizontal="center" wrapText="1"/>
    </xf>
    <xf numFmtId="0" fontId="11" fillId="19" borderId="87" xfId="863" applyNumberFormat="1" applyFill="1" applyBorder="1" applyAlignment="1">
      <alignment horizontal="center" wrapText="1"/>
    </xf>
    <xf numFmtId="0" fontId="11" fillId="19" borderId="37" xfId="863" applyNumberFormat="1" applyFill="1" applyBorder="1" applyAlignment="1">
      <alignment horizontal="center" wrapText="1"/>
    </xf>
    <xf numFmtId="0" fontId="12" fillId="18" borderId="8" xfId="888" applyFont="1" applyFill="1" applyBorder="1" applyAlignment="1">
      <alignment horizontal="center"/>
    </xf>
    <xf numFmtId="0" fontId="1" fillId="22" borderId="33" xfId="881" applyFont="1" applyFill="1" applyBorder="1" applyAlignment="1">
      <alignment horizontal="center"/>
    </xf>
    <xf numFmtId="0" fontId="1" fillId="19" borderId="0" xfId="881" applyFill="1" applyAlignment="1">
      <alignment horizontal="left" vertical="top" wrapText="1"/>
    </xf>
    <xf numFmtId="0" fontId="0" fillId="19" borderId="92" xfId="881" applyFont="1" applyFill="1" applyBorder="1" applyAlignment="1">
      <alignment horizontal="left" wrapText="1"/>
    </xf>
    <xf numFmtId="0" fontId="1" fillId="19" borderId="88" xfId="881" applyFill="1" applyBorder="1" applyAlignment="1">
      <alignment horizontal="left" wrapText="1"/>
    </xf>
    <xf numFmtId="0" fontId="1" fillId="19" borderId="38" xfId="881" applyFill="1" applyBorder="1" applyAlignment="1">
      <alignment horizontal="left"/>
    </xf>
    <xf numFmtId="0" fontId="1" fillId="19" borderId="0" xfId="881" applyFill="1" applyBorder="1" applyAlignment="1">
      <alignment horizontal="left"/>
    </xf>
    <xf numFmtId="0" fontId="0" fillId="19" borderId="38" xfId="881" applyFont="1" applyFill="1" applyBorder="1" applyAlignment="1">
      <alignment horizontal="left"/>
    </xf>
    <xf numFmtId="0" fontId="1" fillId="34" borderId="8" xfId="881" applyFill="1" applyBorder="1" applyAlignment="1">
      <alignment horizontal="center"/>
    </xf>
    <xf numFmtId="0" fontId="1" fillId="34" borderId="28" xfId="881" applyFill="1" applyBorder="1" applyAlignment="1">
      <alignment horizontal="center"/>
    </xf>
    <xf numFmtId="0" fontId="1" fillId="34" borderId="79" xfId="881" applyFill="1" applyBorder="1" applyAlignment="1">
      <alignment horizontal="center"/>
    </xf>
    <xf numFmtId="0" fontId="1" fillId="34" borderId="30" xfId="881" applyFill="1" applyBorder="1" applyAlignment="1">
      <alignment horizontal="center"/>
    </xf>
    <xf numFmtId="0" fontId="1" fillId="19" borderId="0" xfId="881" applyFill="1" applyAlignment="1">
      <alignment horizontal="left" wrapText="1"/>
    </xf>
    <xf numFmtId="0" fontId="52" fillId="19" borderId="0" xfId="1342" applyFont="1" applyFill="1" applyAlignment="1">
      <alignment horizontal="center" vertical="top" wrapText="1"/>
    </xf>
    <xf numFmtId="0" fontId="0" fillId="19" borderId="38" xfId="881" applyFont="1" applyFill="1" applyBorder="1" applyAlignment="1">
      <alignment horizontal="left" wrapText="1"/>
    </xf>
    <xf numFmtId="0" fontId="1" fillId="19" borderId="0" xfId="881" applyFill="1" applyBorder="1" applyAlignment="1">
      <alignment horizontal="left" wrapText="1"/>
    </xf>
    <xf numFmtId="0" fontId="1" fillId="22" borderId="38" xfId="881" applyFill="1" applyBorder="1" applyAlignment="1">
      <alignment horizontal="left" vertical="top" wrapText="1"/>
    </xf>
    <xf numFmtId="0" fontId="1" fillId="22" borderId="0" xfId="881" applyFill="1" applyBorder="1" applyAlignment="1">
      <alignment horizontal="left" vertical="top" wrapText="1"/>
    </xf>
    <xf numFmtId="0" fontId="0" fillId="22" borderId="38" xfId="881" applyFont="1" applyFill="1" applyBorder="1" applyAlignment="1">
      <alignment horizontal="left" wrapText="1"/>
    </xf>
    <xf numFmtId="0" fontId="1" fillId="22" borderId="0" xfId="881" applyFill="1" applyBorder="1" applyAlignment="1">
      <alignment horizontal="left" wrapText="1"/>
    </xf>
    <xf numFmtId="0" fontId="1" fillId="34" borderId="28" xfId="881" applyFill="1" applyBorder="1" applyAlignment="1">
      <alignment horizontal="left"/>
    </xf>
    <xf numFmtId="0" fontId="1" fillId="34" borderId="79" xfId="881" applyFill="1" applyBorder="1" applyAlignment="1">
      <alignment horizontal="left"/>
    </xf>
    <xf numFmtId="0" fontId="1" fillId="34" borderId="30" xfId="881" applyFill="1" applyBorder="1" applyAlignment="1">
      <alignment horizontal="left"/>
    </xf>
    <xf numFmtId="0" fontId="51" fillId="19" borderId="0" xfId="881" applyFont="1" applyFill="1" applyAlignment="1">
      <alignment horizontal="left" vertical="top" wrapText="1"/>
    </xf>
    <xf numFmtId="0" fontId="50" fillId="19" borderId="0" xfId="1353" applyFill="1" applyAlignment="1">
      <alignment horizontal="center" vertical="top" wrapText="1"/>
    </xf>
    <xf numFmtId="0" fontId="1" fillId="19" borderId="0" xfId="881" applyFill="1" applyBorder="1" applyAlignment="1">
      <alignment horizontal="left" vertical="top" wrapText="1"/>
    </xf>
    <xf numFmtId="0" fontId="29" fillId="0" borderId="0" xfId="881" applyFont="1" applyAlignment="1">
      <alignment horizontal="left" vertical="top" wrapText="1"/>
    </xf>
    <xf numFmtId="0" fontId="29" fillId="0" borderId="0" xfId="881" applyFont="1" applyAlignment="1">
      <alignment horizontal="left" vertical="top"/>
    </xf>
    <xf numFmtId="0" fontId="0" fillId="19" borderId="88" xfId="881" applyFont="1" applyFill="1" applyBorder="1" applyAlignment="1">
      <alignment horizontal="left" wrapText="1"/>
    </xf>
    <xf numFmtId="0" fontId="0" fillId="19" borderId="0" xfId="881" applyFont="1" applyFill="1" applyBorder="1" applyAlignment="1">
      <alignment horizontal="left" wrapText="1"/>
    </xf>
    <xf numFmtId="0" fontId="0" fillId="19" borderId="66" xfId="881" applyFont="1" applyFill="1" applyBorder="1" applyAlignment="1">
      <alignment horizontal="left" vertical="top" wrapText="1"/>
    </xf>
    <xf numFmtId="0" fontId="1" fillId="19" borderId="88" xfId="881" applyFill="1" applyBorder="1" applyAlignment="1">
      <alignment horizontal="left" vertical="top" wrapText="1"/>
    </xf>
    <xf numFmtId="0" fontId="1" fillId="19" borderId="89" xfId="881" applyFill="1" applyBorder="1" applyAlignment="1">
      <alignment horizontal="left" vertical="top" wrapText="1"/>
    </xf>
    <xf numFmtId="0" fontId="1" fillId="19" borderId="38" xfId="881" applyFill="1" applyBorder="1" applyAlignment="1">
      <alignment horizontal="left" vertical="top" wrapText="1"/>
    </xf>
    <xf numFmtId="0" fontId="1" fillId="19" borderId="39" xfId="881" applyFill="1" applyBorder="1" applyAlignment="1">
      <alignment horizontal="left" vertical="top" wrapText="1"/>
    </xf>
    <xf numFmtId="0" fontId="1" fillId="19" borderId="67" xfId="881" applyFill="1" applyBorder="1" applyAlignment="1">
      <alignment horizontal="left" vertical="top" wrapText="1"/>
    </xf>
    <xf numFmtId="0" fontId="1" fillId="19" borderId="33" xfId="881" applyFill="1" applyBorder="1" applyAlignment="1">
      <alignment horizontal="left" vertical="top" wrapText="1"/>
    </xf>
    <xf numFmtId="0" fontId="1" fillId="19" borderId="68" xfId="881" applyFill="1" applyBorder="1" applyAlignment="1">
      <alignment horizontal="left" vertical="top" wrapText="1"/>
    </xf>
    <xf numFmtId="0" fontId="1" fillId="22" borderId="90" xfId="881" applyFill="1" applyBorder="1" applyAlignment="1">
      <alignment horizontal="center"/>
    </xf>
    <xf numFmtId="0" fontId="0" fillId="19" borderId="0" xfId="881" applyFont="1" applyFill="1" applyBorder="1" applyAlignment="1">
      <alignment horizontal="left" vertical="top" wrapText="1"/>
    </xf>
    <xf numFmtId="0" fontId="1" fillId="34" borderId="93" xfId="881" applyFill="1" applyBorder="1" applyAlignment="1">
      <alignment horizontal="center"/>
    </xf>
    <xf numFmtId="0" fontId="1" fillId="34" borderId="90" xfId="881" applyFill="1" applyBorder="1" applyAlignment="1">
      <alignment horizontal="center"/>
    </xf>
    <xf numFmtId="0" fontId="1" fillId="34" borderId="94" xfId="881" applyFill="1" applyBorder="1" applyAlignment="1">
      <alignment horizontal="center"/>
    </xf>
    <xf numFmtId="0" fontId="12" fillId="18" borderId="91" xfId="888" applyFont="1" applyFill="1" applyBorder="1" applyAlignment="1">
      <alignment horizontal="center"/>
    </xf>
    <xf numFmtId="0" fontId="1" fillId="34" borderId="91" xfId="881" applyFill="1" applyBorder="1" applyAlignment="1">
      <alignment horizontal="center"/>
    </xf>
    <xf numFmtId="0" fontId="1" fillId="34" borderId="93" xfId="881" applyFill="1" applyBorder="1" applyAlignment="1">
      <alignment horizontal="left"/>
    </xf>
    <xf numFmtId="0" fontId="1" fillId="34" borderId="90" xfId="881" applyFill="1" applyBorder="1" applyAlignment="1">
      <alignment horizontal="left"/>
    </xf>
    <xf numFmtId="0" fontId="1" fillId="34" borderId="94" xfId="881" applyFill="1" applyBorder="1" applyAlignment="1">
      <alignment horizontal="left"/>
    </xf>
    <xf numFmtId="0" fontId="1" fillId="22" borderId="38" xfId="881" applyFont="1" applyFill="1" applyBorder="1" applyAlignment="1">
      <alignment horizontal="left" wrapText="1"/>
    </xf>
    <xf numFmtId="0" fontId="0" fillId="26" borderId="92" xfId="881" applyFont="1" applyFill="1" applyBorder="1" applyAlignment="1">
      <alignment horizontal="left" vertical="top" wrapText="1"/>
    </xf>
    <xf numFmtId="0" fontId="1" fillId="26" borderId="88" xfId="881" applyFill="1" applyBorder="1" applyAlignment="1">
      <alignment horizontal="left" vertical="top" wrapText="1"/>
    </xf>
    <xf numFmtId="0" fontId="1" fillId="26" borderId="89" xfId="881" applyFill="1" applyBorder="1" applyAlignment="1">
      <alignment horizontal="left" vertical="top" wrapText="1"/>
    </xf>
    <xf numFmtId="0" fontId="1" fillId="26" borderId="38" xfId="881" applyFill="1" applyBorder="1" applyAlignment="1">
      <alignment horizontal="left" vertical="top" wrapText="1"/>
    </xf>
    <xf numFmtId="0" fontId="1" fillId="26" borderId="0" xfId="881" applyFill="1" applyBorder="1" applyAlignment="1">
      <alignment horizontal="left" vertical="top" wrapText="1"/>
    </xf>
    <xf numFmtId="0" fontId="1" fillId="26" borderId="39" xfId="881" applyFill="1" applyBorder="1" applyAlignment="1">
      <alignment horizontal="left" vertical="top" wrapText="1"/>
    </xf>
    <xf numFmtId="0" fontId="1" fillId="26" borderId="67" xfId="881" applyFill="1" applyBorder="1" applyAlignment="1">
      <alignment horizontal="left" vertical="top" wrapText="1"/>
    </xf>
    <xf numFmtId="0" fontId="1" fillId="26" borderId="33" xfId="881" applyFill="1" applyBorder="1" applyAlignment="1">
      <alignment horizontal="left" vertical="top" wrapText="1"/>
    </xf>
    <xf numFmtId="0" fontId="1" fillId="26" borderId="68" xfId="881" applyFill="1" applyBorder="1" applyAlignment="1">
      <alignment horizontal="left" vertical="top" wrapText="1"/>
    </xf>
    <xf numFmtId="0" fontId="9" fillId="22" borderId="0" xfId="881" applyFont="1" applyFill="1" applyBorder="1" applyAlignment="1">
      <alignment horizontal="center"/>
    </xf>
    <xf numFmtId="0" fontId="11" fillId="19" borderId="38" xfId="888" applyFont="1" applyFill="1" applyBorder="1" applyAlignment="1">
      <alignment horizontal="left" wrapText="1"/>
    </xf>
    <xf numFmtId="0" fontId="11" fillId="19" borderId="0" xfId="888" applyFont="1" applyFill="1" applyBorder="1" applyAlignment="1">
      <alignment horizontal="left" wrapText="1"/>
    </xf>
    <xf numFmtId="0" fontId="1" fillId="19" borderId="91" xfId="881" applyFont="1" applyFill="1" applyBorder="1" applyAlignment="1">
      <alignment horizontal="left" vertical="top" wrapText="1"/>
    </xf>
    <xf numFmtId="0" fontId="1" fillId="19" borderId="91" xfId="881" applyFill="1" applyBorder="1" applyAlignment="1">
      <alignment horizontal="left" vertical="top" wrapText="1"/>
    </xf>
    <xf numFmtId="0" fontId="1" fillId="22" borderId="88" xfId="881" applyFill="1" applyBorder="1" applyAlignment="1">
      <alignment horizontal="center"/>
    </xf>
    <xf numFmtId="0" fontId="11" fillId="26" borderId="38" xfId="888" applyFont="1" applyFill="1" applyBorder="1" applyAlignment="1">
      <alignment horizontal="left" wrapText="1"/>
    </xf>
    <xf numFmtId="0" fontId="11" fillId="26" borderId="0" xfId="888" applyFont="1" applyFill="1" applyBorder="1" applyAlignment="1">
      <alignment horizontal="left" wrapText="1"/>
    </xf>
  </cellXfs>
  <cellStyles count="1354">
    <cellStyle name="20% - Accent1 10" xfId="8"/>
    <cellStyle name="20% - Accent1 10 2" xfId="9"/>
    <cellStyle name="20% - Accent1 10 3" xfId="10"/>
    <cellStyle name="20% - Accent1 10 4" xfId="11"/>
    <cellStyle name="20% - Accent1 2" xfId="12"/>
    <cellStyle name="20% - Accent1 2 2" xfId="13"/>
    <cellStyle name="20% - Accent1 2 2 2" xfId="14"/>
    <cellStyle name="20% - Accent1 2 2 3" xfId="15"/>
    <cellStyle name="20% - Accent1 2 2 4" xfId="16"/>
    <cellStyle name="20% - Accent1 2 3" xfId="17"/>
    <cellStyle name="20% - Accent1 2 3 2" xfId="18"/>
    <cellStyle name="20% - Accent1 2 3 3" xfId="19"/>
    <cellStyle name="20% - Accent1 2 3 4" xfId="20"/>
    <cellStyle name="20% - Accent1 2 4" xfId="21"/>
    <cellStyle name="20% - Accent1 2 4 2" xfId="22"/>
    <cellStyle name="20% - Accent1 2 4 3" xfId="23"/>
    <cellStyle name="20% - Accent1 2 4 4" xfId="24"/>
    <cellStyle name="20% - Accent1 3" xfId="25"/>
    <cellStyle name="20% - Accent1 3 2" xfId="26"/>
    <cellStyle name="20% - Accent1 3 2 2" xfId="27"/>
    <cellStyle name="20% - Accent1 3 2 3" xfId="28"/>
    <cellStyle name="20% - Accent1 3 2 4" xfId="29"/>
    <cellStyle name="20% - Accent1 3 3" xfId="30"/>
    <cellStyle name="20% - Accent1 3 3 2" xfId="31"/>
    <cellStyle name="20% - Accent1 3 3 3" xfId="32"/>
    <cellStyle name="20% - Accent1 3 3 4" xfId="33"/>
    <cellStyle name="20% - Accent1 3 4" xfId="34"/>
    <cellStyle name="20% - Accent1 3 4 2" xfId="35"/>
    <cellStyle name="20% - Accent1 3 4 3" xfId="36"/>
    <cellStyle name="20% - Accent1 3 4 4" xfId="37"/>
    <cellStyle name="20% - Accent1 4" xfId="38"/>
    <cellStyle name="20% - Accent1 4 2" xfId="39"/>
    <cellStyle name="20% - Accent1 4 3" xfId="40"/>
    <cellStyle name="20% - Accent1 4 4" xfId="41"/>
    <cellStyle name="20% - Accent1 5" xfId="42"/>
    <cellStyle name="20% - Accent1 5 2" xfId="43"/>
    <cellStyle name="20% - Accent1 5 3" xfId="44"/>
    <cellStyle name="20% - Accent1 5 4" xfId="45"/>
    <cellStyle name="20% - Accent1 6" xfId="46"/>
    <cellStyle name="20% - Accent1 6 2" xfId="47"/>
    <cellStyle name="20% - Accent1 6 3" xfId="48"/>
    <cellStyle name="20% - Accent1 6 4" xfId="49"/>
    <cellStyle name="20% - Accent1 7" xfId="50"/>
    <cellStyle name="20% - Accent1 7 2" xfId="51"/>
    <cellStyle name="20% - Accent1 7 3" xfId="52"/>
    <cellStyle name="20% - Accent1 7 4" xfId="53"/>
    <cellStyle name="20% - Accent1 8" xfId="54"/>
    <cellStyle name="20% - Accent1 8 2" xfId="55"/>
    <cellStyle name="20% - Accent1 8 3" xfId="56"/>
    <cellStyle name="20% - Accent1 8 4" xfId="57"/>
    <cellStyle name="20% - Accent1 9" xfId="58"/>
    <cellStyle name="20% - Accent1 9 2" xfId="59"/>
    <cellStyle name="20% - Accent1 9 3" xfId="60"/>
    <cellStyle name="20% - Accent1 9 4" xfId="61"/>
    <cellStyle name="20% - Accent2 10" xfId="62"/>
    <cellStyle name="20% - Accent2 10 2" xfId="63"/>
    <cellStyle name="20% - Accent2 10 3" xfId="64"/>
    <cellStyle name="20% - Accent2 10 4" xfId="65"/>
    <cellStyle name="20% - Accent2 2" xfId="66"/>
    <cellStyle name="20% - Accent2 2 2" xfId="67"/>
    <cellStyle name="20% - Accent2 2 2 2" xfId="68"/>
    <cellStyle name="20% - Accent2 2 2 3" xfId="69"/>
    <cellStyle name="20% - Accent2 2 2 4" xfId="70"/>
    <cellStyle name="20% - Accent2 2 3" xfId="71"/>
    <cellStyle name="20% - Accent2 2 3 2" xfId="72"/>
    <cellStyle name="20% - Accent2 2 3 3" xfId="73"/>
    <cellStyle name="20% - Accent2 2 3 4" xfId="74"/>
    <cellStyle name="20% - Accent2 2 4" xfId="75"/>
    <cellStyle name="20% - Accent2 2 4 2" xfId="76"/>
    <cellStyle name="20% - Accent2 2 4 3" xfId="77"/>
    <cellStyle name="20% - Accent2 2 4 4" xfId="78"/>
    <cellStyle name="20% - Accent2 3" xfId="79"/>
    <cellStyle name="20% - Accent2 3 2" xfId="80"/>
    <cellStyle name="20% - Accent2 3 2 2" xfId="81"/>
    <cellStyle name="20% - Accent2 3 2 3" xfId="82"/>
    <cellStyle name="20% - Accent2 3 2 4" xfId="83"/>
    <cellStyle name="20% - Accent2 3 3" xfId="84"/>
    <cellStyle name="20% - Accent2 3 3 2" xfId="85"/>
    <cellStyle name="20% - Accent2 3 3 3" xfId="86"/>
    <cellStyle name="20% - Accent2 3 3 4" xfId="87"/>
    <cellStyle name="20% - Accent2 3 4" xfId="88"/>
    <cellStyle name="20% - Accent2 3 4 2" xfId="89"/>
    <cellStyle name="20% - Accent2 3 4 3" xfId="90"/>
    <cellStyle name="20% - Accent2 3 4 4" xfId="91"/>
    <cellStyle name="20% - Accent2 4" xfId="92"/>
    <cellStyle name="20% - Accent2 4 2" xfId="93"/>
    <cellStyle name="20% - Accent2 4 3" xfId="94"/>
    <cellStyle name="20% - Accent2 4 4" xfId="95"/>
    <cellStyle name="20% - Accent2 5" xfId="96"/>
    <cellStyle name="20% - Accent2 5 2" xfId="97"/>
    <cellStyle name="20% - Accent2 5 3" xfId="98"/>
    <cellStyle name="20% - Accent2 5 4" xfId="99"/>
    <cellStyle name="20% - Accent2 6" xfId="100"/>
    <cellStyle name="20% - Accent2 6 2" xfId="101"/>
    <cellStyle name="20% - Accent2 6 3" xfId="102"/>
    <cellStyle name="20% - Accent2 6 4" xfId="103"/>
    <cellStyle name="20% - Accent2 7" xfId="104"/>
    <cellStyle name="20% - Accent2 7 2" xfId="105"/>
    <cellStyle name="20% - Accent2 7 3" xfId="106"/>
    <cellStyle name="20% - Accent2 7 4" xfId="107"/>
    <cellStyle name="20% - Accent2 8" xfId="108"/>
    <cellStyle name="20% - Accent2 8 2" xfId="109"/>
    <cellStyle name="20% - Accent2 8 3" xfId="110"/>
    <cellStyle name="20% - Accent2 8 4" xfId="111"/>
    <cellStyle name="20% - Accent2 9" xfId="112"/>
    <cellStyle name="20% - Accent2 9 2" xfId="113"/>
    <cellStyle name="20% - Accent2 9 3" xfId="114"/>
    <cellStyle name="20% - Accent2 9 4" xfId="115"/>
    <cellStyle name="20% - Accent3 10" xfId="116"/>
    <cellStyle name="20% - Accent3 10 2" xfId="117"/>
    <cellStyle name="20% - Accent3 10 3" xfId="118"/>
    <cellStyle name="20% - Accent3 10 4" xfId="119"/>
    <cellStyle name="20% - Accent3 2" xfId="120"/>
    <cellStyle name="20% - Accent3 2 2" xfId="121"/>
    <cellStyle name="20% - Accent3 2 2 2" xfId="122"/>
    <cellStyle name="20% - Accent3 2 2 3" xfId="123"/>
    <cellStyle name="20% - Accent3 2 2 4" xfId="124"/>
    <cellStyle name="20% - Accent3 2 3" xfId="125"/>
    <cellStyle name="20% - Accent3 2 3 2" xfId="126"/>
    <cellStyle name="20% - Accent3 2 3 3" xfId="127"/>
    <cellStyle name="20% - Accent3 2 3 4" xfId="128"/>
    <cellStyle name="20% - Accent3 2 4" xfId="129"/>
    <cellStyle name="20% - Accent3 2 4 2" xfId="130"/>
    <cellStyle name="20% - Accent3 2 4 3" xfId="131"/>
    <cellStyle name="20% - Accent3 2 4 4" xfId="132"/>
    <cellStyle name="20% - Accent3 3" xfId="133"/>
    <cellStyle name="20% - Accent3 3 2" xfId="134"/>
    <cellStyle name="20% - Accent3 3 2 2" xfId="135"/>
    <cellStyle name="20% - Accent3 3 2 3" xfId="136"/>
    <cellStyle name="20% - Accent3 3 2 4" xfId="137"/>
    <cellStyle name="20% - Accent3 3 3" xfId="138"/>
    <cellStyle name="20% - Accent3 3 3 2" xfId="139"/>
    <cellStyle name="20% - Accent3 3 3 3" xfId="140"/>
    <cellStyle name="20% - Accent3 3 3 4" xfId="141"/>
    <cellStyle name="20% - Accent3 3 4" xfId="142"/>
    <cellStyle name="20% - Accent3 3 4 2" xfId="143"/>
    <cellStyle name="20% - Accent3 3 4 3" xfId="144"/>
    <cellStyle name="20% - Accent3 3 4 4" xfId="145"/>
    <cellStyle name="20% - Accent3 4" xfId="146"/>
    <cellStyle name="20% - Accent3 4 2" xfId="147"/>
    <cellStyle name="20% - Accent3 4 3" xfId="148"/>
    <cellStyle name="20% - Accent3 4 4" xfId="149"/>
    <cellStyle name="20% - Accent3 5" xfId="150"/>
    <cellStyle name="20% - Accent3 5 2" xfId="151"/>
    <cellStyle name="20% - Accent3 5 3" xfId="152"/>
    <cellStyle name="20% - Accent3 5 4" xfId="153"/>
    <cellStyle name="20% - Accent3 6" xfId="154"/>
    <cellStyle name="20% - Accent3 6 2" xfId="155"/>
    <cellStyle name="20% - Accent3 6 3" xfId="156"/>
    <cellStyle name="20% - Accent3 6 4" xfId="157"/>
    <cellStyle name="20% - Accent3 7" xfId="158"/>
    <cellStyle name="20% - Accent3 7 2" xfId="159"/>
    <cellStyle name="20% - Accent3 7 3" xfId="160"/>
    <cellStyle name="20% - Accent3 7 4" xfId="161"/>
    <cellStyle name="20% - Accent3 8" xfId="162"/>
    <cellStyle name="20% - Accent3 8 2" xfId="163"/>
    <cellStyle name="20% - Accent3 8 3" xfId="164"/>
    <cellStyle name="20% - Accent3 8 4" xfId="165"/>
    <cellStyle name="20% - Accent3 9" xfId="166"/>
    <cellStyle name="20% - Accent3 9 2" xfId="167"/>
    <cellStyle name="20% - Accent3 9 3" xfId="168"/>
    <cellStyle name="20% - Accent3 9 4" xfId="169"/>
    <cellStyle name="20% - Accent4 10" xfId="170"/>
    <cellStyle name="20% - Accent4 10 2" xfId="171"/>
    <cellStyle name="20% - Accent4 10 3" xfId="172"/>
    <cellStyle name="20% - Accent4 10 4" xfId="173"/>
    <cellStyle name="20% - Accent4 2" xfId="174"/>
    <cellStyle name="20% - Accent4 2 2" xfId="175"/>
    <cellStyle name="20% - Accent4 2 2 2" xfId="176"/>
    <cellStyle name="20% - Accent4 2 2 3" xfId="177"/>
    <cellStyle name="20% - Accent4 2 2 4" xfId="178"/>
    <cellStyle name="20% - Accent4 2 3" xfId="179"/>
    <cellStyle name="20% - Accent4 2 3 2" xfId="180"/>
    <cellStyle name="20% - Accent4 2 3 3" xfId="181"/>
    <cellStyle name="20% - Accent4 2 3 4" xfId="182"/>
    <cellStyle name="20% - Accent4 2 4" xfId="183"/>
    <cellStyle name="20% - Accent4 2 4 2" xfId="184"/>
    <cellStyle name="20% - Accent4 2 4 3" xfId="185"/>
    <cellStyle name="20% - Accent4 2 4 4" xfId="186"/>
    <cellStyle name="20% - Accent4 3" xfId="187"/>
    <cellStyle name="20% - Accent4 3 2" xfId="188"/>
    <cellStyle name="20% - Accent4 3 2 2" xfId="189"/>
    <cellStyle name="20% - Accent4 3 2 3" xfId="190"/>
    <cellStyle name="20% - Accent4 3 2 4" xfId="191"/>
    <cellStyle name="20% - Accent4 3 3" xfId="192"/>
    <cellStyle name="20% - Accent4 3 3 2" xfId="193"/>
    <cellStyle name="20% - Accent4 3 3 3" xfId="194"/>
    <cellStyle name="20% - Accent4 3 3 4" xfId="195"/>
    <cellStyle name="20% - Accent4 3 4" xfId="196"/>
    <cellStyle name="20% - Accent4 3 4 2" xfId="197"/>
    <cellStyle name="20% - Accent4 3 4 3" xfId="198"/>
    <cellStyle name="20% - Accent4 3 4 4" xfId="199"/>
    <cellStyle name="20% - Accent4 4" xfId="200"/>
    <cellStyle name="20% - Accent4 4 2" xfId="201"/>
    <cellStyle name="20% - Accent4 4 3" xfId="202"/>
    <cellStyle name="20% - Accent4 4 4" xfId="203"/>
    <cellStyle name="20% - Accent4 5" xfId="204"/>
    <cellStyle name="20% - Accent4 5 2" xfId="205"/>
    <cellStyle name="20% - Accent4 5 3" xfId="206"/>
    <cellStyle name="20% - Accent4 5 4" xfId="207"/>
    <cellStyle name="20% - Accent4 6" xfId="208"/>
    <cellStyle name="20% - Accent4 6 2" xfId="209"/>
    <cellStyle name="20% - Accent4 6 3" xfId="210"/>
    <cellStyle name="20% - Accent4 6 4" xfId="211"/>
    <cellStyle name="20% - Accent4 7" xfId="212"/>
    <cellStyle name="20% - Accent4 7 2" xfId="213"/>
    <cellStyle name="20% - Accent4 7 3" xfId="214"/>
    <cellStyle name="20% - Accent4 7 4" xfId="215"/>
    <cellStyle name="20% - Accent4 8" xfId="216"/>
    <cellStyle name="20% - Accent4 8 2" xfId="217"/>
    <cellStyle name="20% - Accent4 8 3" xfId="218"/>
    <cellStyle name="20% - Accent4 8 4" xfId="219"/>
    <cellStyle name="20% - Accent4 9" xfId="220"/>
    <cellStyle name="20% - Accent4 9 2" xfId="221"/>
    <cellStyle name="20% - Accent4 9 3" xfId="222"/>
    <cellStyle name="20% - Accent4 9 4" xfId="223"/>
    <cellStyle name="40% - Accent1 10" xfId="224"/>
    <cellStyle name="40% - Accent1 10 2" xfId="225"/>
    <cellStyle name="40% - Accent1 10 3" xfId="226"/>
    <cellStyle name="40% - Accent1 10 4" xfId="227"/>
    <cellStyle name="40% - Accent1 2" xfId="228"/>
    <cellStyle name="40% - Accent1 2 2" xfId="229"/>
    <cellStyle name="40% - Accent1 2 2 2" xfId="230"/>
    <cellStyle name="40% - Accent1 2 2 3" xfId="231"/>
    <cellStyle name="40% - Accent1 2 2 4" xfId="232"/>
    <cellStyle name="40% - Accent1 2 3" xfId="233"/>
    <cellStyle name="40% - Accent1 2 3 2" xfId="234"/>
    <cellStyle name="40% - Accent1 2 3 3" xfId="235"/>
    <cellStyle name="40% - Accent1 2 3 4" xfId="236"/>
    <cellStyle name="40% - Accent1 2 4" xfId="237"/>
    <cellStyle name="40% - Accent1 2 4 2" xfId="238"/>
    <cellStyle name="40% - Accent1 2 4 3" xfId="239"/>
    <cellStyle name="40% - Accent1 2 4 4" xfId="240"/>
    <cellStyle name="40% - Accent1 3" xfId="241"/>
    <cellStyle name="40% - Accent1 3 2" xfId="242"/>
    <cellStyle name="40% - Accent1 3 2 2" xfId="243"/>
    <cellStyle name="40% - Accent1 3 2 3" xfId="244"/>
    <cellStyle name="40% - Accent1 3 2 4" xfId="245"/>
    <cellStyle name="40% - Accent1 3 3" xfId="246"/>
    <cellStyle name="40% - Accent1 3 3 2" xfId="247"/>
    <cellStyle name="40% - Accent1 3 3 3" xfId="248"/>
    <cellStyle name="40% - Accent1 3 3 4" xfId="249"/>
    <cellStyle name="40% - Accent1 3 4" xfId="250"/>
    <cellStyle name="40% - Accent1 3 4 2" xfId="251"/>
    <cellStyle name="40% - Accent1 3 4 3" xfId="252"/>
    <cellStyle name="40% - Accent1 3 4 4" xfId="253"/>
    <cellStyle name="40% - Accent1 4" xfId="254"/>
    <cellStyle name="40% - Accent1 4 2" xfId="255"/>
    <cellStyle name="40% - Accent1 4 3" xfId="256"/>
    <cellStyle name="40% - Accent1 4 4" xfId="257"/>
    <cellStyle name="40% - Accent1 5" xfId="258"/>
    <cellStyle name="40% - Accent1 5 2" xfId="259"/>
    <cellStyle name="40% - Accent1 5 3" xfId="260"/>
    <cellStyle name="40% - Accent1 5 4" xfId="261"/>
    <cellStyle name="40% - Accent1 6" xfId="262"/>
    <cellStyle name="40% - Accent1 6 2" xfId="263"/>
    <cellStyle name="40% - Accent1 6 3" xfId="264"/>
    <cellStyle name="40% - Accent1 6 4" xfId="265"/>
    <cellStyle name="40% - Accent1 7" xfId="266"/>
    <cellStyle name="40% - Accent1 7 2" xfId="267"/>
    <cellStyle name="40% - Accent1 7 3" xfId="268"/>
    <cellStyle name="40% - Accent1 7 4" xfId="269"/>
    <cellStyle name="40% - Accent1 8" xfId="270"/>
    <cellStyle name="40% - Accent1 8 2" xfId="271"/>
    <cellStyle name="40% - Accent1 8 3" xfId="272"/>
    <cellStyle name="40% - Accent1 8 4" xfId="273"/>
    <cellStyle name="40% - Accent1 9" xfId="274"/>
    <cellStyle name="40% - Accent1 9 2" xfId="275"/>
    <cellStyle name="40% - Accent1 9 3" xfId="276"/>
    <cellStyle name="40% - Accent1 9 4" xfId="277"/>
    <cellStyle name="40% - Accent3 10" xfId="278"/>
    <cellStyle name="40% - Accent3 10 2" xfId="279"/>
    <cellStyle name="40% - Accent3 10 3" xfId="280"/>
    <cellStyle name="40% - Accent3 10 4" xfId="281"/>
    <cellStyle name="40% - Accent3 2" xfId="282"/>
    <cellStyle name="40% - Accent3 2 2" xfId="283"/>
    <cellStyle name="40% - Accent3 2 2 2" xfId="284"/>
    <cellStyle name="40% - Accent3 2 2 3" xfId="285"/>
    <cellStyle name="40% - Accent3 2 2 4" xfId="286"/>
    <cellStyle name="40% - Accent3 2 3" xfId="287"/>
    <cellStyle name="40% - Accent3 2 3 2" xfId="288"/>
    <cellStyle name="40% - Accent3 2 3 3" xfId="289"/>
    <cellStyle name="40% - Accent3 2 3 4" xfId="290"/>
    <cellStyle name="40% - Accent3 2 4" xfId="291"/>
    <cellStyle name="40% - Accent3 2 4 2" xfId="292"/>
    <cellStyle name="40% - Accent3 2 4 3" xfId="293"/>
    <cellStyle name="40% - Accent3 2 4 4" xfId="294"/>
    <cellStyle name="40% - Accent3 3" xfId="295"/>
    <cellStyle name="40% - Accent3 3 2" xfId="296"/>
    <cellStyle name="40% - Accent3 3 2 2" xfId="297"/>
    <cellStyle name="40% - Accent3 3 2 3" xfId="298"/>
    <cellStyle name="40% - Accent3 3 2 4" xfId="299"/>
    <cellStyle name="40% - Accent3 3 3" xfId="300"/>
    <cellStyle name="40% - Accent3 3 3 2" xfId="301"/>
    <cellStyle name="40% - Accent3 3 3 3" xfId="302"/>
    <cellStyle name="40% - Accent3 3 3 4" xfId="303"/>
    <cellStyle name="40% - Accent3 3 4" xfId="304"/>
    <cellStyle name="40% - Accent3 3 4 2" xfId="305"/>
    <cellStyle name="40% - Accent3 3 4 3" xfId="306"/>
    <cellStyle name="40% - Accent3 3 4 4" xfId="307"/>
    <cellStyle name="40% - Accent3 4" xfId="308"/>
    <cellStyle name="40% - Accent3 4 2" xfId="309"/>
    <cellStyle name="40% - Accent3 4 3" xfId="310"/>
    <cellStyle name="40% - Accent3 4 4" xfId="311"/>
    <cellStyle name="40% - Accent3 5" xfId="312"/>
    <cellStyle name="40% - Accent3 5 2" xfId="313"/>
    <cellStyle name="40% - Accent3 5 3" xfId="314"/>
    <cellStyle name="40% - Accent3 5 4" xfId="315"/>
    <cellStyle name="40% - Accent3 6" xfId="316"/>
    <cellStyle name="40% - Accent3 6 2" xfId="317"/>
    <cellStyle name="40% - Accent3 6 3" xfId="318"/>
    <cellStyle name="40% - Accent3 6 4" xfId="319"/>
    <cellStyle name="40% - Accent3 7" xfId="320"/>
    <cellStyle name="40% - Accent3 7 2" xfId="321"/>
    <cellStyle name="40% - Accent3 7 3" xfId="322"/>
    <cellStyle name="40% - Accent3 7 4" xfId="323"/>
    <cellStyle name="40% - Accent3 8" xfId="324"/>
    <cellStyle name="40% - Accent3 8 2" xfId="325"/>
    <cellStyle name="40% - Accent3 8 3" xfId="326"/>
    <cellStyle name="40% - Accent3 8 4" xfId="327"/>
    <cellStyle name="40% - Accent3 9" xfId="328"/>
    <cellStyle name="40% - Accent3 9 2" xfId="329"/>
    <cellStyle name="40% - Accent3 9 3" xfId="330"/>
    <cellStyle name="40% - Accent3 9 4" xfId="331"/>
    <cellStyle name="40% - Accent4 10" xfId="332"/>
    <cellStyle name="40% - Accent4 10 2" xfId="333"/>
    <cellStyle name="40% - Accent4 10 3" xfId="334"/>
    <cellStyle name="40% - Accent4 10 4" xfId="335"/>
    <cellStyle name="40% - Accent4 2" xfId="336"/>
    <cellStyle name="40% - Accent4 2 2" xfId="337"/>
    <cellStyle name="40% - Accent4 2 2 2" xfId="338"/>
    <cellStyle name="40% - Accent4 2 2 3" xfId="339"/>
    <cellStyle name="40% - Accent4 2 2 4" xfId="340"/>
    <cellStyle name="40% - Accent4 2 3" xfId="341"/>
    <cellStyle name="40% - Accent4 2 3 2" xfId="342"/>
    <cellStyle name="40% - Accent4 2 3 3" xfId="343"/>
    <cellStyle name="40% - Accent4 2 3 4" xfId="344"/>
    <cellStyle name="40% - Accent4 2 4" xfId="345"/>
    <cellStyle name="40% - Accent4 2 4 2" xfId="346"/>
    <cellStyle name="40% - Accent4 2 4 3" xfId="347"/>
    <cellStyle name="40% - Accent4 2 4 4" xfId="348"/>
    <cellStyle name="40% - Accent4 3" xfId="349"/>
    <cellStyle name="40% - Accent4 3 2" xfId="350"/>
    <cellStyle name="40% - Accent4 3 2 2" xfId="351"/>
    <cellStyle name="40% - Accent4 3 2 3" xfId="352"/>
    <cellStyle name="40% - Accent4 3 2 4" xfId="353"/>
    <cellStyle name="40% - Accent4 3 3" xfId="354"/>
    <cellStyle name="40% - Accent4 3 3 2" xfId="355"/>
    <cellStyle name="40% - Accent4 3 3 3" xfId="356"/>
    <cellStyle name="40% - Accent4 3 3 4" xfId="357"/>
    <cellStyle name="40% - Accent4 3 4" xfId="358"/>
    <cellStyle name="40% - Accent4 3 4 2" xfId="359"/>
    <cellStyle name="40% - Accent4 3 4 3" xfId="360"/>
    <cellStyle name="40% - Accent4 3 4 4" xfId="361"/>
    <cellStyle name="40% - Accent4 4" xfId="362"/>
    <cellStyle name="40% - Accent4 4 2" xfId="363"/>
    <cellStyle name="40% - Accent4 4 3" xfId="364"/>
    <cellStyle name="40% - Accent4 4 4" xfId="365"/>
    <cellStyle name="40% - Accent4 5" xfId="366"/>
    <cellStyle name="40% - Accent4 5 2" xfId="367"/>
    <cellStyle name="40% - Accent4 5 3" xfId="368"/>
    <cellStyle name="40% - Accent4 5 4" xfId="369"/>
    <cellStyle name="40% - Accent4 6" xfId="370"/>
    <cellStyle name="40% - Accent4 6 2" xfId="371"/>
    <cellStyle name="40% - Accent4 6 3" xfId="372"/>
    <cellStyle name="40% - Accent4 6 4" xfId="373"/>
    <cellStyle name="40% - Accent4 7" xfId="374"/>
    <cellStyle name="40% - Accent4 7 2" xfId="375"/>
    <cellStyle name="40% - Accent4 7 3" xfId="376"/>
    <cellStyle name="40% - Accent4 7 4" xfId="377"/>
    <cellStyle name="40% - Accent4 8" xfId="378"/>
    <cellStyle name="40% - Accent4 8 2" xfId="379"/>
    <cellStyle name="40% - Accent4 8 3" xfId="380"/>
    <cellStyle name="40% - Accent4 8 4" xfId="381"/>
    <cellStyle name="40% - Accent4 9" xfId="382"/>
    <cellStyle name="40% - Accent4 9 2" xfId="383"/>
    <cellStyle name="40% - Accent4 9 3" xfId="384"/>
    <cellStyle name="40% - Accent4 9 4" xfId="385"/>
    <cellStyle name="40% - Accent6 10" xfId="386"/>
    <cellStyle name="40% - Accent6 10 2" xfId="387"/>
    <cellStyle name="40% - Accent6 10 3" xfId="388"/>
    <cellStyle name="40% - Accent6 10 4" xfId="389"/>
    <cellStyle name="40% - Accent6 2" xfId="390"/>
    <cellStyle name="40% - Accent6 2 2" xfId="391"/>
    <cellStyle name="40% - Accent6 2 2 2" xfId="392"/>
    <cellStyle name="40% - Accent6 2 2 3" xfId="393"/>
    <cellStyle name="40% - Accent6 2 2 4" xfId="394"/>
    <cellStyle name="40% - Accent6 2 3" xfId="395"/>
    <cellStyle name="40% - Accent6 2 3 2" xfId="396"/>
    <cellStyle name="40% - Accent6 2 3 3" xfId="397"/>
    <cellStyle name="40% - Accent6 2 3 4" xfId="398"/>
    <cellStyle name="40% - Accent6 2 4" xfId="399"/>
    <cellStyle name="40% - Accent6 2 4 2" xfId="400"/>
    <cellStyle name="40% - Accent6 2 4 3" xfId="401"/>
    <cellStyle name="40% - Accent6 2 4 4" xfId="402"/>
    <cellStyle name="40% - Accent6 3" xfId="403"/>
    <cellStyle name="40% - Accent6 3 2" xfId="404"/>
    <cellStyle name="40% - Accent6 3 2 2" xfId="405"/>
    <cellStyle name="40% - Accent6 3 2 3" xfId="406"/>
    <cellStyle name="40% - Accent6 3 2 4" xfId="407"/>
    <cellStyle name="40% - Accent6 3 3" xfId="408"/>
    <cellStyle name="40% - Accent6 3 3 2" xfId="409"/>
    <cellStyle name="40% - Accent6 3 3 3" xfId="410"/>
    <cellStyle name="40% - Accent6 3 3 4" xfId="411"/>
    <cellStyle name="40% - Accent6 3 4" xfId="412"/>
    <cellStyle name="40% - Accent6 3 4 2" xfId="413"/>
    <cellStyle name="40% - Accent6 3 4 3" xfId="414"/>
    <cellStyle name="40% - Accent6 3 4 4" xfId="415"/>
    <cellStyle name="40% - Accent6 4" xfId="416"/>
    <cellStyle name="40% - Accent6 4 2" xfId="417"/>
    <cellStyle name="40% - Accent6 4 3" xfId="418"/>
    <cellStyle name="40% - Accent6 4 4" xfId="419"/>
    <cellStyle name="40% - Accent6 5" xfId="420"/>
    <cellStyle name="40% - Accent6 5 2" xfId="421"/>
    <cellStyle name="40% - Accent6 5 3" xfId="422"/>
    <cellStyle name="40% - Accent6 5 4" xfId="423"/>
    <cellStyle name="40% - Accent6 6" xfId="424"/>
    <cellStyle name="40% - Accent6 6 2" xfId="425"/>
    <cellStyle name="40% - Accent6 6 3" xfId="426"/>
    <cellStyle name="40% - Accent6 6 4" xfId="427"/>
    <cellStyle name="40% - Accent6 7" xfId="428"/>
    <cellStyle name="40% - Accent6 7 2" xfId="429"/>
    <cellStyle name="40% - Accent6 7 3" xfId="430"/>
    <cellStyle name="40% - Accent6 7 4" xfId="431"/>
    <cellStyle name="40% - Accent6 8" xfId="432"/>
    <cellStyle name="40% - Accent6 8 2" xfId="433"/>
    <cellStyle name="40% - Accent6 8 3" xfId="434"/>
    <cellStyle name="40% - Accent6 8 4" xfId="435"/>
    <cellStyle name="40% - Accent6 9" xfId="436"/>
    <cellStyle name="40% - Accent6 9 2" xfId="437"/>
    <cellStyle name="40% - Accent6 9 3" xfId="438"/>
    <cellStyle name="40% - Accent6 9 4" xfId="439"/>
    <cellStyle name="60% - Accent1 10" xfId="440"/>
    <cellStyle name="60% - Accent1 2" xfId="441"/>
    <cellStyle name="60% - Accent1 2 2" xfId="442"/>
    <cellStyle name="60% - Accent1 2 3" xfId="443"/>
    <cellStyle name="60% - Accent1 2 4" xfId="444"/>
    <cellStyle name="60% - Accent1 3" xfId="445"/>
    <cellStyle name="60% - Accent1 3 2" xfId="446"/>
    <cellStyle name="60% - Accent1 3 3" xfId="447"/>
    <cellStyle name="60% - Accent1 3 4" xfId="448"/>
    <cellStyle name="60% - Accent1 4" xfId="449"/>
    <cellStyle name="60% - Accent1 5" xfId="450"/>
    <cellStyle name="60% - Accent1 6" xfId="451"/>
    <cellStyle name="60% - Accent1 7" xfId="452"/>
    <cellStyle name="60% - Accent1 8" xfId="453"/>
    <cellStyle name="60% - Accent1 9" xfId="454"/>
    <cellStyle name="60% - Accent3 10" xfId="455"/>
    <cellStyle name="60% - Accent3 2" xfId="456"/>
    <cellStyle name="60% - Accent3 2 2" xfId="457"/>
    <cellStyle name="60% - Accent3 2 3" xfId="458"/>
    <cellStyle name="60% - Accent3 2 4" xfId="459"/>
    <cellStyle name="60% - Accent3 3" xfId="460"/>
    <cellStyle name="60% - Accent3 3 2" xfId="461"/>
    <cellStyle name="60% - Accent3 3 3" xfId="462"/>
    <cellStyle name="60% - Accent3 3 4" xfId="463"/>
    <cellStyle name="60% - Accent3 4" xfId="464"/>
    <cellStyle name="60% - Accent3 5" xfId="465"/>
    <cellStyle name="60% - Accent3 6" xfId="466"/>
    <cellStyle name="60% - Accent3 7" xfId="467"/>
    <cellStyle name="60% - Accent3 8" xfId="468"/>
    <cellStyle name="60% - Accent3 9" xfId="469"/>
    <cellStyle name="60% - Accent4 10" xfId="470"/>
    <cellStyle name="60% - Accent4 2" xfId="471"/>
    <cellStyle name="60% - Accent4 2 2" xfId="472"/>
    <cellStyle name="60% - Accent4 2 3" xfId="473"/>
    <cellStyle name="60% - Accent4 2 4" xfId="474"/>
    <cellStyle name="60% - Accent4 3" xfId="475"/>
    <cellStyle name="60% - Accent4 3 2" xfId="476"/>
    <cellStyle name="60% - Accent4 3 3" xfId="477"/>
    <cellStyle name="60% - Accent4 3 4" xfId="478"/>
    <cellStyle name="60% - Accent4 4" xfId="479"/>
    <cellStyle name="60% - Accent4 5" xfId="480"/>
    <cellStyle name="60% - Accent4 6" xfId="481"/>
    <cellStyle name="60% - Accent4 7" xfId="482"/>
    <cellStyle name="60% - Accent4 8" xfId="483"/>
    <cellStyle name="60% - Accent4 9" xfId="484"/>
    <cellStyle name="60% - Accent6 10" xfId="485"/>
    <cellStyle name="60% - Accent6 2" xfId="486"/>
    <cellStyle name="60% - Accent6 2 2" xfId="487"/>
    <cellStyle name="60% - Accent6 2 3" xfId="488"/>
    <cellStyle name="60% - Accent6 2 4" xfId="489"/>
    <cellStyle name="60% - Accent6 3" xfId="490"/>
    <cellStyle name="60% - Accent6 3 2" xfId="491"/>
    <cellStyle name="60% - Accent6 3 3" xfId="492"/>
    <cellStyle name="60% - Accent6 3 4" xfId="493"/>
    <cellStyle name="60% - Accent6 4" xfId="494"/>
    <cellStyle name="60% - Accent6 5" xfId="495"/>
    <cellStyle name="60% - Accent6 6" xfId="496"/>
    <cellStyle name="60% - Accent6 7" xfId="497"/>
    <cellStyle name="60% - Accent6 8" xfId="498"/>
    <cellStyle name="60% - Accent6 9" xfId="499"/>
    <cellStyle name="Accent1 10" xfId="500"/>
    <cellStyle name="Accent1 2" xfId="501"/>
    <cellStyle name="Accent1 2 2" xfId="502"/>
    <cellStyle name="Accent1 2 3" xfId="503"/>
    <cellStyle name="Accent1 2 4" xfId="504"/>
    <cellStyle name="Accent1 3" xfId="505"/>
    <cellStyle name="Accent1 3 2" xfId="506"/>
    <cellStyle name="Accent1 3 3" xfId="507"/>
    <cellStyle name="Accent1 3 4" xfId="508"/>
    <cellStyle name="Accent1 4" xfId="509"/>
    <cellStyle name="Accent1 5" xfId="510"/>
    <cellStyle name="Accent1 6" xfId="511"/>
    <cellStyle name="Accent1 7" xfId="512"/>
    <cellStyle name="Accent1 8" xfId="513"/>
    <cellStyle name="Accent1 9" xfId="514"/>
    <cellStyle name="Accent4 10" xfId="515"/>
    <cellStyle name="Accent4 2" xfId="516"/>
    <cellStyle name="Accent4 2 2" xfId="517"/>
    <cellStyle name="Accent4 2 3" xfId="518"/>
    <cellStyle name="Accent4 2 4" xfId="519"/>
    <cellStyle name="Accent4 3" xfId="520"/>
    <cellStyle name="Accent4 3 2" xfId="521"/>
    <cellStyle name="Accent4 3 3" xfId="522"/>
    <cellStyle name="Accent4 3 4" xfId="523"/>
    <cellStyle name="Accent4 4" xfId="524"/>
    <cellStyle name="Accent4 5" xfId="525"/>
    <cellStyle name="Accent4 6" xfId="526"/>
    <cellStyle name="Accent4 7" xfId="527"/>
    <cellStyle name="Accent4 8" xfId="528"/>
    <cellStyle name="Accent4 9" xfId="529"/>
    <cellStyle name="Background" xfId="530"/>
    <cellStyle name="Background 2" xfId="531"/>
    <cellStyle name="Background 3" xfId="532"/>
    <cellStyle name="Background 4" xfId="533"/>
    <cellStyle name="Background 5" xfId="534"/>
    <cellStyle name="Calculated Value" xfId="535"/>
    <cellStyle name="Calculated Value 2" xfId="536"/>
    <cellStyle name="Calculated Value 3" xfId="537"/>
    <cellStyle name="Calculated Value 4" xfId="538"/>
    <cellStyle name="Calculated Value 5" xfId="539"/>
    <cellStyle name="Calculation 10" xfId="540"/>
    <cellStyle name="Calculation 2" xfId="541"/>
    <cellStyle name="Calculation 2 2" xfId="542"/>
    <cellStyle name="Calculation 2 3" xfId="543"/>
    <cellStyle name="Calculation 2 4" xfId="544"/>
    <cellStyle name="Calculation 2 5" xfId="545"/>
    <cellStyle name="Calculation 2 6" xfId="546"/>
    <cellStyle name="Calculation 3" xfId="547"/>
    <cellStyle name="Calculation 3 2" xfId="548"/>
    <cellStyle name="Calculation 3 3" xfId="549"/>
    <cellStyle name="Calculation 3 4" xfId="550"/>
    <cellStyle name="Calculation 3 5" xfId="551"/>
    <cellStyle name="Calculation 3 6" xfId="552"/>
    <cellStyle name="Calculation 4" xfId="553"/>
    <cellStyle name="Calculation 5" xfId="554"/>
    <cellStyle name="Calculation 6" xfId="555"/>
    <cellStyle name="Calculation 7" xfId="556"/>
    <cellStyle name="Calculation 8" xfId="557"/>
    <cellStyle name="Calculation 9" xfId="558"/>
    <cellStyle name="Comma" xfId="1" builtinId="3"/>
    <cellStyle name="Comma 10" xfId="559"/>
    <cellStyle name="Comma 10 2" xfId="560"/>
    <cellStyle name="Comma 10 3" xfId="561"/>
    <cellStyle name="Comma 10 4" xfId="562"/>
    <cellStyle name="Comma 11" xfId="563"/>
    <cellStyle name="Comma 11 2" xfId="564"/>
    <cellStyle name="Comma 11 2 2" xfId="565"/>
    <cellStyle name="Comma 11 2 2 2" xfId="566"/>
    <cellStyle name="Comma 11 2 2 2 2" xfId="567"/>
    <cellStyle name="Comma 11 2 3" xfId="568"/>
    <cellStyle name="Comma 11 2 4" xfId="569"/>
    <cellStyle name="Comma 11 2 5" xfId="570"/>
    <cellStyle name="Comma 11 3" xfId="571"/>
    <cellStyle name="Comma 11 4" xfId="572"/>
    <cellStyle name="Comma 11 5" xfId="573"/>
    <cellStyle name="Comma 11 6" xfId="574"/>
    <cellStyle name="Comma 11 7" xfId="575"/>
    <cellStyle name="Comma 11 8" xfId="576"/>
    <cellStyle name="Comma 12" xfId="577"/>
    <cellStyle name="Comma 13" xfId="578"/>
    <cellStyle name="Comma 14" xfId="579"/>
    <cellStyle name="Comma 15" xfId="580"/>
    <cellStyle name="Comma 15 2" xfId="581"/>
    <cellStyle name="Comma 15 3" xfId="582"/>
    <cellStyle name="Comma 15 4" xfId="583"/>
    <cellStyle name="Comma 15 5" xfId="584"/>
    <cellStyle name="Comma 16" xfId="585"/>
    <cellStyle name="Comma 16 2" xfId="586"/>
    <cellStyle name="Comma 16 3" xfId="587"/>
    <cellStyle name="Comma 17" xfId="588"/>
    <cellStyle name="Comma 18" xfId="589"/>
    <cellStyle name="Comma 18 2" xfId="590"/>
    <cellStyle name="Comma 19" xfId="591"/>
    <cellStyle name="Comma 19 2" xfId="592"/>
    <cellStyle name="Comma 2" xfId="593"/>
    <cellStyle name="Comma 2 2" xfId="594"/>
    <cellStyle name="Comma 2 2 2" xfId="595"/>
    <cellStyle name="Comma 2 2 3" xfId="596"/>
    <cellStyle name="Comma 2 2 4" xfId="597"/>
    <cellStyle name="Comma 2 2 5" xfId="598"/>
    <cellStyle name="Comma 2 2 6" xfId="599"/>
    <cellStyle name="Comma 2 2 7" xfId="600"/>
    <cellStyle name="Comma 2 3" xfId="601"/>
    <cellStyle name="Comma 2 3 2" xfId="602"/>
    <cellStyle name="Comma 2 3 2 2" xfId="603"/>
    <cellStyle name="Comma 2 3 2 2 2" xfId="604"/>
    <cellStyle name="Comma 2 3 2 2 2 2" xfId="605"/>
    <cellStyle name="Comma 2 3 2 2 2 3" xfId="606"/>
    <cellStyle name="Comma 2 3 2 2 3" xfId="607"/>
    <cellStyle name="Comma 2 3 2 3" xfId="608"/>
    <cellStyle name="Comma 2 3 3" xfId="609"/>
    <cellStyle name="Comma 2 3 3 2" xfId="610"/>
    <cellStyle name="Comma 2 3 4" xfId="611"/>
    <cellStyle name="Comma 2 4" xfId="612"/>
    <cellStyle name="Comma 2 5" xfId="613"/>
    <cellStyle name="Comma 2 6" xfId="614"/>
    <cellStyle name="Comma 2 7" xfId="615"/>
    <cellStyle name="Comma 2 8" xfId="616"/>
    <cellStyle name="Comma 20" xfId="617"/>
    <cellStyle name="Comma 21" xfId="1343"/>
    <cellStyle name="Comma 22" xfId="1344"/>
    <cellStyle name="Comma 3" xfId="618"/>
    <cellStyle name="Comma 3 2" xfId="619"/>
    <cellStyle name="Comma 3 3" xfId="620"/>
    <cellStyle name="Comma 3 4" xfId="621"/>
    <cellStyle name="Comma 3 5" xfId="622"/>
    <cellStyle name="Comma 3 6" xfId="623"/>
    <cellStyle name="Comma 3 7" xfId="624"/>
    <cellStyle name="Comma 4" xfId="625"/>
    <cellStyle name="Comma 4 10" xfId="626"/>
    <cellStyle name="Comma 4 10 2" xfId="627"/>
    <cellStyle name="Comma 4 11" xfId="628"/>
    <cellStyle name="Comma 4 2" xfId="629"/>
    <cellStyle name="Comma 4 2 2" xfId="630"/>
    <cellStyle name="Comma 4 3" xfId="631"/>
    <cellStyle name="Comma 4 3 2" xfId="632"/>
    <cellStyle name="Comma 4 3 2 2" xfId="633"/>
    <cellStyle name="Comma 4 3 2 3" xfId="634"/>
    <cellStyle name="Comma 4 3 2 4" xfId="635"/>
    <cellStyle name="Comma 4 3 3" xfId="636"/>
    <cellStyle name="Comma 4 3 4" xfId="637"/>
    <cellStyle name="Comma 4 3 5" xfId="638"/>
    <cellStyle name="Comma 4 3 6" xfId="639"/>
    <cellStyle name="Comma 4 3 7" xfId="640"/>
    <cellStyle name="Comma 4 4" xfId="641"/>
    <cellStyle name="Comma 4 4 2" xfId="642"/>
    <cellStyle name="Comma 4 4 3" xfId="643"/>
    <cellStyle name="Comma 4 4 4" xfId="644"/>
    <cellStyle name="Comma 4 5" xfId="645"/>
    <cellStyle name="Comma 4 5 2" xfId="646"/>
    <cellStyle name="Comma 4 5 3" xfId="647"/>
    <cellStyle name="Comma 4 5 4" xfId="648"/>
    <cellStyle name="Comma 4 6" xfId="649"/>
    <cellStyle name="Comma 4 6 2" xfId="650"/>
    <cellStyle name="Comma 4 6 3" xfId="651"/>
    <cellStyle name="Comma 4 6 4" xfId="652"/>
    <cellStyle name="Comma 4 7" xfId="653"/>
    <cellStyle name="Comma 4 8" xfId="654"/>
    <cellStyle name="Comma 4 9" xfId="655"/>
    <cellStyle name="Comma 5" xfId="656"/>
    <cellStyle name="Comma 5 2" xfId="657"/>
    <cellStyle name="Comma 5 3" xfId="658"/>
    <cellStyle name="Comma 5 4" xfId="659"/>
    <cellStyle name="Comma 5 5" xfId="660"/>
    <cellStyle name="Comma 5 6" xfId="661"/>
    <cellStyle name="Comma 5 7" xfId="662"/>
    <cellStyle name="Comma 6" xfId="663"/>
    <cellStyle name="Comma 6 2" xfId="664"/>
    <cellStyle name="Comma 6 3" xfId="665"/>
    <cellStyle name="Comma 6 4" xfId="666"/>
    <cellStyle name="Comma 7" xfId="667"/>
    <cellStyle name="Comma 7 2" xfId="668"/>
    <cellStyle name="Comma 7 3" xfId="669"/>
    <cellStyle name="Comma 7 4" xfId="670"/>
    <cellStyle name="Comma 7 5" xfId="671"/>
    <cellStyle name="Comma 7 6" xfId="672"/>
    <cellStyle name="Comma 8" xfId="673"/>
    <cellStyle name="Comma 8 2" xfId="674"/>
    <cellStyle name="Comma 8 2 2" xfId="675"/>
    <cellStyle name="Comma 9" xfId="676"/>
    <cellStyle name="Comma 9 2" xfId="677"/>
    <cellStyle name="Comma 9 2 2" xfId="678"/>
    <cellStyle name="Comma 9 3" xfId="679"/>
    <cellStyle name="Comma 9 4" xfId="680"/>
    <cellStyle name="Comma0" xfId="681"/>
    <cellStyle name="Currency" xfId="2" builtinId="4"/>
    <cellStyle name="Currency [0] 2" xfId="682"/>
    <cellStyle name="Currency 10" xfId="683"/>
    <cellStyle name="Currency 10 2" xfId="684"/>
    <cellStyle name="Currency 10 3" xfId="685"/>
    <cellStyle name="Currency 10 4" xfId="686"/>
    <cellStyle name="Currency 11" xfId="687"/>
    <cellStyle name="Currency 11 2" xfId="688"/>
    <cellStyle name="Currency 11 3" xfId="689"/>
    <cellStyle name="Currency 11 4" xfId="690"/>
    <cellStyle name="Currency 11 5" xfId="691"/>
    <cellStyle name="Currency 12" xfId="692"/>
    <cellStyle name="Currency 12 2" xfId="693"/>
    <cellStyle name="Currency 12 2 2" xfId="694"/>
    <cellStyle name="Currency 12 2 2 2" xfId="695"/>
    <cellStyle name="Currency 12 2 2 2 2" xfId="696"/>
    <cellStyle name="Currency 12 3" xfId="697"/>
    <cellStyle name="Currency 12 4" xfId="698"/>
    <cellStyle name="Currency 13" xfId="699"/>
    <cellStyle name="Currency 13 2" xfId="700"/>
    <cellStyle name="Currency 13 3" xfId="701"/>
    <cellStyle name="Currency 13 4" xfId="702"/>
    <cellStyle name="Currency 14" xfId="703"/>
    <cellStyle name="Currency 15" xfId="704"/>
    <cellStyle name="Currency 15 2" xfId="705"/>
    <cellStyle name="Currency 16" xfId="706"/>
    <cellStyle name="Currency 17" xfId="707"/>
    <cellStyle name="Currency 17 2" xfId="708"/>
    <cellStyle name="Currency 18" xfId="709"/>
    <cellStyle name="Currency 18 2" xfId="710"/>
    <cellStyle name="Currency 18 3" xfId="711"/>
    <cellStyle name="Currency 18 4" xfId="712"/>
    <cellStyle name="Currency 18 5" xfId="713"/>
    <cellStyle name="Currency 19" xfId="714"/>
    <cellStyle name="Currency 19 2" xfId="715"/>
    <cellStyle name="Currency 19 3" xfId="716"/>
    <cellStyle name="Currency 2" xfId="717"/>
    <cellStyle name="Currency 2 2" xfId="718"/>
    <cellStyle name="Currency 2 2 2" xfId="719"/>
    <cellStyle name="Currency 2 2 3" xfId="720"/>
    <cellStyle name="Currency 2 2 4" xfId="721"/>
    <cellStyle name="Currency 2 2 5" xfId="722"/>
    <cellStyle name="Currency 2 2 6" xfId="723"/>
    <cellStyle name="Currency 2 2 7" xfId="724"/>
    <cellStyle name="Currency 2 3" xfId="725"/>
    <cellStyle name="Currency 2 4" xfId="726"/>
    <cellStyle name="Currency 2 5" xfId="727"/>
    <cellStyle name="Currency 2 6" xfId="728"/>
    <cellStyle name="Currency 2 7" xfId="729"/>
    <cellStyle name="Currency 2 8" xfId="730"/>
    <cellStyle name="Currency 20" xfId="731"/>
    <cellStyle name="Currency 20 2" xfId="732"/>
    <cellStyle name="Currency 21" xfId="733"/>
    <cellStyle name="Currency 21 2" xfId="734"/>
    <cellStyle name="Currency 22" xfId="735"/>
    <cellStyle name="Currency 23" xfId="736"/>
    <cellStyle name="Currency 24" xfId="737"/>
    <cellStyle name="Currency 25" xfId="1345"/>
    <cellStyle name="Currency 26" xfId="1346"/>
    <cellStyle name="Currency 3" xfId="738"/>
    <cellStyle name="Currency 3 2" xfId="739"/>
    <cellStyle name="Currency 3 3" xfId="740"/>
    <cellStyle name="Currency 3 4" xfId="741"/>
    <cellStyle name="Currency 3 5" xfId="742"/>
    <cellStyle name="Currency 3 6" xfId="743"/>
    <cellStyle name="Currency 3 7" xfId="744"/>
    <cellStyle name="Currency 4" xfId="745"/>
    <cellStyle name="Currency 4 2" xfId="746"/>
    <cellStyle name="Currency 4 3" xfId="747"/>
    <cellStyle name="Currency 4 3 2" xfId="748"/>
    <cellStyle name="Currency 4 3 3" xfId="749"/>
    <cellStyle name="Currency 4 4" xfId="750"/>
    <cellStyle name="Currency 4 5" xfId="751"/>
    <cellStyle name="Currency 4 5 2" xfId="752"/>
    <cellStyle name="Currency 4 5 3" xfId="753"/>
    <cellStyle name="Currency 4 5 4" xfId="754"/>
    <cellStyle name="Currency 4 5 5" xfId="755"/>
    <cellStyle name="Currency 4 6" xfId="756"/>
    <cellStyle name="Currency 4 6 2" xfId="757"/>
    <cellStyle name="Currency 4 7" xfId="758"/>
    <cellStyle name="Currency 4 8" xfId="759"/>
    <cellStyle name="Currency 5" xfId="760"/>
    <cellStyle name="Currency 5 2" xfId="761"/>
    <cellStyle name="Currency 5 2 2" xfId="762"/>
    <cellStyle name="Currency 5 2 3" xfId="763"/>
    <cellStyle name="Currency 5 2 4" xfId="764"/>
    <cellStyle name="Currency 5 3" xfId="765"/>
    <cellStyle name="Currency 5 4" xfId="766"/>
    <cellStyle name="Currency 5 5" xfId="767"/>
    <cellStyle name="Currency 5 6" xfId="768"/>
    <cellStyle name="Currency 5 7" xfId="769"/>
    <cellStyle name="Currency 5 7 2" xfId="770"/>
    <cellStyle name="Currency 5 8" xfId="771"/>
    <cellStyle name="Currency 6" xfId="772"/>
    <cellStyle name="Currency 6 2" xfId="773"/>
    <cellStyle name="Currency 7" xfId="774"/>
    <cellStyle name="Currency 7 2" xfId="775"/>
    <cellStyle name="Currency 7 3" xfId="776"/>
    <cellStyle name="Currency 7 4" xfId="777"/>
    <cellStyle name="Currency 7 5" xfId="778"/>
    <cellStyle name="Currency 7 6" xfId="779"/>
    <cellStyle name="Currency 8" xfId="780"/>
    <cellStyle name="Currency 8 2" xfId="781"/>
    <cellStyle name="Currency 8 3" xfId="782"/>
    <cellStyle name="Currency 9" xfId="783"/>
    <cellStyle name="Currency 9 2" xfId="784"/>
    <cellStyle name="Currency 9 3" xfId="785"/>
    <cellStyle name="Currency 9 4" xfId="786"/>
    <cellStyle name="Currency0" xfId="787"/>
    <cellStyle name="DarkGrey" xfId="788"/>
    <cellStyle name="date" xfId="789"/>
    <cellStyle name="DefaultValue" xfId="790"/>
    <cellStyle name="DefaultValue 2" xfId="791"/>
    <cellStyle name="DefaultValue 3" xfId="792"/>
    <cellStyle name="DefaultValue 4" xfId="793"/>
    <cellStyle name="Fixed" xfId="794"/>
    <cellStyle name="Heading 1 10" xfId="795"/>
    <cellStyle name="Heading 1 2" xfId="796"/>
    <cellStyle name="Heading 1 2 2" xfId="797"/>
    <cellStyle name="Heading 1 2 3" xfId="798"/>
    <cellStyle name="Heading 1 2 4" xfId="799"/>
    <cellStyle name="Heading 1 3" xfId="800"/>
    <cellStyle name="Heading 1 3 2" xfId="801"/>
    <cellStyle name="Heading 1 3 3" xfId="802"/>
    <cellStyle name="Heading 1 3 4" xfId="803"/>
    <cellStyle name="Heading 1 4" xfId="804"/>
    <cellStyle name="Heading 1 5" xfId="805"/>
    <cellStyle name="Heading 1 6" xfId="806"/>
    <cellStyle name="Heading 1 7" xfId="807"/>
    <cellStyle name="Heading 1 8" xfId="808"/>
    <cellStyle name="Heading 1 9" xfId="809"/>
    <cellStyle name="Heading 2 10" xfId="810"/>
    <cellStyle name="Heading 2 2" xfId="811"/>
    <cellStyle name="Heading 2 2 2" xfId="812"/>
    <cellStyle name="Heading 2 2 3" xfId="813"/>
    <cellStyle name="Heading 2 2 4" xfId="814"/>
    <cellStyle name="Heading 2 3" xfId="815"/>
    <cellStyle name="Heading 2 3 2" xfId="816"/>
    <cellStyle name="Heading 2 3 3" xfId="817"/>
    <cellStyle name="Heading 2 3 4" xfId="818"/>
    <cellStyle name="Heading 2 4" xfId="819"/>
    <cellStyle name="Heading 2 5" xfId="820"/>
    <cellStyle name="Heading 2 6" xfId="821"/>
    <cellStyle name="Heading 2 7" xfId="822"/>
    <cellStyle name="Heading 2 8" xfId="823"/>
    <cellStyle name="Heading 2 9" xfId="824"/>
    <cellStyle name="Heading 3 10" xfId="825"/>
    <cellStyle name="Heading 3 2" xfId="826"/>
    <cellStyle name="Heading 3 2 2" xfId="827"/>
    <cellStyle name="Heading 3 2 3" xfId="828"/>
    <cellStyle name="Heading 3 2 4" xfId="829"/>
    <cellStyle name="Heading 3 3" xfId="830"/>
    <cellStyle name="Heading 3 3 2" xfId="831"/>
    <cellStyle name="Heading 3 3 3" xfId="832"/>
    <cellStyle name="Heading 3 3 4" xfId="833"/>
    <cellStyle name="Heading 3 4" xfId="834"/>
    <cellStyle name="Heading 3 5" xfId="835"/>
    <cellStyle name="Heading 3 6" xfId="836"/>
    <cellStyle name="Heading 3 7" xfId="837"/>
    <cellStyle name="Heading 3 8" xfId="838"/>
    <cellStyle name="Heading 3 9" xfId="839"/>
    <cellStyle name="Heading 4 10" xfId="840"/>
    <cellStyle name="Heading 4 2" xfId="841"/>
    <cellStyle name="Heading 4 2 2" xfId="842"/>
    <cellStyle name="Heading 4 2 3" xfId="843"/>
    <cellStyle name="Heading 4 2 4" xfId="844"/>
    <cellStyle name="Heading 4 3" xfId="845"/>
    <cellStyle name="Heading 4 3 2" xfId="846"/>
    <cellStyle name="Heading 4 3 3" xfId="847"/>
    <cellStyle name="Heading 4 3 4" xfId="848"/>
    <cellStyle name="Heading 4 4" xfId="849"/>
    <cellStyle name="Heading 4 5" xfId="850"/>
    <cellStyle name="Heading 4 6" xfId="851"/>
    <cellStyle name="Heading 4 7" xfId="852"/>
    <cellStyle name="Heading 4 8" xfId="853"/>
    <cellStyle name="Heading 4 9" xfId="854"/>
    <cellStyle name="Hyperlink" xfId="1353" builtinId="8"/>
    <cellStyle name="Hyperlink 2" xfId="855"/>
    <cellStyle name="Hyperlink 2 2" xfId="856"/>
    <cellStyle name="Hyperlink 3" xfId="1342"/>
    <cellStyle name="MedGrey" xfId="857"/>
    <cellStyle name="MissingUserInput" xfId="858"/>
    <cellStyle name="MissingUserInput 2" xfId="859"/>
    <cellStyle name="MissingUserInput 3" xfId="860"/>
    <cellStyle name="MissingUserInput 4" xfId="861"/>
    <cellStyle name="no dec" xfId="862"/>
    <cellStyle name="Normal" xfId="0" builtinId="0"/>
    <cellStyle name="Normal 10" xfId="863"/>
    <cellStyle name="Normal 10 2" xfId="864"/>
    <cellStyle name="Normal 10 3" xfId="865"/>
    <cellStyle name="Normal 10 3 2" xfId="866"/>
    <cellStyle name="Normal 11" xfId="867"/>
    <cellStyle name="Normal 11 2" xfId="868"/>
    <cellStyle name="Normal 11 3" xfId="869"/>
    <cellStyle name="Normal 12" xfId="870"/>
    <cellStyle name="Normal 12 2" xfId="871"/>
    <cellStyle name="Normal 13" xfId="872"/>
    <cellStyle name="Normal 14" xfId="873"/>
    <cellStyle name="Normal 14 2" xfId="874"/>
    <cellStyle name="Normal 15" xfId="875"/>
    <cellStyle name="Normal 15 2" xfId="876"/>
    <cellStyle name="Normal 15 3" xfId="877"/>
    <cellStyle name="Normal 15 4" xfId="878"/>
    <cellStyle name="Normal 15 5" xfId="879"/>
    <cellStyle name="Normal 16" xfId="880"/>
    <cellStyle name="Normal 17" xfId="881"/>
    <cellStyle name="Normal 17 2" xfId="882"/>
    <cellStyle name="Normal 18" xfId="883"/>
    <cellStyle name="Normal 19" xfId="1341"/>
    <cellStyle name="Normal 2" xfId="884"/>
    <cellStyle name="Normal 2 10" xfId="885"/>
    <cellStyle name="Normal 2 11" xfId="886"/>
    <cellStyle name="Normal 2 12" xfId="887"/>
    <cellStyle name="Normal 2 13" xfId="888"/>
    <cellStyle name="Normal 2 13 2" xfId="889"/>
    <cellStyle name="Normal 2 14" xfId="890"/>
    <cellStyle name="Normal 2 15" xfId="891"/>
    <cellStyle name="Normal 2 16" xfId="892"/>
    <cellStyle name="Normal 2 16 2" xfId="893"/>
    <cellStyle name="Normal 2 16 2 2" xfId="894"/>
    <cellStyle name="Normal 2 17" xfId="1347"/>
    <cellStyle name="Normal 2 2" xfId="895"/>
    <cellStyle name="Normal 2 2 10" xfId="896"/>
    <cellStyle name="Normal 2 2 10 2" xfId="897"/>
    <cellStyle name="Normal 2 2 10 3" xfId="898"/>
    <cellStyle name="Normal 2 2 10 4" xfId="899"/>
    <cellStyle name="Normal 2 2 10 5" xfId="900"/>
    <cellStyle name="Normal 2 2 10 6" xfId="901"/>
    <cellStyle name="Normal 2 2 10 6 2" xfId="902"/>
    <cellStyle name="Normal 2 2 10 6 3" xfId="903"/>
    <cellStyle name="Normal 2 2 10 6 3 2" xfId="904"/>
    <cellStyle name="Normal 2 2 10 6 4" xfId="905"/>
    <cellStyle name="Normal 2 2 10 6 5" xfId="906"/>
    <cellStyle name="Normal 2 2 10 6 6" xfId="907"/>
    <cellStyle name="Normal 2 2 10 7" xfId="908"/>
    <cellStyle name="Normal 2 2 11" xfId="909"/>
    <cellStyle name="Normal 2 2 11 2" xfId="910"/>
    <cellStyle name="Normal 2 2 11 2 2" xfId="911"/>
    <cellStyle name="Normal 2 2 11 2 2 2" xfId="912"/>
    <cellStyle name="Normal 2 2 11 2 2 2 2" xfId="913"/>
    <cellStyle name="Normal 2 2 11 3" xfId="914"/>
    <cellStyle name="Normal 2 2 11 4" xfId="915"/>
    <cellStyle name="Normal 2 2 12" xfId="916"/>
    <cellStyle name="Normal 2 2 12 2" xfId="917"/>
    <cellStyle name="Normal 2 2 12 3" xfId="918"/>
    <cellStyle name="Normal 2 2 12 4" xfId="919"/>
    <cellStyle name="Normal 2 2 13" xfId="920"/>
    <cellStyle name="Normal 2 2 14" xfId="921"/>
    <cellStyle name="Normal 2 2 15" xfId="922"/>
    <cellStyle name="Normal 2 2 16" xfId="923"/>
    <cellStyle name="Normal 2 2 17" xfId="924"/>
    <cellStyle name="Normal 2 2 18" xfId="925"/>
    <cellStyle name="Normal 2 2 18 2" xfId="926"/>
    <cellStyle name="Normal 2 2 19" xfId="927"/>
    <cellStyle name="Normal 2 2 2" xfId="928"/>
    <cellStyle name="Normal 2 2 2 10" xfId="929"/>
    <cellStyle name="Normal 2 2 2 11" xfId="7"/>
    <cellStyle name="Normal 2 2 2 2" xfId="930"/>
    <cellStyle name="Normal 2 2 2 2 2" xfId="931"/>
    <cellStyle name="Normal 2 2 2 2 3" xfId="932"/>
    <cellStyle name="Normal 2 2 2 2 4" xfId="933"/>
    <cellStyle name="Normal 2 2 2 3" xfId="934"/>
    <cellStyle name="Normal 2 2 2 3 2" xfId="935"/>
    <cellStyle name="Normal 2 2 2 3 3" xfId="936"/>
    <cellStyle name="Normal 2 2 2 3 4" xfId="937"/>
    <cellStyle name="Normal 2 2 2 3 5" xfId="938"/>
    <cellStyle name="Normal 2 2 2 4" xfId="939"/>
    <cellStyle name="Normal 2 2 2 4 2" xfId="940"/>
    <cellStyle name="Normal 2 2 2 5" xfId="941"/>
    <cellStyle name="Normal 2 2 2 5 2" xfId="942"/>
    <cellStyle name="Normal 2 2 2 6" xfId="943"/>
    <cellStyle name="Normal 2 2 2 7" xfId="944"/>
    <cellStyle name="Normal 2 2 2 8" xfId="945"/>
    <cellStyle name="Normal 2 2 2 8 2" xfId="946"/>
    <cellStyle name="Normal 2 2 2 8 3" xfId="947"/>
    <cellStyle name="Normal 2 2 2 9" xfId="948"/>
    <cellStyle name="Normal 2 2 20" xfId="949"/>
    <cellStyle name="Normal 2 2 21" xfId="950"/>
    <cellStyle name="Normal 2 2 21 2" xfId="951"/>
    <cellStyle name="Normal 2 2 22" xfId="952"/>
    <cellStyle name="Normal 2 2 23" xfId="953"/>
    <cellStyle name="Normal 2 2 23 2" xfId="954"/>
    <cellStyle name="Normal 2 2 23 2 2" xfId="955"/>
    <cellStyle name="Normal 2 2 23 3" xfId="956"/>
    <cellStyle name="Normal 2 2 24" xfId="957"/>
    <cellStyle name="Normal 2 2 24 2" xfId="958"/>
    <cellStyle name="Normal 2 2 25" xfId="959"/>
    <cellStyle name="Normal 2 2 25 2" xfId="960"/>
    <cellStyle name="Normal 2 2 26" xfId="961"/>
    <cellStyle name="Normal 2 2 27" xfId="1348"/>
    <cellStyle name="Normal 2 2 28" xfId="1349"/>
    <cellStyle name="Normal 2 2 3" xfId="962"/>
    <cellStyle name="Normal 2 2 3 2" xfId="963"/>
    <cellStyle name="Normal 2 2 3 2 2" xfId="964"/>
    <cellStyle name="Normal 2 2 3 2 3" xfId="965"/>
    <cellStyle name="Normal 2 2 3 2 4" xfId="966"/>
    <cellStyle name="Normal 2 2 3 3" xfId="967"/>
    <cellStyle name="Normal 2 2 3 3 2" xfId="968"/>
    <cellStyle name="Normal 2 2 3 3 2 2" xfId="969"/>
    <cellStyle name="Normal 2 2 3 4" xfId="970"/>
    <cellStyle name="Normal 2 2 3 5" xfId="971"/>
    <cellStyle name="Normal 2 2 3 6" xfId="972"/>
    <cellStyle name="Normal 2 2 4" xfId="973"/>
    <cellStyle name="Normal 2 2 4 2" xfId="974"/>
    <cellStyle name="Normal 2 2 4 3" xfId="975"/>
    <cellStyle name="Normal 2 2 4 4" xfId="976"/>
    <cellStyle name="Normal 2 2 4 5" xfId="977"/>
    <cellStyle name="Normal 2 2 4 5 2" xfId="978"/>
    <cellStyle name="Normal 2 2 4 6" xfId="979"/>
    <cellStyle name="Normal 2 2 4 6 2" xfId="980"/>
    <cellStyle name="Normal 2 2 5" xfId="981"/>
    <cellStyle name="Normal 2 2 5 2" xfId="982"/>
    <cellStyle name="Normal 2 2 5 2 2" xfId="983"/>
    <cellStyle name="Normal 2 2 5 2 2 2" xfId="984"/>
    <cellStyle name="Normal 2 2 5 2 2 3" xfId="985"/>
    <cellStyle name="Normal 2 2 5 2 3" xfId="986"/>
    <cellStyle name="Normal 2 2 5 2 4" xfId="987"/>
    <cellStyle name="Normal 2 2 5 2 4 2" xfId="988"/>
    <cellStyle name="Normal 2 2 5 3" xfId="989"/>
    <cellStyle name="Normal 2 2 5 4" xfId="990"/>
    <cellStyle name="Normal 2 2 5 5" xfId="991"/>
    <cellStyle name="Normal 2 2 5 6" xfId="992"/>
    <cellStyle name="Normal 2 2 6" xfId="993"/>
    <cellStyle name="Normal 2 2 6 2" xfId="994"/>
    <cellStyle name="Normal 2 2 6 3" xfId="995"/>
    <cellStyle name="Normal 2 2 6 4" xfId="996"/>
    <cellStyle name="Normal 2 2 7" xfId="997"/>
    <cellStyle name="Normal 2 2 7 2" xfId="998"/>
    <cellStyle name="Normal 2 2 7 3" xfId="999"/>
    <cellStyle name="Normal 2 2 7 4" xfId="1000"/>
    <cellStyle name="Normal 2 2 8" xfId="1001"/>
    <cellStyle name="Normal 2 2 8 2" xfId="1002"/>
    <cellStyle name="Normal 2 2 8 3" xfId="1003"/>
    <cellStyle name="Normal 2 2 8 4" xfId="1004"/>
    <cellStyle name="Normal 2 2 8 5" xfId="1005"/>
    <cellStyle name="Normal 2 2 8 5 2" xfId="1006"/>
    <cellStyle name="Normal 2 2 8 5 3" xfId="1007"/>
    <cellStyle name="Normal 2 2 8 6" xfId="1008"/>
    <cellStyle name="Normal 2 2 8 6 2" xfId="1009"/>
    <cellStyle name="Normal 2 2 8 6 3" xfId="1010"/>
    <cellStyle name="Normal 2 2 9" xfId="1011"/>
    <cellStyle name="Normal 2 2 9 2" xfId="1012"/>
    <cellStyle name="Normal 2 2 9 3" xfId="1013"/>
    <cellStyle name="Normal 2 2 9 3 2" xfId="1014"/>
    <cellStyle name="Normal 2 2 9 3 2 2" xfId="1015"/>
    <cellStyle name="Normal 2 2 9 3 3" xfId="1016"/>
    <cellStyle name="Normal 2 2 9 3 4" xfId="1017"/>
    <cellStyle name="Normal 2 2 9 3 4 2" xfId="1018"/>
    <cellStyle name="Normal 2 2 9 3 5" xfId="1019"/>
    <cellStyle name="Normal 2 2 9 3 6" xfId="1020"/>
    <cellStyle name="Normal 2 2 9 3 6 2" xfId="1021"/>
    <cellStyle name="Normal 2 2 9 4" xfId="1022"/>
    <cellStyle name="Normal 2 3" xfId="4"/>
    <cellStyle name="Normal 2 3 2" xfId="5"/>
    <cellStyle name="Normal 2 3 3" xfId="1023"/>
    <cellStyle name="Normal 2 3 4" xfId="1024"/>
    <cellStyle name="Normal 2 4" xfId="1025"/>
    <cellStyle name="Normal 2 4 2" xfId="1026"/>
    <cellStyle name="Normal 2 4 2 2" xfId="1027"/>
    <cellStyle name="Normal 2 4 3" xfId="1028"/>
    <cellStyle name="Normal 2 4 4" xfId="1029"/>
    <cellStyle name="Normal 2 4 4 2" xfId="1030"/>
    <cellStyle name="Normal 2 4 4 3" xfId="1031"/>
    <cellStyle name="Normal 2 4 5" xfId="1032"/>
    <cellStyle name="Normal 2 4 6" xfId="1033"/>
    <cellStyle name="Normal 2 5" xfId="1034"/>
    <cellStyle name="Normal 2 6" xfId="1035"/>
    <cellStyle name="Normal 2 6 2" xfId="1036"/>
    <cellStyle name="Normal 2 7" xfId="1037"/>
    <cellStyle name="Normal 2 8" xfId="1038"/>
    <cellStyle name="Normal 2 9" xfId="1039"/>
    <cellStyle name="Normal 2_Electricity data" xfId="1040"/>
    <cellStyle name="Normal 3" xfId="1041"/>
    <cellStyle name="Normal 3 10" xfId="1042"/>
    <cellStyle name="Normal 3 10 2" xfId="1043"/>
    <cellStyle name="Normal 3 10 3" xfId="1044"/>
    <cellStyle name="Normal 3 11" xfId="1045"/>
    <cellStyle name="Normal 3 2" xfId="6"/>
    <cellStyle name="Normal 3 2 2" xfId="1046"/>
    <cellStyle name="Normal 3 3" xfId="1047"/>
    <cellStyle name="Normal 3 4" xfId="1048"/>
    <cellStyle name="Normal 3 5" xfId="1049"/>
    <cellStyle name="Normal 3 6" xfId="1050"/>
    <cellStyle name="Normal 3 7" xfId="1051"/>
    <cellStyle name="Normal 3 8" xfId="1052"/>
    <cellStyle name="Normal 3 9" xfId="1053"/>
    <cellStyle name="Normal 4" xfId="1054"/>
    <cellStyle name="Normal 4 2" xfId="1055"/>
    <cellStyle name="Normal 4 3" xfId="1056"/>
    <cellStyle name="Normal 4 3 2" xfId="1057"/>
    <cellStyle name="Normal 4 3 2 2" xfId="1058"/>
    <cellStyle name="Normal 4 3 2 3" xfId="1059"/>
    <cellStyle name="Normal 4 3 3" xfId="1060"/>
    <cellStyle name="Normal 4 3 3 2" xfId="1061"/>
    <cellStyle name="Normal 4 3 3 2 2" xfId="1062"/>
    <cellStyle name="Normal 4 3 3 3" xfId="1063"/>
    <cellStyle name="Normal 4 3 3 4" xfId="1064"/>
    <cellStyle name="Normal 4 4" xfId="1065"/>
    <cellStyle name="Normal 4 4 2" xfId="1066"/>
    <cellStyle name="Normal 4 4 3" xfId="1067"/>
    <cellStyle name="Normal 4 4 4" xfId="1068"/>
    <cellStyle name="Normal 4 5" xfId="1069"/>
    <cellStyle name="Normal 4 6" xfId="1070"/>
    <cellStyle name="Normal 4 7" xfId="1071"/>
    <cellStyle name="Normal 5" xfId="1072"/>
    <cellStyle name="Normal 5 2" xfId="1073"/>
    <cellStyle name="Normal 5 2 2" xfId="1074"/>
    <cellStyle name="Normal 5 2 2 2" xfId="1075"/>
    <cellStyle name="Normal 5 3" xfId="1076"/>
    <cellStyle name="Normal 5 4" xfId="1077"/>
    <cellStyle name="Normal 5 4 2" xfId="1078"/>
    <cellStyle name="Normal 5 4 3" xfId="1079"/>
    <cellStyle name="Normal 5 5" xfId="1350"/>
    <cellStyle name="Normal 6" xfId="1080"/>
    <cellStyle name="Normal 6 2" xfId="1081"/>
    <cellStyle name="Normal 6 3" xfId="1082"/>
    <cellStyle name="Normal 6 4" xfId="1083"/>
    <cellStyle name="Normal 6 5" xfId="1084"/>
    <cellStyle name="Normal 6 5 2" xfId="1085"/>
    <cellStyle name="Normal 7" xfId="1086"/>
    <cellStyle name="Normal 7 2" xfId="1087"/>
    <cellStyle name="Normal 8" xfId="1088"/>
    <cellStyle name="Normal 8 2" xfId="1089"/>
    <cellStyle name="Normal 8 3" xfId="1090"/>
    <cellStyle name="Normal 8 4" xfId="1091"/>
    <cellStyle name="Normal 8 4 2" xfId="1092"/>
    <cellStyle name="Normal 9" xfId="1093"/>
    <cellStyle name="Normal 9 2" xfId="1094"/>
    <cellStyle name="Note 10" xfId="1095"/>
    <cellStyle name="Note 10 2" xfId="1096"/>
    <cellStyle name="Note 10 3" xfId="1097"/>
    <cellStyle name="Note 10 4" xfId="1098"/>
    <cellStyle name="Note 2" xfId="1099"/>
    <cellStyle name="Note 2 2" xfId="1100"/>
    <cellStyle name="Note 2 2 2" xfId="1101"/>
    <cellStyle name="Note 2 2 3" xfId="1102"/>
    <cellStyle name="Note 2 2 4" xfId="1103"/>
    <cellStyle name="Note 2 3" xfId="1104"/>
    <cellStyle name="Note 2 3 2" xfId="1105"/>
    <cellStyle name="Note 2 3 3" xfId="1106"/>
    <cellStyle name="Note 2 3 4" xfId="1107"/>
    <cellStyle name="Note 2 4" xfId="1108"/>
    <cellStyle name="Note 2 4 2" xfId="1109"/>
    <cellStyle name="Note 2 4 3" xfId="1110"/>
    <cellStyle name="Note 2 4 4" xfId="1111"/>
    <cellStyle name="Note 2 5" xfId="1112"/>
    <cellStyle name="Note 2 6" xfId="1113"/>
    <cellStyle name="Note 2 7" xfId="1114"/>
    <cellStyle name="Note 3" xfId="1115"/>
    <cellStyle name="Note 3 2" xfId="1116"/>
    <cellStyle name="Note 3 2 2" xfId="1117"/>
    <cellStyle name="Note 3 2 3" xfId="1118"/>
    <cellStyle name="Note 3 2 4" xfId="1119"/>
    <cellStyle name="Note 3 3" xfId="1120"/>
    <cellStyle name="Note 3 3 2" xfId="1121"/>
    <cellStyle name="Note 3 3 3" xfId="1122"/>
    <cellStyle name="Note 3 3 4" xfId="1123"/>
    <cellStyle name="Note 3 4" xfId="1124"/>
    <cellStyle name="Note 3 4 2" xfId="1125"/>
    <cellStyle name="Note 3 4 3" xfId="1126"/>
    <cellStyle name="Note 3 4 4" xfId="1127"/>
    <cellStyle name="Note 3 5" xfId="1128"/>
    <cellStyle name="Note 3 6" xfId="1129"/>
    <cellStyle name="Note 3 7" xfId="1130"/>
    <cellStyle name="Note 4" xfId="1131"/>
    <cellStyle name="Note 4 2" xfId="1132"/>
    <cellStyle name="Note 4 3" xfId="1133"/>
    <cellStyle name="Note 4 4" xfId="1134"/>
    <cellStyle name="Note 5" xfId="1135"/>
    <cellStyle name="Note 5 2" xfId="1136"/>
    <cellStyle name="Note 5 3" xfId="1137"/>
    <cellStyle name="Note 5 4" xfId="1138"/>
    <cellStyle name="Note 6" xfId="1139"/>
    <cellStyle name="Note 6 2" xfId="1140"/>
    <cellStyle name="Note 6 3" xfId="1141"/>
    <cellStyle name="Note 6 4" xfId="1142"/>
    <cellStyle name="Note 7" xfId="1143"/>
    <cellStyle name="Note 7 2" xfId="1144"/>
    <cellStyle name="Note 7 3" xfId="1145"/>
    <cellStyle name="Note 7 4" xfId="1146"/>
    <cellStyle name="Note 8" xfId="1147"/>
    <cellStyle name="Note 8 2" xfId="1148"/>
    <cellStyle name="Note 8 3" xfId="1149"/>
    <cellStyle name="Note 8 4" xfId="1150"/>
    <cellStyle name="Note 9" xfId="1151"/>
    <cellStyle name="Note 9 2" xfId="1152"/>
    <cellStyle name="Note 9 3" xfId="1153"/>
    <cellStyle name="Note 9 4" xfId="1154"/>
    <cellStyle name="OptionalUserInput" xfId="1155"/>
    <cellStyle name="OptionalUserInput 2" xfId="1156"/>
    <cellStyle name="OptionalUserInput 3" xfId="1157"/>
    <cellStyle name="OptionalUserInput 4" xfId="1158"/>
    <cellStyle name="OptionalUserInput 5" xfId="1159"/>
    <cellStyle name="Output 10" xfId="1160"/>
    <cellStyle name="Output 2" xfId="1161"/>
    <cellStyle name="Output 2 2" xfId="1162"/>
    <cellStyle name="Output 2 3" xfId="1163"/>
    <cellStyle name="Output 2 4" xfId="1164"/>
    <cellStyle name="Output 2 5" xfId="1165"/>
    <cellStyle name="Output 2 6" xfId="1166"/>
    <cellStyle name="Output 2 7" xfId="1167"/>
    <cellStyle name="Output 3" xfId="1168"/>
    <cellStyle name="Output 3 2" xfId="1169"/>
    <cellStyle name="Output 3 3" xfId="1170"/>
    <cellStyle name="Output 3 4" xfId="1171"/>
    <cellStyle name="Output 3 5" xfId="1172"/>
    <cellStyle name="Output 3 6" xfId="1173"/>
    <cellStyle name="Output 3 7" xfId="1174"/>
    <cellStyle name="Output 4" xfId="1175"/>
    <cellStyle name="Output 5" xfId="1176"/>
    <cellStyle name="Output 6" xfId="1177"/>
    <cellStyle name="Output 7" xfId="1178"/>
    <cellStyle name="Output 8" xfId="1179"/>
    <cellStyle name="Output 9" xfId="1180"/>
    <cellStyle name="Percent" xfId="3" builtinId="5"/>
    <cellStyle name="Percent 10" xfId="1181"/>
    <cellStyle name="Percent 10 2" xfId="1182"/>
    <cellStyle name="Percent 10 3" xfId="1183"/>
    <cellStyle name="Percent 10 4" xfId="1184"/>
    <cellStyle name="Percent 10 5" xfId="1185"/>
    <cellStyle name="Percent 11" xfId="1186"/>
    <cellStyle name="Percent 11 2" xfId="1187"/>
    <cellStyle name="Percent 11 2 2" xfId="1188"/>
    <cellStyle name="Percent 11 2 2 2" xfId="1189"/>
    <cellStyle name="Percent 11 2 2 2 2" xfId="1190"/>
    <cellStyle name="Percent 11 3" xfId="1191"/>
    <cellStyle name="Percent 12" xfId="1192"/>
    <cellStyle name="Percent 13" xfId="1193"/>
    <cellStyle name="Percent 14" xfId="1194"/>
    <cellStyle name="Percent 15" xfId="1195"/>
    <cellStyle name="Percent 16" xfId="1196"/>
    <cellStyle name="Percent 17" xfId="1197"/>
    <cellStyle name="Percent 17 2" xfId="1198"/>
    <cellStyle name="Percent 17 3" xfId="1199"/>
    <cellStyle name="Percent 17 4" xfId="1200"/>
    <cellStyle name="Percent 17 5" xfId="1201"/>
    <cellStyle name="Percent 18" xfId="1202"/>
    <cellStyle name="Percent 18 2" xfId="1203"/>
    <cellStyle name="Percent 18 3" xfId="1204"/>
    <cellStyle name="Percent 19" xfId="1205"/>
    <cellStyle name="Percent 19 2" xfId="1206"/>
    <cellStyle name="Percent 2" xfId="1207"/>
    <cellStyle name="Percent 2 2" xfId="1208"/>
    <cellStyle name="Percent 2 2 2" xfId="1209"/>
    <cellStyle name="Percent 2 2 3" xfId="1210"/>
    <cellStyle name="Percent 2 2 4" xfId="1211"/>
    <cellStyle name="Percent 2 2 5" xfId="1212"/>
    <cellStyle name="Percent 2 2 6" xfId="1213"/>
    <cellStyle name="Percent 2 2 7" xfId="1214"/>
    <cellStyle name="Percent 2 3" xfId="1215"/>
    <cellStyle name="Percent 2 4" xfId="1216"/>
    <cellStyle name="Percent 2 5" xfId="1217"/>
    <cellStyle name="Percent 2 6" xfId="1218"/>
    <cellStyle name="Percent 2 7" xfId="1219"/>
    <cellStyle name="Percent 2 8" xfId="1220"/>
    <cellStyle name="Percent 20" xfId="1221"/>
    <cellStyle name="Percent 20 2" xfId="1222"/>
    <cellStyle name="Percent 21" xfId="1223"/>
    <cellStyle name="Percent 21 2" xfId="1224"/>
    <cellStyle name="Percent 22" xfId="1225"/>
    <cellStyle name="Percent 23" xfId="1226"/>
    <cellStyle name="Percent 24" xfId="1351"/>
    <cellStyle name="Percent 25" xfId="1352"/>
    <cellStyle name="Percent 3" xfId="1227"/>
    <cellStyle name="Percent 3 10" xfId="1228"/>
    <cellStyle name="Percent 3 11" xfId="1229"/>
    <cellStyle name="Percent 3 2" xfId="1230"/>
    <cellStyle name="Percent 3 2 2" xfId="1231"/>
    <cellStyle name="Percent 3 2 3" xfId="1232"/>
    <cellStyle name="Percent 3 2 4" xfId="1233"/>
    <cellStyle name="Percent 3 2 5" xfId="1234"/>
    <cellStyle name="Percent 3 3" xfId="1235"/>
    <cellStyle name="Percent 3 4" xfId="1236"/>
    <cellStyle name="Percent 3 5" xfId="1237"/>
    <cellStyle name="Percent 3 5 2" xfId="1238"/>
    <cellStyle name="Percent 3 5 3" xfId="1239"/>
    <cellStyle name="Percent 3 5 4" xfId="1240"/>
    <cellStyle name="Percent 3 5 5" xfId="1241"/>
    <cellStyle name="Percent 3 6" xfId="1242"/>
    <cellStyle name="Percent 3 7" xfId="1243"/>
    <cellStyle name="Percent 3 8" xfId="1244"/>
    <cellStyle name="Percent 3 9" xfId="1245"/>
    <cellStyle name="Percent 4" xfId="1246"/>
    <cellStyle name="Percent 4 10" xfId="1247"/>
    <cellStyle name="Percent 4 10 2" xfId="1248"/>
    <cellStyle name="Percent 4 11" xfId="1249"/>
    <cellStyle name="Percent 4 2" xfId="1250"/>
    <cellStyle name="Percent 4 2 2" xfId="1251"/>
    <cellStyle name="Percent 4 3" xfId="1252"/>
    <cellStyle name="Percent 4 3 2" xfId="1253"/>
    <cellStyle name="Percent 4 3 2 2" xfId="1254"/>
    <cellStyle name="Percent 4 3 2 3" xfId="1255"/>
    <cellStyle name="Percent 4 3 2 4" xfId="1256"/>
    <cellStyle name="Percent 4 3 3" xfId="1257"/>
    <cellStyle name="Percent 4 3 4" xfId="1258"/>
    <cellStyle name="Percent 4 3 5" xfId="1259"/>
    <cellStyle name="Percent 4 3 6" xfId="1260"/>
    <cellStyle name="Percent 4 3 7" xfId="1261"/>
    <cellStyle name="Percent 4 4" xfId="1262"/>
    <cellStyle name="Percent 4 4 2" xfId="1263"/>
    <cellStyle name="Percent 4 4 3" xfId="1264"/>
    <cellStyle name="Percent 4 4 4" xfId="1265"/>
    <cellStyle name="Percent 4 5" xfId="1266"/>
    <cellStyle name="Percent 4 6" xfId="1267"/>
    <cellStyle name="Percent 4 7" xfId="1268"/>
    <cellStyle name="Percent 4 8" xfId="1269"/>
    <cellStyle name="Percent 4 9" xfId="1270"/>
    <cellStyle name="Percent 5" xfId="1271"/>
    <cellStyle name="Percent 5 2" xfId="1272"/>
    <cellStyle name="Percent 5 3" xfId="1273"/>
    <cellStyle name="Percent 5 4" xfId="1274"/>
    <cellStyle name="Percent 5 5" xfId="1275"/>
    <cellStyle name="Percent 5 6" xfId="1276"/>
    <cellStyle name="Percent 6" xfId="1277"/>
    <cellStyle name="Percent 6 2" xfId="1278"/>
    <cellStyle name="Percent 6 3" xfId="1279"/>
    <cellStyle name="Percent 6 4" xfId="1280"/>
    <cellStyle name="Percent 7" xfId="1281"/>
    <cellStyle name="Percent 7 2" xfId="1282"/>
    <cellStyle name="Percent 7 3" xfId="1283"/>
    <cellStyle name="Percent 7 4" xfId="1284"/>
    <cellStyle name="Percent 7 5" xfId="1285"/>
    <cellStyle name="Percent 7 6" xfId="1286"/>
    <cellStyle name="Percent 8" xfId="1287"/>
    <cellStyle name="Percent 8 2" xfId="1288"/>
    <cellStyle name="Percent 8 2 2" xfId="1289"/>
    <cellStyle name="Percent 9" xfId="1290"/>
    <cellStyle name="Percent 9 2" xfId="1291"/>
    <cellStyle name="Percent 9 3" xfId="1292"/>
    <cellStyle name="Percent 9 4" xfId="1293"/>
    <cellStyle name="RowHeading" xfId="1294"/>
    <cellStyle name="RowHeading 2" xfId="1295"/>
    <cellStyle name="RowHeading 3" xfId="1296"/>
    <cellStyle name="RowHeading 4" xfId="1297"/>
    <cellStyle name="RowHeading 5" xfId="1298"/>
    <cellStyle name="TblHead" xfId="1299"/>
    <cellStyle name="Title 10" xfId="1300"/>
    <cellStyle name="Title 2" xfId="1301"/>
    <cellStyle name="Title 2 2" xfId="1302"/>
    <cellStyle name="Title 2 3" xfId="1303"/>
    <cellStyle name="Title 2 4" xfId="1304"/>
    <cellStyle name="Title 3" xfId="1305"/>
    <cellStyle name="Title 3 2" xfId="1306"/>
    <cellStyle name="Title 3 3" xfId="1307"/>
    <cellStyle name="Title 3 4" xfId="1308"/>
    <cellStyle name="Title 4" xfId="1309"/>
    <cellStyle name="Title 5" xfId="1310"/>
    <cellStyle name="Title 6" xfId="1311"/>
    <cellStyle name="Title 7" xfId="1312"/>
    <cellStyle name="Title 8" xfId="1313"/>
    <cellStyle name="Title 9" xfId="1314"/>
    <cellStyle name="Total 10" xfId="1315"/>
    <cellStyle name="Total 2" xfId="1316"/>
    <cellStyle name="Total 2 2" xfId="1317"/>
    <cellStyle name="Total 2 3" xfId="1318"/>
    <cellStyle name="Total 2 4" xfId="1319"/>
    <cellStyle name="Total 2 5" xfId="1320"/>
    <cellStyle name="Total 2 6" xfId="1321"/>
    <cellStyle name="Total 2 7" xfId="1322"/>
    <cellStyle name="Total 3" xfId="1323"/>
    <cellStyle name="Total 3 2" xfId="1324"/>
    <cellStyle name="Total 3 3" xfId="1325"/>
    <cellStyle name="Total 3 4" xfId="1326"/>
    <cellStyle name="Total 3 5" xfId="1327"/>
    <cellStyle name="Total 3 6" xfId="1328"/>
    <cellStyle name="Total 3 7" xfId="1329"/>
    <cellStyle name="Total 4" xfId="1330"/>
    <cellStyle name="Total 5" xfId="1331"/>
    <cellStyle name="Total 6" xfId="1332"/>
    <cellStyle name="Total 7" xfId="1333"/>
    <cellStyle name="Total 8" xfId="1334"/>
    <cellStyle name="Total 9" xfId="1335"/>
    <cellStyle name="UserInput" xfId="1336"/>
    <cellStyle name="UserInput 2" xfId="1337"/>
    <cellStyle name="UserInput 3" xfId="1338"/>
    <cellStyle name="UserInput 4" xfId="1339"/>
    <cellStyle name="wrap" xfId="13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1"/>
            <c:dispEq val="1"/>
            <c:trendlineLbl>
              <c:layout/>
              <c:numFmt formatCode="General" sourceLinked="0"/>
            </c:trendlineLbl>
          </c:trendline>
          <c:xVal>
            <c:numRef>
              <c:f>'VFD Evap Condenser'!$AF$16:$AF$23</c:f>
              <c:numCache>
                <c:formatCode>General</c:formatCode>
                <c:ptCount val="8"/>
                <c:pt idx="0">
                  <c:v>3</c:v>
                </c:pt>
                <c:pt idx="1">
                  <c:v>5</c:v>
                </c:pt>
                <c:pt idx="2">
                  <c:v>7.5</c:v>
                </c:pt>
                <c:pt idx="3">
                  <c:v>10</c:v>
                </c:pt>
                <c:pt idx="4">
                  <c:v>15</c:v>
                </c:pt>
                <c:pt idx="5">
                  <c:v>20</c:v>
                </c:pt>
                <c:pt idx="6">
                  <c:v>25</c:v>
                </c:pt>
                <c:pt idx="7">
                  <c:v>30</c:v>
                </c:pt>
              </c:numCache>
            </c:numRef>
          </c:xVal>
          <c:yVal>
            <c:numRef>
              <c:f>'VFD Evap Condenser'!$AG$16:$AG$23</c:f>
              <c:numCache>
                <c:formatCode>"$"#,##0</c:formatCode>
                <c:ptCount val="8"/>
                <c:pt idx="0">
                  <c:v>2000</c:v>
                </c:pt>
                <c:pt idx="1">
                  <c:v>2150</c:v>
                </c:pt>
                <c:pt idx="2">
                  <c:v>2575</c:v>
                </c:pt>
                <c:pt idx="3">
                  <c:v>2875</c:v>
                </c:pt>
                <c:pt idx="4">
                  <c:v>3700</c:v>
                </c:pt>
                <c:pt idx="5">
                  <c:v>4150</c:v>
                </c:pt>
                <c:pt idx="6">
                  <c:v>5300</c:v>
                </c:pt>
                <c:pt idx="7">
                  <c:v>6100</c:v>
                </c:pt>
              </c:numCache>
            </c:numRef>
          </c:yVal>
          <c:smooth val="0"/>
        </c:ser>
        <c:dLbls>
          <c:showLegendKey val="0"/>
          <c:showVal val="0"/>
          <c:showCatName val="0"/>
          <c:showSerName val="0"/>
          <c:showPercent val="0"/>
          <c:showBubbleSize val="0"/>
        </c:dLbls>
        <c:axId val="118794496"/>
        <c:axId val="118804864"/>
      </c:scatterChart>
      <c:valAx>
        <c:axId val="118794496"/>
        <c:scaling>
          <c:orientation val="minMax"/>
        </c:scaling>
        <c:delete val="0"/>
        <c:axPos val="b"/>
        <c:title>
          <c:tx>
            <c:rich>
              <a:bodyPr/>
              <a:lstStyle/>
              <a:p>
                <a:pPr>
                  <a:defRPr/>
                </a:pPr>
                <a:r>
                  <a:rPr lang="en-US"/>
                  <a:t>Motor hp</a:t>
                </a:r>
              </a:p>
            </c:rich>
          </c:tx>
          <c:layout/>
          <c:overlay val="0"/>
        </c:title>
        <c:numFmt formatCode="General" sourceLinked="1"/>
        <c:majorTickMark val="out"/>
        <c:minorTickMark val="none"/>
        <c:tickLblPos val="nextTo"/>
        <c:crossAx val="118804864"/>
        <c:crosses val="autoZero"/>
        <c:crossBetween val="midCat"/>
      </c:valAx>
      <c:valAx>
        <c:axId val="118804864"/>
        <c:scaling>
          <c:orientation val="minMax"/>
        </c:scaling>
        <c:delete val="0"/>
        <c:axPos val="l"/>
        <c:majorGridlines/>
        <c:title>
          <c:tx>
            <c:rich>
              <a:bodyPr rot="-5400000" vert="horz"/>
              <a:lstStyle/>
              <a:p>
                <a:pPr>
                  <a:defRPr/>
                </a:pPr>
                <a:r>
                  <a:rPr lang="en-US"/>
                  <a:t>Installed Cost</a:t>
                </a:r>
              </a:p>
            </c:rich>
          </c:tx>
          <c:layout/>
          <c:overlay val="0"/>
        </c:title>
        <c:numFmt formatCode="&quot;$&quot;#,##0" sourceLinked="1"/>
        <c:majorTickMark val="out"/>
        <c:minorTickMark val="none"/>
        <c:tickLblPos val="nextTo"/>
        <c:crossAx val="118794496"/>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35</xdr:col>
      <xdr:colOff>225137</xdr:colOff>
      <xdr:row>37</xdr:row>
      <xdr:rowOff>138546</xdr:rowOff>
    </xdr:from>
    <xdr:to>
      <xdr:col>56</xdr:col>
      <xdr:colOff>85726</xdr:colOff>
      <xdr:row>80</xdr:row>
      <xdr:rowOff>25676</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007955" y="6840682"/>
          <a:ext cx="9472180" cy="75455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34</xdr:col>
      <xdr:colOff>302202</xdr:colOff>
      <xdr:row>15</xdr:row>
      <xdr:rowOff>2597</xdr:rowOff>
    </xdr:from>
    <xdr:to>
      <xdr:col>46</xdr:col>
      <xdr:colOff>75334</xdr:colOff>
      <xdr:row>29</xdr:row>
      <xdr:rowOff>133350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Documents%20and%20Settings\jbartels\My%20Documents\Jeff%20Projects\PB%20Leiner\Walkthrough%20Calcs%20-%20PB%20Leiner%20-%2003jrb0506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Table"/>
      <sheetName val="To Access"/>
      <sheetName val="Bookmarks"/>
      <sheetName val="Appendix Table"/>
      <sheetName val="Exec Summary"/>
      <sheetName val="6"/>
      <sheetName val="7"/>
      <sheetName val="8"/>
      <sheetName val="9"/>
      <sheetName val="10"/>
      <sheetName val="11"/>
      <sheetName val="6 pump curves"/>
      <sheetName val="12"/>
      <sheetName val="13"/>
      <sheetName val="14"/>
      <sheetName val="9N"/>
      <sheetName val="9S"/>
      <sheetName val="15"/>
      <sheetName val="16"/>
      <sheetName val="17"/>
      <sheetName val="18"/>
      <sheetName val="19"/>
      <sheetName val="20"/>
      <sheetName val="21"/>
      <sheetName val="Calc"/>
      <sheetName val="HVAC Notes"/>
      <sheetName val="Motors"/>
      <sheetName val="O2"/>
      <sheetName val="O3"/>
      <sheetName val="O5"/>
      <sheetName val="O6"/>
      <sheetName val="O6b"/>
      <sheetName val="O7"/>
      <sheetName val="O8"/>
      <sheetName val="NA Chiller"/>
      <sheetName val="End Use - benchmark"/>
      <sheetName val="WT Conf Call notes"/>
      <sheetName val="Electricity Statistics"/>
      <sheetName val="Gas Statistics"/>
      <sheetName val="Electricity data"/>
      <sheetName val="Gas data"/>
    </sheetNames>
    <sheetDataSet>
      <sheetData sheetId="0">
        <row r="1">
          <cell r="AB1" t="str">
            <v>Boiler</v>
          </cell>
          <cell r="AF1" t="str">
            <v>NA</v>
          </cell>
        </row>
        <row r="2">
          <cell r="AB2" t="str">
            <v>CAS</v>
          </cell>
          <cell r="AF2" t="str">
            <v>Bad Idea</v>
          </cell>
        </row>
        <row r="3">
          <cell r="O3">
            <v>141</v>
          </cell>
          <cell r="P3">
            <v>150</v>
          </cell>
          <cell r="AB3" t="str">
            <v>Cooking</v>
          </cell>
          <cell r="AF3" t="str">
            <v>Boiler</v>
          </cell>
        </row>
        <row r="4">
          <cell r="O4">
            <v>123</v>
          </cell>
          <cell r="P4">
            <v>123</v>
          </cell>
          <cell r="AB4" t="str">
            <v>Cooling Chillers</v>
          </cell>
          <cell r="AF4" t="str">
            <v>Compressed Air</v>
          </cell>
        </row>
        <row r="5">
          <cell r="O5">
            <v>139</v>
          </cell>
          <cell r="P5">
            <v>140</v>
          </cell>
          <cell r="AB5" t="str">
            <v>Cooling DX</v>
          </cell>
          <cell r="AF5" t="str">
            <v>Cooking</v>
          </cell>
        </row>
        <row r="6">
          <cell r="O6">
            <v>99</v>
          </cell>
          <cell r="P6">
            <v>119</v>
          </cell>
          <cell r="AB6" t="str">
            <v>Data Center</v>
          </cell>
          <cell r="AF6" t="str">
            <v>Controls</v>
          </cell>
        </row>
        <row r="7">
          <cell r="O7">
            <v>99</v>
          </cell>
          <cell r="P7">
            <v>119</v>
          </cell>
          <cell r="AB7" t="str">
            <v>Domestic HW</v>
          </cell>
          <cell r="AF7" t="str">
            <v>Chilled Water</v>
          </cell>
        </row>
        <row r="8">
          <cell r="O8">
            <v>152</v>
          </cell>
          <cell r="P8">
            <v>161</v>
          </cell>
          <cell r="AB8" t="str">
            <v>Fans</v>
          </cell>
          <cell r="AF8" t="str">
            <v>Data Center</v>
          </cell>
        </row>
        <row r="9">
          <cell r="O9">
            <v>99</v>
          </cell>
          <cell r="P9">
            <v>119</v>
          </cell>
          <cell r="AB9" t="str">
            <v>Heat Pumps</v>
          </cell>
          <cell r="AF9" t="str">
            <v>Detailed Study</v>
          </cell>
        </row>
        <row r="10">
          <cell r="O10">
            <v>26</v>
          </cell>
          <cell r="P10">
            <v>41</v>
          </cell>
          <cell r="AB10" t="str">
            <v>HVAC</v>
          </cell>
          <cell r="AF10" t="str">
            <v>DX</v>
          </cell>
        </row>
        <row r="11">
          <cell r="O11">
            <v>141</v>
          </cell>
          <cell r="P11">
            <v>150</v>
          </cell>
          <cell r="AB11" t="str">
            <v>Insulation</v>
          </cell>
          <cell r="AF11" t="str">
            <v>Envelope</v>
          </cell>
        </row>
        <row r="12">
          <cell r="O12">
            <v>152</v>
          </cell>
          <cell r="P12">
            <v>161</v>
          </cell>
          <cell r="AB12" t="str">
            <v>Lighting</v>
          </cell>
          <cell r="AF12" t="str">
            <v>Fans</v>
          </cell>
        </row>
        <row r="13">
          <cell r="O13">
            <v>152</v>
          </cell>
          <cell r="P13">
            <v>161</v>
          </cell>
          <cell r="AB13" t="str">
            <v>Motors</v>
          </cell>
          <cell r="AF13" t="str">
            <v>Heat Pump</v>
          </cell>
        </row>
        <row r="14">
          <cell r="O14">
            <v>8</v>
          </cell>
          <cell r="P14">
            <v>25</v>
          </cell>
          <cell r="AB14" t="str">
            <v>Other</v>
          </cell>
          <cell r="AF14" t="str">
            <v>HVAC</v>
          </cell>
        </row>
        <row r="15">
          <cell r="O15">
            <v>152</v>
          </cell>
          <cell r="P15">
            <v>161</v>
          </cell>
          <cell r="AB15" t="str">
            <v>Plug Load</v>
          </cell>
          <cell r="AF15" t="str">
            <v>Hot Water</v>
          </cell>
        </row>
        <row r="16">
          <cell r="O16">
            <v>99</v>
          </cell>
          <cell r="P16">
            <v>119</v>
          </cell>
          <cell r="AB16" t="str">
            <v>Pools</v>
          </cell>
          <cell r="AF16" t="str">
            <v>Insulation</v>
          </cell>
        </row>
        <row r="17">
          <cell r="O17">
            <v>152</v>
          </cell>
          <cell r="P17">
            <v>161</v>
          </cell>
          <cell r="AB17" t="str">
            <v>Process Heating</v>
          </cell>
          <cell r="AF17" t="str">
            <v>Lighting</v>
          </cell>
        </row>
        <row r="18">
          <cell r="O18">
            <v>123</v>
          </cell>
          <cell r="P18">
            <v>123</v>
          </cell>
          <cell r="AB18" t="str">
            <v>Pumps</v>
          </cell>
          <cell r="AF18" t="str">
            <v>Motors</v>
          </cell>
        </row>
        <row r="19">
          <cell r="O19">
            <v>1</v>
          </cell>
          <cell r="P19">
            <v>1</v>
          </cell>
          <cell r="AB19" t="str">
            <v>Refrigeration</v>
          </cell>
          <cell r="AF19" t="str">
            <v>Other</v>
          </cell>
        </row>
        <row r="20">
          <cell r="O20">
            <v>1</v>
          </cell>
          <cell r="P20">
            <v>1</v>
          </cell>
          <cell r="AB20" t="str">
            <v>Space Heating</v>
          </cell>
          <cell r="AF20" t="str">
            <v>Process Heating</v>
          </cell>
        </row>
        <row r="21">
          <cell r="O21">
            <v>1</v>
          </cell>
          <cell r="P21">
            <v>1</v>
          </cell>
          <cell r="AB21" t="str">
            <v>unassigned</v>
          </cell>
          <cell r="AF21" t="str">
            <v>Plug Load</v>
          </cell>
        </row>
        <row r="22">
          <cell r="O22">
            <v>1</v>
          </cell>
          <cell r="P22">
            <v>1</v>
          </cell>
          <cell r="AF22" t="str">
            <v>Pumps</v>
          </cell>
        </row>
        <row r="23">
          <cell r="O23">
            <v>1</v>
          </cell>
          <cell r="P23">
            <v>1</v>
          </cell>
          <cell r="AF23" t="str">
            <v>Refrigeration</v>
          </cell>
        </row>
        <row r="24">
          <cell r="O24">
            <v>1</v>
          </cell>
          <cell r="P24">
            <v>1</v>
          </cell>
          <cell r="AF24" t="str">
            <v>Space Heating</v>
          </cell>
        </row>
        <row r="25">
          <cell r="O25">
            <v>1</v>
          </cell>
          <cell r="P25">
            <v>1</v>
          </cell>
          <cell r="AF25" t="str">
            <v>VFDs</v>
          </cell>
        </row>
        <row r="26">
          <cell r="O26">
            <v>1</v>
          </cell>
          <cell r="P26">
            <v>1</v>
          </cell>
        </row>
        <row r="27">
          <cell r="O27">
            <v>1</v>
          </cell>
          <cell r="P27">
            <v>1</v>
          </cell>
        </row>
        <row r="28">
          <cell r="O28">
            <v>1</v>
          </cell>
          <cell r="P28">
            <v>1</v>
          </cell>
        </row>
        <row r="29">
          <cell r="O29">
            <v>1</v>
          </cell>
          <cell r="P29">
            <v>1</v>
          </cell>
        </row>
        <row r="30">
          <cell r="O30">
            <v>1</v>
          </cell>
          <cell r="P30">
            <v>1</v>
          </cell>
        </row>
        <row r="31">
          <cell r="O31">
            <v>1</v>
          </cell>
          <cell r="P31">
            <v>1</v>
          </cell>
        </row>
        <row r="32">
          <cell r="O32">
            <v>1</v>
          </cell>
          <cell r="P3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hyperlink" Target="http://www.cagi.org/verification/ea_sheets.htm" TargetMode="External"/><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6.bin"/><Relationship Id="rId1" Type="http://schemas.openxmlformats.org/officeDocument/2006/relationships/hyperlink" Target="http://www.cagi.org/verification/ea_sheets.htm" TargetMode="External"/><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7.bin"/><Relationship Id="rId1" Type="http://schemas.openxmlformats.org/officeDocument/2006/relationships/hyperlink" Target="http://www.cagi.org/verification/ea_sheets.htm" TargetMode="External"/><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1"/>
  <sheetViews>
    <sheetView tabSelected="1" workbookViewId="0">
      <selection activeCell="J4" sqref="J4"/>
    </sheetView>
  </sheetViews>
  <sheetFormatPr defaultRowHeight="15" x14ac:dyDescent="0.25"/>
  <cols>
    <col min="1" max="1" width="0.140625" customWidth="1"/>
    <col min="2" max="2" width="33.140625" customWidth="1"/>
    <col min="3" max="3" width="17.85546875" customWidth="1"/>
    <col min="4" max="4" width="14.5703125" customWidth="1"/>
    <col min="5" max="5" width="18.7109375" customWidth="1"/>
    <col min="6" max="6" width="17.85546875" customWidth="1"/>
  </cols>
  <sheetData>
    <row r="2" spans="2:11" ht="75" x14ac:dyDescent="0.25">
      <c r="B2" s="181" t="s">
        <v>102</v>
      </c>
      <c r="C2" s="250" t="s">
        <v>105</v>
      </c>
      <c r="D2" s="250" t="s">
        <v>144</v>
      </c>
      <c r="E2" s="250" t="s">
        <v>182</v>
      </c>
      <c r="F2" s="250" t="s">
        <v>215</v>
      </c>
      <c r="G2" s="171" t="s">
        <v>216</v>
      </c>
      <c r="H2" s="171"/>
      <c r="I2" s="171"/>
      <c r="J2" s="171"/>
      <c r="K2" s="171"/>
    </row>
    <row r="3" spans="2:11" x14ac:dyDescent="0.25">
      <c r="B3" s="181" t="s">
        <v>125</v>
      </c>
      <c r="C3" s="251">
        <f>'VFD Evap Condenser'!D57</f>
        <v>860</v>
      </c>
      <c r="D3" s="251">
        <f>'VFD Cooling Tower'!D54</f>
        <v>1380</v>
      </c>
      <c r="E3" s="251">
        <f>'VFD Process Pumps'!D46</f>
        <v>800</v>
      </c>
      <c r="F3" s="251">
        <f>'VFD Evaporator Fans'!D61</f>
        <v>1870</v>
      </c>
    </row>
    <row r="4" spans="2:11" x14ac:dyDescent="0.25">
      <c r="B4" s="181" t="s">
        <v>181</v>
      </c>
      <c r="C4" s="252">
        <f>'VFD Evap Condenser'!D58</f>
        <v>0.16</v>
      </c>
      <c r="D4" s="252">
        <f>'VFD Cooling Tower'!D55</f>
        <v>0.14000000000000001</v>
      </c>
      <c r="E4" s="252">
        <f>'VFD Process Pumps'!D47</f>
        <v>-0.03</v>
      </c>
      <c r="F4" s="252">
        <f>'VFD Evaporator Fans'!D62</f>
        <v>0.24</v>
      </c>
      <c r="G4" t="s">
        <v>126</v>
      </c>
    </row>
    <row r="5" spans="2:11" x14ac:dyDescent="0.25">
      <c r="B5" s="181" t="s">
        <v>103</v>
      </c>
      <c r="C5" s="253">
        <f>'VFD Evap Condenser'!D59</f>
        <v>370</v>
      </c>
      <c r="D5" s="253">
        <f>'VFD Cooling Tower'!D56</f>
        <v>370</v>
      </c>
      <c r="E5" s="253">
        <f>'VFD Process Pumps'!D48</f>
        <v>270</v>
      </c>
      <c r="F5" s="253">
        <f>'VFD Evaporator Fans'!D63</f>
        <v>600</v>
      </c>
    </row>
    <row r="6" spans="2:11" x14ac:dyDescent="0.25">
      <c r="B6" s="181" t="s">
        <v>104</v>
      </c>
      <c r="C6" s="254" t="str">
        <f>'VFD Evap Condenser'!D60</f>
        <v>15 years</v>
      </c>
      <c r="D6" s="254" t="str">
        <f>'VFD Cooling Tower'!D57</f>
        <v>15 years</v>
      </c>
      <c r="E6" s="254" t="str">
        <f>'VFD Process Pumps'!D49</f>
        <v>15 years</v>
      </c>
      <c r="F6" s="254" t="str">
        <f>'VFD Evaporator Fans'!D64</f>
        <v>15 years</v>
      </c>
    </row>
    <row r="7" spans="2:11" x14ac:dyDescent="0.25">
      <c r="B7" t="s">
        <v>183</v>
      </c>
      <c r="C7" s="383">
        <v>8</v>
      </c>
      <c r="D7" s="383">
        <v>6</v>
      </c>
      <c r="E7" s="383">
        <v>2</v>
      </c>
      <c r="F7" s="383">
        <v>7</v>
      </c>
    </row>
    <row r="8" spans="2:11" x14ac:dyDescent="0.25">
      <c r="B8" t="s">
        <v>186</v>
      </c>
      <c r="D8" t="s">
        <v>184</v>
      </c>
      <c r="E8" t="s">
        <v>185</v>
      </c>
    </row>
    <row r="10" spans="2:11" ht="45" x14ac:dyDescent="0.25">
      <c r="B10" s="181"/>
      <c r="C10" s="250" t="s">
        <v>216</v>
      </c>
      <c r="E10" t="s">
        <v>408</v>
      </c>
      <c r="F10" t="s">
        <v>410</v>
      </c>
    </row>
    <row r="11" spans="2:11" x14ac:dyDescent="0.25">
      <c r="B11" s="181" t="s">
        <v>311</v>
      </c>
      <c r="C11" s="251">
        <f>'Install High Efficiency Nozzles'!F70</f>
        <v>1070</v>
      </c>
      <c r="F11" t="s">
        <v>421</v>
      </c>
    </row>
    <row r="12" spans="2:11" x14ac:dyDescent="0.25">
      <c r="B12" s="181" t="s">
        <v>312</v>
      </c>
      <c r="C12" s="252">
        <f>'Install High Efficiency Nozzles'!F71</f>
        <v>0.17</v>
      </c>
      <c r="F12" t="s">
        <v>422</v>
      </c>
    </row>
    <row r="13" spans="2:11" x14ac:dyDescent="0.25">
      <c r="B13" s="181" t="s">
        <v>103</v>
      </c>
      <c r="C13" s="253">
        <f>'Install High Efficiency Nozzles'!F72</f>
        <v>100</v>
      </c>
    </row>
    <row r="14" spans="2:11" x14ac:dyDescent="0.25">
      <c r="B14" s="181" t="s">
        <v>104</v>
      </c>
      <c r="C14" s="254" t="str">
        <f>'Install High Efficiency Nozzles'!F73</f>
        <v>10 Years</v>
      </c>
    </row>
    <row r="15" spans="2:11" x14ac:dyDescent="0.25">
      <c r="B15" t="s">
        <v>183</v>
      </c>
      <c r="C15" s="383">
        <v>3</v>
      </c>
      <c r="D15" s="383"/>
      <c r="E15" s="383"/>
      <c r="F15" s="383"/>
    </row>
    <row r="16" spans="2:11" x14ac:dyDescent="0.25">
      <c r="B16" t="s">
        <v>186</v>
      </c>
      <c r="C16" t="s">
        <v>314</v>
      </c>
    </row>
    <row r="18" spans="2:6" ht="30" x14ac:dyDescent="0.25">
      <c r="B18" s="181"/>
      <c r="C18" s="250" t="s">
        <v>366</v>
      </c>
      <c r="E18" t="s">
        <v>408</v>
      </c>
      <c r="F18" t="s">
        <v>409</v>
      </c>
    </row>
    <row r="19" spans="2:6" x14ac:dyDescent="0.25">
      <c r="B19" s="181" t="s">
        <v>330</v>
      </c>
      <c r="C19" s="251">
        <f>'Install NoLoss CondDrainValves'!F66</f>
        <v>1610</v>
      </c>
      <c r="F19" t="s">
        <v>413</v>
      </c>
    </row>
    <row r="20" spans="2:6" x14ac:dyDescent="0.25">
      <c r="B20" s="181" t="s">
        <v>331</v>
      </c>
      <c r="C20" s="252">
        <f>'Install NoLoss CondDrainValves'!F67</f>
        <v>0.26</v>
      </c>
      <c r="F20" t="s">
        <v>421</v>
      </c>
    </row>
    <row r="21" spans="2:6" x14ac:dyDescent="0.25">
      <c r="B21" s="181" t="s">
        <v>103</v>
      </c>
      <c r="C21" s="253">
        <f>'Install NoLoss CondDrainValves'!F68</f>
        <v>700</v>
      </c>
      <c r="F21" t="s">
        <v>423</v>
      </c>
    </row>
    <row r="22" spans="2:6" x14ac:dyDescent="0.25">
      <c r="B22" s="181" t="s">
        <v>104</v>
      </c>
      <c r="C22" s="254" t="str">
        <f>'Install NoLoss CondDrainValves'!F69</f>
        <v>15 years</v>
      </c>
    </row>
    <row r="23" spans="2:6" x14ac:dyDescent="0.25">
      <c r="B23" t="s">
        <v>183</v>
      </c>
      <c r="C23" s="383">
        <v>6</v>
      </c>
    </row>
    <row r="24" spans="2:6" x14ac:dyDescent="0.25">
      <c r="B24" t="s">
        <v>186</v>
      </c>
      <c r="C24" t="s">
        <v>333</v>
      </c>
    </row>
    <row r="26" spans="2:6" ht="45" x14ac:dyDescent="0.25">
      <c r="B26" s="181"/>
      <c r="C26" s="250" t="s">
        <v>367</v>
      </c>
      <c r="D26" t="s">
        <v>368</v>
      </c>
    </row>
    <row r="27" spans="2:6" x14ac:dyDescent="0.25">
      <c r="B27" s="181" t="s">
        <v>363</v>
      </c>
      <c r="C27" s="251">
        <f>'Install Low P Filter'!F62</f>
        <v>50</v>
      </c>
      <c r="E27" t="s">
        <v>408</v>
      </c>
      <c r="F27" t="s">
        <v>411</v>
      </c>
    </row>
    <row r="28" spans="2:6" x14ac:dyDescent="0.25">
      <c r="B28" s="181" t="s">
        <v>364</v>
      </c>
      <c r="C28" s="252">
        <f>'Install Low P Filter'!F63</f>
        <v>0.01</v>
      </c>
      <c r="F28" t="s">
        <v>412</v>
      </c>
    </row>
    <row r="29" spans="2:6" x14ac:dyDescent="0.25">
      <c r="B29" s="181" t="s">
        <v>103</v>
      </c>
      <c r="C29" s="253">
        <f>'Install Low P Filter'!F64</f>
        <v>1000</v>
      </c>
      <c r="F29" t="s">
        <v>414</v>
      </c>
    </row>
    <row r="30" spans="2:6" x14ac:dyDescent="0.25">
      <c r="B30" s="181" t="s">
        <v>104</v>
      </c>
      <c r="C30" s="254" t="str">
        <f>'Install Low P Filter'!F65</f>
        <v>5 years</v>
      </c>
      <c r="F30" t="s">
        <v>421</v>
      </c>
    </row>
    <row r="31" spans="2:6" x14ac:dyDescent="0.25">
      <c r="B31" t="s">
        <v>183</v>
      </c>
      <c r="C31" s="383">
        <v>6</v>
      </c>
      <c r="F31" t="s">
        <v>423</v>
      </c>
    </row>
    <row r="32" spans="2:6" x14ac:dyDescent="0.25">
      <c r="B32" t="s">
        <v>186</v>
      </c>
      <c r="C32" t="s">
        <v>365</v>
      </c>
    </row>
    <row r="34" spans="2:6" ht="45" x14ac:dyDescent="0.25">
      <c r="B34" s="181"/>
      <c r="C34" s="250" t="s">
        <v>405</v>
      </c>
    </row>
    <row r="35" spans="2:6" x14ac:dyDescent="0.25">
      <c r="B35" s="181" t="s">
        <v>400</v>
      </c>
      <c r="C35" s="251">
        <f>'Install Cycling Dryer'!D40</f>
        <v>40</v>
      </c>
      <c r="E35" t="s">
        <v>408</v>
      </c>
      <c r="F35" t="s">
        <v>415</v>
      </c>
    </row>
    <row r="36" spans="2:6" x14ac:dyDescent="0.25">
      <c r="B36" s="181" t="s">
        <v>401</v>
      </c>
      <c r="C36" s="563">
        <f>'Install Cycling Dryer'!D41</f>
        <v>2.9999999999999997E-4</v>
      </c>
      <c r="F36" t="s">
        <v>416</v>
      </c>
    </row>
    <row r="37" spans="2:6" x14ac:dyDescent="0.25">
      <c r="B37" s="181" t="s">
        <v>103</v>
      </c>
      <c r="C37" s="253">
        <f>'Install Cycling Dryer'!D42</f>
        <v>28.603000000000002</v>
      </c>
      <c r="F37" t="s">
        <v>417</v>
      </c>
    </row>
    <row r="38" spans="2:6" x14ac:dyDescent="0.25">
      <c r="B38" s="181" t="s">
        <v>104</v>
      </c>
      <c r="C38" s="254" t="str">
        <f>'Install Cycling Dryer'!D43</f>
        <v>15 years</v>
      </c>
      <c r="F38" t="s">
        <v>418</v>
      </c>
    </row>
    <row r="39" spans="2:6" x14ac:dyDescent="0.25">
      <c r="B39" t="s">
        <v>183</v>
      </c>
      <c r="C39" s="383">
        <v>6</v>
      </c>
      <c r="F39" t="s">
        <v>419</v>
      </c>
    </row>
    <row r="40" spans="2:6" x14ac:dyDescent="0.25">
      <c r="B40" t="s">
        <v>186</v>
      </c>
      <c r="C40" t="s">
        <v>406</v>
      </c>
      <c r="F40" t="s">
        <v>420</v>
      </c>
    </row>
    <row r="41" spans="2:6" x14ac:dyDescent="0.25">
      <c r="F41" t="s">
        <v>423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09"/>
  <sheetViews>
    <sheetView topLeftCell="A55" zoomScale="85" zoomScaleNormal="85" workbookViewId="0">
      <selection activeCell="H47" sqref="H47"/>
    </sheetView>
  </sheetViews>
  <sheetFormatPr defaultRowHeight="12.75" x14ac:dyDescent="0.2"/>
  <cols>
    <col min="1" max="1" width="19.7109375" style="1" customWidth="1"/>
    <col min="2" max="2" width="33.85546875" style="1" customWidth="1"/>
    <col min="3" max="3" width="35.42578125" style="1" customWidth="1"/>
    <col min="4" max="4" width="11.28515625" style="1" customWidth="1"/>
    <col min="5" max="6" width="13.5703125" style="1" customWidth="1"/>
    <col min="7" max="7" width="15.140625" style="1" customWidth="1"/>
    <col min="8" max="8" width="11.5703125" style="1" customWidth="1"/>
    <col min="9" max="9" width="5.7109375" style="1" customWidth="1"/>
    <col min="10" max="10" width="3" style="1" customWidth="1"/>
    <col min="11" max="11" width="19.42578125" style="1" customWidth="1"/>
    <col min="12" max="12" width="10.5703125" style="1" customWidth="1"/>
    <col min="13" max="13" width="18" style="1" customWidth="1"/>
    <col min="14" max="15" width="7.85546875" style="1" customWidth="1"/>
    <col min="16" max="21" width="9.85546875" style="1" customWidth="1"/>
    <col min="22" max="22" width="11.42578125" style="1" bestFit="1" customWidth="1"/>
    <col min="23" max="23" width="14.7109375" style="1" bestFit="1" customWidth="1"/>
    <col min="24" max="24" width="9.85546875" style="1" customWidth="1"/>
    <col min="25" max="25" width="13" style="1" customWidth="1"/>
    <col min="26" max="26" width="13.85546875" style="1" customWidth="1"/>
    <col min="27" max="29" width="9.140625" style="1"/>
    <col min="30" max="30" width="2.85546875" style="2" customWidth="1"/>
    <col min="31" max="31" width="9.140625" style="1"/>
    <col min="32" max="32" width="16" style="1" customWidth="1"/>
    <col min="33" max="33" width="11.7109375" style="1" customWidth="1"/>
    <col min="34" max="34" width="10.28515625" style="1" customWidth="1"/>
    <col min="35" max="50" width="6" style="1" customWidth="1"/>
    <col min="51" max="16384" width="9.140625" style="1"/>
  </cols>
  <sheetData>
    <row r="1" spans="1:36" x14ac:dyDescent="0.2">
      <c r="A1" s="582" t="s">
        <v>0</v>
      </c>
      <c r="B1" s="582"/>
    </row>
    <row r="2" spans="1:36" ht="22.5" x14ac:dyDescent="0.2">
      <c r="A2" s="3" t="s">
        <v>1</v>
      </c>
      <c r="B2" s="4" t="str">
        <f>D12</f>
        <v>Install Variable Speed Drives on Evaporative Condenser Fans</v>
      </c>
      <c r="D2" s="1" t="s">
        <v>107</v>
      </c>
    </row>
    <row r="3" spans="1:36" x14ac:dyDescent="0.2">
      <c r="A3" s="3" t="s">
        <v>2</v>
      </c>
      <c r="B3" s="5">
        <f>D49</f>
        <v>1.5898848814545925</v>
      </c>
      <c r="D3" s="1" t="s">
        <v>175</v>
      </c>
    </row>
    <row r="4" spans="1:36" x14ac:dyDescent="0.2">
      <c r="A4" s="3" t="s">
        <v>3</v>
      </c>
      <c r="B4" s="6">
        <f>D50</f>
        <v>8632.9107483097177</v>
      </c>
      <c r="D4" s="1" t="s">
        <v>108</v>
      </c>
    </row>
    <row r="5" spans="1:36" x14ac:dyDescent="0.2">
      <c r="A5" s="3" t="s">
        <v>4</v>
      </c>
      <c r="B5" s="6">
        <v>0</v>
      </c>
      <c r="D5" s="1" t="s">
        <v>119</v>
      </c>
    </row>
    <row r="6" spans="1:36" x14ac:dyDescent="0.2">
      <c r="A6" s="3" t="s">
        <v>5</v>
      </c>
      <c r="B6" s="7">
        <f>D51</f>
        <v>690.6328598647774</v>
      </c>
      <c r="D6" s="1" t="s">
        <v>120</v>
      </c>
    </row>
    <row r="7" spans="1:36" x14ac:dyDescent="0.2">
      <c r="A7" s="3" t="s">
        <v>6</v>
      </c>
      <c r="B7" s="7">
        <v>0</v>
      </c>
      <c r="D7" s="1" t="s">
        <v>170</v>
      </c>
      <c r="AJ7" s="1" t="s">
        <v>111</v>
      </c>
    </row>
    <row r="8" spans="1:36" ht="22.5" x14ac:dyDescent="0.2">
      <c r="A8" s="3" t="s">
        <v>7</v>
      </c>
      <c r="B8" s="7">
        <f>F45</f>
        <v>3375</v>
      </c>
    </row>
    <row r="9" spans="1:36" ht="23.25" x14ac:dyDescent="0.25">
      <c r="A9" s="3" t="s">
        <v>8</v>
      </c>
      <c r="B9" s="8" t="e">
        <f>#REF!</f>
        <v>#REF!</v>
      </c>
      <c r="AF9" s="9" t="s">
        <v>9</v>
      </c>
      <c r="AG9" s="9"/>
    </row>
    <row r="10" spans="1:36" x14ac:dyDescent="0.2">
      <c r="K10" s="10"/>
      <c r="L10" s="10"/>
      <c r="M10" s="10"/>
      <c r="S10" s="11"/>
      <c r="AF10" s="9" t="s">
        <v>10</v>
      </c>
      <c r="AG10" s="9"/>
    </row>
    <row r="11" spans="1:36" ht="13.5" thickBot="1" x14ac:dyDescent="0.25">
      <c r="K11" s="10"/>
      <c r="L11" s="10"/>
      <c r="M11" s="10"/>
      <c r="AF11" s="9" t="s">
        <v>11</v>
      </c>
      <c r="AG11" s="9"/>
    </row>
    <row r="12" spans="1:36" x14ac:dyDescent="0.2">
      <c r="C12" s="12" t="s">
        <v>12</v>
      </c>
      <c r="D12" s="13" t="s">
        <v>13</v>
      </c>
      <c r="E12" s="13"/>
      <c r="F12" s="13"/>
      <c r="G12" s="13"/>
      <c r="H12" s="13"/>
      <c r="I12" s="13"/>
      <c r="J12" s="13"/>
      <c r="K12" s="13"/>
      <c r="L12" s="14"/>
      <c r="M12" s="10"/>
    </row>
    <row r="13" spans="1:36" ht="13.5" thickBot="1" x14ac:dyDescent="0.25">
      <c r="C13" s="15" t="s">
        <v>14</v>
      </c>
      <c r="D13" s="16" t="s">
        <v>15</v>
      </c>
      <c r="E13" s="17"/>
      <c r="F13" s="16"/>
      <c r="G13" s="16"/>
      <c r="H13" s="17"/>
      <c r="I13" s="16"/>
      <c r="J13" s="16"/>
      <c r="K13" s="16"/>
      <c r="L13" s="18"/>
      <c r="M13" s="10"/>
      <c r="AF13" s="1" t="s">
        <v>16</v>
      </c>
    </row>
    <row r="14" spans="1:36" ht="13.5" thickBot="1" x14ac:dyDescent="0.25">
      <c r="C14" s="10"/>
      <c r="E14" s="10"/>
      <c r="H14" s="10"/>
      <c r="I14" s="10"/>
      <c r="K14" s="10"/>
      <c r="L14" s="10"/>
      <c r="M14" s="10"/>
      <c r="AF14" s="1" t="s">
        <v>17</v>
      </c>
    </row>
    <row r="15" spans="1:36" ht="13.5" customHeight="1" thickBot="1" x14ac:dyDescent="0.25">
      <c r="C15" s="19" t="s">
        <v>18</v>
      </c>
      <c r="D15" s="20"/>
      <c r="E15" s="20"/>
      <c r="F15" s="20"/>
      <c r="G15" s="20"/>
      <c r="H15" s="20"/>
      <c r="I15" s="21"/>
      <c r="J15" s="22"/>
      <c r="K15" s="23" t="s">
        <v>19</v>
      </c>
      <c r="L15" s="24"/>
      <c r="M15" s="24"/>
      <c r="N15" s="24"/>
      <c r="O15" s="24"/>
      <c r="P15" s="583" t="s">
        <v>20</v>
      </c>
      <c r="Q15" s="585" t="s">
        <v>21</v>
      </c>
      <c r="R15" s="585" t="s">
        <v>22</v>
      </c>
      <c r="S15" s="585" t="s">
        <v>23</v>
      </c>
      <c r="T15" s="596" t="s">
        <v>24</v>
      </c>
      <c r="U15" s="587" t="s">
        <v>25</v>
      </c>
      <c r="V15" s="588"/>
      <c r="W15" s="589"/>
      <c r="X15" s="590" t="s">
        <v>26</v>
      </c>
      <c r="Y15" s="588"/>
      <c r="Z15" s="589"/>
      <c r="AF15" s="9" t="s">
        <v>27</v>
      </c>
      <c r="AG15" s="9" t="s">
        <v>28</v>
      </c>
      <c r="AH15" s="1" t="s">
        <v>122</v>
      </c>
    </row>
    <row r="16" spans="1:36" ht="26.25" customHeight="1" thickTop="1" x14ac:dyDescent="0.2">
      <c r="A16" s="591" t="s">
        <v>29</v>
      </c>
      <c r="B16" s="592"/>
      <c r="C16" s="25" t="s">
        <v>30</v>
      </c>
      <c r="D16" s="26" t="s">
        <v>31</v>
      </c>
      <c r="E16" s="27" t="s">
        <v>32</v>
      </c>
      <c r="F16" s="27" t="s">
        <v>33</v>
      </c>
      <c r="G16" s="28" t="s">
        <v>10</v>
      </c>
      <c r="H16" s="29" t="s">
        <v>34</v>
      </c>
      <c r="I16" s="30"/>
      <c r="K16" s="31" t="s">
        <v>118</v>
      </c>
      <c r="L16" s="32"/>
      <c r="M16" s="32"/>
      <c r="N16" s="32"/>
      <c r="O16" s="33"/>
      <c r="P16" s="584"/>
      <c r="Q16" s="586"/>
      <c r="R16" s="586"/>
      <c r="S16" s="586"/>
      <c r="T16" s="597"/>
      <c r="U16" s="584" t="s">
        <v>35</v>
      </c>
      <c r="V16" s="593" t="s">
        <v>36</v>
      </c>
      <c r="W16" s="594" t="s">
        <v>37</v>
      </c>
      <c r="X16" s="595" t="s">
        <v>38</v>
      </c>
      <c r="Y16" s="593" t="s">
        <v>36</v>
      </c>
      <c r="Z16" s="594" t="s">
        <v>37</v>
      </c>
      <c r="AB16" s="602" t="s">
        <v>39</v>
      </c>
      <c r="AC16" s="10"/>
      <c r="AF16" s="9">
        <v>3</v>
      </c>
      <c r="AG16" s="34">
        <v>2000</v>
      </c>
      <c r="AH16" s="176">
        <f>AG16/AF16</f>
        <v>666.66666666666663</v>
      </c>
    </row>
    <row r="17" spans="1:34" ht="12.75" customHeight="1" x14ac:dyDescent="0.2">
      <c r="A17" s="591"/>
      <c r="B17" s="592"/>
      <c r="C17" s="35" t="s">
        <v>117</v>
      </c>
      <c r="D17" s="36">
        <v>10</v>
      </c>
      <c r="E17" s="37">
        <v>0.8</v>
      </c>
      <c r="F17" s="38">
        <v>0.93</v>
      </c>
      <c r="G17" s="174">
        <f>D17*AH71</f>
        <v>3529.6388888888873</v>
      </c>
      <c r="H17" s="40">
        <f t="shared" ref="H17:H22" si="0">IF(C17="", "", D17*0.746*E17/F17)</f>
        <v>6.4172043010752686</v>
      </c>
      <c r="I17" s="30"/>
      <c r="J17" s="41"/>
      <c r="K17" s="42" t="s">
        <v>40</v>
      </c>
      <c r="L17" s="43" t="s">
        <v>41</v>
      </c>
      <c r="M17" s="43" t="s">
        <v>42</v>
      </c>
      <c r="N17" s="43" t="s">
        <v>43</v>
      </c>
      <c r="O17" s="44" t="s">
        <v>44</v>
      </c>
      <c r="P17" s="584"/>
      <c r="Q17" s="586"/>
      <c r="R17" s="586"/>
      <c r="S17" s="586"/>
      <c r="T17" s="597"/>
      <c r="U17" s="584"/>
      <c r="V17" s="593"/>
      <c r="W17" s="594"/>
      <c r="X17" s="595"/>
      <c r="Y17" s="593"/>
      <c r="Z17" s="594"/>
      <c r="AB17" s="603"/>
      <c r="AC17" s="45" t="s">
        <v>45</v>
      </c>
      <c r="AF17" s="9">
        <v>5</v>
      </c>
      <c r="AG17" s="34">
        <v>2150</v>
      </c>
      <c r="AH17" s="176">
        <f t="shared" ref="AH17:AH23" si="1">AG17/AF17</f>
        <v>430</v>
      </c>
    </row>
    <row r="18" spans="1:34" x14ac:dyDescent="0.2">
      <c r="A18" s="591"/>
      <c r="B18" s="592"/>
      <c r="C18" s="35"/>
      <c r="D18" s="36"/>
      <c r="E18" s="37"/>
      <c r="F18" s="38"/>
      <c r="G18" s="39"/>
      <c r="H18" s="40"/>
      <c r="I18" s="30"/>
      <c r="J18" s="41"/>
      <c r="K18" s="46">
        <v>107.5</v>
      </c>
      <c r="L18" s="47">
        <v>0</v>
      </c>
      <c r="M18" s="47">
        <v>0</v>
      </c>
      <c r="N18" s="47">
        <v>0</v>
      </c>
      <c r="O18" s="48" t="s">
        <v>46</v>
      </c>
      <c r="P18" s="49" t="str">
        <f t="shared" ref="P18:P46" si="2">IF(L18=0, "", MAX(0.3, IF(K18&gt;$G$28, $D$28, IF(K18&lt;$G$29, $D$29, ((($D$28-$D$29)/($G$28-$G$29))*(K18-$G$29)+$D$29 ) ))))</f>
        <v/>
      </c>
      <c r="Q18" s="50" t="str">
        <f>IFERROR(MAX($D$32, O18+$D$31), "")</f>
        <v/>
      </c>
      <c r="R18" s="51" t="str">
        <f t="shared" ref="R18:R46" si="3">IFERROR(VLOOKUP(Q18, $AG$87:$AX$105, IF(O18&lt;50, 2, HLOOKUP(O18, $AH$85:$AX$86, 2,TRUE)), TRUE), "")</f>
        <v/>
      </c>
      <c r="S18" s="39" t="str">
        <f t="shared" ref="S18:S46" si="4">IFERROR($G$25/(R18*12*1.25), "")</f>
        <v/>
      </c>
      <c r="T18" s="52" t="str">
        <f>IFERROR(P18/S18, "")</f>
        <v/>
      </c>
      <c r="U18" s="53" t="str">
        <f>IFERROR(MIN(1, MAX(0,T18*(111/100)-0.11)), "")</f>
        <v/>
      </c>
      <c r="V18" s="54" t="str">
        <f t="shared" ref="V18:V46" si="5">IFERROR($H$23*U18, "")</f>
        <v/>
      </c>
      <c r="W18" s="55" t="str">
        <f t="shared" ref="W18:W46" si="6">IFERROR(V18*L18, "")</f>
        <v/>
      </c>
      <c r="X18" s="56" t="str">
        <f>IFERROR(MIN(1, MAX(0.1, T18^3)), "")</f>
        <v/>
      </c>
      <c r="Y18" s="54" t="str">
        <f t="shared" ref="Y18:Y46" si="7">IFERROR($H$23*X18/$D$34, "")</f>
        <v/>
      </c>
      <c r="Z18" s="55" t="str">
        <f t="shared" ref="Z18:Z46" si="8">IFERROR(Y18*L18, "")</f>
        <v/>
      </c>
      <c r="AB18" s="57" t="str">
        <f t="shared" ref="AB18:AB19" si="9">IFERROR(V18-Y18, "")</f>
        <v/>
      </c>
      <c r="AC18" s="58">
        <v>107.5</v>
      </c>
      <c r="AF18" s="9">
        <v>7.5</v>
      </c>
      <c r="AG18" s="34">
        <v>2575</v>
      </c>
      <c r="AH18" s="176">
        <f t="shared" si="1"/>
        <v>343.33333333333331</v>
      </c>
    </row>
    <row r="19" spans="1:34" x14ac:dyDescent="0.2">
      <c r="A19" s="591"/>
      <c r="B19" s="592"/>
      <c r="C19" s="35"/>
      <c r="D19" s="36"/>
      <c r="E19" s="37"/>
      <c r="F19" s="38"/>
      <c r="G19" s="39"/>
      <c r="H19" s="40"/>
      <c r="I19" s="30"/>
      <c r="J19" s="41"/>
      <c r="K19" s="46">
        <v>102.5</v>
      </c>
      <c r="L19" s="47">
        <v>0</v>
      </c>
      <c r="M19" s="47">
        <v>0</v>
      </c>
      <c r="N19" s="47">
        <v>0</v>
      </c>
      <c r="O19" s="48" t="s">
        <v>46</v>
      </c>
      <c r="P19" s="49" t="str">
        <f t="shared" si="2"/>
        <v/>
      </c>
      <c r="Q19" s="50" t="str">
        <f t="shared" ref="Q19:Q46" si="10">IFERROR(MAX($D$32, O19+$D$31), "")</f>
        <v/>
      </c>
      <c r="R19" s="51" t="str">
        <f t="shared" si="3"/>
        <v/>
      </c>
      <c r="S19" s="39" t="str">
        <f t="shared" si="4"/>
        <v/>
      </c>
      <c r="T19" s="52" t="str">
        <f t="shared" ref="T19:T46" si="11">IFERROR(P19/S19, "")</f>
        <v/>
      </c>
      <c r="U19" s="53" t="str">
        <f t="shared" ref="U19:U46" si="12">IFERROR(MIN(1, MAX(0,T19*(111/100)-0.11)), "")</f>
        <v/>
      </c>
      <c r="V19" s="54" t="str">
        <f t="shared" si="5"/>
        <v/>
      </c>
      <c r="W19" s="55" t="str">
        <f t="shared" si="6"/>
        <v/>
      </c>
      <c r="X19" s="56" t="str">
        <f t="shared" ref="X19:X46" si="13">IFERROR(MIN(1, MAX(0.1, T19^3)), "")</f>
        <v/>
      </c>
      <c r="Y19" s="54" t="str">
        <f t="shared" si="7"/>
        <v/>
      </c>
      <c r="Z19" s="55" t="str">
        <f t="shared" si="8"/>
        <v/>
      </c>
      <c r="AB19" s="57" t="str">
        <f t="shared" si="9"/>
        <v/>
      </c>
      <c r="AC19" s="58">
        <v>102.5</v>
      </c>
      <c r="AF19" s="9">
        <v>10</v>
      </c>
      <c r="AG19" s="34">
        <v>2875</v>
      </c>
      <c r="AH19" s="176">
        <f t="shared" si="1"/>
        <v>287.5</v>
      </c>
    </row>
    <row r="20" spans="1:34" x14ac:dyDescent="0.2">
      <c r="A20" s="591"/>
      <c r="B20" s="592"/>
      <c r="C20" s="35"/>
      <c r="D20" s="36"/>
      <c r="E20" s="37"/>
      <c r="F20" s="38"/>
      <c r="G20" s="39"/>
      <c r="H20" s="40" t="str">
        <f t="shared" si="0"/>
        <v/>
      </c>
      <c r="I20" s="30"/>
      <c r="J20" s="41"/>
      <c r="K20" s="46">
        <v>97.5</v>
      </c>
      <c r="L20" s="47">
        <v>1</v>
      </c>
      <c r="M20" s="47">
        <v>0</v>
      </c>
      <c r="N20" s="47">
        <v>1</v>
      </c>
      <c r="O20" s="48">
        <v>79.11</v>
      </c>
      <c r="P20" s="49">
        <f t="shared" si="2"/>
        <v>125</v>
      </c>
      <c r="Q20" s="50">
        <f t="shared" si="10"/>
        <v>92.11</v>
      </c>
      <c r="R20" s="51">
        <f t="shared" si="3"/>
        <v>1.82</v>
      </c>
      <c r="S20" s="39">
        <f>IFERROR($G$25/(R20*12*1.25), "")</f>
        <v>129.29080179080174</v>
      </c>
      <c r="T20" s="52">
        <f t="shared" si="11"/>
        <v>0.96681278380696833</v>
      </c>
      <c r="U20" s="53">
        <f t="shared" si="12"/>
        <v>0.96316219002573489</v>
      </c>
      <c r="V20" s="54">
        <f t="shared" si="5"/>
        <v>6.1808085484662207</v>
      </c>
      <c r="W20" s="55">
        <f t="shared" si="6"/>
        <v>6.1808085484662207</v>
      </c>
      <c r="X20" s="56">
        <f t="shared" si="13"/>
        <v>0.90370597326502922</v>
      </c>
      <c r="Y20" s="54">
        <f>IFERROR($H$23*X20/$D$34, "")</f>
        <v>6.1044903774144812</v>
      </c>
      <c r="Z20" s="55">
        <f t="shared" si="8"/>
        <v>6.1044903774144812</v>
      </c>
      <c r="AB20" s="57">
        <f>IFERROR(V20-Y20, "")</f>
        <v>7.6318171051739547E-2</v>
      </c>
      <c r="AC20" s="58">
        <v>97.5</v>
      </c>
      <c r="AF20" s="9">
        <v>15</v>
      </c>
      <c r="AG20" s="34">
        <v>3700</v>
      </c>
      <c r="AH20" s="176">
        <f t="shared" si="1"/>
        <v>246.66666666666666</v>
      </c>
    </row>
    <row r="21" spans="1:34" x14ac:dyDescent="0.2">
      <c r="A21" s="591"/>
      <c r="B21" s="592"/>
      <c r="C21" s="35"/>
      <c r="D21" s="36"/>
      <c r="E21" s="37"/>
      <c r="F21" s="38"/>
      <c r="G21" s="39"/>
      <c r="H21" s="40" t="str">
        <f t="shared" si="0"/>
        <v/>
      </c>
      <c r="I21" s="30"/>
      <c r="J21" s="41"/>
      <c r="K21" s="46">
        <v>92.5</v>
      </c>
      <c r="L21" s="47">
        <v>26</v>
      </c>
      <c r="M21" s="47">
        <v>0</v>
      </c>
      <c r="N21" s="47">
        <v>26</v>
      </c>
      <c r="O21" s="48">
        <v>78.340769230769226</v>
      </c>
      <c r="P21" s="49">
        <f t="shared" si="2"/>
        <v>121.875</v>
      </c>
      <c r="Q21" s="50">
        <f>IFERROR(MAX($D$32, O21+$D$31), "")</f>
        <v>91.340769230769226</v>
      </c>
      <c r="R21" s="51">
        <f t="shared" si="3"/>
        <v>1.96</v>
      </c>
      <c r="S21" s="39">
        <f t="shared" si="4"/>
        <v>120.05574452003019</v>
      </c>
      <c r="T21" s="52">
        <f t="shared" si="11"/>
        <v>1.0151534229973167</v>
      </c>
      <c r="U21" s="53">
        <f t="shared" si="12"/>
        <v>1</v>
      </c>
      <c r="V21" s="54">
        <f t="shared" si="5"/>
        <v>6.4172043010752686</v>
      </c>
      <c r="W21" s="55">
        <f t="shared" si="6"/>
        <v>166.84731182795699</v>
      </c>
      <c r="X21" s="56">
        <f t="shared" si="13"/>
        <v>1</v>
      </c>
      <c r="Y21" s="54">
        <f t="shared" si="7"/>
        <v>6.7549518958687038</v>
      </c>
      <c r="Z21" s="55">
        <f t="shared" si="8"/>
        <v>175.62874929258629</v>
      </c>
      <c r="AB21" s="57">
        <f t="shared" ref="AB21:AB46" si="14">IFERROR(V21-Y21, "")</f>
        <v>-0.33774759479343519</v>
      </c>
      <c r="AC21" s="58">
        <v>92.5</v>
      </c>
      <c r="AF21" s="9">
        <v>20</v>
      </c>
      <c r="AG21" s="34">
        <v>4150</v>
      </c>
      <c r="AH21" s="176">
        <f t="shared" si="1"/>
        <v>207.5</v>
      </c>
    </row>
    <row r="22" spans="1:34" ht="13.5" thickBot="1" x14ac:dyDescent="0.25">
      <c r="A22" s="591"/>
      <c r="B22" s="592"/>
      <c r="C22" s="35"/>
      <c r="D22" s="36"/>
      <c r="E22" s="37"/>
      <c r="F22" s="38"/>
      <c r="G22" s="59"/>
      <c r="H22" s="60" t="str">
        <f t="shared" si="0"/>
        <v/>
      </c>
      <c r="I22" s="30"/>
      <c r="J22" s="41"/>
      <c r="K22" s="46">
        <v>87.5</v>
      </c>
      <c r="L22" s="47">
        <v>160</v>
      </c>
      <c r="M22" s="47">
        <v>0</v>
      </c>
      <c r="N22" s="47">
        <v>160</v>
      </c>
      <c r="O22" s="48">
        <v>72.417562500000003</v>
      </c>
      <c r="P22" s="49">
        <f t="shared" si="2"/>
        <v>115.625</v>
      </c>
      <c r="Q22" s="50">
        <f t="shared" si="10"/>
        <v>85.417562500000003</v>
      </c>
      <c r="R22" s="51">
        <f t="shared" si="3"/>
        <v>2.14</v>
      </c>
      <c r="S22" s="39">
        <f t="shared" si="4"/>
        <v>109.95759778470054</v>
      </c>
      <c r="T22" s="52">
        <f t="shared" si="11"/>
        <v>1.0515417063438979</v>
      </c>
      <c r="U22" s="53">
        <f t="shared" si="12"/>
        <v>1</v>
      </c>
      <c r="V22" s="54">
        <f t="shared" si="5"/>
        <v>6.4172043010752686</v>
      </c>
      <c r="W22" s="55">
        <f t="shared" si="6"/>
        <v>1026.752688172043</v>
      </c>
      <c r="X22" s="56">
        <f t="shared" si="13"/>
        <v>1</v>
      </c>
      <c r="Y22" s="54">
        <f t="shared" si="7"/>
        <v>6.7549518958687038</v>
      </c>
      <c r="Z22" s="55">
        <f t="shared" si="8"/>
        <v>1080.7923033389925</v>
      </c>
      <c r="AB22" s="57">
        <f t="shared" si="14"/>
        <v>-0.33774759479343519</v>
      </c>
      <c r="AC22" s="58">
        <v>87.5</v>
      </c>
      <c r="AF22" s="9">
        <v>25</v>
      </c>
      <c r="AG22" s="34">
        <v>5300</v>
      </c>
      <c r="AH22" s="176">
        <f t="shared" si="1"/>
        <v>212</v>
      </c>
    </row>
    <row r="23" spans="1:34" ht="13.5" thickTop="1" x14ac:dyDescent="0.2">
      <c r="A23" s="591"/>
      <c r="B23" s="592"/>
      <c r="C23" s="61"/>
      <c r="D23" s="62"/>
      <c r="E23" s="62"/>
      <c r="F23" s="63" t="s">
        <v>47</v>
      </c>
      <c r="G23" s="64">
        <f>SUM(G17:G22)</f>
        <v>3529.6388888888873</v>
      </c>
      <c r="H23" s="65">
        <f>SUM(H17:H22)</f>
        <v>6.4172043010752686</v>
      </c>
      <c r="I23" s="30"/>
      <c r="J23" s="41"/>
      <c r="K23" s="46">
        <v>82.5</v>
      </c>
      <c r="L23" s="47">
        <v>428</v>
      </c>
      <c r="M23" s="47">
        <v>0</v>
      </c>
      <c r="N23" s="47">
        <v>428</v>
      </c>
      <c r="O23" s="48">
        <v>69.528901869159029</v>
      </c>
      <c r="P23" s="49">
        <f t="shared" si="2"/>
        <v>109.375</v>
      </c>
      <c r="Q23" s="50">
        <f t="shared" si="10"/>
        <v>85</v>
      </c>
      <c r="R23" s="51">
        <f t="shared" si="3"/>
        <v>1.7</v>
      </c>
      <c r="S23" s="39">
        <f t="shared" si="4"/>
        <v>138.41721132897598</v>
      </c>
      <c r="T23" s="52">
        <f t="shared" si="11"/>
        <v>0.79018352522684909</v>
      </c>
      <c r="U23" s="53">
        <f t="shared" si="12"/>
        <v>0.76710371300180258</v>
      </c>
      <c r="V23" s="54">
        <f t="shared" si="5"/>
        <v>4.9226612464459762</v>
      </c>
      <c r="W23" s="55">
        <f t="shared" si="6"/>
        <v>2106.8990134788778</v>
      </c>
      <c r="X23" s="56">
        <f t="shared" si="13"/>
        <v>0.49338269411358704</v>
      </c>
      <c r="Y23" s="54">
        <f t="shared" si="7"/>
        <v>3.3327763649913837</v>
      </c>
      <c r="Z23" s="55">
        <f t="shared" si="8"/>
        <v>1426.4282842163122</v>
      </c>
      <c r="AB23" s="57">
        <f t="shared" si="14"/>
        <v>1.5898848814545925</v>
      </c>
      <c r="AC23" s="58">
        <v>82.5</v>
      </c>
      <c r="AF23" s="9">
        <v>30</v>
      </c>
      <c r="AG23" s="34">
        <v>6100</v>
      </c>
      <c r="AH23" s="176">
        <f t="shared" si="1"/>
        <v>203.33333333333334</v>
      </c>
    </row>
    <row r="24" spans="1:34" x14ac:dyDescent="0.2">
      <c r="A24" s="591"/>
      <c r="B24" s="592"/>
      <c r="C24" s="61"/>
      <c r="D24" s="62"/>
      <c r="E24" s="62"/>
      <c r="F24" s="63"/>
      <c r="G24" s="66"/>
      <c r="H24" s="66"/>
      <c r="I24" s="30"/>
      <c r="J24" s="41"/>
      <c r="K24" s="46">
        <v>77.5</v>
      </c>
      <c r="L24" s="47">
        <v>531</v>
      </c>
      <c r="M24" s="47">
        <v>0</v>
      </c>
      <c r="N24" s="47">
        <v>531</v>
      </c>
      <c r="O24" s="48">
        <v>67.593389830508343</v>
      </c>
      <c r="P24" s="49">
        <f t="shared" si="2"/>
        <v>103.125</v>
      </c>
      <c r="Q24" s="50">
        <f t="shared" si="10"/>
        <v>85</v>
      </c>
      <c r="R24" s="51">
        <f t="shared" si="3"/>
        <v>1.55</v>
      </c>
      <c r="S24" s="39">
        <f t="shared" si="4"/>
        <v>151.8124253285543</v>
      </c>
      <c r="T24" s="52">
        <f t="shared" si="11"/>
        <v>0.67929222378745102</v>
      </c>
      <c r="U24" s="53">
        <f t="shared" si="12"/>
        <v>0.64401436840407067</v>
      </c>
      <c r="V24" s="54">
        <f t="shared" si="5"/>
        <v>4.1327717748768746</v>
      </c>
      <c r="W24" s="55">
        <f t="shared" si="6"/>
        <v>2194.5018124596204</v>
      </c>
      <c r="X24" s="56">
        <f t="shared" si="13"/>
        <v>0.31345119441561436</v>
      </c>
      <c r="Y24" s="54">
        <f t="shared" si="7"/>
        <v>2.117347739980064</v>
      </c>
      <c r="Z24" s="55">
        <f t="shared" si="8"/>
        <v>1124.311649929414</v>
      </c>
      <c r="AB24" s="57">
        <f t="shared" si="14"/>
        <v>2.0154240348968107</v>
      </c>
      <c r="AC24" s="58">
        <v>77.5</v>
      </c>
      <c r="AF24" s="9">
        <v>40</v>
      </c>
      <c r="AG24" s="34">
        <v>6925</v>
      </c>
      <c r="AH24" s="177" t="s">
        <v>124</v>
      </c>
    </row>
    <row r="25" spans="1:34" ht="12.75" customHeight="1" x14ac:dyDescent="0.2">
      <c r="A25" s="591"/>
      <c r="B25" s="592"/>
      <c r="C25" s="61"/>
      <c r="D25" s="62"/>
      <c r="E25" s="62"/>
      <c r="F25" s="63" t="s">
        <v>48</v>
      </c>
      <c r="G25" s="67">
        <f>IF(G16=$AF$11, G23*20.7, G23)</f>
        <v>3529.6388888888873</v>
      </c>
      <c r="H25" s="66"/>
      <c r="I25" s="30"/>
      <c r="J25" s="41"/>
      <c r="K25" s="46">
        <v>72.5</v>
      </c>
      <c r="L25" s="47">
        <v>538</v>
      </c>
      <c r="M25" s="47">
        <v>0</v>
      </c>
      <c r="N25" s="47">
        <v>538</v>
      </c>
      <c r="O25" s="48">
        <v>65.190464684014756</v>
      </c>
      <c r="P25" s="49">
        <f t="shared" si="2"/>
        <v>96.875</v>
      </c>
      <c r="Q25" s="50">
        <f t="shared" si="10"/>
        <v>85</v>
      </c>
      <c r="R25" s="51">
        <f t="shared" si="3"/>
        <v>1.43</v>
      </c>
      <c r="S25" s="39">
        <f t="shared" si="4"/>
        <v>164.55192955192948</v>
      </c>
      <c r="T25" s="52">
        <f t="shared" si="11"/>
        <v>0.58871992728245759</v>
      </c>
      <c r="U25" s="53">
        <f t="shared" si="12"/>
        <v>0.54347911928352799</v>
      </c>
      <c r="V25" s="54">
        <f t="shared" si="5"/>
        <v>3.4876165418108549</v>
      </c>
      <c r="W25" s="55">
        <f t="shared" si="6"/>
        <v>1876.33769949424</v>
      </c>
      <c r="X25" s="56">
        <f t="shared" si="13"/>
        <v>0.20404511826106811</v>
      </c>
      <c r="Y25" s="54">
        <f t="shared" si="7"/>
        <v>1.378314958440356</v>
      </c>
      <c r="Z25" s="55">
        <f t="shared" si="8"/>
        <v>741.5334476409115</v>
      </c>
      <c r="AB25" s="57">
        <f t="shared" si="14"/>
        <v>2.1093015833704989</v>
      </c>
      <c r="AC25" s="58">
        <v>72.5</v>
      </c>
      <c r="AF25" s="9">
        <v>50</v>
      </c>
      <c r="AG25" s="34">
        <v>8675</v>
      </c>
      <c r="AH25" s="177"/>
    </row>
    <row r="26" spans="1:34" ht="12.75" customHeight="1" x14ac:dyDescent="0.2">
      <c r="A26" s="591"/>
      <c r="B26" s="592"/>
      <c r="C26" s="68" t="s">
        <v>49</v>
      </c>
      <c r="D26" s="62"/>
      <c r="E26" s="62"/>
      <c r="F26" s="62"/>
      <c r="G26" s="69"/>
      <c r="H26" s="62"/>
      <c r="I26" s="70"/>
      <c r="J26" s="41"/>
      <c r="K26" s="46">
        <v>67.5</v>
      </c>
      <c r="L26" s="47">
        <v>767</v>
      </c>
      <c r="M26" s="47">
        <v>0</v>
      </c>
      <c r="N26" s="47">
        <v>767</v>
      </c>
      <c r="O26" s="48">
        <v>61.564132985657949</v>
      </c>
      <c r="P26" s="49">
        <f t="shared" si="2"/>
        <v>90.625</v>
      </c>
      <c r="Q26" s="50">
        <f t="shared" si="10"/>
        <v>85</v>
      </c>
      <c r="R26" s="51">
        <f t="shared" si="3"/>
        <v>1.25</v>
      </c>
      <c r="S26" s="39">
        <f t="shared" si="4"/>
        <v>188.24740740740734</v>
      </c>
      <c r="T26" s="52">
        <f t="shared" si="11"/>
        <v>0.4814143325961896</v>
      </c>
      <c r="U26" s="53">
        <f t="shared" si="12"/>
        <v>0.42436990918177053</v>
      </c>
      <c r="V26" s="54">
        <f t="shared" si="5"/>
        <v>2.7232684064481791</v>
      </c>
      <c r="W26" s="55">
        <f t="shared" si="6"/>
        <v>2088.7468677457532</v>
      </c>
      <c r="X26" s="56">
        <f t="shared" si="13"/>
        <v>0.11157247000446505</v>
      </c>
      <c r="Y26" s="54">
        <f t="shared" si="7"/>
        <v>0.75366666778341529</v>
      </c>
      <c r="Z26" s="55">
        <f t="shared" si="8"/>
        <v>578.06233418987949</v>
      </c>
      <c r="AB26" s="57">
        <f t="shared" si="14"/>
        <v>1.969601738664764</v>
      </c>
      <c r="AC26" s="58">
        <v>67.5</v>
      </c>
      <c r="AF26" s="9">
        <v>60</v>
      </c>
      <c r="AG26" s="34">
        <v>10600</v>
      </c>
      <c r="AH26" s="177"/>
    </row>
    <row r="27" spans="1:34" ht="13.5" customHeight="1" x14ac:dyDescent="0.2">
      <c r="C27" s="71" t="s">
        <v>50</v>
      </c>
      <c r="D27" s="72"/>
      <c r="E27" s="72"/>
      <c r="F27" s="73"/>
      <c r="G27" s="73"/>
      <c r="H27" s="73"/>
      <c r="I27" s="70"/>
      <c r="J27" s="41"/>
      <c r="K27" s="46">
        <v>62.5</v>
      </c>
      <c r="L27" s="47">
        <v>848</v>
      </c>
      <c r="M27" s="47">
        <v>0</v>
      </c>
      <c r="N27" s="47">
        <v>848</v>
      </c>
      <c r="O27" s="48">
        <v>57.274351415094301</v>
      </c>
      <c r="P27" s="49">
        <f t="shared" si="2"/>
        <v>84.375</v>
      </c>
      <c r="Q27" s="50">
        <f t="shared" si="10"/>
        <v>85</v>
      </c>
      <c r="R27" s="51">
        <f t="shared" si="3"/>
        <v>1.1100000000000001</v>
      </c>
      <c r="S27" s="39">
        <f t="shared" si="4"/>
        <v>211.99032365699026</v>
      </c>
      <c r="T27" s="52">
        <f t="shared" si="11"/>
        <v>0.3980134495974566</v>
      </c>
      <c r="U27" s="53">
        <f t="shared" si="12"/>
        <v>0.33179492905317687</v>
      </c>
      <c r="V27" s="54">
        <f t="shared" si="5"/>
        <v>2.1291958457950102</v>
      </c>
      <c r="W27" s="55">
        <f t="shared" si="6"/>
        <v>1805.5580772341686</v>
      </c>
      <c r="X27" s="56">
        <f t="shared" si="13"/>
        <v>0.1</v>
      </c>
      <c r="Y27" s="54">
        <f t="shared" si="7"/>
        <v>0.67549518958687038</v>
      </c>
      <c r="Z27" s="55">
        <f t="shared" si="8"/>
        <v>572.81992076966606</v>
      </c>
      <c r="AA27" s="74"/>
      <c r="AB27" s="57">
        <f t="shared" si="14"/>
        <v>1.4537006562081398</v>
      </c>
      <c r="AC27" s="58">
        <v>62.5</v>
      </c>
      <c r="AF27" s="9">
        <v>75</v>
      </c>
      <c r="AG27" s="34">
        <v>11700</v>
      </c>
      <c r="AH27" s="177"/>
    </row>
    <row r="28" spans="1:34" ht="25.5" customHeight="1" x14ac:dyDescent="0.2">
      <c r="A28" s="604" t="s">
        <v>51</v>
      </c>
      <c r="B28" s="605"/>
      <c r="C28" s="71"/>
      <c r="D28" s="39">
        <v>125</v>
      </c>
      <c r="E28" s="606" t="s">
        <v>52</v>
      </c>
      <c r="F28" s="607"/>
      <c r="G28" s="75">
        <v>95</v>
      </c>
      <c r="H28" s="76" t="s">
        <v>53</v>
      </c>
      <c r="I28" s="77"/>
      <c r="J28" s="41"/>
      <c r="K28" s="46">
        <v>57.5</v>
      </c>
      <c r="L28" s="47">
        <v>677</v>
      </c>
      <c r="M28" s="47">
        <v>0</v>
      </c>
      <c r="N28" s="47">
        <v>677</v>
      </c>
      <c r="O28" s="48">
        <v>52.655214180206563</v>
      </c>
      <c r="P28" s="49">
        <f t="shared" si="2"/>
        <v>78.125</v>
      </c>
      <c r="Q28" s="50">
        <f t="shared" si="10"/>
        <v>85</v>
      </c>
      <c r="R28" s="51">
        <f t="shared" si="3"/>
        <v>1.01</v>
      </c>
      <c r="S28" s="39">
        <f t="shared" si="4"/>
        <v>232.97946461312785</v>
      </c>
      <c r="T28" s="52">
        <f t="shared" si="11"/>
        <v>0.33532998339458731</v>
      </c>
      <c r="U28" s="53">
        <f t="shared" si="12"/>
        <v>0.26221628156799198</v>
      </c>
      <c r="V28" s="54">
        <f t="shared" si="5"/>
        <v>1.6826954498900819</v>
      </c>
      <c r="W28" s="55">
        <f t="shared" si="6"/>
        <v>1139.1848195755854</v>
      </c>
      <c r="X28" s="56">
        <f t="shared" si="13"/>
        <v>0.1</v>
      </c>
      <c r="Y28" s="54">
        <f t="shared" si="7"/>
        <v>0.67549518958687038</v>
      </c>
      <c r="Z28" s="55">
        <f t="shared" si="8"/>
        <v>457.31024335031123</v>
      </c>
      <c r="AB28" s="57">
        <f t="shared" si="14"/>
        <v>1.0072002603032115</v>
      </c>
      <c r="AC28" s="58">
        <v>57.5</v>
      </c>
      <c r="AF28" s="9">
        <v>100</v>
      </c>
      <c r="AG28" s="34">
        <v>13500</v>
      </c>
      <c r="AH28" s="177"/>
    </row>
    <row r="29" spans="1:34" x14ac:dyDescent="0.2">
      <c r="A29" s="604"/>
      <c r="B29" s="605"/>
      <c r="C29" s="571"/>
      <c r="D29" s="39">
        <f>D28*0.5</f>
        <v>62.5</v>
      </c>
      <c r="E29" s="606" t="s">
        <v>52</v>
      </c>
      <c r="F29" s="607"/>
      <c r="G29" s="75">
        <v>45</v>
      </c>
      <c r="H29" s="76" t="s">
        <v>54</v>
      </c>
      <c r="I29" s="77"/>
      <c r="J29" s="79"/>
      <c r="K29" s="46">
        <v>52.5</v>
      </c>
      <c r="L29" s="47">
        <v>641</v>
      </c>
      <c r="M29" s="47">
        <v>0</v>
      </c>
      <c r="N29" s="47">
        <v>641</v>
      </c>
      <c r="O29" s="48">
        <v>47.771029641185542</v>
      </c>
      <c r="P29" s="49">
        <f t="shared" si="2"/>
        <v>71.875</v>
      </c>
      <c r="Q29" s="50">
        <f t="shared" si="10"/>
        <v>85</v>
      </c>
      <c r="R29" s="51">
        <f t="shared" si="3"/>
        <v>0.97</v>
      </c>
      <c r="S29" s="39">
        <f t="shared" si="4"/>
        <v>242.58686521573108</v>
      </c>
      <c r="T29" s="52">
        <f t="shared" si="11"/>
        <v>0.29628562097161354</v>
      </c>
      <c r="U29" s="53">
        <f t="shared" si="12"/>
        <v>0.21887703927849106</v>
      </c>
      <c r="V29" s="54">
        <f t="shared" si="5"/>
        <v>1.4045786778645533</v>
      </c>
      <c r="W29" s="55">
        <f t="shared" si="6"/>
        <v>900.33493251117864</v>
      </c>
      <c r="X29" s="56">
        <f t="shared" si="13"/>
        <v>0.1</v>
      </c>
      <c r="Y29" s="54">
        <f t="shared" si="7"/>
        <v>0.67549518958687038</v>
      </c>
      <c r="Z29" s="55">
        <f t="shared" si="8"/>
        <v>432.9924165251839</v>
      </c>
      <c r="AB29" s="57">
        <f t="shared" si="14"/>
        <v>0.72908348827768288</v>
      </c>
      <c r="AC29" s="58">
        <v>52.5</v>
      </c>
      <c r="AF29" s="9">
        <v>125</v>
      </c>
      <c r="AG29" s="34">
        <v>14700</v>
      </c>
      <c r="AH29" s="177"/>
    </row>
    <row r="30" spans="1:34" ht="12.75" customHeight="1" x14ac:dyDescent="0.2">
      <c r="A30" s="604"/>
      <c r="B30" s="605"/>
      <c r="C30" s="78"/>
      <c r="D30" s="80"/>
      <c r="E30" s="72"/>
      <c r="F30" s="72"/>
      <c r="G30" s="72"/>
      <c r="H30" s="81"/>
      <c r="I30" s="82"/>
      <c r="J30" s="83"/>
      <c r="K30" s="46">
        <v>47.5</v>
      </c>
      <c r="L30" s="47">
        <v>408</v>
      </c>
      <c r="M30" s="47">
        <v>0</v>
      </c>
      <c r="N30" s="47">
        <v>408</v>
      </c>
      <c r="O30" s="48">
        <v>43.561200980392243</v>
      </c>
      <c r="P30" s="49">
        <f t="shared" si="2"/>
        <v>65.625</v>
      </c>
      <c r="Q30" s="50">
        <f t="shared" si="10"/>
        <v>85</v>
      </c>
      <c r="R30" s="51">
        <f t="shared" si="3"/>
        <v>0.97</v>
      </c>
      <c r="S30" s="39">
        <f t="shared" si="4"/>
        <v>242.58686521573108</v>
      </c>
      <c r="T30" s="52">
        <f t="shared" si="11"/>
        <v>0.27052165393060368</v>
      </c>
      <c r="U30" s="53">
        <f t="shared" si="12"/>
        <v>0.19027903586297013</v>
      </c>
      <c r="V30" s="54">
        <f t="shared" si="5"/>
        <v>1.2210594473443073</v>
      </c>
      <c r="W30" s="55">
        <f t="shared" si="6"/>
        <v>498.19225451647736</v>
      </c>
      <c r="X30" s="56">
        <f t="shared" si="13"/>
        <v>0.1</v>
      </c>
      <c r="Y30" s="54">
        <f t="shared" si="7"/>
        <v>0.67549518958687038</v>
      </c>
      <c r="Z30" s="55">
        <f t="shared" si="8"/>
        <v>275.60203735144313</v>
      </c>
      <c r="AB30" s="57">
        <f t="shared" si="14"/>
        <v>0.54556425775743689</v>
      </c>
      <c r="AC30" s="58">
        <v>47.5</v>
      </c>
      <c r="AF30" s="9">
        <v>150</v>
      </c>
      <c r="AG30" s="34">
        <v>16300</v>
      </c>
      <c r="AH30" s="177"/>
    </row>
    <row r="31" spans="1:34" ht="12.75" customHeight="1" x14ac:dyDescent="0.2">
      <c r="A31" s="604"/>
      <c r="B31" s="605"/>
      <c r="C31" s="71" t="s">
        <v>55</v>
      </c>
      <c r="D31" s="39">
        <v>13</v>
      </c>
      <c r="E31" s="84" t="s">
        <v>56</v>
      </c>
      <c r="F31" s="85"/>
      <c r="G31" s="73"/>
      <c r="H31" s="73"/>
      <c r="I31" s="70"/>
      <c r="J31" s="83"/>
      <c r="K31" s="46">
        <v>42.5</v>
      </c>
      <c r="L31" s="47">
        <v>595</v>
      </c>
      <c r="M31" s="47">
        <v>0</v>
      </c>
      <c r="N31" s="47">
        <v>595</v>
      </c>
      <c r="O31" s="48">
        <v>38.91354621848734</v>
      </c>
      <c r="P31" s="49">
        <f t="shared" si="2"/>
        <v>62.5</v>
      </c>
      <c r="Q31" s="50">
        <f t="shared" si="10"/>
        <v>85</v>
      </c>
      <c r="R31" s="51">
        <f t="shared" si="3"/>
        <v>0.97</v>
      </c>
      <c r="S31" s="39">
        <f t="shared" si="4"/>
        <v>242.58686521573108</v>
      </c>
      <c r="T31" s="52">
        <f t="shared" si="11"/>
        <v>0.25763967041009872</v>
      </c>
      <c r="U31" s="53">
        <f t="shared" si="12"/>
        <v>0.17598003415520963</v>
      </c>
      <c r="V31" s="54">
        <f t="shared" si="5"/>
        <v>1.1292998320841838</v>
      </c>
      <c r="W31" s="55">
        <f t="shared" si="6"/>
        <v>671.93340009008944</v>
      </c>
      <c r="X31" s="56">
        <f t="shared" si="13"/>
        <v>0.1</v>
      </c>
      <c r="Y31" s="54">
        <f t="shared" si="7"/>
        <v>0.67549518958687038</v>
      </c>
      <c r="Z31" s="55">
        <f t="shared" si="8"/>
        <v>401.91963780418786</v>
      </c>
      <c r="AB31" s="57">
        <f t="shared" si="14"/>
        <v>0.45380464249731345</v>
      </c>
      <c r="AC31" s="58">
        <v>42.5</v>
      </c>
      <c r="AF31" s="9">
        <v>200</v>
      </c>
      <c r="AG31" s="34">
        <v>20900</v>
      </c>
      <c r="AH31" s="177"/>
    </row>
    <row r="32" spans="1:34" ht="12.75" customHeight="1" x14ac:dyDescent="0.2">
      <c r="A32" s="604"/>
      <c r="B32" s="605"/>
      <c r="C32" s="71" t="s">
        <v>57</v>
      </c>
      <c r="D32" s="86">
        <v>85</v>
      </c>
      <c r="E32" s="87" t="s">
        <v>58</v>
      </c>
      <c r="F32" s="88"/>
      <c r="G32" s="72"/>
      <c r="H32" s="89"/>
      <c r="I32" s="77"/>
      <c r="J32" s="79"/>
      <c r="K32" s="46">
        <v>37.5</v>
      </c>
      <c r="L32" s="47">
        <v>865</v>
      </c>
      <c r="M32" s="47">
        <v>0</v>
      </c>
      <c r="N32" s="47">
        <v>865</v>
      </c>
      <c r="O32" s="48">
        <v>34.174589595375785</v>
      </c>
      <c r="P32" s="49">
        <f t="shared" si="2"/>
        <v>62.5</v>
      </c>
      <c r="Q32" s="50">
        <f t="shared" si="10"/>
        <v>85</v>
      </c>
      <c r="R32" s="51">
        <f t="shared" si="3"/>
        <v>0.97</v>
      </c>
      <c r="S32" s="39">
        <f t="shared" si="4"/>
        <v>242.58686521573108</v>
      </c>
      <c r="T32" s="52">
        <f t="shared" si="11"/>
        <v>0.25763967041009872</v>
      </c>
      <c r="U32" s="53">
        <f t="shared" si="12"/>
        <v>0.17598003415520963</v>
      </c>
      <c r="V32" s="54">
        <f t="shared" si="5"/>
        <v>1.1292998320841838</v>
      </c>
      <c r="W32" s="55">
        <f t="shared" si="6"/>
        <v>976.84435475281896</v>
      </c>
      <c r="X32" s="56">
        <f t="shared" si="13"/>
        <v>0.1</v>
      </c>
      <c r="Y32" s="54">
        <f t="shared" si="7"/>
        <v>0.67549518958687038</v>
      </c>
      <c r="Z32" s="55">
        <f t="shared" si="8"/>
        <v>584.30333899264292</v>
      </c>
      <c r="AB32" s="57">
        <f t="shared" si="14"/>
        <v>0.45380464249731345</v>
      </c>
      <c r="AC32" s="58">
        <v>37.5</v>
      </c>
      <c r="AF32" s="1" t="s">
        <v>145</v>
      </c>
    </row>
    <row r="33" spans="2:34" x14ac:dyDescent="0.2">
      <c r="C33" s="61"/>
      <c r="D33" s="62"/>
      <c r="E33" s="62"/>
      <c r="F33" s="62"/>
      <c r="G33" s="62"/>
      <c r="H33" s="89"/>
      <c r="I33" s="77"/>
      <c r="J33" s="79"/>
      <c r="K33" s="46">
        <v>32.5</v>
      </c>
      <c r="L33" s="47">
        <v>759</v>
      </c>
      <c r="M33" s="47">
        <v>0</v>
      </c>
      <c r="N33" s="47">
        <v>759</v>
      </c>
      <c r="O33" s="48">
        <v>29.752292490118474</v>
      </c>
      <c r="P33" s="49">
        <f t="shared" si="2"/>
        <v>62.5</v>
      </c>
      <c r="Q33" s="50">
        <f t="shared" si="10"/>
        <v>85</v>
      </c>
      <c r="R33" s="51">
        <f t="shared" si="3"/>
        <v>0.97</v>
      </c>
      <c r="S33" s="39">
        <f t="shared" si="4"/>
        <v>242.58686521573108</v>
      </c>
      <c r="T33" s="52">
        <f t="shared" si="11"/>
        <v>0.25763967041009872</v>
      </c>
      <c r="U33" s="53">
        <f t="shared" si="12"/>
        <v>0.17598003415520963</v>
      </c>
      <c r="V33" s="54">
        <f t="shared" si="5"/>
        <v>1.1292998320841838</v>
      </c>
      <c r="W33" s="55">
        <f t="shared" si="6"/>
        <v>857.13857255189555</v>
      </c>
      <c r="X33" s="56">
        <f t="shared" si="13"/>
        <v>0.1</v>
      </c>
      <c r="Y33" s="54">
        <f t="shared" si="7"/>
        <v>0.67549518958687038</v>
      </c>
      <c r="Z33" s="55">
        <f t="shared" si="8"/>
        <v>512.70084889643465</v>
      </c>
      <c r="AB33" s="57">
        <f t="shared" si="14"/>
        <v>0.45380464249731345</v>
      </c>
      <c r="AC33" s="58">
        <v>32.5</v>
      </c>
      <c r="AF33" s="1" t="s">
        <v>123</v>
      </c>
      <c r="AH33" s="178">
        <f>AVERAGE(AH16:AH23)</f>
        <v>324.625</v>
      </c>
    </row>
    <row r="34" spans="2:34" x14ac:dyDescent="0.2">
      <c r="C34" s="61" t="s">
        <v>59</v>
      </c>
      <c r="D34" s="90">
        <v>0.95</v>
      </c>
      <c r="E34" s="62" t="s">
        <v>121</v>
      </c>
      <c r="F34" s="62"/>
      <c r="G34" s="62"/>
      <c r="H34" s="89"/>
      <c r="I34" s="77"/>
      <c r="J34" s="79"/>
      <c r="K34" s="46">
        <v>27.5</v>
      </c>
      <c r="L34" s="47">
        <v>402</v>
      </c>
      <c r="M34" s="47">
        <v>0</v>
      </c>
      <c r="N34" s="47">
        <v>402</v>
      </c>
      <c r="O34" s="48">
        <v>25.203084577114421</v>
      </c>
      <c r="P34" s="49">
        <f t="shared" si="2"/>
        <v>62.5</v>
      </c>
      <c r="Q34" s="50">
        <f t="shared" si="10"/>
        <v>85</v>
      </c>
      <c r="R34" s="51">
        <f t="shared" si="3"/>
        <v>0.97</v>
      </c>
      <c r="S34" s="39">
        <f t="shared" si="4"/>
        <v>242.58686521573108</v>
      </c>
      <c r="T34" s="52">
        <f t="shared" si="11"/>
        <v>0.25763967041009872</v>
      </c>
      <c r="U34" s="53">
        <f t="shared" si="12"/>
        <v>0.17598003415520963</v>
      </c>
      <c r="V34" s="54">
        <f t="shared" si="5"/>
        <v>1.1292998320841838</v>
      </c>
      <c r="W34" s="55">
        <f t="shared" si="6"/>
        <v>453.97853249784191</v>
      </c>
      <c r="X34" s="56">
        <f t="shared" si="13"/>
        <v>0.1</v>
      </c>
      <c r="Y34" s="54">
        <f t="shared" si="7"/>
        <v>0.67549518958687038</v>
      </c>
      <c r="Z34" s="55">
        <f t="shared" si="8"/>
        <v>271.54906621392189</v>
      </c>
      <c r="AB34" s="57">
        <f t="shared" si="14"/>
        <v>0.45380464249731345</v>
      </c>
      <c r="AC34" s="58">
        <v>27.5</v>
      </c>
      <c r="AF34" s="1" t="s">
        <v>116</v>
      </c>
      <c r="AH34" s="178">
        <f>STDEV(AH16:AH23)</f>
        <v>159.022229403453</v>
      </c>
    </row>
    <row r="35" spans="2:34" ht="13.5" thickBot="1" x14ac:dyDescent="0.25">
      <c r="C35" s="91"/>
      <c r="D35" s="92"/>
      <c r="E35" s="92"/>
      <c r="F35" s="92"/>
      <c r="G35" s="92"/>
      <c r="H35" s="93"/>
      <c r="I35" s="94"/>
      <c r="J35" s="79"/>
      <c r="K35" s="46">
        <v>22.5</v>
      </c>
      <c r="L35" s="47">
        <v>320</v>
      </c>
      <c r="M35" s="47">
        <v>0</v>
      </c>
      <c r="N35" s="47">
        <v>320</v>
      </c>
      <c r="O35" s="48">
        <v>20.29556250000002</v>
      </c>
      <c r="P35" s="49">
        <f t="shared" si="2"/>
        <v>62.5</v>
      </c>
      <c r="Q35" s="50">
        <f t="shared" si="10"/>
        <v>85</v>
      </c>
      <c r="R35" s="51">
        <f t="shared" si="3"/>
        <v>0.97</v>
      </c>
      <c r="S35" s="39">
        <f t="shared" si="4"/>
        <v>242.58686521573108</v>
      </c>
      <c r="T35" s="52">
        <f t="shared" si="11"/>
        <v>0.25763967041009872</v>
      </c>
      <c r="U35" s="53">
        <f t="shared" si="12"/>
        <v>0.17598003415520963</v>
      </c>
      <c r="V35" s="54">
        <f t="shared" si="5"/>
        <v>1.1292998320841838</v>
      </c>
      <c r="W35" s="55">
        <f t="shared" si="6"/>
        <v>361.37594626693885</v>
      </c>
      <c r="X35" s="56">
        <f t="shared" si="13"/>
        <v>0.1</v>
      </c>
      <c r="Y35" s="54">
        <f t="shared" si="7"/>
        <v>0.67549518958687038</v>
      </c>
      <c r="Z35" s="55">
        <f t="shared" si="8"/>
        <v>216.15846066779852</v>
      </c>
      <c r="AB35" s="57">
        <f t="shared" si="14"/>
        <v>0.45380464249731345</v>
      </c>
      <c r="AC35" s="58">
        <v>22.5</v>
      </c>
    </row>
    <row r="36" spans="2:34" ht="13.5" thickBot="1" x14ac:dyDescent="0.25">
      <c r="J36" s="95"/>
      <c r="K36" s="46">
        <v>17.5</v>
      </c>
      <c r="L36" s="47">
        <v>382</v>
      </c>
      <c r="M36" s="47">
        <v>0</v>
      </c>
      <c r="N36" s="47">
        <v>382</v>
      </c>
      <c r="O36" s="48">
        <v>15.561439790575941</v>
      </c>
      <c r="P36" s="49">
        <f t="shared" si="2"/>
        <v>62.5</v>
      </c>
      <c r="Q36" s="50">
        <f t="shared" si="10"/>
        <v>85</v>
      </c>
      <c r="R36" s="51">
        <f t="shared" si="3"/>
        <v>0.97</v>
      </c>
      <c r="S36" s="39">
        <f t="shared" si="4"/>
        <v>242.58686521573108</v>
      </c>
      <c r="T36" s="52">
        <f t="shared" si="11"/>
        <v>0.25763967041009872</v>
      </c>
      <c r="U36" s="53">
        <f t="shared" si="12"/>
        <v>0.17598003415520963</v>
      </c>
      <c r="V36" s="54">
        <f t="shared" si="5"/>
        <v>1.1292998320841838</v>
      </c>
      <c r="W36" s="55">
        <f t="shared" si="6"/>
        <v>431.39253585615825</v>
      </c>
      <c r="X36" s="56">
        <f t="shared" si="13"/>
        <v>0.1</v>
      </c>
      <c r="Y36" s="54">
        <f t="shared" si="7"/>
        <v>0.67549518958687038</v>
      </c>
      <c r="Z36" s="55">
        <f t="shared" si="8"/>
        <v>258.03916242218446</v>
      </c>
      <c r="AB36" s="57">
        <f t="shared" si="14"/>
        <v>0.45380464249731345</v>
      </c>
      <c r="AC36" s="58">
        <v>17.5</v>
      </c>
    </row>
    <row r="37" spans="2:34" ht="13.5" thickBot="1" x14ac:dyDescent="0.25">
      <c r="C37" s="96" t="s">
        <v>60</v>
      </c>
      <c r="D37" s="97"/>
      <c r="E37" s="97"/>
      <c r="F37" s="98"/>
      <c r="G37" s="10"/>
      <c r="H37" s="10"/>
      <c r="K37" s="46">
        <v>12.5</v>
      </c>
      <c r="L37" s="47">
        <v>157</v>
      </c>
      <c r="M37" s="47">
        <v>0</v>
      </c>
      <c r="N37" s="47">
        <v>157</v>
      </c>
      <c r="O37" s="48">
        <v>10.628808917197434</v>
      </c>
      <c r="P37" s="49">
        <f t="shared" si="2"/>
        <v>62.5</v>
      </c>
      <c r="Q37" s="50">
        <f t="shared" si="10"/>
        <v>85</v>
      </c>
      <c r="R37" s="51">
        <f t="shared" si="3"/>
        <v>0.97</v>
      </c>
      <c r="S37" s="39">
        <f t="shared" si="4"/>
        <v>242.58686521573108</v>
      </c>
      <c r="T37" s="52">
        <f t="shared" si="11"/>
        <v>0.25763967041009872</v>
      </c>
      <c r="U37" s="53">
        <f t="shared" si="12"/>
        <v>0.17598003415520963</v>
      </c>
      <c r="V37" s="54">
        <f t="shared" si="5"/>
        <v>1.1292998320841838</v>
      </c>
      <c r="W37" s="55">
        <f t="shared" si="6"/>
        <v>177.30007363721685</v>
      </c>
      <c r="X37" s="56">
        <f t="shared" si="13"/>
        <v>0.1</v>
      </c>
      <c r="Y37" s="54">
        <f t="shared" si="7"/>
        <v>0.67549518958687038</v>
      </c>
      <c r="Z37" s="55">
        <f t="shared" si="8"/>
        <v>106.05274476513866</v>
      </c>
      <c r="AB37" s="57">
        <f t="shared" si="14"/>
        <v>0.45380464249731345</v>
      </c>
      <c r="AC37" s="58">
        <v>12.5</v>
      </c>
    </row>
    <row r="38" spans="2:34" ht="12" customHeight="1" thickTop="1" x14ac:dyDescent="0.2">
      <c r="C38" s="99"/>
      <c r="D38" s="26" t="s">
        <v>61</v>
      </c>
      <c r="E38" s="100" t="s">
        <v>62</v>
      </c>
      <c r="F38" s="101" t="s">
        <v>63</v>
      </c>
      <c r="G38" s="102"/>
      <c r="H38" s="102"/>
      <c r="I38" s="10"/>
      <c r="K38" s="46">
        <v>7.5</v>
      </c>
      <c r="L38" s="47">
        <v>108</v>
      </c>
      <c r="M38" s="47">
        <v>0</v>
      </c>
      <c r="N38" s="47">
        <v>108</v>
      </c>
      <c r="O38" s="48">
        <v>6.0472222222222225</v>
      </c>
      <c r="P38" s="49">
        <f t="shared" si="2"/>
        <v>62.5</v>
      </c>
      <c r="Q38" s="50">
        <f t="shared" si="10"/>
        <v>85</v>
      </c>
      <c r="R38" s="51">
        <f t="shared" si="3"/>
        <v>0.97</v>
      </c>
      <c r="S38" s="39">
        <f t="shared" si="4"/>
        <v>242.58686521573108</v>
      </c>
      <c r="T38" s="52">
        <f t="shared" si="11"/>
        <v>0.25763967041009872</v>
      </c>
      <c r="U38" s="53">
        <f t="shared" si="12"/>
        <v>0.17598003415520963</v>
      </c>
      <c r="V38" s="54">
        <f t="shared" si="5"/>
        <v>1.1292998320841838</v>
      </c>
      <c r="W38" s="55">
        <f t="shared" si="6"/>
        <v>121.96438186509185</v>
      </c>
      <c r="X38" s="56">
        <f t="shared" si="13"/>
        <v>0.1</v>
      </c>
      <c r="Y38" s="54">
        <f t="shared" si="7"/>
        <v>0.67549518958687038</v>
      </c>
      <c r="Z38" s="55">
        <f t="shared" si="8"/>
        <v>72.953480475382008</v>
      </c>
      <c r="AB38" s="57">
        <f t="shared" si="14"/>
        <v>0.45380464249731345</v>
      </c>
      <c r="AC38" s="58">
        <v>7.5</v>
      </c>
      <c r="AF38" s="9"/>
    </row>
    <row r="39" spans="2:34" x14ac:dyDescent="0.2">
      <c r="C39" s="103" t="str">
        <f t="shared" ref="C39:C44" si="15">IF(C17="", "", C17 &amp;" VFD")</f>
        <v>Generic Evaporative Condenser VFD</v>
      </c>
      <c r="D39" s="104">
        <f t="shared" ref="D39:D44" si="16">IF(C17="", "", D17)</f>
        <v>10</v>
      </c>
      <c r="E39" s="105">
        <f t="shared" ref="E39:E44" si="17">IF(C39="", "", VLOOKUP(D39, $AF$16:$AG$31, 2, FALSE))</f>
        <v>2875</v>
      </c>
      <c r="F39" s="106">
        <f>E39</f>
        <v>2875</v>
      </c>
      <c r="G39" s="175" t="s">
        <v>130</v>
      </c>
      <c r="H39" s="107"/>
      <c r="I39" s="10"/>
      <c r="K39" s="46">
        <v>2.5</v>
      </c>
      <c r="L39" s="47">
        <v>68</v>
      </c>
      <c r="M39" s="47">
        <v>0</v>
      </c>
      <c r="N39" s="47">
        <v>68</v>
      </c>
      <c r="O39" s="48">
        <v>1.2042707352941175</v>
      </c>
      <c r="P39" s="49">
        <f t="shared" si="2"/>
        <v>62.5</v>
      </c>
      <c r="Q39" s="50">
        <f t="shared" si="10"/>
        <v>85</v>
      </c>
      <c r="R39" s="51">
        <f t="shared" si="3"/>
        <v>0.97</v>
      </c>
      <c r="S39" s="39">
        <f t="shared" si="4"/>
        <v>242.58686521573108</v>
      </c>
      <c r="T39" s="52">
        <f t="shared" si="11"/>
        <v>0.25763967041009872</v>
      </c>
      <c r="U39" s="53">
        <f t="shared" si="12"/>
        <v>0.17598003415520963</v>
      </c>
      <c r="V39" s="54">
        <f t="shared" si="5"/>
        <v>1.1292998320841838</v>
      </c>
      <c r="W39" s="55">
        <f t="shared" si="6"/>
        <v>76.792388581724495</v>
      </c>
      <c r="X39" s="56">
        <f t="shared" si="13"/>
        <v>0.1</v>
      </c>
      <c r="Y39" s="54">
        <f t="shared" si="7"/>
        <v>0.67549518958687038</v>
      </c>
      <c r="Z39" s="55">
        <f t="shared" si="8"/>
        <v>45.933672891907186</v>
      </c>
      <c r="AB39" s="57">
        <f t="shared" si="14"/>
        <v>0.45380464249731345</v>
      </c>
      <c r="AC39" s="58">
        <v>2.5</v>
      </c>
      <c r="AF39" s="9" t="s">
        <v>112</v>
      </c>
      <c r="AG39" s="9" t="s">
        <v>113</v>
      </c>
      <c r="AH39" s="1" t="s">
        <v>114</v>
      </c>
    </row>
    <row r="40" spans="2:34" x14ac:dyDescent="0.2">
      <c r="C40" s="108" t="s">
        <v>129</v>
      </c>
      <c r="D40" s="109" t="str">
        <f t="shared" si="16"/>
        <v/>
      </c>
      <c r="E40" s="110"/>
      <c r="F40" s="572">
        <v>500</v>
      </c>
      <c r="G40" s="107" t="s">
        <v>131</v>
      </c>
      <c r="H40" s="107"/>
      <c r="I40" s="10"/>
      <c r="K40" s="46">
        <v>-2.5</v>
      </c>
      <c r="L40" s="47">
        <v>54</v>
      </c>
      <c r="M40" s="47">
        <v>0</v>
      </c>
      <c r="N40" s="47">
        <v>54</v>
      </c>
      <c r="O40" s="48">
        <v>-3.6881851851851821</v>
      </c>
      <c r="P40" s="49">
        <f t="shared" si="2"/>
        <v>62.5</v>
      </c>
      <c r="Q40" s="50">
        <f t="shared" si="10"/>
        <v>85</v>
      </c>
      <c r="R40" s="51">
        <f t="shared" si="3"/>
        <v>0.97</v>
      </c>
      <c r="S40" s="39">
        <f t="shared" si="4"/>
        <v>242.58686521573108</v>
      </c>
      <c r="T40" s="52">
        <f t="shared" si="11"/>
        <v>0.25763967041009872</v>
      </c>
      <c r="U40" s="53">
        <f t="shared" si="12"/>
        <v>0.17598003415520963</v>
      </c>
      <c r="V40" s="54">
        <f t="shared" si="5"/>
        <v>1.1292998320841838</v>
      </c>
      <c r="W40" s="55">
        <f t="shared" si="6"/>
        <v>60.982190932545926</v>
      </c>
      <c r="X40" s="56">
        <f t="shared" si="13"/>
        <v>0.1</v>
      </c>
      <c r="Y40" s="54">
        <f t="shared" si="7"/>
        <v>0.67549518958687038</v>
      </c>
      <c r="Z40" s="55">
        <f t="shared" si="8"/>
        <v>36.476740237691004</v>
      </c>
      <c r="AB40" s="57">
        <f t="shared" si="14"/>
        <v>0.45380464249731345</v>
      </c>
      <c r="AC40" s="58">
        <v>-2.5</v>
      </c>
      <c r="AF40" s="9">
        <v>1793</v>
      </c>
      <c r="AG40" s="9">
        <v>3</v>
      </c>
      <c r="AH40" s="173">
        <f>AF40/AG40</f>
        <v>597.66666666666663</v>
      </c>
    </row>
    <row r="41" spans="2:34" ht="12" customHeight="1" x14ac:dyDescent="0.2">
      <c r="C41" s="108" t="str">
        <f t="shared" si="15"/>
        <v/>
      </c>
      <c r="D41" s="109" t="str">
        <f t="shared" si="16"/>
        <v/>
      </c>
      <c r="E41" s="110" t="str">
        <f t="shared" si="17"/>
        <v/>
      </c>
      <c r="F41" s="111" t="str">
        <f t="shared" ref="F41:F44" si="18">E41</f>
        <v/>
      </c>
      <c r="G41" s="107"/>
      <c r="H41" s="107"/>
      <c r="I41" s="10"/>
      <c r="K41" s="46">
        <v>-7.5</v>
      </c>
      <c r="L41" s="47">
        <v>25</v>
      </c>
      <c r="M41" s="47">
        <v>0</v>
      </c>
      <c r="N41" s="47">
        <v>25</v>
      </c>
      <c r="O41" s="48">
        <v>-8.3832400000000025</v>
      </c>
      <c r="P41" s="49">
        <f t="shared" si="2"/>
        <v>62.5</v>
      </c>
      <c r="Q41" s="50">
        <f t="shared" si="10"/>
        <v>85</v>
      </c>
      <c r="R41" s="51">
        <f t="shared" si="3"/>
        <v>0.97</v>
      </c>
      <c r="S41" s="39">
        <f t="shared" si="4"/>
        <v>242.58686521573108</v>
      </c>
      <c r="T41" s="52">
        <f t="shared" si="11"/>
        <v>0.25763967041009872</v>
      </c>
      <c r="U41" s="53">
        <f t="shared" si="12"/>
        <v>0.17598003415520963</v>
      </c>
      <c r="V41" s="54">
        <f t="shared" si="5"/>
        <v>1.1292998320841838</v>
      </c>
      <c r="W41" s="55">
        <f t="shared" si="6"/>
        <v>28.232495802104594</v>
      </c>
      <c r="X41" s="56">
        <f t="shared" si="13"/>
        <v>0.1</v>
      </c>
      <c r="Y41" s="54">
        <f t="shared" si="7"/>
        <v>0.67549518958687038</v>
      </c>
      <c r="Z41" s="55">
        <f t="shared" si="8"/>
        <v>16.887379739671758</v>
      </c>
      <c r="AA41" s="112"/>
      <c r="AB41" s="57">
        <f t="shared" si="14"/>
        <v>0.45380464249731345</v>
      </c>
      <c r="AC41" s="58">
        <v>-7.5</v>
      </c>
      <c r="AF41" s="9">
        <v>2029</v>
      </c>
      <c r="AG41" s="9">
        <v>5</v>
      </c>
      <c r="AH41" s="173">
        <f t="shared" ref="AH41:AH69" si="19">AF41/AG41</f>
        <v>405.8</v>
      </c>
    </row>
    <row r="42" spans="2:34" ht="12.75" customHeight="1" x14ac:dyDescent="0.2">
      <c r="C42" s="108" t="str">
        <f t="shared" si="15"/>
        <v/>
      </c>
      <c r="D42" s="109" t="str">
        <f t="shared" si="16"/>
        <v/>
      </c>
      <c r="E42" s="110" t="str">
        <f t="shared" si="17"/>
        <v/>
      </c>
      <c r="F42" s="111" t="str">
        <f t="shared" si="18"/>
        <v/>
      </c>
      <c r="G42" s="107"/>
      <c r="H42" s="107"/>
      <c r="I42" s="10"/>
      <c r="K42" s="46">
        <v>-12.5</v>
      </c>
      <c r="L42" s="47">
        <v>0</v>
      </c>
      <c r="M42" s="47">
        <v>0</v>
      </c>
      <c r="N42" s="47">
        <v>0</v>
      </c>
      <c r="O42" s="48" t="s">
        <v>46</v>
      </c>
      <c r="P42" s="49" t="str">
        <f t="shared" si="2"/>
        <v/>
      </c>
      <c r="Q42" s="50" t="str">
        <f t="shared" si="10"/>
        <v/>
      </c>
      <c r="R42" s="51" t="str">
        <f t="shared" si="3"/>
        <v/>
      </c>
      <c r="S42" s="39" t="str">
        <f t="shared" si="4"/>
        <v/>
      </c>
      <c r="T42" s="52" t="str">
        <f t="shared" si="11"/>
        <v/>
      </c>
      <c r="U42" s="53" t="str">
        <f t="shared" si="12"/>
        <v/>
      </c>
      <c r="V42" s="54" t="str">
        <f t="shared" si="5"/>
        <v/>
      </c>
      <c r="W42" s="55" t="str">
        <f t="shared" si="6"/>
        <v/>
      </c>
      <c r="X42" s="56" t="str">
        <f t="shared" si="13"/>
        <v/>
      </c>
      <c r="Y42" s="54" t="str">
        <f t="shared" si="7"/>
        <v/>
      </c>
      <c r="Z42" s="55" t="str">
        <f t="shared" si="8"/>
        <v/>
      </c>
      <c r="AB42" s="57" t="str">
        <f t="shared" si="14"/>
        <v/>
      </c>
      <c r="AC42" s="58">
        <v>-12.5</v>
      </c>
      <c r="AF42" s="9">
        <v>2205</v>
      </c>
      <c r="AG42" s="9">
        <v>7.5</v>
      </c>
      <c r="AH42" s="173">
        <f t="shared" si="19"/>
        <v>294</v>
      </c>
    </row>
    <row r="43" spans="2:34" ht="12.75" customHeight="1" x14ac:dyDescent="0.2">
      <c r="C43" s="108" t="str">
        <f t="shared" si="15"/>
        <v/>
      </c>
      <c r="D43" s="109" t="str">
        <f t="shared" si="16"/>
        <v/>
      </c>
      <c r="E43" s="110" t="str">
        <f t="shared" si="17"/>
        <v/>
      </c>
      <c r="F43" s="111" t="str">
        <f t="shared" si="18"/>
        <v/>
      </c>
      <c r="G43" s="107"/>
      <c r="H43" s="107"/>
      <c r="I43" s="113"/>
      <c r="K43" s="46">
        <v>-17.5</v>
      </c>
      <c r="L43" s="47">
        <v>0</v>
      </c>
      <c r="M43" s="47">
        <v>0</v>
      </c>
      <c r="N43" s="47">
        <v>0</v>
      </c>
      <c r="O43" s="48" t="s">
        <v>46</v>
      </c>
      <c r="P43" s="49" t="str">
        <f t="shared" si="2"/>
        <v/>
      </c>
      <c r="Q43" s="50" t="str">
        <f t="shared" si="10"/>
        <v/>
      </c>
      <c r="R43" s="51" t="str">
        <f t="shared" si="3"/>
        <v/>
      </c>
      <c r="S43" s="39" t="str">
        <f t="shared" si="4"/>
        <v/>
      </c>
      <c r="T43" s="52" t="str">
        <f t="shared" si="11"/>
        <v/>
      </c>
      <c r="U43" s="53" t="str">
        <f t="shared" si="12"/>
        <v/>
      </c>
      <c r="V43" s="54" t="str">
        <f t="shared" si="5"/>
        <v/>
      </c>
      <c r="W43" s="55" t="str">
        <f t="shared" si="6"/>
        <v/>
      </c>
      <c r="X43" s="56" t="str">
        <f t="shared" si="13"/>
        <v/>
      </c>
      <c r="Y43" s="54" t="str">
        <f t="shared" si="7"/>
        <v/>
      </c>
      <c r="Z43" s="55" t="str">
        <f t="shared" si="8"/>
        <v/>
      </c>
      <c r="AB43" s="57" t="str">
        <f t="shared" si="14"/>
        <v/>
      </c>
      <c r="AC43" s="58">
        <v>-17.5</v>
      </c>
      <c r="AF43" s="9">
        <v>2367</v>
      </c>
      <c r="AG43" s="9">
        <v>10</v>
      </c>
      <c r="AH43" s="173">
        <f t="shared" si="19"/>
        <v>236.7</v>
      </c>
    </row>
    <row r="44" spans="2:34" ht="12.75" customHeight="1" thickBot="1" x14ac:dyDescent="0.25">
      <c r="C44" s="108" t="str">
        <f t="shared" si="15"/>
        <v/>
      </c>
      <c r="D44" s="109" t="str">
        <f t="shared" si="16"/>
        <v/>
      </c>
      <c r="E44" s="110" t="str">
        <f t="shared" si="17"/>
        <v/>
      </c>
      <c r="F44" s="114" t="str">
        <f t="shared" si="18"/>
        <v/>
      </c>
      <c r="G44" s="107"/>
      <c r="H44" s="107"/>
      <c r="I44" s="10"/>
      <c r="K44" s="46">
        <v>-22.5</v>
      </c>
      <c r="L44" s="47">
        <v>0</v>
      </c>
      <c r="M44" s="47">
        <v>0</v>
      </c>
      <c r="N44" s="47">
        <v>0</v>
      </c>
      <c r="O44" s="48" t="s">
        <v>46</v>
      </c>
      <c r="P44" s="49" t="str">
        <f t="shared" si="2"/>
        <v/>
      </c>
      <c r="Q44" s="50" t="str">
        <f t="shared" si="10"/>
        <v/>
      </c>
      <c r="R44" s="51" t="str">
        <f t="shared" si="3"/>
        <v/>
      </c>
      <c r="S44" s="39" t="str">
        <f t="shared" si="4"/>
        <v/>
      </c>
      <c r="T44" s="52" t="str">
        <f t="shared" si="11"/>
        <v/>
      </c>
      <c r="U44" s="53" t="str">
        <f t="shared" si="12"/>
        <v/>
      </c>
      <c r="V44" s="54" t="str">
        <f t="shared" si="5"/>
        <v/>
      </c>
      <c r="W44" s="55" t="str">
        <f t="shared" si="6"/>
        <v/>
      </c>
      <c r="X44" s="56" t="str">
        <f t="shared" si="13"/>
        <v/>
      </c>
      <c r="Y44" s="54" t="str">
        <f t="shared" si="7"/>
        <v/>
      </c>
      <c r="Z44" s="55" t="str">
        <f t="shared" si="8"/>
        <v/>
      </c>
      <c r="AB44" s="57" t="str">
        <f t="shared" si="14"/>
        <v/>
      </c>
      <c r="AC44" s="58">
        <v>-22.5</v>
      </c>
      <c r="AF44" s="9">
        <v>2264</v>
      </c>
      <c r="AG44" s="9">
        <v>5</v>
      </c>
      <c r="AH44" s="173">
        <f t="shared" si="19"/>
        <v>452.8</v>
      </c>
    </row>
    <row r="45" spans="2:34" ht="13.5" customHeight="1" thickTop="1" thickBot="1" x14ac:dyDescent="0.25">
      <c r="C45" s="608" t="s">
        <v>64</v>
      </c>
      <c r="D45" s="609"/>
      <c r="E45" s="610"/>
      <c r="F45" s="115">
        <f>SUM(F39:F44)</f>
        <v>3375</v>
      </c>
      <c r="G45" s="116"/>
      <c r="H45" s="116"/>
      <c r="I45" s="10"/>
      <c r="K45" s="46">
        <v>-27.5</v>
      </c>
      <c r="L45" s="47">
        <v>0</v>
      </c>
      <c r="M45" s="47">
        <v>0</v>
      </c>
      <c r="N45" s="47">
        <v>0</v>
      </c>
      <c r="O45" s="48" t="s">
        <v>46</v>
      </c>
      <c r="P45" s="49" t="str">
        <f t="shared" si="2"/>
        <v/>
      </c>
      <c r="Q45" s="50" t="str">
        <f t="shared" si="10"/>
        <v/>
      </c>
      <c r="R45" s="51" t="str">
        <f t="shared" si="3"/>
        <v/>
      </c>
      <c r="S45" s="39" t="str">
        <f t="shared" si="4"/>
        <v/>
      </c>
      <c r="T45" s="52" t="str">
        <f t="shared" si="11"/>
        <v/>
      </c>
      <c r="U45" s="53" t="str">
        <f t="shared" si="12"/>
        <v/>
      </c>
      <c r="V45" s="54" t="str">
        <f t="shared" si="5"/>
        <v/>
      </c>
      <c r="W45" s="55" t="str">
        <f t="shared" si="6"/>
        <v/>
      </c>
      <c r="X45" s="56" t="str">
        <f t="shared" si="13"/>
        <v/>
      </c>
      <c r="Y45" s="54" t="str">
        <f t="shared" si="7"/>
        <v/>
      </c>
      <c r="Z45" s="55" t="str">
        <f t="shared" si="8"/>
        <v/>
      </c>
      <c r="AB45" s="57" t="str">
        <f t="shared" si="14"/>
        <v/>
      </c>
      <c r="AC45" s="58">
        <v>-27.5</v>
      </c>
      <c r="AF45" s="9">
        <v>2499</v>
      </c>
      <c r="AG45" s="9">
        <v>7.5</v>
      </c>
      <c r="AH45" s="173">
        <f t="shared" si="19"/>
        <v>333.2</v>
      </c>
    </row>
    <row r="46" spans="2:34" ht="13.5" thickBot="1" x14ac:dyDescent="0.25">
      <c r="C46" s="10"/>
      <c r="D46" s="10"/>
      <c r="E46" s="117"/>
      <c r="F46" s="118"/>
      <c r="G46" s="118"/>
      <c r="H46" s="119"/>
      <c r="I46" s="10"/>
      <c r="K46" s="120">
        <v>-32.5</v>
      </c>
      <c r="L46" s="121">
        <v>0</v>
      </c>
      <c r="M46" s="121">
        <v>0</v>
      </c>
      <c r="N46" s="121">
        <v>0</v>
      </c>
      <c r="O46" s="122" t="s">
        <v>46</v>
      </c>
      <c r="P46" s="123" t="str">
        <f t="shared" si="2"/>
        <v/>
      </c>
      <c r="Q46" s="124" t="str">
        <f t="shared" si="10"/>
        <v/>
      </c>
      <c r="R46" s="125" t="str">
        <f t="shared" si="3"/>
        <v/>
      </c>
      <c r="S46" s="59" t="str">
        <f t="shared" si="4"/>
        <v/>
      </c>
      <c r="T46" s="126" t="str">
        <f t="shared" si="11"/>
        <v/>
      </c>
      <c r="U46" s="127" t="str">
        <f t="shared" si="12"/>
        <v/>
      </c>
      <c r="V46" s="128" t="str">
        <f t="shared" si="5"/>
        <v/>
      </c>
      <c r="W46" s="129" t="str">
        <f t="shared" si="6"/>
        <v/>
      </c>
      <c r="X46" s="127" t="str">
        <f t="shared" si="13"/>
        <v/>
      </c>
      <c r="Y46" s="128" t="str">
        <f t="shared" si="7"/>
        <v/>
      </c>
      <c r="Z46" s="129" t="str">
        <f t="shared" si="8"/>
        <v/>
      </c>
      <c r="AB46" s="130" t="str">
        <f t="shared" si="14"/>
        <v/>
      </c>
      <c r="AC46" s="58">
        <v>-32.5</v>
      </c>
      <c r="AF46" s="9">
        <v>2675</v>
      </c>
      <c r="AG46" s="9">
        <v>10</v>
      </c>
      <c r="AH46" s="173">
        <f t="shared" si="19"/>
        <v>267.5</v>
      </c>
    </row>
    <row r="47" spans="2:34" ht="14.25" thickTop="1" thickBot="1" x14ac:dyDescent="0.25">
      <c r="B47" s="10"/>
      <c r="C47" s="140" t="s">
        <v>67</v>
      </c>
      <c r="D47" s="141"/>
      <c r="K47" s="131" t="s">
        <v>65</v>
      </c>
      <c r="L47" s="132">
        <v>8760</v>
      </c>
      <c r="M47" s="132">
        <v>0</v>
      </c>
      <c r="N47" s="132">
        <v>8760</v>
      </c>
      <c r="O47" s="132"/>
      <c r="P47" s="133"/>
      <c r="Q47" s="134"/>
      <c r="R47" s="134"/>
      <c r="S47" s="134"/>
      <c r="T47" s="135"/>
      <c r="U47" s="133"/>
      <c r="V47" s="134"/>
      <c r="W47" s="136">
        <f>SUM(W18:W46)</f>
        <v>18027.471158398796</v>
      </c>
      <c r="X47" s="137"/>
      <c r="Y47" s="138"/>
      <c r="Z47" s="136">
        <f t="shared" ref="Z47" si="20">SUM(Z18:Z46)</f>
        <v>9394.5604100890778</v>
      </c>
      <c r="AC47" s="10"/>
      <c r="AF47" s="9">
        <v>2617</v>
      </c>
      <c r="AG47" s="9">
        <v>7.5</v>
      </c>
      <c r="AH47" s="173">
        <f t="shared" si="19"/>
        <v>348.93333333333334</v>
      </c>
    </row>
    <row r="48" spans="2:34" ht="13.5" thickTop="1" x14ac:dyDescent="0.2">
      <c r="B48" s="10"/>
      <c r="C48" s="61" t="s">
        <v>68</v>
      </c>
      <c r="D48" s="142">
        <f>(W47-Z47)/W47</f>
        <v>0.47887530494191038</v>
      </c>
      <c r="K48" s="139" t="s">
        <v>66</v>
      </c>
      <c r="L48" s="139"/>
      <c r="M48" s="139"/>
      <c r="N48" s="139"/>
      <c r="O48" s="139"/>
      <c r="P48" s="139"/>
      <c r="Q48" s="139"/>
      <c r="R48" s="139"/>
      <c r="S48" s="139"/>
      <c r="T48" s="139"/>
      <c r="U48" s="139"/>
      <c r="V48" s="139"/>
      <c r="W48" s="139"/>
      <c r="X48" s="139"/>
      <c r="Y48" s="139"/>
      <c r="Z48" s="139"/>
      <c r="AF48" s="9">
        <v>2808</v>
      </c>
      <c r="AG48" s="9">
        <v>10</v>
      </c>
      <c r="AH48" s="173">
        <f t="shared" si="19"/>
        <v>280.8</v>
      </c>
    </row>
    <row r="49" spans="3:34" x14ac:dyDescent="0.2">
      <c r="C49" s="61" t="s">
        <v>69</v>
      </c>
      <c r="D49" s="143">
        <f>AB23</f>
        <v>1.5898848814545925</v>
      </c>
      <c r="E49" s="1" t="s">
        <v>127</v>
      </c>
      <c r="K49" s="139"/>
      <c r="L49" s="139"/>
      <c r="M49" s="139"/>
      <c r="N49" s="139"/>
      <c r="O49" s="139"/>
      <c r="P49" s="139"/>
      <c r="Q49" s="139"/>
      <c r="R49" s="139"/>
      <c r="S49" s="139"/>
      <c r="T49" s="139"/>
      <c r="U49" s="139"/>
      <c r="V49" s="139"/>
      <c r="W49" s="139"/>
      <c r="X49" s="139"/>
      <c r="Y49" s="139"/>
      <c r="Z49" s="139"/>
      <c r="AF49" s="172">
        <v>2558</v>
      </c>
      <c r="AG49" s="172">
        <v>5</v>
      </c>
      <c r="AH49" s="173">
        <f t="shared" si="19"/>
        <v>511.6</v>
      </c>
    </row>
    <row r="50" spans="3:34" x14ac:dyDescent="0.2">
      <c r="C50" s="61" t="s">
        <v>70</v>
      </c>
      <c r="D50" s="144">
        <f>W47-Z47</f>
        <v>8632.9107483097177</v>
      </c>
      <c r="M50" s="139"/>
      <c r="N50" s="139"/>
      <c r="O50" s="139"/>
      <c r="P50" s="139"/>
      <c r="Q50" s="139"/>
      <c r="R50" s="139"/>
      <c r="S50" s="139"/>
      <c r="T50" s="139"/>
      <c r="U50" s="139"/>
      <c r="V50" s="139"/>
      <c r="W50" s="139"/>
      <c r="X50" s="139"/>
      <c r="Y50" s="139"/>
      <c r="Z50" s="139"/>
      <c r="AF50" s="172">
        <v>2822</v>
      </c>
      <c r="AG50" s="172">
        <v>7.5</v>
      </c>
      <c r="AH50" s="173">
        <f t="shared" si="19"/>
        <v>376.26666666666665</v>
      </c>
    </row>
    <row r="51" spans="3:34" x14ac:dyDescent="0.2">
      <c r="C51" s="61" t="s">
        <v>71</v>
      </c>
      <c r="D51" s="145">
        <f>D50*0.08</f>
        <v>690.6328598647774</v>
      </c>
      <c r="M51" s="139"/>
      <c r="N51" s="139"/>
      <c r="O51" s="139"/>
      <c r="P51" s="139"/>
      <c r="Q51" s="139"/>
      <c r="R51" s="139"/>
      <c r="S51" s="139"/>
      <c r="T51" s="139"/>
      <c r="U51" s="139"/>
      <c r="V51" s="139"/>
      <c r="W51" s="139"/>
      <c r="X51" s="139"/>
      <c r="Y51" s="139"/>
      <c r="Z51" s="139"/>
      <c r="AF51" s="172">
        <v>3028</v>
      </c>
      <c r="AG51" s="172">
        <v>10</v>
      </c>
      <c r="AH51" s="173">
        <f t="shared" si="19"/>
        <v>302.8</v>
      </c>
    </row>
    <row r="52" spans="3:34" ht="15" x14ac:dyDescent="0.25">
      <c r="C52" s="61" t="s">
        <v>72</v>
      </c>
      <c r="D52" s="146">
        <f>F45</f>
        <v>3375</v>
      </c>
      <c r="H52" s="180"/>
      <c r="M52" s="139"/>
      <c r="N52" s="139"/>
      <c r="O52" s="139"/>
      <c r="P52" s="139"/>
      <c r="Q52" s="139"/>
      <c r="R52" s="139"/>
      <c r="S52" s="139"/>
      <c r="T52" s="139"/>
      <c r="U52" s="139"/>
      <c r="V52" s="139"/>
      <c r="W52" s="139"/>
      <c r="X52" s="139"/>
      <c r="Y52" s="139"/>
      <c r="Z52" s="139"/>
      <c r="AF52" s="172">
        <v>3337</v>
      </c>
      <c r="AG52" s="172">
        <v>15</v>
      </c>
      <c r="AH52" s="173">
        <f t="shared" si="19"/>
        <v>222.46666666666667</v>
      </c>
    </row>
    <row r="53" spans="3:34" ht="15.75" thickBot="1" x14ac:dyDescent="0.3">
      <c r="C53" s="91" t="s">
        <v>73</v>
      </c>
      <c r="D53" s="147">
        <f>D52/D51</f>
        <v>4.8868222121096423</v>
      </c>
      <c r="H53" s="179"/>
      <c r="M53" s="139"/>
      <c r="N53" s="139"/>
      <c r="O53" s="139"/>
      <c r="P53" s="139"/>
      <c r="Q53" s="139"/>
      <c r="R53" s="139"/>
      <c r="S53" s="139"/>
      <c r="T53" s="139"/>
      <c r="U53" s="139"/>
      <c r="V53" s="139"/>
      <c r="W53" s="139"/>
      <c r="X53" s="139"/>
      <c r="Y53" s="139"/>
      <c r="Z53" s="139"/>
      <c r="AF53" s="172">
        <v>2867</v>
      </c>
      <c r="AG53" s="172">
        <v>5</v>
      </c>
      <c r="AH53" s="173">
        <f t="shared" si="19"/>
        <v>573.4</v>
      </c>
    </row>
    <row r="54" spans="3:34" ht="15" x14ac:dyDescent="0.25">
      <c r="H54"/>
      <c r="M54" s="139"/>
      <c r="N54" s="139"/>
      <c r="O54" s="139"/>
      <c r="P54" s="139"/>
      <c r="Q54" s="139"/>
      <c r="R54" s="139"/>
      <c r="S54" s="139"/>
      <c r="T54" s="139"/>
      <c r="U54" s="139"/>
      <c r="V54" s="139"/>
      <c r="W54" s="139"/>
      <c r="X54" s="139"/>
      <c r="Y54" s="139"/>
      <c r="Z54" s="139"/>
      <c r="AF54" s="172">
        <v>3161</v>
      </c>
      <c r="AG54" s="172">
        <v>7.5</v>
      </c>
      <c r="AH54" s="173">
        <f t="shared" si="19"/>
        <v>421.46666666666664</v>
      </c>
    </row>
    <row r="55" spans="3:34" ht="15" x14ac:dyDescent="0.25">
      <c r="C55" s="1" t="s">
        <v>74</v>
      </c>
      <c r="H55"/>
      <c r="M55" s="139"/>
      <c r="N55" s="139"/>
      <c r="O55" s="139"/>
      <c r="P55" s="139"/>
      <c r="Q55" s="139"/>
      <c r="R55" s="139"/>
      <c r="S55" s="139"/>
      <c r="T55" s="139"/>
      <c r="U55" s="139"/>
      <c r="V55" s="139"/>
      <c r="W55" s="139"/>
      <c r="X55" s="139"/>
      <c r="Y55" s="139"/>
      <c r="Z55" s="139"/>
      <c r="AF55" s="172">
        <v>3455</v>
      </c>
      <c r="AG55" s="172">
        <v>10</v>
      </c>
      <c r="AH55" s="173">
        <f t="shared" si="19"/>
        <v>345.5</v>
      </c>
    </row>
    <row r="56" spans="3:34" ht="15" x14ac:dyDescent="0.25">
      <c r="G56"/>
      <c r="H56"/>
      <c r="M56" s="139"/>
      <c r="N56" s="139"/>
      <c r="O56" s="139"/>
      <c r="P56" s="139"/>
      <c r="Q56" s="139"/>
      <c r="R56" s="139"/>
      <c r="S56" s="139"/>
      <c r="T56" s="139"/>
      <c r="U56" s="139"/>
      <c r="V56" s="139"/>
      <c r="W56" s="139"/>
      <c r="X56" s="139"/>
      <c r="Y56" s="139"/>
      <c r="Z56" s="139"/>
      <c r="AF56" s="172">
        <v>3807</v>
      </c>
      <c r="AG56" s="172">
        <v>15</v>
      </c>
      <c r="AH56" s="173">
        <f t="shared" si="19"/>
        <v>253.8</v>
      </c>
    </row>
    <row r="57" spans="3:34" ht="15" x14ac:dyDescent="0.25">
      <c r="C57" s="181" t="s">
        <v>125</v>
      </c>
      <c r="D57" s="182">
        <f>ROUND(D50/D17, -1)</f>
        <v>860</v>
      </c>
      <c r="G57"/>
      <c r="H57"/>
      <c r="M57" s="139"/>
      <c r="N57" s="139"/>
      <c r="O57" s="139"/>
      <c r="P57" s="139"/>
      <c r="Q57" s="139"/>
      <c r="R57" s="139"/>
      <c r="S57" s="139"/>
      <c r="T57" s="139"/>
      <c r="U57" s="139"/>
      <c r="V57" s="139"/>
      <c r="W57" s="139"/>
      <c r="X57" s="139"/>
      <c r="Y57" s="139"/>
      <c r="Z57" s="139"/>
      <c r="AF57" s="9">
        <v>3837</v>
      </c>
      <c r="AG57" s="9">
        <v>10</v>
      </c>
      <c r="AH57" s="173">
        <f t="shared" si="19"/>
        <v>383.7</v>
      </c>
    </row>
    <row r="58" spans="3:34" ht="15" x14ac:dyDescent="0.25">
      <c r="C58" s="181" t="s">
        <v>181</v>
      </c>
      <c r="D58" s="183">
        <f>ROUND(D49/D17, 2)</f>
        <v>0.16</v>
      </c>
      <c r="E58" s="1" t="s">
        <v>127</v>
      </c>
      <c r="G58"/>
      <c r="H58"/>
      <c r="M58" s="139"/>
      <c r="N58" s="139"/>
      <c r="O58" s="139"/>
      <c r="P58" s="139"/>
      <c r="Q58" s="139"/>
      <c r="R58" s="139"/>
      <c r="S58" s="139"/>
      <c r="T58" s="139"/>
      <c r="U58" s="139"/>
      <c r="V58" s="139"/>
      <c r="W58" s="139"/>
      <c r="X58" s="139"/>
      <c r="Y58" s="139"/>
      <c r="Z58" s="139"/>
      <c r="AF58" s="9">
        <v>4234</v>
      </c>
      <c r="AG58" s="9">
        <v>15</v>
      </c>
      <c r="AH58" s="173">
        <f t="shared" si="19"/>
        <v>282.26666666666665</v>
      </c>
    </row>
    <row r="59" spans="3:34" ht="15" x14ac:dyDescent="0.25">
      <c r="C59" s="181" t="s">
        <v>103</v>
      </c>
      <c r="D59" s="184">
        <f>ROUND(AH33+F40/D17, -1)</f>
        <v>370</v>
      </c>
      <c r="G59"/>
      <c r="H59"/>
      <c r="M59" s="139"/>
      <c r="N59" s="139"/>
      <c r="O59" s="139"/>
      <c r="P59" s="139"/>
      <c r="Q59" s="139"/>
      <c r="R59" s="139"/>
      <c r="S59" s="139"/>
      <c r="T59" s="139"/>
      <c r="U59" s="139"/>
      <c r="V59" s="139"/>
      <c r="W59" s="139"/>
      <c r="X59" s="139"/>
      <c r="Y59" s="139"/>
      <c r="Z59" s="139"/>
      <c r="AF59" s="9">
        <v>4528</v>
      </c>
      <c r="AG59" s="9">
        <v>20</v>
      </c>
      <c r="AH59" s="173">
        <f t="shared" si="19"/>
        <v>226.4</v>
      </c>
    </row>
    <row r="60" spans="3:34" ht="15" x14ac:dyDescent="0.25">
      <c r="C60" s="181" t="s">
        <v>104</v>
      </c>
      <c r="D60" s="185" t="s">
        <v>128</v>
      </c>
      <c r="G60"/>
      <c r="H60"/>
      <c r="M60" s="139"/>
      <c r="N60" s="139"/>
      <c r="O60" s="139"/>
      <c r="P60" s="139"/>
      <c r="Q60" s="139"/>
      <c r="R60" s="139"/>
      <c r="S60" s="139"/>
      <c r="T60" s="139"/>
      <c r="U60" s="139"/>
      <c r="V60" s="139"/>
      <c r="W60" s="139"/>
      <c r="X60" s="139"/>
      <c r="Y60" s="139"/>
      <c r="Z60" s="139"/>
      <c r="AF60" s="9">
        <v>4013</v>
      </c>
      <c r="AG60" s="9">
        <v>10</v>
      </c>
      <c r="AH60" s="173">
        <f t="shared" si="19"/>
        <v>401.3</v>
      </c>
    </row>
    <row r="61" spans="3:34" ht="15" x14ac:dyDescent="0.25">
      <c r="G61"/>
      <c r="H61"/>
      <c r="M61" s="139"/>
      <c r="N61" s="139"/>
      <c r="O61" s="139"/>
      <c r="P61" s="139"/>
      <c r="Q61" s="139"/>
      <c r="R61" s="139"/>
      <c r="S61" s="139"/>
      <c r="T61" s="139"/>
      <c r="U61" s="139"/>
      <c r="V61" s="139"/>
      <c r="W61" s="139"/>
      <c r="X61" s="139"/>
      <c r="Y61" s="139"/>
      <c r="Z61" s="139"/>
      <c r="AF61" s="9">
        <v>4425</v>
      </c>
      <c r="AG61" s="9">
        <v>15</v>
      </c>
      <c r="AH61" s="173">
        <f t="shared" si="19"/>
        <v>295</v>
      </c>
    </row>
    <row r="62" spans="3:34" x14ac:dyDescent="0.2">
      <c r="M62" s="139"/>
      <c r="N62" s="139"/>
      <c r="O62" s="139"/>
      <c r="P62" s="139"/>
      <c r="Q62" s="139"/>
      <c r="R62" s="139"/>
      <c r="S62" s="139"/>
      <c r="T62" s="139"/>
      <c r="U62" s="139"/>
      <c r="V62" s="139"/>
      <c r="W62" s="139"/>
      <c r="X62" s="139"/>
      <c r="Y62" s="139"/>
      <c r="Z62" s="139"/>
      <c r="AF62" s="9">
        <v>4733</v>
      </c>
      <c r="AG62" s="9">
        <v>20</v>
      </c>
      <c r="AH62" s="173">
        <f t="shared" si="19"/>
        <v>236.65</v>
      </c>
    </row>
    <row r="63" spans="3:34" x14ac:dyDescent="0.2">
      <c r="M63" s="139"/>
      <c r="N63" s="139"/>
      <c r="O63" s="139"/>
      <c r="P63" s="139"/>
      <c r="Q63" s="139"/>
      <c r="R63" s="139"/>
      <c r="S63" s="139"/>
      <c r="T63" s="139"/>
      <c r="U63" s="139"/>
      <c r="V63" s="139"/>
      <c r="W63" s="139"/>
      <c r="X63" s="139"/>
      <c r="Y63" s="139"/>
      <c r="Z63" s="139"/>
      <c r="AF63" s="172">
        <v>4748</v>
      </c>
      <c r="AG63" s="172">
        <v>10</v>
      </c>
      <c r="AH63" s="173">
        <f t="shared" si="19"/>
        <v>474.8</v>
      </c>
    </row>
    <row r="64" spans="3:34" x14ac:dyDescent="0.2">
      <c r="M64" s="139"/>
      <c r="N64" s="139"/>
      <c r="O64" s="139"/>
      <c r="P64" s="139"/>
      <c r="Q64" s="139"/>
      <c r="R64" s="139"/>
      <c r="S64" s="139"/>
      <c r="T64" s="139"/>
      <c r="U64" s="139"/>
      <c r="V64" s="139"/>
      <c r="W64" s="139"/>
      <c r="X64" s="139"/>
      <c r="Y64" s="139"/>
      <c r="Z64" s="139"/>
      <c r="AF64" s="172">
        <v>5233</v>
      </c>
      <c r="AG64" s="172">
        <v>15</v>
      </c>
      <c r="AH64" s="173">
        <f t="shared" si="19"/>
        <v>348.86666666666667</v>
      </c>
    </row>
    <row r="65" spans="3:34" x14ac:dyDescent="0.2">
      <c r="C65" s="1" t="s">
        <v>75</v>
      </c>
      <c r="J65" s="148"/>
      <c r="M65" s="139"/>
      <c r="N65" s="139"/>
      <c r="O65" s="139"/>
      <c r="P65" s="139"/>
      <c r="Q65" s="139"/>
      <c r="R65" s="139"/>
      <c r="S65" s="139"/>
      <c r="T65" s="139"/>
      <c r="U65" s="139"/>
      <c r="V65" s="139"/>
      <c r="W65" s="139"/>
      <c r="X65" s="139"/>
      <c r="Y65" s="139"/>
      <c r="Z65" s="139"/>
      <c r="AF65" s="172">
        <v>5601</v>
      </c>
      <c r="AG65" s="172">
        <v>20</v>
      </c>
      <c r="AH65" s="173">
        <f t="shared" si="19"/>
        <v>280.05</v>
      </c>
    </row>
    <row r="66" spans="3:34" ht="26.25" x14ac:dyDescent="0.25">
      <c r="C66" s="149" t="s">
        <v>76</v>
      </c>
      <c r="D66" s="149" t="s">
        <v>77</v>
      </c>
      <c r="E66" s="149" t="s">
        <v>39</v>
      </c>
      <c r="F66" s="150" t="s">
        <v>78</v>
      </c>
      <c r="G66" s="151"/>
      <c r="H66" s="1" t="s">
        <v>79</v>
      </c>
      <c r="I66" s="152">
        <f>12*5/168</f>
        <v>0.35714285714285715</v>
      </c>
      <c r="J66" s="148"/>
      <c r="M66" s="139"/>
      <c r="N66" s="139"/>
      <c r="O66" s="139"/>
      <c r="P66" s="139"/>
      <c r="Q66" s="139"/>
      <c r="R66" s="139"/>
      <c r="S66" s="139"/>
      <c r="T66" s="139"/>
      <c r="U66" s="139"/>
      <c r="V66" s="139"/>
      <c r="W66" s="139"/>
      <c r="X66" s="139"/>
      <c r="Y66" s="139"/>
      <c r="Z66" s="139"/>
      <c r="AF66" s="172">
        <v>5821</v>
      </c>
      <c r="AG66" s="172">
        <v>15</v>
      </c>
      <c r="AH66" s="173">
        <f t="shared" si="19"/>
        <v>388.06666666666666</v>
      </c>
    </row>
    <row r="67" spans="3:34" ht="15" x14ac:dyDescent="0.25">
      <c r="C67" s="9" t="s">
        <v>81</v>
      </c>
      <c r="D67" s="153"/>
      <c r="E67" s="154"/>
      <c r="F67" s="155"/>
      <c r="G67" s="156"/>
      <c r="J67" s="148"/>
      <c r="M67" s="139"/>
      <c r="N67" s="139"/>
      <c r="O67" s="139"/>
      <c r="P67" s="139"/>
      <c r="Q67" s="139"/>
      <c r="R67" s="139"/>
      <c r="S67" s="139"/>
      <c r="T67" s="139"/>
      <c r="U67" s="139"/>
      <c r="V67" s="139"/>
      <c r="W67" s="139"/>
      <c r="X67" s="139"/>
      <c r="Y67" s="139"/>
      <c r="Z67" s="139"/>
      <c r="AF67" s="172">
        <v>6233</v>
      </c>
      <c r="AG67" s="172">
        <v>20</v>
      </c>
      <c r="AH67" s="173">
        <f t="shared" si="19"/>
        <v>311.64999999999998</v>
      </c>
    </row>
    <row r="68" spans="3:34" ht="15" x14ac:dyDescent="0.25">
      <c r="C68" s="9" t="s">
        <v>82</v>
      </c>
      <c r="D68" s="153"/>
      <c r="E68" s="154"/>
      <c r="F68" s="155"/>
      <c r="G68" s="156"/>
      <c r="J68" s="148"/>
      <c r="M68" s="139"/>
      <c r="N68" s="139"/>
      <c r="O68" s="139"/>
      <c r="P68" s="139"/>
      <c r="Q68" s="139"/>
      <c r="R68" s="139"/>
      <c r="S68" s="139"/>
      <c r="T68" s="139"/>
      <c r="U68" s="139"/>
      <c r="V68" s="139"/>
      <c r="W68" s="139"/>
      <c r="X68" s="139"/>
      <c r="Y68" s="139"/>
      <c r="Z68" s="139"/>
      <c r="AF68" s="172">
        <v>6115</v>
      </c>
      <c r="AG68" s="172">
        <v>15</v>
      </c>
      <c r="AH68" s="173">
        <f t="shared" si="19"/>
        <v>407.66666666666669</v>
      </c>
    </row>
    <row r="69" spans="3:34" ht="15" x14ac:dyDescent="0.25">
      <c r="C69" s="9" t="s">
        <v>83</v>
      </c>
      <c r="D69" s="153"/>
      <c r="E69" s="154"/>
      <c r="F69" s="155"/>
      <c r="G69" s="156"/>
      <c r="J69" s="148"/>
      <c r="M69" s="139"/>
      <c r="N69" s="139"/>
      <c r="O69" s="139"/>
      <c r="P69" s="139"/>
      <c r="Q69" s="139"/>
      <c r="R69" s="139"/>
      <c r="S69" s="139"/>
      <c r="T69" s="139"/>
      <c r="U69" s="139"/>
      <c r="V69" s="139"/>
      <c r="W69" s="139"/>
      <c r="X69" s="139"/>
      <c r="Y69" s="139"/>
      <c r="Z69" s="139"/>
      <c r="AF69" s="172">
        <v>6556</v>
      </c>
      <c r="AG69" s="172">
        <v>20</v>
      </c>
      <c r="AH69" s="173">
        <f t="shared" si="19"/>
        <v>327.8</v>
      </c>
    </row>
    <row r="70" spans="3:34" ht="15" x14ac:dyDescent="0.25">
      <c r="C70" s="9" t="s">
        <v>84</v>
      </c>
      <c r="D70" s="153"/>
      <c r="E70" s="154"/>
      <c r="F70" s="155"/>
      <c r="G70" s="156"/>
      <c r="J70" s="148"/>
      <c r="M70" s="139"/>
      <c r="N70" s="139"/>
      <c r="O70" s="139"/>
      <c r="P70" s="139"/>
      <c r="Q70" s="139"/>
      <c r="R70" s="139"/>
      <c r="S70" s="139"/>
      <c r="T70" s="139"/>
      <c r="U70" s="139"/>
      <c r="V70" s="139"/>
      <c r="W70" s="139"/>
      <c r="X70" s="139"/>
      <c r="Y70" s="139"/>
      <c r="Z70" s="139"/>
    </row>
    <row r="71" spans="3:34" ht="15" x14ac:dyDescent="0.25">
      <c r="C71" s="9" t="s">
        <v>85</v>
      </c>
      <c r="D71" s="153"/>
      <c r="E71" s="154"/>
      <c r="F71" s="155"/>
      <c r="G71" s="156"/>
      <c r="J71" s="148"/>
      <c r="K71" s="1" t="s">
        <v>80</v>
      </c>
      <c r="M71" s="139"/>
      <c r="N71" s="139"/>
      <c r="O71" s="139"/>
      <c r="P71" s="139"/>
      <c r="Q71" s="139"/>
      <c r="R71" s="139"/>
      <c r="S71" s="139"/>
      <c r="T71" s="139"/>
      <c r="U71" s="139"/>
      <c r="V71" s="139"/>
      <c r="W71" s="139"/>
      <c r="X71" s="139"/>
      <c r="Y71" s="139"/>
      <c r="Z71" s="139"/>
      <c r="AF71" s="1" t="s">
        <v>115</v>
      </c>
      <c r="AH71" s="173">
        <f>AVERAGE(AH40:AH69)</f>
        <v>352.96388888888873</v>
      </c>
    </row>
    <row r="72" spans="3:34" ht="15" x14ac:dyDescent="0.25">
      <c r="C72" s="9" t="s">
        <v>86</v>
      </c>
      <c r="D72" s="153"/>
      <c r="E72" s="154"/>
      <c r="F72" s="155"/>
      <c r="G72" s="156"/>
      <c r="J72" s="148"/>
      <c r="M72" s="139"/>
      <c r="N72" s="139"/>
      <c r="O72" s="139"/>
      <c r="P72" s="139"/>
      <c r="Q72" s="139"/>
      <c r="R72" s="139"/>
      <c r="S72" s="139"/>
      <c r="T72" s="139"/>
      <c r="U72" s="139"/>
      <c r="V72" s="139"/>
      <c r="W72" s="139"/>
      <c r="X72" s="139"/>
      <c r="Y72" s="139"/>
      <c r="Z72" s="139"/>
      <c r="AF72" s="1" t="s">
        <v>116</v>
      </c>
      <c r="AH72" s="173">
        <f>STDEV(AH40:AH69)</f>
        <v>98.068848390225497</v>
      </c>
    </row>
    <row r="73" spans="3:34" ht="15" x14ac:dyDescent="0.25">
      <c r="C73" s="9" t="s">
        <v>87</v>
      </c>
      <c r="D73" s="153"/>
      <c r="E73" s="154"/>
      <c r="F73" s="155"/>
      <c r="G73" s="156"/>
      <c r="J73" s="148"/>
      <c r="M73" s="139"/>
      <c r="N73" s="139"/>
      <c r="O73" s="139"/>
      <c r="P73" s="139"/>
      <c r="Q73" s="139"/>
      <c r="R73" s="139"/>
      <c r="S73" s="139"/>
      <c r="T73" s="139"/>
      <c r="U73" s="139"/>
      <c r="V73" s="139"/>
      <c r="W73" s="139"/>
      <c r="X73" s="139"/>
      <c r="Y73" s="139"/>
      <c r="Z73" s="139"/>
    </row>
    <row r="74" spans="3:34" ht="15" x14ac:dyDescent="0.25">
      <c r="C74" s="9" t="s">
        <v>88</v>
      </c>
      <c r="D74" s="153"/>
      <c r="E74" s="154"/>
      <c r="F74" s="155"/>
      <c r="G74" s="156"/>
      <c r="J74" s="148"/>
      <c r="M74" s="139"/>
      <c r="N74" s="139"/>
      <c r="O74" s="139"/>
      <c r="P74" s="139"/>
      <c r="Q74" s="139"/>
      <c r="R74" s="139"/>
      <c r="S74" s="139"/>
      <c r="T74" s="139"/>
      <c r="U74" s="139"/>
      <c r="V74" s="139"/>
      <c r="W74" s="139"/>
      <c r="X74" s="139"/>
      <c r="Y74" s="139"/>
      <c r="Z74" s="139"/>
    </row>
    <row r="75" spans="3:34" ht="15" x14ac:dyDescent="0.25">
      <c r="C75" s="9" t="s">
        <v>89</v>
      </c>
      <c r="D75" s="153"/>
      <c r="E75" s="154"/>
      <c r="F75" s="155"/>
      <c r="G75" s="156"/>
      <c r="J75" s="148"/>
      <c r="M75" s="139"/>
      <c r="N75" s="139"/>
      <c r="O75" s="139"/>
      <c r="P75" s="139"/>
      <c r="Q75" s="139"/>
      <c r="R75" s="139"/>
      <c r="S75" s="139"/>
      <c r="T75" s="139"/>
      <c r="U75" s="139"/>
      <c r="V75" s="139"/>
      <c r="W75" s="139"/>
      <c r="X75" s="139"/>
      <c r="Y75" s="139"/>
      <c r="Z75" s="139"/>
    </row>
    <row r="76" spans="3:34" ht="15" x14ac:dyDescent="0.25">
      <c r="C76" s="9" t="s">
        <v>90</v>
      </c>
      <c r="D76" s="153"/>
      <c r="E76" s="154"/>
      <c r="F76" s="155"/>
      <c r="G76" s="156"/>
      <c r="J76" s="148"/>
      <c r="M76" s="139"/>
      <c r="N76" s="139"/>
      <c r="O76" s="139"/>
      <c r="P76" s="139"/>
      <c r="Q76" s="139"/>
      <c r="R76" s="139"/>
      <c r="S76" s="139"/>
      <c r="T76" s="139"/>
      <c r="U76" s="139"/>
      <c r="V76" s="139"/>
      <c r="W76" s="139"/>
      <c r="X76" s="139"/>
      <c r="Y76" s="139"/>
      <c r="Z76" s="139"/>
    </row>
    <row r="77" spans="3:34" ht="15" x14ac:dyDescent="0.25">
      <c r="C77" s="9" t="s">
        <v>91</v>
      </c>
      <c r="D77" s="153"/>
      <c r="E77" s="154"/>
      <c r="F77" s="155"/>
      <c r="G77" s="156"/>
      <c r="M77" s="139"/>
      <c r="N77" s="139"/>
      <c r="O77" s="139"/>
      <c r="P77" s="139"/>
      <c r="Q77" s="139"/>
      <c r="R77" s="139"/>
      <c r="S77" s="139"/>
      <c r="T77" s="139"/>
      <c r="U77" s="139"/>
      <c r="V77" s="139"/>
      <c r="W77" s="139"/>
      <c r="X77" s="139"/>
      <c r="Y77" s="139"/>
      <c r="Z77" s="139"/>
    </row>
    <row r="78" spans="3:34" ht="15" x14ac:dyDescent="0.25">
      <c r="C78" s="9" t="s">
        <v>92</v>
      </c>
      <c r="D78" s="153"/>
      <c r="E78" s="154"/>
      <c r="F78" s="155"/>
      <c r="G78" s="156"/>
      <c r="M78" s="139"/>
      <c r="N78" s="139"/>
      <c r="O78" s="139"/>
      <c r="P78" s="139"/>
      <c r="Q78" s="139"/>
      <c r="R78" s="139"/>
      <c r="S78" s="139"/>
      <c r="T78" s="139"/>
      <c r="U78" s="139"/>
      <c r="V78" s="139"/>
      <c r="W78" s="139"/>
      <c r="X78" s="139"/>
      <c r="Y78" s="139"/>
      <c r="Z78" s="139"/>
    </row>
    <row r="79" spans="3:34" x14ac:dyDescent="0.2">
      <c r="M79" s="139"/>
      <c r="N79" s="139"/>
      <c r="O79" s="139"/>
      <c r="P79" s="139"/>
      <c r="Q79" s="139"/>
      <c r="R79" s="139"/>
      <c r="S79" s="139"/>
      <c r="T79" s="139"/>
      <c r="U79" s="139"/>
      <c r="V79" s="139"/>
      <c r="W79" s="139"/>
      <c r="X79" s="139"/>
      <c r="Y79" s="139"/>
      <c r="Z79" s="139"/>
    </row>
    <row r="80" spans="3:34" ht="12.75" customHeight="1" x14ac:dyDescent="0.2">
      <c r="M80" s="139"/>
      <c r="N80" s="139"/>
      <c r="O80" s="139"/>
      <c r="P80" s="139"/>
      <c r="Q80" s="139"/>
      <c r="R80" s="139"/>
      <c r="S80" s="139"/>
      <c r="T80" s="139"/>
      <c r="U80" s="139"/>
      <c r="V80" s="139"/>
      <c r="W80" s="139"/>
      <c r="X80" s="139"/>
      <c r="Y80" s="139"/>
      <c r="Z80" s="139"/>
    </row>
    <row r="81" spans="3:51" x14ac:dyDescent="0.2">
      <c r="M81" s="139"/>
      <c r="N81" s="139"/>
      <c r="O81" s="139"/>
      <c r="P81" s="139"/>
      <c r="Q81" s="139"/>
      <c r="R81" s="139"/>
      <c r="S81" s="139"/>
      <c r="T81" s="139"/>
      <c r="U81" s="139"/>
      <c r="V81" s="139"/>
      <c r="W81" s="139"/>
      <c r="X81" s="139"/>
      <c r="Y81" s="139"/>
      <c r="Z81" s="139"/>
      <c r="AF81" s="604" t="s">
        <v>94</v>
      </c>
      <c r="AG81" s="604"/>
      <c r="AH81" s="604"/>
      <c r="AI81" s="604"/>
      <c r="AJ81" s="604"/>
      <c r="AK81" s="604"/>
      <c r="AL81" s="604"/>
      <c r="AM81" s="604"/>
      <c r="AN81" s="604"/>
      <c r="AO81" s="604"/>
      <c r="AP81" s="604"/>
      <c r="AQ81" s="604"/>
      <c r="AR81" s="604"/>
      <c r="AS81" s="604"/>
      <c r="AT81" s="604"/>
      <c r="AU81" s="604"/>
      <c r="AV81" s="604"/>
      <c r="AW81" s="604"/>
      <c r="AX81" s="604"/>
    </row>
    <row r="82" spans="3:51" ht="18" x14ac:dyDescent="0.25">
      <c r="C82" s="158"/>
      <c r="M82" s="139"/>
      <c r="N82" s="139"/>
      <c r="O82" s="139"/>
      <c r="P82" s="139"/>
      <c r="Q82" s="139"/>
      <c r="R82" s="139"/>
      <c r="S82" s="139"/>
      <c r="T82" s="139"/>
      <c r="U82" s="139"/>
      <c r="V82" s="139"/>
      <c r="W82" s="139"/>
      <c r="X82" s="139"/>
      <c r="Y82" s="139"/>
      <c r="Z82" s="139"/>
      <c r="AF82" s="604"/>
      <c r="AG82" s="604"/>
      <c r="AH82" s="604"/>
      <c r="AI82" s="604"/>
      <c r="AJ82" s="604"/>
      <c r="AK82" s="604"/>
      <c r="AL82" s="604"/>
      <c r="AM82" s="604"/>
      <c r="AN82" s="604"/>
      <c r="AO82" s="604"/>
      <c r="AP82" s="604"/>
      <c r="AQ82" s="604"/>
      <c r="AR82" s="604"/>
      <c r="AS82" s="604"/>
      <c r="AT82" s="604"/>
      <c r="AU82" s="604"/>
      <c r="AV82" s="604"/>
      <c r="AW82" s="604"/>
      <c r="AX82" s="604"/>
    </row>
    <row r="83" spans="3:51" ht="15" x14ac:dyDescent="0.2">
      <c r="C83" s="612"/>
      <c r="D83" s="612"/>
      <c r="E83" s="612"/>
      <c r="F83" s="612"/>
      <c r="G83" s="612"/>
      <c r="H83" s="612"/>
      <c r="I83" s="157"/>
      <c r="M83" s="139"/>
      <c r="N83" s="139"/>
      <c r="O83" s="139"/>
      <c r="P83" s="139"/>
      <c r="Q83" s="139"/>
      <c r="R83" s="139"/>
      <c r="S83" s="139"/>
      <c r="T83" s="139"/>
      <c r="U83" s="139"/>
      <c r="V83" s="139"/>
      <c r="W83" s="139"/>
      <c r="X83" s="139"/>
      <c r="Y83" s="139"/>
      <c r="Z83" s="139"/>
      <c r="AF83" s="611"/>
      <c r="AG83" s="611"/>
      <c r="AH83" s="611"/>
      <c r="AI83" s="611"/>
      <c r="AJ83" s="611"/>
      <c r="AK83" s="611"/>
      <c r="AL83" s="611"/>
      <c r="AM83" s="611"/>
      <c r="AN83" s="611"/>
      <c r="AO83" s="611"/>
      <c r="AP83" s="611"/>
      <c r="AQ83" s="611"/>
      <c r="AR83" s="611"/>
      <c r="AS83" s="611"/>
      <c r="AT83" s="611"/>
      <c r="AU83" s="611"/>
      <c r="AV83" s="611"/>
      <c r="AW83" s="611"/>
      <c r="AX83" s="611"/>
    </row>
    <row r="84" spans="3:51" ht="15" customHeight="1" x14ac:dyDescent="0.2">
      <c r="C84" s="159"/>
      <c r="D84" s="159"/>
      <c r="E84" s="159"/>
      <c r="F84" s="159"/>
      <c r="G84" s="159"/>
      <c r="H84" s="159"/>
      <c r="I84" s="159"/>
      <c r="K84" s="157"/>
      <c r="L84" s="157"/>
      <c r="M84" s="139"/>
      <c r="N84" s="139"/>
      <c r="O84" s="139"/>
      <c r="P84" s="139"/>
      <c r="Q84" s="139"/>
      <c r="R84" s="139"/>
      <c r="S84" s="139"/>
      <c r="T84" s="139"/>
      <c r="U84" s="139"/>
      <c r="V84" s="139"/>
      <c r="W84" s="139"/>
      <c r="X84" s="139"/>
      <c r="Y84" s="139"/>
      <c r="Z84" s="139"/>
      <c r="AF84" s="160" t="s">
        <v>95</v>
      </c>
      <c r="AG84" s="598" t="s">
        <v>96</v>
      </c>
      <c r="AH84" s="599" t="s">
        <v>97</v>
      </c>
      <c r="AI84" s="599"/>
      <c r="AJ84" s="599"/>
      <c r="AK84" s="599"/>
      <c r="AL84" s="599"/>
      <c r="AM84" s="599"/>
      <c r="AN84" s="599"/>
      <c r="AO84" s="599"/>
      <c r="AP84" s="599"/>
      <c r="AQ84" s="599"/>
      <c r="AR84" s="599"/>
      <c r="AS84" s="599"/>
      <c r="AT84" s="599"/>
      <c r="AU84" s="599"/>
      <c r="AV84" s="599"/>
      <c r="AW84" s="599"/>
      <c r="AX84" s="599"/>
    </row>
    <row r="85" spans="3:51" ht="15" x14ac:dyDescent="0.2">
      <c r="C85" s="159"/>
      <c r="D85" s="159"/>
      <c r="E85" s="159"/>
      <c r="F85" s="159"/>
      <c r="G85" s="159"/>
      <c r="H85" s="159"/>
      <c r="I85" s="159"/>
      <c r="J85" s="157"/>
      <c r="M85" s="139"/>
      <c r="N85" s="139"/>
      <c r="O85" s="139"/>
      <c r="P85" s="139"/>
      <c r="Q85" s="139"/>
      <c r="R85" s="139"/>
      <c r="S85" s="139"/>
      <c r="T85" s="139"/>
      <c r="U85" s="139"/>
      <c r="V85" s="139"/>
      <c r="W85" s="139"/>
      <c r="X85" s="139"/>
      <c r="Y85" s="139"/>
      <c r="Z85" s="139"/>
      <c r="AF85" s="161" t="s">
        <v>98</v>
      </c>
      <c r="AG85" s="598"/>
      <c r="AH85" s="161">
        <v>50</v>
      </c>
      <c r="AI85" s="161">
        <v>52</v>
      </c>
      <c r="AJ85" s="161">
        <v>54</v>
      </c>
      <c r="AK85" s="161">
        <v>56</v>
      </c>
      <c r="AL85" s="161">
        <v>58</v>
      </c>
      <c r="AM85" s="161">
        <v>60</v>
      </c>
      <c r="AN85" s="161">
        <v>62</v>
      </c>
      <c r="AO85" s="161">
        <v>64</v>
      </c>
      <c r="AP85" s="161">
        <v>66</v>
      </c>
      <c r="AQ85" s="161">
        <v>68</v>
      </c>
      <c r="AR85" s="161">
        <v>70</v>
      </c>
      <c r="AS85" s="161">
        <v>72</v>
      </c>
      <c r="AT85" s="161">
        <v>74</v>
      </c>
      <c r="AU85" s="161">
        <v>76</v>
      </c>
      <c r="AV85" s="161">
        <v>78</v>
      </c>
      <c r="AW85" s="161">
        <v>80</v>
      </c>
      <c r="AX85" s="161">
        <v>82</v>
      </c>
    </row>
    <row r="86" spans="3:51" x14ac:dyDescent="0.2">
      <c r="C86" s="159"/>
      <c r="D86" s="159"/>
      <c r="E86" s="159"/>
      <c r="F86" s="159"/>
      <c r="G86" s="159"/>
      <c r="H86" s="159"/>
      <c r="I86" s="159"/>
      <c r="M86" s="139"/>
      <c r="N86" s="139"/>
      <c r="O86" s="139"/>
      <c r="P86" s="139"/>
      <c r="Q86" s="139"/>
      <c r="R86" s="139"/>
      <c r="S86" s="139"/>
      <c r="T86" s="139"/>
      <c r="U86" s="139"/>
      <c r="V86" s="139"/>
      <c r="W86" s="139"/>
      <c r="X86" s="139"/>
      <c r="Y86" s="139"/>
      <c r="Z86" s="139"/>
      <c r="AF86" s="600" t="s">
        <v>99</v>
      </c>
      <c r="AG86" s="601"/>
      <c r="AH86" s="162">
        <v>2</v>
      </c>
      <c r="AI86" s="162">
        <v>3</v>
      </c>
      <c r="AJ86" s="162">
        <v>4</v>
      </c>
      <c r="AK86" s="162">
        <v>5</v>
      </c>
      <c r="AL86" s="162">
        <v>6</v>
      </c>
      <c r="AM86" s="162">
        <v>7</v>
      </c>
      <c r="AN86" s="162">
        <v>8</v>
      </c>
      <c r="AO86" s="162">
        <v>9</v>
      </c>
      <c r="AP86" s="162">
        <v>10</v>
      </c>
      <c r="AQ86" s="162">
        <v>11</v>
      </c>
      <c r="AR86" s="162">
        <v>12</v>
      </c>
      <c r="AS86" s="162">
        <v>13</v>
      </c>
      <c r="AT86" s="162">
        <v>14</v>
      </c>
      <c r="AU86" s="162">
        <v>15</v>
      </c>
      <c r="AV86" s="162">
        <v>16</v>
      </c>
      <c r="AW86" s="162">
        <v>17</v>
      </c>
      <c r="AX86" s="162">
        <v>18</v>
      </c>
    </row>
    <row r="87" spans="3:51" ht="309.75" customHeight="1" x14ac:dyDescent="0.25">
      <c r="C87" s="159"/>
      <c r="D87" s="159"/>
      <c r="E87" s="159"/>
      <c r="F87" s="159"/>
      <c r="G87" s="159"/>
      <c r="H87" s="159"/>
      <c r="I87" s="159"/>
      <c r="M87" s="139"/>
      <c r="N87" s="139"/>
      <c r="O87" s="139"/>
      <c r="P87" s="139"/>
      <c r="Q87" s="139"/>
      <c r="R87" s="139"/>
      <c r="S87" s="139"/>
      <c r="T87" s="139"/>
      <c r="U87" s="139"/>
      <c r="V87" s="139"/>
      <c r="W87" s="139"/>
      <c r="X87" s="139"/>
      <c r="Y87" s="139"/>
      <c r="Z87" s="139"/>
      <c r="AF87" s="163"/>
      <c r="AG87" s="164">
        <v>-30</v>
      </c>
      <c r="AH87" s="165">
        <f>AH88</f>
        <v>0.97</v>
      </c>
      <c r="AI87" s="165">
        <f t="shared" ref="AI87:AX87" si="21">AI88</f>
        <v>1.01</v>
      </c>
      <c r="AJ87" s="165">
        <f t="shared" si="21"/>
        <v>1.06</v>
      </c>
      <c r="AK87" s="165">
        <f t="shared" si="21"/>
        <v>1.1100000000000001</v>
      </c>
      <c r="AL87" s="165">
        <f t="shared" si="21"/>
        <v>1.17</v>
      </c>
      <c r="AM87" s="165">
        <f t="shared" si="21"/>
        <v>1.25</v>
      </c>
      <c r="AN87" s="165">
        <f t="shared" si="21"/>
        <v>1.33</v>
      </c>
      <c r="AO87" s="165">
        <f t="shared" si="21"/>
        <v>1.43</v>
      </c>
      <c r="AP87" s="165">
        <f t="shared" si="21"/>
        <v>1.55</v>
      </c>
      <c r="AQ87" s="165">
        <f t="shared" si="21"/>
        <v>1.7</v>
      </c>
      <c r="AR87" s="165">
        <f t="shared" si="21"/>
        <v>1.89</v>
      </c>
      <c r="AS87" s="165">
        <f t="shared" si="21"/>
        <v>2.14</v>
      </c>
      <c r="AT87" s="165">
        <f t="shared" si="21"/>
        <v>2.4700000000000002</v>
      </c>
      <c r="AU87" s="165">
        <f t="shared" si="21"/>
        <v>2.97</v>
      </c>
      <c r="AV87" s="165">
        <f t="shared" si="21"/>
        <v>3.73</v>
      </c>
      <c r="AW87" s="165" t="str">
        <f t="shared" si="21"/>
        <v>-</v>
      </c>
      <c r="AX87" s="165" t="str">
        <f t="shared" si="21"/>
        <v>-</v>
      </c>
      <c r="AY87" s="1" t="s">
        <v>100</v>
      </c>
    </row>
    <row r="88" spans="3:51" ht="15" x14ac:dyDescent="0.25">
      <c r="C88" s="159"/>
      <c r="D88" s="159"/>
      <c r="E88" s="159"/>
      <c r="F88" s="159"/>
      <c r="G88" s="159"/>
      <c r="H88" s="159"/>
      <c r="I88" s="159"/>
      <c r="M88" s="139"/>
      <c r="N88" s="139"/>
      <c r="O88" s="139"/>
      <c r="P88" s="139"/>
      <c r="Q88" s="139"/>
      <c r="R88" s="139"/>
      <c r="S88" s="139"/>
      <c r="T88" s="139"/>
      <c r="U88" s="139"/>
      <c r="V88" s="139"/>
      <c r="W88" s="139"/>
      <c r="X88" s="139"/>
      <c r="Y88" s="139"/>
      <c r="Z88" s="139"/>
      <c r="AF88" s="166">
        <v>151.30000000000001</v>
      </c>
      <c r="AG88" s="167">
        <v>85</v>
      </c>
      <c r="AH88" s="168">
        <v>0.97</v>
      </c>
      <c r="AI88" s="168">
        <v>1.01</v>
      </c>
      <c r="AJ88" s="168">
        <v>1.06</v>
      </c>
      <c r="AK88" s="168">
        <v>1.1100000000000001</v>
      </c>
      <c r="AL88" s="168">
        <v>1.17</v>
      </c>
      <c r="AM88" s="168">
        <v>1.25</v>
      </c>
      <c r="AN88" s="168">
        <v>1.33</v>
      </c>
      <c r="AO88" s="168">
        <v>1.43</v>
      </c>
      <c r="AP88" s="168">
        <v>1.55</v>
      </c>
      <c r="AQ88" s="168">
        <v>1.7</v>
      </c>
      <c r="AR88" s="168">
        <v>1.89</v>
      </c>
      <c r="AS88" s="168">
        <v>2.14</v>
      </c>
      <c r="AT88" s="168">
        <v>2.4700000000000002</v>
      </c>
      <c r="AU88" s="168">
        <v>2.97</v>
      </c>
      <c r="AV88" s="168">
        <v>3.73</v>
      </c>
      <c r="AW88" s="168" t="s">
        <v>46</v>
      </c>
      <c r="AX88" s="168" t="s">
        <v>46</v>
      </c>
    </row>
    <row r="89" spans="3:51" ht="15" x14ac:dyDescent="0.25">
      <c r="C89" s="159"/>
      <c r="D89" s="159"/>
      <c r="E89" s="159"/>
      <c r="F89" s="159"/>
      <c r="G89" s="159"/>
      <c r="H89" s="159"/>
      <c r="I89" s="159"/>
      <c r="M89" s="139"/>
      <c r="N89" s="139"/>
      <c r="O89" s="139"/>
      <c r="P89" s="139"/>
      <c r="Q89" s="139"/>
      <c r="R89" s="139"/>
      <c r="S89" s="139"/>
      <c r="T89" s="139"/>
      <c r="U89" s="139"/>
      <c r="V89" s="139"/>
      <c r="W89" s="139"/>
      <c r="X89" s="139"/>
      <c r="Y89" s="139"/>
      <c r="Z89" s="139"/>
      <c r="AF89" s="166">
        <v>154.1</v>
      </c>
      <c r="AG89" s="167">
        <v>86</v>
      </c>
      <c r="AH89" s="168">
        <v>0.94</v>
      </c>
      <c r="AI89" s="168">
        <v>0.98</v>
      </c>
      <c r="AJ89" s="168">
        <v>1.02</v>
      </c>
      <c r="AK89" s="168">
        <v>1.07</v>
      </c>
      <c r="AL89" s="168">
        <v>1.1299999999999999</v>
      </c>
      <c r="AM89" s="168">
        <v>1.19</v>
      </c>
      <c r="AN89" s="168">
        <v>1.27</v>
      </c>
      <c r="AO89" s="168">
        <v>1.36</v>
      </c>
      <c r="AP89" s="168">
        <v>1.46</v>
      </c>
      <c r="AQ89" s="168">
        <v>1.6</v>
      </c>
      <c r="AR89" s="168">
        <v>1.76</v>
      </c>
      <c r="AS89" s="168">
        <v>1.97</v>
      </c>
      <c r="AT89" s="168">
        <v>2.2599999999999998</v>
      </c>
      <c r="AU89" s="168">
        <v>2.66</v>
      </c>
      <c r="AV89" s="168">
        <v>3.26</v>
      </c>
      <c r="AW89" s="168">
        <v>4.25</v>
      </c>
      <c r="AX89" s="168" t="s">
        <v>46</v>
      </c>
    </row>
    <row r="90" spans="3:51" ht="15" x14ac:dyDescent="0.25">
      <c r="C90" s="159"/>
      <c r="D90" s="159"/>
      <c r="E90" s="159"/>
      <c r="F90" s="159"/>
      <c r="G90" s="159"/>
      <c r="H90" s="159"/>
      <c r="I90" s="159"/>
      <c r="M90" s="139"/>
      <c r="N90" s="139"/>
      <c r="O90" s="139"/>
      <c r="P90" s="139"/>
      <c r="Q90" s="139"/>
      <c r="R90" s="139"/>
      <c r="S90" s="139"/>
      <c r="T90" s="139"/>
      <c r="U90" s="139"/>
      <c r="V90" s="139"/>
      <c r="W90" s="139"/>
      <c r="X90" s="139"/>
      <c r="Y90" s="139"/>
      <c r="Z90" s="139"/>
      <c r="AF90" s="166">
        <v>156.9</v>
      </c>
      <c r="AG90" s="167">
        <v>87</v>
      </c>
      <c r="AH90" s="168">
        <v>0.91</v>
      </c>
      <c r="AI90" s="168">
        <v>0.95</v>
      </c>
      <c r="AJ90" s="168">
        <v>0.99</v>
      </c>
      <c r="AK90" s="168">
        <v>1.03</v>
      </c>
      <c r="AL90" s="168">
        <v>1.08</v>
      </c>
      <c r="AM90" s="168">
        <v>1.1399999999999999</v>
      </c>
      <c r="AN90" s="168">
        <v>1.21</v>
      </c>
      <c r="AO90" s="168">
        <v>1.29</v>
      </c>
      <c r="AP90" s="168">
        <v>1.39</v>
      </c>
      <c r="AQ90" s="168">
        <v>1.51</v>
      </c>
      <c r="AR90" s="168">
        <v>1.65</v>
      </c>
      <c r="AS90" s="168">
        <v>1.83</v>
      </c>
      <c r="AT90" s="168">
        <v>2.08</v>
      </c>
      <c r="AU90" s="168">
        <v>2.4</v>
      </c>
      <c r="AV90" s="168">
        <v>2.88</v>
      </c>
      <c r="AW90" s="168">
        <v>3.63</v>
      </c>
      <c r="AX90" s="168" t="s">
        <v>46</v>
      </c>
    </row>
    <row r="91" spans="3:51" ht="15" x14ac:dyDescent="0.25">
      <c r="C91" s="159"/>
      <c r="D91" s="159"/>
      <c r="E91" s="159"/>
      <c r="F91" s="159"/>
      <c r="G91" s="159"/>
      <c r="H91" s="159"/>
      <c r="I91" s="159"/>
      <c r="M91" s="139"/>
      <c r="N91" s="139"/>
      <c r="O91" s="139"/>
      <c r="P91" s="139"/>
      <c r="Q91" s="139"/>
      <c r="R91" s="139"/>
      <c r="S91" s="139"/>
      <c r="T91" s="139"/>
      <c r="U91" s="139"/>
      <c r="V91" s="139"/>
      <c r="W91" s="139"/>
      <c r="X91" s="139"/>
      <c r="Y91" s="139"/>
      <c r="Z91" s="139"/>
      <c r="AF91" s="166">
        <v>159.80000000000001</v>
      </c>
      <c r="AG91" s="167">
        <v>88</v>
      </c>
      <c r="AH91" s="168">
        <v>0.88</v>
      </c>
      <c r="AI91" s="168">
        <v>0.91</v>
      </c>
      <c r="AJ91" s="168">
        <v>0.95</v>
      </c>
      <c r="AK91" s="168">
        <v>0.99</v>
      </c>
      <c r="AL91" s="168">
        <v>1.04</v>
      </c>
      <c r="AM91" s="168">
        <v>1.1000000000000001</v>
      </c>
      <c r="AN91" s="168">
        <v>1.1599999999999999</v>
      </c>
      <c r="AO91" s="168">
        <v>1.23</v>
      </c>
      <c r="AP91" s="168">
        <v>1.32</v>
      </c>
      <c r="AQ91" s="168">
        <v>1.42</v>
      </c>
      <c r="AR91" s="168">
        <v>1.55</v>
      </c>
      <c r="AS91" s="168">
        <v>1.71</v>
      </c>
      <c r="AT91" s="168">
        <v>1.92</v>
      </c>
      <c r="AU91" s="168">
        <v>2.2000000000000002</v>
      </c>
      <c r="AV91" s="168">
        <v>2.58</v>
      </c>
      <c r="AW91" s="168">
        <v>3.16</v>
      </c>
      <c r="AX91" s="168">
        <v>4.13</v>
      </c>
    </row>
    <row r="92" spans="3:51" ht="15" x14ac:dyDescent="0.25">
      <c r="C92" s="159"/>
      <c r="D92" s="159"/>
      <c r="E92" s="159"/>
      <c r="F92" s="159"/>
      <c r="G92" s="159"/>
      <c r="H92" s="159"/>
      <c r="I92" s="159"/>
      <c r="M92" s="139"/>
      <c r="N92" s="139"/>
      <c r="O92" s="139"/>
      <c r="P92" s="139"/>
      <c r="Q92" s="139"/>
      <c r="R92" s="139"/>
      <c r="S92" s="139"/>
      <c r="T92" s="139"/>
      <c r="U92" s="139"/>
      <c r="V92" s="139"/>
      <c r="W92" s="139"/>
      <c r="X92" s="139"/>
      <c r="Y92" s="139"/>
      <c r="Z92" s="139"/>
      <c r="AF92" s="166">
        <v>162.6</v>
      </c>
      <c r="AG92" s="167">
        <v>89</v>
      </c>
      <c r="AH92" s="168">
        <v>0.85</v>
      </c>
      <c r="AI92" s="168">
        <v>0.89</v>
      </c>
      <c r="AJ92" s="168">
        <v>0.92</v>
      </c>
      <c r="AK92" s="168">
        <v>0.96</v>
      </c>
      <c r="AL92" s="168">
        <v>1</v>
      </c>
      <c r="AM92" s="168">
        <v>1.05</v>
      </c>
      <c r="AN92" s="168">
        <v>1.1100000000000001</v>
      </c>
      <c r="AO92" s="168">
        <v>1.18</v>
      </c>
      <c r="AP92" s="168">
        <v>1.26</v>
      </c>
      <c r="AQ92" s="168">
        <v>1.35</v>
      </c>
      <c r="AR92" s="168">
        <v>1.46</v>
      </c>
      <c r="AS92" s="168">
        <v>1.6</v>
      </c>
      <c r="AT92" s="168">
        <v>1.78</v>
      </c>
      <c r="AU92" s="168">
        <v>2.02</v>
      </c>
      <c r="AV92" s="168">
        <v>2.34</v>
      </c>
      <c r="AW92" s="168">
        <v>2.8</v>
      </c>
      <c r="AX92" s="168">
        <v>3.53</v>
      </c>
    </row>
    <row r="93" spans="3:51" ht="15" x14ac:dyDescent="0.25">
      <c r="C93" s="159"/>
      <c r="D93" s="159"/>
      <c r="E93" s="159"/>
      <c r="F93" s="159"/>
      <c r="G93" s="159"/>
      <c r="H93" s="159"/>
      <c r="I93" s="159"/>
      <c r="M93" s="139"/>
      <c r="N93" s="139"/>
      <c r="O93" s="139"/>
      <c r="P93" s="139"/>
      <c r="Q93" s="139"/>
      <c r="R93" s="139"/>
      <c r="S93" s="139"/>
      <c r="T93" s="139"/>
      <c r="U93" s="139"/>
      <c r="V93" s="139"/>
      <c r="W93" s="139"/>
      <c r="X93" s="139"/>
      <c r="Y93" s="139"/>
      <c r="Z93" s="139"/>
      <c r="AF93" s="166">
        <v>165.5</v>
      </c>
      <c r="AG93" s="167">
        <v>90</v>
      </c>
      <c r="AH93" s="168">
        <v>0.83</v>
      </c>
      <c r="AI93" s="168">
        <v>0.86</v>
      </c>
      <c r="AJ93" s="168">
        <v>0.89</v>
      </c>
      <c r="AK93" s="168">
        <v>0.93</v>
      </c>
      <c r="AL93" s="168">
        <v>0.97</v>
      </c>
      <c r="AM93" s="168">
        <v>1.01</v>
      </c>
      <c r="AN93" s="168">
        <v>1.07</v>
      </c>
      <c r="AO93" s="168">
        <v>1.1299999999999999</v>
      </c>
      <c r="AP93" s="168">
        <v>1.2</v>
      </c>
      <c r="AQ93" s="168">
        <v>1.28</v>
      </c>
      <c r="AR93" s="168">
        <v>1.38</v>
      </c>
      <c r="AS93" s="168">
        <v>1.51</v>
      </c>
      <c r="AT93" s="168">
        <v>1.67</v>
      </c>
      <c r="AU93" s="168">
        <v>1.87</v>
      </c>
      <c r="AV93" s="168">
        <v>2.13</v>
      </c>
      <c r="AW93" s="168">
        <v>2.5099999999999998</v>
      </c>
      <c r="AX93" s="168">
        <v>3.08</v>
      </c>
    </row>
    <row r="94" spans="3:51" ht="15" x14ac:dyDescent="0.25">
      <c r="C94" s="159"/>
      <c r="D94" s="159"/>
      <c r="E94" s="159"/>
      <c r="F94" s="159"/>
      <c r="G94" s="159"/>
      <c r="H94" s="159"/>
      <c r="I94" s="159"/>
      <c r="M94" s="139"/>
      <c r="N94" s="139"/>
      <c r="O94" s="139"/>
      <c r="P94" s="139"/>
      <c r="Q94" s="139"/>
      <c r="R94" s="139"/>
      <c r="S94" s="139"/>
      <c r="T94" s="139"/>
      <c r="U94" s="139"/>
      <c r="V94" s="139"/>
      <c r="W94" s="139"/>
      <c r="X94" s="139"/>
      <c r="Y94" s="139"/>
      <c r="Z94" s="139"/>
      <c r="AF94" s="166">
        <v>168.5</v>
      </c>
      <c r="AG94" s="167">
        <v>91</v>
      </c>
      <c r="AH94" s="168">
        <v>0.8</v>
      </c>
      <c r="AI94" s="168">
        <v>0.83</v>
      </c>
      <c r="AJ94" s="168">
        <v>0.86</v>
      </c>
      <c r="AK94" s="168">
        <v>0.9</v>
      </c>
      <c r="AL94" s="168">
        <v>0.93</v>
      </c>
      <c r="AM94" s="168">
        <v>0.98</v>
      </c>
      <c r="AN94" s="168">
        <v>1.02</v>
      </c>
      <c r="AO94" s="168">
        <v>1.08</v>
      </c>
      <c r="AP94" s="168">
        <v>1.1399999999999999</v>
      </c>
      <c r="AQ94" s="168">
        <v>1.22</v>
      </c>
      <c r="AR94" s="168">
        <v>1.31</v>
      </c>
      <c r="AS94" s="168">
        <v>1.42</v>
      </c>
      <c r="AT94" s="168">
        <v>1.56</v>
      </c>
      <c r="AU94" s="168">
        <v>1.73</v>
      </c>
      <c r="AV94" s="168">
        <v>1.96</v>
      </c>
      <c r="AW94" s="168">
        <v>2.27</v>
      </c>
      <c r="AX94" s="168">
        <v>2.72</v>
      </c>
    </row>
    <row r="95" spans="3:51" ht="15" x14ac:dyDescent="0.25">
      <c r="C95" s="159"/>
      <c r="D95" s="159"/>
      <c r="E95" s="159"/>
      <c r="F95" s="159"/>
      <c r="G95" s="159"/>
      <c r="H95" s="159"/>
      <c r="I95" s="159"/>
      <c r="M95" s="139"/>
      <c r="N95" s="139"/>
      <c r="O95" s="139"/>
      <c r="P95" s="139"/>
      <c r="Q95" s="139"/>
      <c r="R95" s="139"/>
      <c r="S95" s="139"/>
      <c r="T95" s="139"/>
      <c r="U95" s="139"/>
      <c r="V95" s="139"/>
      <c r="W95" s="139"/>
      <c r="X95" s="139"/>
      <c r="Y95" s="139"/>
      <c r="Z95" s="139"/>
      <c r="AF95" s="166">
        <v>171.5</v>
      </c>
      <c r="AG95" s="167">
        <v>92</v>
      </c>
      <c r="AH95" s="168">
        <v>0.78</v>
      </c>
      <c r="AI95" s="168">
        <v>0.81</v>
      </c>
      <c r="AJ95" s="168">
        <v>0.83</v>
      </c>
      <c r="AK95" s="168">
        <v>0.87</v>
      </c>
      <c r="AL95" s="168">
        <v>0.9</v>
      </c>
      <c r="AM95" s="168">
        <v>0.94</v>
      </c>
      <c r="AN95" s="168">
        <v>0.99</v>
      </c>
      <c r="AO95" s="168">
        <v>1.04</v>
      </c>
      <c r="AP95" s="168">
        <v>1.1000000000000001</v>
      </c>
      <c r="AQ95" s="168">
        <v>1.17</v>
      </c>
      <c r="AR95" s="168">
        <v>1.25</v>
      </c>
      <c r="AS95" s="168">
        <v>1.35</v>
      </c>
      <c r="AT95" s="168">
        <v>1.47</v>
      </c>
      <c r="AU95" s="168">
        <v>1.62</v>
      </c>
      <c r="AV95" s="168">
        <v>1.82</v>
      </c>
      <c r="AW95" s="168">
        <v>2.08</v>
      </c>
      <c r="AX95" s="168">
        <v>2.44</v>
      </c>
    </row>
    <row r="96" spans="3:51" ht="15" x14ac:dyDescent="0.25">
      <c r="C96" s="159"/>
      <c r="D96" s="159"/>
      <c r="E96" s="159"/>
      <c r="F96" s="159"/>
      <c r="G96" s="159"/>
      <c r="H96" s="159"/>
      <c r="I96" s="159"/>
      <c r="M96" s="139"/>
      <c r="N96" s="139"/>
      <c r="O96" s="139"/>
      <c r="P96" s="139"/>
      <c r="Q96" s="139"/>
      <c r="R96" s="139"/>
      <c r="S96" s="139"/>
      <c r="T96" s="139"/>
      <c r="U96" s="139"/>
      <c r="V96" s="139"/>
      <c r="W96" s="139"/>
      <c r="X96" s="139"/>
      <c r="Y96" s="139"/>
      <c r="Z96" s="139"/>
      <c r="AF96" s="166">
        <v>174.5</v>
      </c>
      <c r="AG96" s="167">
        <v>93</v>
      </c>
      <c r="AH96" s="168">
        <v>0.76</v>
      </c>
      <c r="AI96" s="168">
        <v>0.78</v>
      </c>
      <c r="AJ96" s="168">
        <v>0.81</v>
      </c>
      <c r="AK96" s="168">
        <v>0.84</v>
      </c>
      <c r="AL96" s="168">
        <v>0.87</v>
      </c>
      <c r="AM96" s="168">
        <v>0.91</v>
      </c>
      <c r="AN96" s="168">
        <v>0.95</v>
      </c>
      <c r="AO96" s="168">
        <v>1</v>
      </c>
      <c r="AP96" s="168">
        <v>1.05</v>
      </c>
      <c r="AQ96" s="168">
        <v>1.1100000000000001</v>
      </c>
      <c r="AR96" s="168">
        <v>1.19</v>
      </c>
      <c r="AS96" s="168">
        <v>1.28</v>
      </c>
      <c r="AT96" s="168">
        <v>1.38</v>
      </c>
      <c r="AU96" s="168">
        <v>1.52</v>
      </c>
      <c r="AV96" s="168">
        <v>1.69</v>
      </c>
      <c r="AW96" s="168">
        <v>1.91</v>
      </c>
      <c r="AX96" s="168">
        <v>2.21</v>
      </c>
    </row>
    <row r="97" spans="3:50" ht="15" x14ac:dyDescent="0.25">
      <c r="C97" s="159"/>
      <c r="D97" s="159"/>
      <c r="E97" s="159"/>
      <c r="F97" s="159"/>
      <c r="G97" s="159"/>
      <c r="H97" s="159"/>
      <c r="I97" s="159"/>
      <c r="M97" s="139"/>
      <c r="N97" s="139"/>
      <c r="O97" s="139"/>
      <c r="P97" s="139"/>
      <c r="Q97" s="139"/>
      <c r="R97" s="139"/>
      <c r="S97" s="139"/>
      <c r="T97" s="139"/>
      <c r="U97" s="139"/>
      <c r="V97" s="139"/>
      <c r="W97" s="139"/>
      <c r="X97" s="139"/>
      <c r="Y97" s="139"/>
      <c r="Z97" s="139"/>
      <c r="AF97" s="166">
        <v>177.6</v>
      </c>
      <c r="AG97" s="167">
        <v>94</v>
      </c>
      <c r="AH97" s="168">
        <v>0.74</v>
      </c>
      <c r="AI97" s="168">
        <v>0.76</v>
      </c>
      <c r="AJ97" s="168">
        <v>0.79</v>
      </c>
      <c r="AK97" s="168">
        <v>0.81</v>
      </c>
      <c r="AL97" s="168">
        <v>0.84</v>
      </c>
      <c r="AM97" s="168">
        <v>0.88</v>
      </c>
      <c r="AN97" s="168">
        <v>0.92</v>
      </c>
      <c r="AO97" s="168">
        <v>0.96</v>
      </c>
      <c r="AP97" s="168">
        <v>1.01</v>
      </c>
      <c r="AQ97" s="168">
        <v>1.07</v>
      </c>
      <c r="AR97" s="168">
        <v>1.1299999999999999</v>
      </c>
      <c r="AS97" s="168">
        <v>1.21</v>
      </c>
      <c r="AT97" s="168">
        <v>1.31</v>
      </c>
      <c r="AU97" s="168">
        <v>1.43</v>
      </c>
      <c r="AV97" s="168">
        <v>1.58</v>
      </c>
      <c r="AW97" s="168">
        <v>1.77</v>
      </c>
      <c r="AX97" s="168">
        <v>2.02</v>
      </c>
    </row>
    <row r="98" spans="3:50" ht="15" x14ac:dyDescent="0.25">
      <c r="C98" s="159"/>
      <c r="D98" s="159"/>
      <c r="E98" s="159"/>
      <c r="F98" s="159"/>
      <c r="G98" s="159"/>
      <c r="H98" s="159"/>
      <c r="I98" s="159"/>
      <c r="M98" s="139"/>
      <c r="N98" s="139"/>
      <c r="O98" s="139"/>
      <c r="P98" s="139"/>
      <c r="Q98" s="139"/>
      <c r="R98" s="139"/>
      <c r="S98" s="139"/>
      <c r="T98" s="139"/>
      <c r="U98" s="139"/>
      <c r="V98" s="139"/>
      <c r="W98" s="139"/>
      <c r="X98" s="139"/>
      <c r="Y98" s="139"/>
      <c r="Z98" s="139"/>
      <c r="AF98" s="166">
        <v>180.7</v>
      </c>
      <c r="AG98" s="167">
        <v>95</v>
      </c>
      <c r="AH98" s="168">
        <v>0.72</v>
      </c>
      <c r="AI98" s="168">
        <v>0.74</v>
      </c>
      <c r="AJ98" s="168">
        <v>0.76</v>
      </c>
      <c r="AK98" s="168">
        <v>0.79</v>
      </c>
      <c r="AL98" s="168">
        <v>0.82</v>
      </c>
      <c r="AM98" s="168">
        <v>0.85</v>
      </c>
      <c r="AN98" s="168">
        <v>0.88</v>
      </c>
      <c r="AO98" s="168">
        <v>0.92</v>
      </c>
      <c r="AP98" s="168">
        <v>0.97</v>
      </c>
      <c r="AQ98" s="168">
        <v>1.02</v>
      </c>
      <c r="AR98" s="168">
        <v>1.08</v>
      </c>
      <c r="AS98" s="168">
        <v>1.1599999999999999</v>
      </c>
      <c r="AT98" s="168">
        <v>1.24</v>
      </c>
      <c r="AU98" s="168">
        <v>1.35</v>
      </c>
      <c r="AV98" s="168">
        <v>1.48</v>
      </c>
      <c r="AW98" s="168">
        <v>1.64</v>
      </c>
      <c r="AX98" s="168">
        <v>1.86</v>
      </c>
    </row>
    <row r="99" spans="3:50" ht="15" x14ac:dyDescent="0.25">
      <c r="C99" s="159"/>
      <c r="D99" s="159"/>
      <c r="E99" s="159"/>
      <c r="F99" s="159"/>
      <c r="G99" s="159"/>
      <c r="H99" s="159"/>
      <c r="I99" s="159"/>
      <c r="M99" s="139"/>
      <c r="N99" s="139"/>
      <c r="O99" s="139"/>
      <c r="P99" s="139"/>
      <c r="Q99" s="139"/>
      <c r="R99" s="139"/>
      <c r="S99" s="139"/>
      <c r="T99" s="139"/>
      <c r="U99" s="139"/>
      <c r="V99" s="139"/>
      <c r="W99" s="139"/>
      <c r="X99" s="139"/>
      <c r="Y99" s="139"/>
      <c r="Z99" s="139"/>
      <c r="AF99" s="166">
        <v>185</v>
      </c>
      <c r="AG99" s="167">
        <v>96.3</v>
      </c>
      <c r="AH99" s="168">
        <v>0.69</v>
      </c>
      <c r="AI99" s="168">
        <v>0.71</v>
      </c>
      <c r="AJ99" s="168">
        <v>0.73</v>
      </c>
      <c r="AK99" s="168">
        <v>0.76</v>
      </c>
      <c r="AL99" s="168">
        <v>0.78</v>
      </c>
      <c r="AM99" s="168">
        <v>0.81</v>
      </c>
      <c r="AN99" s="168">
        <v>0.84</v>
      </c>
      <c r="AO99" s="168">
        <v>0.88</v>
      </c>
      <c r="AP99" s="168">
        <v>0.92</v>
      </c>
      <c r="AQ99" s="168">
        <v>0.97</v>
      </c>
      <c r="AR99" s="168">
        <v>1.02</v>
      </c>
      <c r="AS99" s="168">
        <v>1.0900000000000001</v>
      </c>
      <c r="AT99" s="168">
        <v>1.1599999999999999</v>
      </c>
      <c r="AU99" s="168">
        <v>1.25</v>
      </c>
      <c r="AV99" s="169">
        <v>1.36</v>
      </c>
      <c r="AW99" s="168">
        <v>1.51</v>
      </c>
      <c r="AX99" s="168">
        <v>1.68</v>
      </c>
    </row>
    <row r="100" spans="3:50" ht="15" x14ac:dyDescent="0.25">
      <c r="M100" s="139"/>
      <c r="N100" s="139"/>
      <c r="O100" s="139"/>
      <c r="P100" s="139"/>
      <c r="Q100" s="139"/>
      <c r="R100" s="139"/>
      <c r="S100" s="139"/>
      <c r="T100" s="139"/>
      <c r="U100" s="139"/>
      <c r="V100" s="139"/>
      <c r="W100" s="139"/>
      <c r="X100" s="139"/>
      <c r="Y100" s="139"/>
      <c r="Z100" s="139"/>
      <c r="AF100" s="166">
        <v>187</v>
      </c>
      <c r="AG100" s="167">
        <v>97</v>
      </c>
      <c r="AH100" s="168">
        <v>0.68</v>
      </c>
      <c r="AI100" s="168">
        <v>0.7</v>
      </c>
      <c r="AJ100" s="168">
        <v>0.72</v>
      </c>
      <c r="AK100" s="168">
        <v>0.74</v>
      </c>
      <c r="AL100" s="168">
        <v>0.77</v>
      </c>
      <c r="AM100" s="168">
        <v>0.79</v>
      </c>
      <c r="AN100" s="168">
        <v>0.83</v>
      </c>
      <c r="AO100" s="168">
        <v>0.86</v>
      </c>
      <c r="AP100" s="168">
        <v>0.9</v>
      </c>
      <c r="AQ100" s="168">
        <v>0.94</v>
      </c>
      <c r="AR100" s="168">
        <v>0.99</v>
      </c>
      <c r="AS100" s="168">
        <v>1.05</v>
      </c>
      <c r="AT100" s="168">
        <v>1.1299999999999999</v>
      </c>
      <c r="AU100" s="168">
        <v>1.21</v>
      </c>
      <c r="AV100" s="168">
        <v>1.31</v>
      </c>
      <c r="AW100" s="168">
        <v>1.44</v>
      </c>
      <c r="AX100" s="168">
        <v>1.6</v>
      </c>
    </row>
    <row r="101" spans="3:50" ht="15" x14ac:dyDescent="0.25">
      <c r="M101" s="139"/>
      <c r="N101" s="139"/>
      <c r="O101" s="139"/>
      <c r="P101" s="139"/>
      <c r="Q101" s="139"/>
      <c r="R101" s="139"/>
      <c r="S101" s="139"/>
      <c r="T101" s="139"/>
      <c r="U101" s="139"/>
      <c r="V101" s="139"/>
      <c r="W101" s="139"/>
      <c r="X101" s="139"/>
      <c r="Y101" s="139"/>
      <c r="Z101" s="139"/>
      <c r="AF101" s="166">
        <v>190.2</v>
      </c>
      <c r="AG101" s="167">
        <v>98</v>
      </c>
      <c r="AH101" s="168">
        <v>0.66</v>
      </c>
      <c r="AI101" s="168">
        <v>0.68</v>
      </c>
      <c r="AJ101" s="168">
        <v>0.7</v>
      </c>
      <c r="AK101" s="168">
        <v>0.72</v>
      </c>
      <c r="AL101" s="168">
        <v>0.74</v>
      </c>
      <c r="AM101" s="168">
        <v>0.77</v>
      </c>
      <c r="AN101" s="168">
        <v>0.8</v>
      </c>
      <c r="AO101" s="168">
        <v>0.83</v>
      </c>
      <c r="AP101" s="168">
        <v>0.87</v>
      </c>
      <c r="AQ101" s="168">
        <v>0.91</v>
      </c>
      <c r="AR101" s="168">
        <v>0.96</v>
      </c>
      <c r="AS101" s="168">
        <v>1.01</v>
      </c>
      <c r="AT101" s="168">
        <v>1.07</v>
      </c>
      <c r="AU101" s="168">
        <v>1.1499999999999999</v>
      </c>
      <c r="AV101" s="168">
        <v>1.24</v>
      </c>
      <c r="AW101" s="168">
        <v>1.35</v>
      </c>
      <c r="AX101" s="168">
        <v>1.49</v>
      </c>
    </row>
    <row r="102" spans="3:50" ht="15" x14ac:dyDescent="0.25">
      <c r="M102" s="139"/>
      <c r="N102" s="139"/>
      <c r="O102" s="139"/>
      <c r="P102" s="139"/>
      <c r="Q102" s="139"/>
      <c r="R102" s="139"/>
      <c r="S102" s="139"/>
      <c r="T102" s="139"/>
      <c r="U102" s="139"/>
      <c r="V102" s="139"/>
      <c r="W102" s="139"/>
      <c r="X102" s="139"/>
      <c r="Y102" s="139"/>
      <c r="Z102" s="139"/>
      <c r="AF102" s="166">
        <v>193.4</v>
      </c>
      <c r="AG102" s="167">
        <v>99</v>
      </c>
      <c r="AH102" s="168">
        <v>0.65</v>
      </c>
      <c r="AI102" s="168">
        <v>0.66</v>
      </c>
      <c r="AJ102" s="168">
        <v>0.68</v>
      </c>
      <c r="AK102" s="168">
        <v>0.7</v>
      </c>
      <c r="AL102" s="168">
        <v>0.72</v>
      </c>
      <c r="AM102" s="168">
        <v>0.75</v>
      </c>
      <c r="AN102" s="168">
        <v>0.77</v>
      </c>
      <c r="AO102" s="168">
        <v>0.8</v>
      </c>
      <c r="AP102" s="168">
        <v>0.84</v>
      </c>
      <c r="AQ102" s="168">
        <v>0.87</v>
      </c>
      <c r="AR102" s="168">
        <v>0.92</v>
      </c>
      <c r="AS102" s="168">
        <v>0.97</v>
      </c>
      <c r="AT102" s="168">
        <v>1.03</v>
      </c>
      <c r="AU102" s="168">
        <v>1.1000000000000001</v>
      </c>
      <c r="AV102" s="168">
        <v>1.18</v>
      </c>
      <c r="AW102" s="168">
        <v>1.28</v>
      </c>
      <c r="AX102" s="168">
        <v>1.4</v>
      </c>
    </row>
    <row r="103" spans="3:50" ht="15" x14ac:dyDescent="0.25">
      <c r="M103" s="139"/>
      <c r="N103" s="139"/>
      <c r="O103" s="139"/>
      <c r="P103" s="139"/>
      <c r="Q103" s="139"/>
      <c r="R103" s="139"/>
      <c r="S103" s="139"/>
      <c r="T103" s="139"/>
      <c r="U103" s="139"/>
      <c r="V103" s="139"/>
      <c r="W103" s="139"/>
      <c r="X103" s="139"/>
      <c r="Y103" s="139"/>
      <c r="Z103" s="139"/>
      <c r="AF103" s="166">
        <v>196.7</v>
      </c>
      <c r="AG103" s="167">
        <v>100</v>
      </c>
      <c r="AH103" s="168">
        <v>0.63</v>
      </c>
      <c r="AI103" s="168">
        <v>0.65</v>
      </c>
      <c r="AJ103" s="168">
        <v>0.66</v>
      </c>
      <c r="AK103" s="168">
        <v>0.68</v>
      </c>
      <c r="AL103" s="168">
        <v>0.7</v>
      </c>
      <c r="AM103" s="168">
        <v>0.72</v>
      </c>
      <c r="AN103" s="168">
        <v>0.75</v>
      </c>
      <c r="AO103" s="168">
        <v>0.78</v>
      </c>
      <c r="AP103" s="168">
        <v>0.81</v>
      </c>
      <c r="AQ103" s="168">
        <v>0.84</v>
      </c>
      <c r="AR103" s="168">
        <v>0.88</v>
      </c>
      <c r="AS103" s="168">
        <v>0.93</v>
      </c>
      <c r="AT103" s="168">
        <v>0.98</v>
      </c>
      <c r="AU103" s="168">
        <v>1.05</v>
      </c>
      <c r="AV103" s="168">
        <v>1.1200000000000001</v>
      </c>
      <c r="AW103" s="168">
        <v>1.21</v>
      </c>
      <c r="AX103" s="168">
        <v>1.32</v>
      </c>
    </row>
    <row r="104" spans="3:50" ht="15" x14ac:dyDescent="0.25">
      <c r="M104" s="139"/>
      <c r="N104" s="139"/>
      <c r="O104" s="139"/>
      <c r="P104" s="139"/>
      <c r="Q104" s="139"/>
      <c r="R104" s="139"/>
      <c r="S104" s="139"/>
      <c r="T104" s="139"/>
      <c r="U104" s="139"/>
      <c r="V104" s="139"/>
      <c r="W104" s="139"/>
      <c r="X104" s="139"/>
      <c r="Y104" s="139"/>
      <c r="Z104" s="139"/>
      <c r="AF104" s="166">
        <v>213.7</v>
      </c>
      <c r="AG104" s="167">
        <v>105</v>
      </c>
      <c r="AH104" s="168">
        <v>0.56000000000000005</v>
      </c>
      <c r="AI104" s="168">
        <v>0.56999999999999995</v>
      </c>
      <c r="AJ104" s="168">
        <v>0.57999999999999996</v>
      </c>
      <c r="AK104" s="168">
        <v>0.6</v>
      </c>
      <c r="AL104" s="168">
        <v>0.61</v>
      </c>
      <c r="AM104" s="168">
        <v>0.63</v>
      </c>
      <c r="AN104" s="168">
        <v>0.65</v>
      </c>
      <c r="AO104" s="168">
        <v>0.67</v>
      </c>
      <c r="AP104" s="168">
        <v>0.69</v>
      </c>
      <c r="AQ104" s="168">
        <v>0.71</v>
      </c>
      <c r="AR104" s="168">
        <v>0.74</v>
      </c>
      <c r="AS104" s="168">
        <v>0.77</v>
      </c>
      <c r="AT104" s="168">
        <v>0.81</v>
      </c>
      <c r="AU104" s="168">
        <v>0.85</v>
      </c>
      <c r="AV104" s="168">
        <v>0.89</v>
      </c>
      <c r="AW104" s="168">
        <v>0.95</v>
      </c>
      <c r="AX104" s="168">
        <v>1.01</v>
      </c>
    </row>
    <row r="105" spans="3:50" ht="15" x14ac:dyDescent="0.25">
      <c r="M105" s="139"/>
      <c r="N105" s="139"/>
      <c r="O105" s="139"/>
      <c r="P105" s="139"/>
      <c r="Q105" s="139"/>
      <c r="R105" s="139"/>
      <c r="S105" s="139"/>
      <c r="T105" s="139"/>
      <c r="U105" s="139"/>
      <c r="V105" s="139"/>
      <c r="W105" s="139"/>
      <c r="X105" s="139"/>
      <c r="Y105" s="139"/>
      <c r="Z105" s="139"/>
      <c r="AF105" s="166">
        <v>231.8</v>
      </c>
      <c r="AG105" s="167">
        <v>110</v>
      </c>
      <c r="AH105" s="168">
        <v>0.5</v>
      </c>
      <c r="AI105" s="168">
        <v>0.51</v>
      </c>
      <c r="AJ105" s="168">
        <v>0.52</v>
      </c>
      <c r="AK105" s="168">
        <v>0.53</v>
      </c>
      <c r="AL105" s="168">
        <v>0.54</v>
      </c>
      <c r="AM105" s="168">
        <v>0.55000000000000004</v>
      </c>
      <c r="AN105" s="168">
        <v>0.56999999999999995</v>
      </c>
      <c r="AO105" s="168">
        <v>0.57999999999999996</v>
      </c>
      <c r="AP105" s="168">
        <v>0.6</v>
      </c>
      <c r="AQ105" s="168">
        <v>0.62</v>
      </c>
      <c r="AR105" s="168">
        <v>0.64</v>
      </c>
      <c r="AS105" s="168">
        <v>0.66</v>
      </c>
      <c r="AT105" s="168">
        <v>0.68</v>
      </c>
      <c r="AU105" s="168">
        <v>0.71</v>
      </c>
      <c r="AV105" s="168">
        <v>0.74</v>
      </c>
      <c r="AW105" s="168">
        <v>0.78</v>
      </c>
      <c r="AX105" s="168">
        <v>0.82</v>
      </c>
    </row>
    <row r="106" spans="3:50" x14ac:dyDescent="0.2">
      <c r="M106" s="139"/>
      <c r="N106" s="139"/>
      <c r="O106" s="139"/>
      <c r="P106" s="139"/>
      <c r="Q106" s="139"/>
      <c r="R106" s="139"/>
      <c r="S106" s="139"/>
      <c r="T106" s="139"/>
      <c r="U106" s="139"/>
      <c r="V106" s="139"/>
      <c r="W106" s="139"/>
      <c r="X106" s="139"/>
      <c r="Y106" s="139"/>
      <c r="Z106" s="139"/>
    </row>
    <row r="107" spans="3:50" x14ac:dyDescent="0.2">
      <c r="M107" s="139"/>
      <c r="N107" s="139"/>
      <c r="O107" s="139"/>
      <c r="P107" s="139"/>
      <c r="Q107" s="139"/>
      <c r="R107" s="139"/>
      <c r="S107" s="139"/>
      <c r="T107" s="139"/>
      <c r="U107" s="139"/>
      <c r="V107" s="139"/>
      <c r="W107" s="139"/>
      <c r="X107" s="139"/>
      <c r="Y107" s="139"/>
      <c r="Z107" s="139"/>
      <c r="AI107" s="170" t="s">
        <v>101</v>
      </c>
      <c r="AJ107" s="170"/>
      <c r="AK107" s="170"/>
      <c r="AL107" s="170"/>
      <c r="AM107" s="170"/>
    </row>
    <row r="108" spans="3:50" x14ac:dyDescent="0.2">
      <c r="M108" s="139"/>
      <c r="N108" s="139"/>
      <c r="O108" s="139"/>
      <c r="P108" s="139"/>
      <c r="Q108" s="139"/>
      <c r="R108" s="139"/>
      <c r="S108" s="139"/>
      <c r="T108" s="139"/>
      <c r="U108" s="139"/>
      <c r="V108" s="139"/>
      <c r="W108" s="139"/>
      <c r="X108" s="139"/>
      <c r="Y108" s="139"/>
      <c r="Z108" s="139"/>
    </row>
    <row r="109" spans="3:50" x14ac:dyDescent="0.2">
      <c r="M109" s="10"/>
      <c r="N109" s="10"/>
      <c r="O109" s="10"/>
      <c r="P109" s="10"/>
      <c r="Q109" s="10"/>
      <c r="R109" s="10"/>
      <c r="S109" s="10"/>
      <c r="T109" s="10"/>
      <c r="U109" s="10"/>
      <c r="V109" s="10"/>
      <c r="W109" s="10"/>
      <c r="X109" s="10"/>
      <c r="Y109" s="10"/>
      <c r="Z109" s="10"/>
    </row>
  </sheetData>
  <mergeCells count="25">
    <mergeCell ref="AG84:AG85"/>
    <mergeCell ref="AH84:AX84"/>
    <mergeCell ref="AF86:AG86"/>
    <mergeCell ref="AB16:AB17"/>
    <mergeCell ref="A28:B32"/>
    <mergeCell ref="E28:F28"/>
    <mergeCell ref="E29:F29"/>
    <mergeCell ref="C45:E45"/>
    <mergeCell ref="AF81:AX83"/>
    <mergeCell ref="C83:H83"/>
    <mergeCell ref="U15:W15"/>
    <mergeCell ref="X15:Z15"/>
    <mergeCell ref="A16:B26"/>
    <mergeCell ref="U16:U17"/>
    <mergeCell ref="V16:V17"/>
    <mergeCell ref="W16:W17"/>
    <mergeCell ref="X16:X17"/>
    <mergeCell ref="Y16:Y17"/>
    <mergeCell ref="Z16:Z17"/>
    <mergeCell ref="T15:T17"/>
    <mergeCell ref="A1:B1"/>
    <mergeCell ref="P15:P17"/>
    <mergeCell ref="Q15:Q17"/>
    <mergeCell ref="R15:R17"/>
    <mergeCell ref="S15:S17"/>
  </mergeCells>
  <conditionalFormatting sqref="AH16:AH31">
    <cfRule type="colorScale" priority="1">
      <colorScale>
        <cfvo type="min"/>
        <cfvo type="percentile" val="50"/>
        <cfvo type="max"/>
        <color rgb="FF63BE7B"/>
        <color rgb="FFFFEB84"/>
        <color rgb="FFF8696B"/>
      </colorScale>
    </cfRule>
  </conditionalFormatting>
  <conditionalFormatting sqref="AH40:AH69">
    <cfRule type="colorScale" priority="3">
      <colorScale>
        <cfvo type="min"/>
        <cfvo type="percentile" val="50"/>
        <cfvo type="max"/>
        <color rgb="FFF8696B"/>
        <color rgb="FFFFEB84"/>
        <color rgb="FF63BE7B"/>
      </colorScale>
    </cfRule>
  </conditionalFormatting>
  <dataValidations count="1">
    <dataValidation type="list" allowBlank="1" showInputMessage="1" showErrorMessage="1" sqref="G16">
      <formula1>$AF$10:$AF$11</formula1>
    </dataValidation>
  </dataValidations>
  <pageMargins left="0.75" right="0.75" top="1" bottom="1" header="0.5" footer="0.5"/>
  <pageSetup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13"/>
  <sheetViews>
    <sheetView zoomScale="85" zoomScaleNormal="85" workbookViewId="0">
      <selection activeCell="F37" sqref="F37"/>
    </sheetView>
  </sheetViews>
  <sheetFormatPr defaultRowHeight="12.75" x14ac:dyDescent="0.2"/>
  <cols>
    <col min="1" max="1" width="19.7109375" style="1" customWidth="1"/>
    <col min="2" max="2" width="33.85546875" style="1" customWidth="1"/>
    <col min="3" max="3" width="33.28515625" style="1" customWidth="1"/>
    <col min="4" max="4" width="11.28515625" style="1" customWidth="1"/>
    <col min="5" max="6" width="13.5703125" style="1" customWidth="1"/>
    <col min="7" max="7" width="11.5703125" style="1" customWidth="1"/>
    <col min="8" max="8" width="21.7109375" style="1" customWidth="1"/>
    <col min="9" max="9" width="3" style="1" customWidth="1"/>
    <col min="10" max="10" width="19.42578125" style="1" customWidth="1"/>
    <col min="11" max="11" width="10.5703125" style="1" customWidth="1"/>
    <col min="12" max="12" width="18" style="1" customWidth="1"/>
    <col min="13" max="14" width="7.85546875" style="1" customWidth="1"/>
    <col min="15" max="15" width="9.85546875" style="1" customWidth="1"/>
    <col min="16" max="16" width="11.42578125" style="1" bestFit="1" customWidth="1"/>
    <col min="17" max="17" width="14.7109375" style="1" bestFit="1" customWidth="1"/>
    <col min="18" max="18" width="13" style="1" customWidth="1"/>
    <col min="19" max="19" width="13.85546875" style="1" customWidth="1"/>
    <col min="20" max="20" width="9.140625" style="1"/>
    <col min="21" max="21" width="12.85546875" style="1" bestFit="1" customWidth="1"/>
    <col min="22" max="22" width="12.85546875" style="1" customWidth="1"/>
    <col min="23" max="23" width="31.42578125" style="1" customWidth="1"/>
    <col min="24" max="24" width="15.140625" style="1" customWidth="1"/>
    <col min="25" max="16384" width="9.140625" style="1"/>
  </cols>
  <sheetData>
    <row r="1" spans="1:25" x14ac:dyDescent="0.2">
      <c r="A1" s="582" t="s">
        <v>0</v>
      </c>
      <c r="B1" s="582"/>
    </row>
    <row r="2" spans="1:25" ht="22.5" x14ac:dyDescent="0.2">
      <c r="A2" s="3" t="s">
        <v>1</v>
      </c>
      <c r="B2" s="4" t="str">
        <f>D12</f>
        <v>Install Variable Speed Drives on Cooling Tower Fans</v>
      </c>
      <c r="D2" s="1" t="s">
        <v>107</v>
      </c>
      <c r="L2" s="1" t="s">
        <v>132</v>
      </c>
    </row>
    <row r="3" spans="1:25" x14ac:dyDescent="0.2">
      <c r="A3" s="3" t="s">
        <v>2</v>
      </c>
      <c r="B3" s="5">
        <f>D46</f>
        <v>1.3764035402125394</v>
      </c>
      <c r="D3" s="1" t="s">
        <v>171</v>
      </c>
      <c r="L3" s="1" t="s">
        <v>133</v>
      </c>
    </row>
    <row r="4" spans="1:25" x14ac:dyDescent="0.2">
      <c r="A4" s="3" t="s">
        <v>3</v>
      </c>
      <c r="B4" s="6">
        <f>D47</f>
        <v>13761.930669633151</v>
      </c>
      <c r="D4" s="1" t="s">
        <v>172</v>
      </c>
      <c r="L4" s="1" t="s">
        <v>134</v>
      </c>
    </row>
    <row r="5" spans="1:25" x14ac:dyDescent="0.2">
      <c r="A5" s="3" t="s">
        <v>4</v>
      </c>
      <c r="B5" s="6">
        <v>0</v>
      </c>
      <c r="D5" s="1" t="s">
        <v>174</v>
      </c>
      <c r="L5" s="1" t="s">
        <v>135</v>
      </c>
    </row>
    <row r="6" spans="1:25" x14ac:dyDescent="0.2">
      <c r="A6" s="3" t="s">
        <v>5</v>
      </c>
      <c r="B6" s="7">
        <f>D48</f>
        <v>1100.954453570652</v>
      </c>
      <c r="D6" s="1" t="s">
        <v>170</v>
      </c>
    </row>
    <row r="7" spans="1:25" x14ac:dyDescent="0.2">
      <c r="A7" s="3" t="s">
        <v>6</v>
      </c>
      <c r="B7" s="7">
        <v>0</v>
      </c>
    </row>
    <row r="8" spans="1:25" ht="22.5" x14ac:dyDescent="0.2">
      <c r="A8" s="3" t="s">
        <v>7</v>
      </c>
      <c r="B8" s="7">
        <f>F42</f>
        <v>3375</v>
      </c>
    </row>
    <row r="9" spans="1:25" ht="23.25" x14ac:dyDescent="0.25">
      <c r="A9" s="3" t="s">
        <v>8</v>
      </c>
      <c r="B9" s="8" t="e">
        <f>#REF!</f>
        <v>#REF!</v>
      </c>
    </row>
    <row r="10" spans="1:25" x14ac:dyDescent="0.2">
      <c r="J10" s="10"/>
      <c r="K10" s="10"/>
      <c r="L10" s="10"/>
    </row>
    <row r="11" spans="1:25" ht="13.5" thickBot="1" x14ac:dyDescent="0.25">
      <c r="J11" s="10"/>
      <c r="K11" s="10"/>
      <c r="L11" s="10"/>
    </row>
    <row r="12" spans="1:25" x14ac:dyDescent="0.2">
      <c r="C12" s="12" t="s">
        <v>12</v>
      </c>
      <c r="D12" s="13" t="s">
        <v>136</v>
      </c>
      <c r="E12" s="13"/>
      <c r="F12" s="13"/>
      <c r="G12" s="13"/>
      <c r="H12" s="13"/>
      <c r="I12" s="13"/>
      <c r="J12" s="13"/>
      <c r="K12" s="14"/>
      <c r="L12" s="10"/>
    </row>
    <row r="13" spans="1:25" ht="13.5" thickBot="1" x14ac:dyDescent="0.25">
      <c r="C13" s="15" t="s">
        <v>14</v>
      </c>
      <c r="D13" s="16" t="s">
        <v>15</v>
      </c>
      <c r="E13" s="17"/>
      <c r="F13" s="16"/>
      <c r="G13" s="17"/>
      <c r="H13" s="16"/>
      <c r="I13" s="16"/>
      <c r="J13" s="16"/>
      <c r="K13" s="18"/>
      <c r="L13" s="10"/>
      <c r="W13" s="1" t="s">
        <v>16</v>
      </c>
    </row>
    <row r="14" spans="1:25" ht="13.5" thickBot="1" x14ac:dyDescent="0.25">
      <c r="C14" s="10"/>
      <c r="E14" s="10"/>
      <c r="G14" s="10"/>
      <c r="H14" s="10"/>
      <c r="J14" s="10"/>
      <c r="K14" s="10"/>
      <c r="L14" s="10"/>
      <c r="W14" s="1" t="s">
        <v>17</v>
      </c>
    </row>
    <row r="15" spans="1:25" ht="13.5" thickBot="1" x14ac:dyDescent="0.25">
      <c r="C15" s="19" t="s">
        <v>18</v>
      </c>
      <c r="D15" s="20"/>
      <c r="E15" s="20"/>
      <c r="F15" s="20"/>
      <c r="G15" s="20"/>
      <c r="H15" s="21"/>
      <c r="I15" s="22"/>
      <c r="J15" s="23" t="s">
        <v>19</v>
      </c>
      <c r="K15" s="24"/>
      <c r="L15" s="24"/>
      <c r="M15" s="24"/>
      <c r="N15" s="24"/>
      <c r="O15" s="613" t="s">
        <v>137</v>
      </c>
      <c r="P15" s="616" t="s">
        <v>138</v>
      </c>
      <c r="Q15" s="617"/>
      <c r="R15" s="616" t="s">
        <v>139</v>
      </c>
      <c r="S15" s="617"/>
      <c r="W15" s="9" t="s">
        <v>27</v>
      </c>
      <c r="X15" s="9" t="s">
        <v>28</v>
      </c>
      <c r="Y15" s="1" t="s">
        <v>122</v>
      </c>
    </row>
    <row r="16" spans="1:25" ht="26.25" customHeight="1" thickTop="1" x14ac:dyDescent="0.2">
      <c r="C16" s="25" t="s">
        <v>140</v>
      </c>
      <c r="D16" s="26" t="s">
        <v>31</v>
      </c>
      <c r="E16" s="27" t="s">
        <v>32</v>
      </c>
      <c r="F16" s="27" t="s">
        <v>33</v>
      </c>
      <c r="G16" s="27" t="s">
        <v>34</v>
      </c>
      <c r="H16" s="30"/>
      <c r="J16" s="31" t="s">
        <v>118</v>
      </c>
      <c r="K16" s="32"/>
      <c r="L16" s="32"/>
      <c r="M16" s="32"/>
      <c r="N16" s="33"/>
      <c r="O16" s="614"/>
      <c r="P16" s="618" t="s">
        <v>36</v>
      </c>
      <c r="Q16" s="620" t="s">
        <v>37</v>
      </c>
      <c r="R16" s="618" t="s">
        <v>36</v>
      </c>
      <c r="S16" s="620" t="s">
        <v>37</v>
      </c>
      <c r="W16" s="9">
        <v>3</v>
      </c>
      <c r="X16" s="34">
        <v>2000</v>
      </c>
      <c r="Y16" s="176">
        <f>X16/W16</f>
        <v>666.66666666666663</v>
      </c>
    </row>
    <row r="17" spans="3:25" x14ac:dyDescent="0.2">
      <c r="C17" s="35" t="s">
        <v>146</v>
      </c>
      <c r="D17" s="36">
        <v>10</v>
      </c>
      <c r="E17" s="37">
        <v>0.8</v>
      </c>
      <c r="F17" s="38">
        <v>0.93</v>
      </c>
      <c r="G17" s="40">
        <f t="shared" ref="G17:G22" si="0">IF(C17="", "", D17*0.746*E17/F17)</f>
        <v>6.4172043010752686</v>
      </c>
      <c r="H17" s="30"/>
      <c r="I17" s="41"/>
      <c r="J17" s="42" t="s">
        <v>40</v>
      </c>
      <c r="K17" s="43" t="s">
        <v>41</v>
      </c>
      <c r="L17" s="43" t="s">
        <v>42</v>
      </c>
      <c r="M17" s="43" t="s">
        <v>43</v>
      </c>
      <c r="N17" s="44" t="s">
        <v>44</v>
      </c>
      <c r="O17" s="615"/>
      <c r="P17" s="619"/>
      <c r="Q17" s="621"/>
      <c r="R17" s="619"/>
      <c r="S17" s="621"/>
      <c r="U17" s="1" t="s">
        <v>39</v>
      </c>
      <c r="W17" s="9">
        <v>5</v>
      </c>
      <c r="X17" s="34">
        <v>2150</v>
      </c>
      <c r="Y17" s="176">
        <f t="shared" ref="Y17:Y23" si="1">X17/W17</f>
        <v>430</v>
      </c>
    </row>
    <row r="18" spans="3:25" x14ac:dyDescent="0.2">
      <c r="C18" s="35"/>
      <c r="D18" s="36"/>
      <c r="E18" s="37"/>
      <c r="F18" s="38"/>
      <c r="G18" s="40" t="str">
        <f t="shared" si="0"/>
        <v/>
      </c>
      <c r="H18" s="30"/>
      <c r="I18" s="41"/>
      <c r="J18" s="46">
        <v>107.5</v>
      </c>
      <c r="K18" s="47">
        <v>0</v>
      </c>
      <c r="L18" s="47">
        <v>0</v>
      </c>
      <c r="M18" s="47">
        <v>0</v>
      </c>
      <c r="N18" s="48" t="s">
        <v>46</v>
      </c>
      <c r="O18" s="186">
        <f t="shared" ref="O18:O46" si="2">IF(J18&lt;=$G$25, 0, MAX(0.3, IF(J18&gt;$G$28, $D$28, IF(J18&lt;$G$29, $D$29, ((($D$28-$D$29)/($G$28-$G$29))*(J18-$G$29)+$D$29 ) ))))</f>
        <v>1</v>
      </c>
      <c r="P18" s="187">
        <f>MAX(((100/90)*O18)-(1/9), 0)*$G$23</f>
        <v>6.4172043010752686</v>
      </c>
      <c r="Q18" s="55">
        <f>P18*K18</f>
        <v>0</v>
      </c>
      <c r="R18" s="188">
        <f>$G$23*(O18^3)/$D$31</f>
        <v>6.7549518958687038</v>
      </c>
      <c r="S18" s="55">
        <f>R18*K18</f>
        <v>0</v>
      </c>
      <c r="U18" s="11">
        <f>P18-R18</f>
        <v>-0.33774759479343519</v>
      </c>
      <c r="V18" s="11">
        <f>J18</f>
        <v>107.5</v>
      </c>
      <c r="W18" s="9">
        <v>7.5</v>
      </c>
      <c r="X18" s="34">
        <v>2575</v>
      </c>
      <c r="Y18" s="176">
        <f t="shared" si="1"/>
        <v>343.33333333333331</v>
      </c>
    </row>
    <row r="19" spans="3:25" x14ac:dyDescent="0.2">
      <c r="C19" s="35"/>
      <c r="D19" s="36"/>
      <c r="E19" s="37"/>
      <c r="F19" s="38"/>
      <c r="G19" s="40" t="str">
        <f t="shared" si="0"/>
        <v/>
      </c>
      <c r="H19" s="30"/>
      <c r="I19" s="41"/>
      <c r="J19" s="46">
        <v>102.5</v>
      </c>
      <c r="K19" s="47">
        <v>0</v>
      </c>
      <c r="L19" s="47">
        <v>0</v>
      </c>
      <c r="M19" s="47">
        <v>0</v>
      </c>
      <c r="N19" s="48" t="s">
        <v>46</v>
      </c>
      <c r="O19" s="186">
        <f t="shared" si="2"/>
        <v>1</v>
      </c>
      <c r="P19" s="187">
        <f t="shared" ref="P19:P46" si="3">MAX(((100/90)*O19)-(1/9), 0)*$G$23</f>
        <v>6.4172043010752686</v>
      </c>
      <c r="Q19" s="55">
        <f t="shared" ref="Q19:Q46" si="4">P19*K19</f>
        <v>0</v>
      </c>
      <c r="R19" s="188">
        <f t="shared" ref="R19:R46" si="5">$G$23*(O19^3)/$D$31</f>
        <v>6.7549518958687038</v>
      </c>
      <c r="S19" s="55">
        <f t="shared" ref="S19:S46" si="6">R19*K19</f>
        <v>0</v>
      </c>
      <c r="U19" s="11">
        <f t="shared" ref="U19:U46" si="7">P19-R19</f>
        <v>-0.33774759479343519</v>
      </c>
      <c r="V19" s="11">
        <f t="shared" ref="V19:V46" si="8">J19</f>
        <v>102.5</v>
      </c>
      <c r="W19" s="9">
        <v>10</v>
      </c>
      <c r="X19" s="34">
        <v>2875</v>
      </c>
      <c r="Y19" s="176">
        <f t="shared" si="1"/>
        <v>287.5</v>
      </c>
    </row>
    <row r="20" spans="3:25" x14ac:dyDescent="0.2">
      <c r="C20" s="35"/>
      <c r="D20" s="36"/>
      <c r="E20" s="37"/>
      <c r="F20" s="38"/>
      <c r="G20" s="40" t="str">
        <f t="shared" si="0"/>
        <v/>
      </c>
      <c r="H20" s="30"/>
      <c r="I20" s="41"/>
      <c r="J20" s="46">
        <v>97.5</v>
      </c>
      <c r="K20" s="47">
        <v>1</v>
      </c>
      <c r="L20" s="47">
        <v>0</v>
      </c>
      <c r="M20" s="47">
        <v>1</v>
      </c>
      <c r="N20" s="48">
        <v>79.11</v>
      </c>
      <c r="O20" s="186">
        <f t="shared" si="2"/>
        <v>1</v>
      </c>
      <c r="P20" s="187">
        <f t="shared" si="3"/>
        <v>6.4172043010752686</v>
      </c>
      <c r="Q20" s="55">
        <f t="shared" si="4"/>
        <v>6.4172043010752686</v>
      </c>
      <c r="R20" s="188">
        <f t="shared" si="5"/>
        <v>6.7549518958687038</v>
      </c>
      <c r="S20" s="55">
        <f t="shared" si="6"/>
        <v>6.7549518958687038</v>
      </c>
      <c r="U20" s="11">
        <f t="shared" si="7"/>
        <v>-0.33774759479343519</v>
      </c>
      <c r="V20" s="11">
        <f t="shared" si="8"/>
        <v>97.5</v>
      </c>
      <c r="W20" s="9">
        <v>15</v>
      </c>
      <c r="X20" s="34">
        <v>3700</v>
      </c>
      <c r="Y20" s="176">
        <f t="shared" si="1"/>
        <v>246.66666666666666</v>
      </c>
    </row>
    <row r="21" spans="3:25" x14ac:dyDescent="0.2">
      <c r="C21" s="35"/>
      <c r="D21" s="36"/>
      <c r="E21" s="37"/>
      <c r="F21" s="38"/>
      <c r="G21" s="40" t="str">
        <f t="shared" si="0"/>
        <v/>
      </c>
      <c r="H21" s="30"/>
      <c r="I21" s="41"/>
      <c r="J21" s="46">
        <v>92.5</v>
      </c>
      <c r="K21" s="47">
        <v>26</v>
      </c>
      <c r="L21" s="47">
        <v>0</v>
      </c>
      <c r="M21" s="47">
        <v>26</v>
      </c>
      <c r="N21" s="48">
        <v>78.340769230769226</v>
      </c>
      <c r="O21" s="186">
        <f t="shared" si="2"/>
        <v>0.96499999999999986</v>
      </c>
      <c r="P21" s="187">
        <f t="shared" si="3"/>
        <v>6.167646356033452</v>
      </c>
      <c r="Q21" s="55">
        <f t="shared" si="4"/>
        <v>160.35880525686974</v>
      </c>
      <c r="R21" s="188">
        <f t="shared" si="5"/>
        <v>6.0702167764572703</v>
      </c>
      <c r="S21" s="55">
        <f t="shared" si="6"/>
        <v>157.82563618788902</v>
      </c>
      <c r="U21" s="11">
        <f t="shared" si="7"/>
        <v>9.7429579576181702E-2</v>
      </c>
      <c r="V21" s="11">
        <f t="shared" si="8"/>
        <v>92.5</v>
      </c>
      <c r="W21" s="9">
        <v>20</v>
      </c>
      <c r="X21" s="34">
        <v>4150</v>
      </c>
      <c r="Y21" s="176">
        <f t="shared" si="1"/>
        <v>207.5</v>
      </c>
    </row>
    <row r="22" spans="3:25" x14ac:dyDescent="0.2">
      <c r="C22" s="35"/>
      <c r="D22" s="36"/>
      <c r="E22" s="37"/>
      <c r="F22" s="38"/>
      <c r="G22" s="40" t="str">
        <f t="shared" si="0"/>
        <v/>
      </c>
      <c r="H22" s="30"/>
      <c r="I22" s="41"/>
      <c r="J22" s="46">
        <v>87.5</v>
      </c>
      <c r="K22" s="47">
        <v>160</v>
      </c>
      <c r="L22" s="47">
        <v>0</v>
      </c>
      <c r="M22" s="47">
        <v>160</v>
      </c>
      <c r="N22" s="48">
        <v>72.417562500000003</v>
      </c>
      <c r="O22" s="186">
        <f t="shared" si="2"/>
        <v>0.89500000000000002</v>
      </c>
      <c r="P22" s="187">
        <f t="shared" si="3"/>
        <v>5.6685304659498206</v>
      </c>
      <c r="Q22" s="55">
        <f t="shared" si="4"/>
        <v>906.96487455197132</v>
      </c>
      <c r="R22" s="188">
        <f t="shared" si="5"/>
        <v>4.842742381437465</v>
      </c>
      <c r="S22" s="55">
        <f t="shared" si="6"/>
        <v>774.83878102999438</v>
      </c>
      <c r="U22" s="11">
        <f t="shared" si="7"/>
        <v>0.82578808451235552</v>
      </c>
      <c r="V22" s="11">
        <f t="shared" si="8"/>
        <v>87.5</v>
      </c>
      <c r="W22" s="9">
        <v>25</v>
      </c>
      <c r="X22" s="34">
        <v>5300</v>
      </c>
      <c r="Y22" s="176">
        <f t="shared" si="1"/>
        <v>212</v>
      </c>
    </row>
    <row r="23" spans="3:25" x14ac:dyDescent="0.2">
      <c r="C23" s="61"/>
      <c r="D23" s="62"/>
      <c r="E23" s="62"/>
      <c r="F23" s="63" t="s">
        <v>47</v>
      </c>
      <c r="G23" s="40">
        <f>SUM(G17:G22)</f>
        <v>6.4172043010752686</v>
      </c>
      <c r="H23" s="30"/>
      <c r="I23" s="41"/>
      <c r="J23" s="46">
        <v>82.5</v>
      </c>
      <c r="K23" s="47">
        <v>428</v>
      </c>
      <c r="L23" s="47">
        <v>0</v>
      </c>
      <c r="M23" s="47">
        <v>428</v>
      </c>
      <c r="N23" s="48">
        <v>69.528901869159029</v>
      </c>
      <c r="O23" s="186">
        <f t="shared" si="2"/>
        <v>0.82499999999999996</v>
      </c>
      <c r="P23" s="187">
        <f t="shared" si="3"/>
        <v>5.1694145758661891</v>
      </c>
      <c r="Q23" s="55">
        <f t="shared" si="4"/>
        <v>2212.509438470729</v>
      </c>
      <c r="R23" s="188">
        <f t="shared" si="5"/>
        <v>3.7930110356536497</v>
      </c>
      <c r="S23" s="55">
        <f t="shared" si="6"/>
        <v>1623.4087232597622</v>
      </c>
      <c r="U23" s="11">
        <f t="shared" si="7"/>
        <v>1.3764035402125394</v>
      </c>
      <c r="V23" s="11">
        <f t="shared" si="8"/>
        <v>82.5</v>
      </c>
      <c r="W23" s="9">
        <v>30</v>
      </c>
      <c r="X23" s="34">
        <v>6100</v>
      </c>
      <c r="Y23" s="176">
        <f t="shared" si="1"/>
        <v>203.33333333333334</v>
      </c>
    </row>
    <row r="24" spans="3:25" x14ac:dyDescent="0.2">
      <c r="C24" s="61"/>
      <c r="D24" s="62"/>
      <c r="E24" s="62"/>
      <c r="F24" s="63"/>
      <c r="G24" s="66"/>
      <c r="H24" s="30"/>
      <c r="I24" s="41"/>
      <c r="J24" s="46">
        <v>77.5</v>
      </c>
      <c r="K24" s="47">
        <v>531</v>
      </c>
      <c r="L24" s="47">
        <v>0</v>
      </c>
      <c r="M24" s="47">
        <v>531</v>
      </c>
      <c r="N24" s="48">
        <v>67.593389830508343</v>
      </c>
      <c r="O24" s="186">
        <f t="shared" si="2"/>
        <v>0.75499999999999989</v>
      </c>
      <c r="P24" s="187">
        <f t="shared" si="3"/>
        <v>4.6702986857825559</v>
      </c>
      <c r="Q24" s="55">
        <f t="shared" si="4"/>
        <v>2479.9286021505372</v>
      </c>
      <c r="R24" s="188">
        <f t="shared" si="5"/>
        <v>2.9071210481041301</v>
      </c>
      <c r="S24" s="55">
        <f t="shared" si="6"/>
        <v>1543.6812765432931</v>
      </c>
      <c r="U24" s="11">
        <f t="shared" si="7"/>
        <v>1.7631776376784258</v>
      </c>
      <c r="V24" s="11">
        <f t="shared" si="8"/>
        <v>77.5</v>
      </c>
      <c r="W24" s="9">
        <v>40</v>
      </c>
      <c r="X24" s="34">
        <v>6925</v>
      </c>
      <c r="Y24" s="177" t="s">
        <v>124</v>
      </c>
    </row>
    <row r="25" spans="3:25" ht="12.75" customHeight="1" x14ac:dyDescent="0.2">
      <c r="C25" s="71" t="s">
        <v>49</v>
      </c>
      <c r="D25" s="622" t="s">
        <v>141</v>
      </c>
      <c r="E25" s="622"/>
      <c r="F25" s="623"/>
      <c r="G25" s="75">
        <v>-10</v>
      </c>
      <c r="H25" s="82" t="s">
        <v>142</v>
      </c>
      <c r="I25" s="41"/>
      <c r="J25" s="46">
        <v>72.5</v>
      </c>
      <c r="K25" s="47">
        <v>538</v>
      </c>
      <c r="L25" s="47">
        <v>0</v>
      </c>
      <c r="M25" s="47">
        <v>538</v>
      </c>
      <c r="N25" s="48">
        <v>65.190464684014756</v>
      </c>
      <c r="O25" s="186">
        <f t="shared" si="2"/>
        <v>0.68499999999999994</v>
      </c>
      <c r="P25" s="187">
        <f t="shared" si="3"/>
        <v>4.1711827956989245</v>
      </c>
      <c r="Q25" s="55">
        <f t="shared" si="4"/>
        <v>2244.0963440860214</v>
      </c>
      <c r="R25" s="188">
        <f t="shared" si="5"/>
        <v>2.1711707277872092</v>
      </c>
      <c r="S25" s="55">
        <f t="shared" si="6"/>
        <v>1168.0898515495185</v>
      </c>
      <c r="U25" s="11">
        <f t="shared" si="7"/>
        <v>2.0000120679117153</v>
      </c>
      <c r="V25" s="11">
        <f t="shared" si="8"/>
        <v>72.5</v>
      </c>
      <c r="W25" s="9">
        <v>50</v>
      </c>
      <c r="X25" s="34">
        <v>8675</v>
      </c>
      <c r="Y25" s="177"/>
    </row>
    <row r="26" spans="3:25" ht="12.75" customHeight="1" x14ac:dyDescent="0.2">
      <c r="C26" s="61"/>
      <c r="D26" s="62"/>
      <c r="E26" s="62"/>
      <c r="F26" s="62"/>
      <c r="G26" s="62"/>
      <c r="H26" s="70"/>
      <c r="I26" s="41"/>
      <c r="J26" s="46">
        <v>67.5</v>
      </c>
      <c r="K26" s="47">
        <v>767</v>
      </c>
      <c r="L26" s="47">
        <v>0</v>
      </c>
      <c r="M26" s="47">
        <v>767</v>
      </c>
      <c r="N26" s="48">
        <v>61.564132985657949</v>
      </c>
      <c r="O26" s="186">
        <f t="shared" si="2"/>
        <v>0.61499999999999999</v>
      </c>
      <c r="P26" s="187">
        <f t="shared" si="3"/>
        <v>3.6720669056152926</v>
      </c>
      <c r="Q26" s="55">
        <f t="shared" si="4"/>
        <v>2816.4753166069295</v>
      </c>
      <c r="R26" s="188">
        <f t="shared" si="5"/>
        <v>1.5712583837011882</v>
      </c>
      <c r="S26" s="55">
        <f t="shared" si="6"/>
        <v>1205.1551802988113</v>
      </c>
      <c r="U26" s="11">
        <f t="shared" si="7"/>
        <v>2.1008085219141046</v>
      </c>
      <c r="V26" s="11">
        <f t="shared" si="8"/>
        <v>67.5</v>
      </c>
      <c r="W26" s="9">
        <v>60</v>
      </c>
      <c r="X26" s="34">
        <v>10600</v>
      </c>
      <c r="Y26" s="177"/>
    </row>
    <row r="27" spans="3:25" ht="13.5" customHeight="1" x14ac:dyDescent="0.2">
      <c r="C27" s="71" t="s">
        <v>173</v>
      </c>
      <c r="D27" s="72"/>
      <c r="E27" s="72"/>
      <c r="F27" s="73"/>
      <c r="G27" s="73"/>
      <c r="H27" s="70"/>
      <c r="I27" s="41"/>
      <c r="J27" s="46">
        <v>62.5</v>
      </c>
      <c r="K27" s="47">
        <v>848</v>
      </c>
      <c r="L27" s="47">
        <v>0</v>
      </c>
      <c r="M27" s="47">
        <v>848</v>
      </c>
      <c r="N27" s="48">
        <v>57.274351415094301</v>
      </c>
      <c r="O27" s="186">
        <f t="shared" si="2"/>
        <v>0.54499999999999993</v>
      </c>
      <c r="P27" s="187">
        <f t="shared" si="3"/>
        <v>3.1729510155316603</v>
      </c>
      <c r="Q27" s="55">
        <f t="shared" si="4"/>
        <v>2690.662461170848</v>
      </c>
      <c r="R27" s="188">
        <f t="shared" si="5"/>
        <v>1.0934823248443686</v>
      </c>
      <c r="S27" s="55">
        <f t="shared" si="6"/>
        <v>927.27301146802461</v>
      </c>
      <c r="T27" s="74"/>
      <c r="U27" s="11">
        <f t="shared" si="7"/>
        <v>2.0794686906872917</v>
      </c>
      <c r="V27" s="11">
        <f t="shared" si="8"/>
        <v>62.5</v>
      </c>
      <c r="W27" s="9">
        <v>75</v>
      </c>
      <c r="X27" s="34">
        <v>11700</v>
      </c>
      <c r="Y27" s="177"/>
    </row>
    <row r="28" spans="3:25" x14ac:dyDescent="0.2">
      <c r="C28" s="71"/>
      <c r="D28" s="90">
        <v>1</v>
      </c>
      <c r="E28" s="606" t="s">
        <v>143</v>
      </c>
      <c r="F28" s="607"/>
      <c r="G28" s="75">
        <v>95</v>
      </c>
      <c r="H28" s="82" t="s">
        <v>53</v>
      </c>
      <c r="I28" s="41"/>
      <c r="J28" s="46">
        <v>57.5</v>
      </c>
      <c r="K28" s="47">
        <v>677</v>
      </c>
      <c r="L28" s="47">
        <v>0</v>
      </c>
      <c r="M28" s="47">
        <v>677</v>
      </c>
      <c r="N28" s="48">
        <v>52.655214180206563</v>
      </c>
      <c r="O28" s="186">
        <f t="shared" si="2"/>
        <v>0.47499999999999998</v>
      </c>
      <c r="P28" s="187">
        <f t="shared" si="3"/>
        <v>2.6738351254480288</v>
      </c>
      <c r="Q28" s="55">
        <f t="shared" si="4"/>
        <v>1810.1863799283155</v>
      </c>
      <c r="R28" s="188">
        <f t="shared" si="5"/>
        <v>0.72394086021505377</v>
      </c>
      <c r="S28" s="55">
        <f t="shared" si="6"/>
        <v>490.10796236559139</v>
      </c>
      <c r="U28" s="11">
        <f t="shared" si="7"/>
        <v>1.9498942652329752</v>
      </c>
      <c r="V28" s="11">
        <f t="shared" si="8"/>
        <v>57.5</v>
      </c>
      <c r="W28" s="9">
        <v>100</v>
      </c>
      <c r="X28" s="34">
        <v>13500</v>
      </c>
      <c r="Y28" s="177"/>
    </row>
    <row r="29" spans="3:25" x14ac:dyDescent="0.2">
      <c r="C29" s="571"/>
      <c r="D29" s="90">
        <v>0.3</v>
      </c>
      <c r="E29" s="606" t="s">
        <v>143</v>
      </c>
      <c r="F29" s="607"/>
      <c r="G29" s="75">
        <v>45</v>
      </c>
      <c r="H29" s="82" t="s">
        <v>54</v>
      </c>
      <c r="I29" s="79"/>
      <c r="J29" s="46">
        <v>52.5</v>
      </c>
      <c r="K29" s="47">
        <v>641</v>
      </c>
      <c r="L29" s="47">
        <v>0</v>
      </c>
      <c r="M29" s="47">
        <v>641</v>
      </c>
      <c r="N29" s="48">
        <v>47.771029641185542</v>
      </c>
      <c r="O29" s="186">
        <f t="shared" si="2"/>
        <v>0.40499999999999997</v>
      </c>
      <c r="P29" s="187">
        <f t="shared" si="3"/>
        <v>2.1747192353643965</v>
      </c>
      <c r="Q29" s="55">
        <f t="shared" si="4"/>
        <v>1393.9950298685781</v>
      </c>
      <c r="R29" s="188">
        <f t="shared" si="5"/>
        <v>0.44873229881154486</v>
      </c>
      <c r="S29" s="55">
        <f t="shared" si="6"/>
        <v>287.63740353820026</v>
      </c>
      <c r="U29" s="11">
        <f t="shared" si="7"/>
        <v>1.7259869365528515</v>
      </c>
      <c r="V29" s="11">
        <f t="shared" si="8"/>
        <v>52.5</v>
      </c>
      <c r="W29" s="9">
        <v>125</v>
      </c>
      <c r="X29" s="34">
        <v>14700</v>
      </c>
      <c r="Y29" s="177"/>
    </row>
    <row r="30" spans="3:25" ht="12.75" customHeight="1" x14ac:dyDescent="0.2">
      <c r="C30" s="61"/>
      <c r="D30" s="62"/>
      <c r="E30" s="62"/>
      <c r="F30" s="62"/>
      <c r="G30" s="62"/>
      <c r="H30" s="82"/>
      <c r="I30" s="83"/>
      <c r="J30" s="46">
        <v>47.5</v>
      </c>
      <c r="K30" s="47">
        <v>408</v>
      </c>
      <c r="L30" s="47">
        <v>0</v>
      </c>
      <c r="M30" s="47">
        <v>408</v>
      </c>
      <c r="N30" s="48">
        <v>43.561200980392243</v>
      </c>
      <c r="O30" s="186">
        <f t="shared" si="2"/>
        <v>0.33499999999999996</v>
      </c>
      <c r="P30" s="187">
        <f t="shared" si="3"/>
        <v>1.6756033452807644</v>
      </c>
      <c r="Q30" s="55">
        <f t="shared" si="4"/>
        <v>683.64616487455191</v>
      </c>
      <c r="R30" s="188">
        <f t="shared" si="5"/>
        <v>0.25395494963214477</v>
      </c>
      <c r="S30" s="55">
        <f t="shared" si="6"/>
        <v>103.61361944991506</v>
      </c>
      <c r="U30" s="11">
        <f t="shared" si="7"/>
        <v>1.4216483956486197</v>
      </c>
      <c r="V30" s="11">
        <f t="shared" si="8"/>
        <v>47.5</v>
      </c>
      <c r="W30" s="9">
        <v>150</v>
      </c>
      <c r="X30" s="34">
        <v>16300</v>
      </c>
      <c r="Y30" s="177"/>
    </row>
    <row r="31" spans="3:25" ht="12.75" customHeight="1" x14ac:dyDescent="0.2">
      <c r="C31" s="61" t="s">
        <v>59</v>
      </c>
      <c r="D31" s="90">
        <v>0.95</v>
      </c>
      <c r="E31" s="62"/>
      <c r="F31" s="62"/>
      <c r="G31" s="73"/>
      <c r="H31" s="70"/>
      <c r="I31" s="83"/>
      <c r="J31" s="46">
        <v>42.5</v>
      </c>
      <c r="K31" s="47">
        <v>595</v>
      </c>
      <c r="L31" s="47">
        <v>0</v>
      </c>
      <c r="M31" s="47">
        <v>595</v>
      </c>
      <c r="N31" s="48">
        <v>38.91354621848734</v>
      </c>
      <c r="O31" s="186">
        <f t="shared" si="2"/>
        <v>0.3</v>
      </c>
      <c r="P31" s="187">
        <f t="shared" si="3"/>
        <v>1.4260454002389484</v>
      </c>
      <c r="Q31" s="55">
        <f t="shared" si="4"/>
        <v>848.4970131421743</v>
      </c>
      <c r="R31" s="188">
        <f t="shared" si="5"/>
        <v>0.18238370118845501</v>
      </c>
      <c r="S31" s="55">
        <f t="shared" si="6"/>
        <v>108.51830220713073</v>
      </c>
      <c r="U31" s="11">
        <f t="shared" si="7"/>
        <v>1.2436616990504934</v>
      </c>
      <c r="V31" s="11">
        <f t="shared" si="8"/>
        <v>42.5</v>
      </c>
      <c r="W31" s="9">
        <v>200</v>
      </c>
      <c r="X31" s="34">
        <v>20900</v>
      </c>
      <c r="Y31" s="177"/>
    </row>
    <row r="32" spans="3:25" ht="12.75" customHeight="1" thickBot="1" x14ac:dyDescent="0.25">
      <c r="C32" s="91"/>
      <c r="D32" s="92"/>
      <c r="E32" s="92"/>
      <c r="F32" s="92"/>
      <c r="G32" s="189"/>
      <c r="H32" s="190"/>
      <c r="I32" s="79"/>
      <c r="J32" s="46">
        <v>37.5</v>
      </c>
      <c r="K32" s="47">
        <v>865</v>
      </c>
      <c r="L32" s="47">
        <v>0</v>
      </c>
      <c r="M32" s="47">
        <v>865</v>
      </c>
      <c r="N32" s="48">
        <v>34.174589595375785</v>
      </c>
      <c r="O32" s="186">
        <f t="shared" si="2"/>
        <v>0.3</v>
      </c>
      <c r="P32" s="187">
        <f t="shared" si="3"/>
        <v>1.4260454002389484</v>
      </c>
      <c r="Q32" s="55">
        <f t="shared" si="4"/>
        <v>1233.5292712066905</v>
      </c>
      <c r="R32" s="188">
        <f t="shared" si="5"/>
        <v>0.18238370118845501</v>
      </c>
      <c r="S32" s="55">
        <f t="shared" si="6"/>
        <v>157.7619015280136</v>
      </c>
      <c r="U32" s="11">
        <f t="shared" si="7"/>
        <v>1.2436616990504934</v>
      </c>
      <c r="V32" s="11">
        <f t="shared" si="8"/>
        <v>37.5</v>
      </c>
      <c r="W32" s="1" t="s">
        <v>145</v>
      </c>
    </row>
    <row r="33" spans="2:25" ht="13.5" thickBot="1" x14ac:dyDescent="0.25">
      <c r="I33" s="79"/>
      <c r="J33" s="46">
        <v>32.5</v>
      </c>
      <c r="K33" s="47">
        <v>759</v>
      </c>
      <c r="L33" s="47">
        <v>0</v>
      </c>
      <c r="M33" s="47">
        <v>759</v>
      </c>
      <c r="N33" s="48">
        <v>29.752292490118474</v>
      </c>
      <c r="O33" s="186">
        <f t="shared" si="2"/>
        <v>0.3</v>
      </c>
      <c r="P33" s="187">
        <f t="shared" si="3"/>
        <v>1.4260454002389484</v>
      </c>
      <c r="Q33" s="55">
        <f t="shared" si="4"/>
        <v>1082.3684587813618</v>
      </c>
      <c r="R33" s="188">
        <f t="shared" si="5"/>
        <v>0.18238370118845501</v>
      </c>
      <c r="S33" s="55">
        <f t="shared" si="6"/>
        <v>138.42922920203736</v>
      </c>
      <c r="U33" s="11">
        <f t="shared" si="7"/>
        <v>1.2436616990504934</v>
      </c>
      <c r="V33" s="11">
        <f t="shared" si="8"/>
        <v>32.5</v>
      </c>
      <c r="W33" s="1" t="s">
        <v>123</v>
      </c>
      <c r="Y33" s="178">
        <f>AVERAGE(Y16:Y23)</f>
        <v>324.625</v>
      </c>
    </row>
    <row r="34" spans="2:25" ht="13.5" thickBot="1" x14ac:dyDescent="0.25">
      <c r="C34" s="96" t="s">
        <v>60</v>
      </c>
      <c r="D34" s="97"/>
      <c r="E34" s="97"/>
      <c r="F34" s="98"/>
      <c r="G34" s="10"/>
      <c r="I34" s="79"/>
      <c r="J34" s="46">
        <v>27.5</v>
      </c>
      <c r="K34" s="47">
        <v>402</v>
      </c>
      <c r="L34" s="47">
        <v>0</v>
      </c>
      <c r="M34" s="47">
        <v>402</v>
      </c>
      <c r="N34" s="48">
        <v>25.203084577114421</v>
      </c>
      <c r="O34" s="186">
        <f t="shared" si="2"/>
        <v>0.3</v>
      </c>
      <c r="P34" s="187">
        <f t="shared" si="3"/>
        <v>1.4260454002389484</v>
      </c>
      <c r="Q34" s="55">
        <f t="shared" si="4"/>
        <v>573.27025089605729</v>
      </c>
      <c r="R34" s="188">
        <f t="shared" si="5"/>
        <v>0.18238370118845501</v>
      </c>
      <c r="S34" s="55">
        <f t="shared" si="6"/>
        <v>73.318247877758921</v>
      </c>
      <c r="U34" s="11">
        <f t="shared" si="7"/>
        <v>1.2436616990504934</v>
      </c>
      <c r="V34" s="11">
        <f t="shared" si="8"/>
        <v>27.5</v>
      </c>
      <c r="W34" s="1" t="s">
        <v>116</v>
      </c>
      <c r="Y34" s="178">
        <f>STDEV(Y16:Y23)</f>
        <v>159.022229403453</v>
      </c>
    </row>
    <row r="35" spans="2:25" ht="13.5" thickTop="1" x14ac:dyDescent="0.2">
      <c r="C35" s="99"/>
      <c r="D35" s="26" t="s">
        <v>61</v>
      </c>
      <c r="E35" s="100" t="s">
        <v>62</v>
      </c>
      <c r="F35" s="101" t="s">
        <v>63</v>
      </c>
      <c r="G35" s="102"/>
      <c r="H35" s="10"/>
      <c r="I35" s="79"/>
      <c r="J35" s="46">
        <v>22.5</v>
      </c>
      <c r="K35" s="47">
        <v>320</v>
      </c>
      <c r="L35" s="47">
        <v>0</v>
      </c>
      <c r="M35" s="47">
        <v>320</v>
      </c>
      <c r="N35" s="48">
        <v>20.29556250000002</v>
      </c>
      <c r="O35" s="186">
        <f t="shared" si="2"/>
        <v>0.3</v>
      </c>
      <c r="P35" s="187">
        <f t="shared" si="3"/>
        <v>1.4260454002389484</v>
      </c>
      <c r="Q35" s="55">
        <f t="shared" si="4"/>
        <v>456.33452807646347</v>
      </c>
      <c r="R35" s="188">
        <f t="shared" si="5"/>
        <v>0.18238370118845501</v>
      </c>
      <c r="S35" s="55">
        <f t="shared" si="6"/>
        <v>58.362784380305605</v>
      </c>
      <c r="U35" s="11">
        <f t="shared" si="7"/>
        <v>1.2436616990504934</v>
      </c>
      <c r="V35" s="11">
        <f t="shared" si="8"/>
        <v>22.5</v>
      </c>
      <c r="W35" s="139"/>
      <c r="X35" s="139"/>
    </row>
    <row r="36" spans="2:25" x14ac:dyDescent="0.2">
      <c r="C36" s="103" t="str">
        <f>IF(C17="", "", C17 &amp;" VFD")</f>
        <v>Generic Cooling Tower VFD</v>
      </c>
      <c r="D36" s="104">
        <f>IF(C17="", "", D17)</f>
        <v>10</v>
      </c>
      <c r="E36" s="105">
        <f>IF(C36="", "", VLOOKUP(D36, $W$16:$X$31, 2, FALSE))</f>
        <v>2875</v>
      </c>
      <c r="F36" s="106">
        <f>E36</f>
        <v>2875</v>
      </c>
      <c r="G36" s="107" t="s">
        <v>130</v>
      </c>
      <c r="H36" s="10"/>
      <c r="I36" s="95"/>
      <c r="J36" s="46">
        <v>17.5</v>
      </c>
      <c r="K36" s="47">
        <v>382</v>
      </c>
      <c r="L36" s="47">
        <v>0</v>
      </c>
      <c r="M36" s="47">
        <v>382</v>
      </c>
      <c r="N36" s="48">
        <v>15.561439790575941</v>
      </c>
      <c r="O36" s="186">
        <f t="shared" si="2"/>
        <v>0.3</v>
      </c>
      <c r="P36" s="187">
        <f t="shared" si="3"/>
        <v>1.4260454002389484</v>
      </c>
      <c r="Q36" s="55">
        <f t="shared" si="4"/>
        <v>544.74934289127827</v>
      </c>
      <c r="R36" s="188">
        <f t="shared" si="5"/>
        <v>0.18238370118845501</v>
      </c>
      <c r="S36" s="55">
        <f t="shared" si="6"/>
        <v>69.670573853989808</v>
      </c>
      <c r="U36" s="11">
        <f t="shared" si="7"/>
        <v>1.2436616990504934</v>
      </c>
      <c r="V36" s="11">
        <f t="shared" si="8"/>
        <v>17.5</v>
      </c>
      <c r="W36" s="139"/>
      <c r="X36" s="139"/>
    </row>
    <row r="37" spans="2:25" x14ac:dyDescent="0.2">
      <c r="C37" s="108" t="s">
        <v>129</v>
      </c>
      <c r="D37" s="109"/>
      <c r="E37" s="110"/>
      <c r="F37" s="572">
        <v>500</v>
      </c>
      <c r="G37" s="107" t="s">
        <v>131</v>
      </c>
      <c r="H37" s="10"/>
      <c r="J37" s="46">
        <v>12.5</v>
      </c>
      <c r="K37" s="47">
        <v>157</v>
      </c>
      <c r="L37" s="47">
        <v>0</v>
      </c>
      <c r="M37" s="47">
        <v>157</v>
      </c>
      <c r="N37" s="48">
        <v>10.628808917197434</v>
      </c>
      <c r="O37" s="186">
        <f t="shared" si="2"/>
        <v>0.3</v>
      </c>
      <c r="P37" s="187">
        <f t="shared" si="3"/>
        <v>1.4260454002389484</v>
      </c>
      <c r="Q37" s="55">
        <f t="shared" si="4"/>
        <v>223.88912783751491</v>
      </c>
      <c r="R37" s="188">
        <f t="shared" si="5"/>
        <v>0.18238370118845501</v>
      </c>
      <c r="S37" s="55">
        <f t="shared" si="6"/>
        <v>28.634241086587437</v>
      </c>
      <c r="U37" s="11">
        <f t="shared" si="7"/>
        <v>1.2436616990504934</v>
      </c>
      <c r="V37" s="11">
        <f t="shared" si="8"/>
        <v>12.5</v>
      </c>
      <c r="W37" s="139"/>
      <c r="X37" s="139"/>
    </row>
    <row r="38" spans="2:25" ht="12" customHeight="1" x14ac:dyDescent="0.2">
      <c r="C38" s="108" t="str">
        <f t="shared" ref="C38:C41" si="9">IF(C19="", "", C19 &amp;" VFD")</f>
        <v/>
      </c>
      <c r="D38" s="109" t="str">
        <f t="shared" ref="D38:D41" si="10">IF(C19="", "", D19)</f>
        <v/>
      </c>
      <c r="E38" s="110" t="str">
        <f t="shared" ref="E38:E41" si="11">IF(C38="", "", VLOOKUP(D38, $W$16:$X$31, 2, FALSE))</f>
        <v/>
      </c>
      <c r="F38" s="111" t="str">
        <f t="shared" ref="F38:F41" si="12">E38</f>
        <v/>
      </c>
      <c r="G38" s="107"/>
      <c r="H38" s="10"/>
      <c r="J38" s="46">
        <v>7.5</v>
      </c>
      <c r="K38" s="47">
        <v>108</v>
      </c>
      <c r="L38" s="47">
        <v>0</v>
      </c>
      <c r="M38" s="47">
        <v>108</v>
      </c>
      <c r="N38" s="48">
        <v>6.0472222222222225</v>
      </c>
      <c r="O38" s="186">
        <f t="shared" si="2"/>
        <v>0.3</v>
      </c>
      <c r="P38" s="187">
        <f t="shared" si="3"/>
        <v>1.4260454002389484</v>
      </c>
      <c r="Q38" s="55">
        <f t="shared" si="4"/>
        <v>154.01290322580644</v>
      </c>
      <c r="R38" s="188">
        <f t="shared" si="5"/>
        <v>0.18238370118845501</v>
      </c>
      <c r="S38" s="55">
        <f t="shared" si="6"/>
        <v>19.697439728353142</v>
      </c>
      <c r="U38" s="11">
        <f t="shared" si="7"/>
        <v>1.2436616990504934</v>
      </c>
      <c r="V38" s="11">
        <f t="shared" si="8"/>
        <v>7.5</v>
      </c>
      <c r="W38" s="139"/>
      <c r="X38" s="139"/>
    </row>
    <row r="39" spans="2:25" x14ac:dyDescent="0.2">
      <c r="C39" s="108" t="str">
        <f t="shared" si="9"/>
        <v/>
      </c>
      <c r="D39" s="109" t="str">
        <f t="shared" si="10"/>
        <v/>
      </c>
      <c r="E39" s="110" t="str">
        <f t="shared" si="11"/>
        <v/>
      </c>
      <c r="F39" s="111" t="str">
        <f t="shared" si="12"/>
        <v/>
      </c>
      <c r="G39" s="107"/>
      <c r="H39" s="10"/>
      <c r="J39" s="46">
        <v>2.5</v>
      </c>
      <c r="K39" s="47">
        <v>68</v>
      </c>
      <c r="L39" s="47">
        <v>0</v>
      </c>
      <c r="M39" s="47">
        <v>68</v>
      </c>
      <c r="N39" s="48">
        <v>1.2042707352941175</v>
      </c>
      <c r="O39" s="186">
        <f t="shared" si="2"/>
        <v>0.3</v>
      </c>
      <c r="P39" s="187">
        <f t="shared" si="3"/>
        <v>1.4260454002389484</v>
      </c>
      <c r="Q39" s="55">
        <f t="shared" si="4"/>
        <v>96.971087216248492</v>
      </c>
      <c r="R39" s="188">
        <f t="shared" si="5"/>
        <v>0.18238370118845501</v>
      </c>
      <c r="S39" s="55">
        <f t="shared" si="6"/>
        <v>12.402091680814941</v>
      </c>
      <c r="U39" s="11">
        <f t="shared" si="7"/>
        <v>1.2436616990504934</v>
      </c>
      <c r="V39" s="11">
        <f t="shared" si="8"/>
        <v>2.5</v>
      </c>
      <c r="W39" s="139"/>
      <c r="X39" s="139"/>
    </row>
    <row r="40" spans="2:25" x14ac:dyDescent="0.2">
      <c r="C40" s="108" t="str">
        <f t="shared" si="9"/>
        <v/>
      </c>
      <c r="D40" s="109" t="str">
        <f t="shared" si="10"/>
        <v/>
      </c>
      <c r="E40" s="110" t="str">
        <f t="shared" si="11"/>
        <v/>
      </c>
      <c r="F40" s="111" t="str">
        <f t="shared" si="12"/>
        <v/>
      </c>
      <c r="G40" s="107"/>
      <c r="H40" s="113"/>
      <c r="J40" s="46">
        <v>-2.5</v>
      </c>
      <c r="K40" s="47">
        <v>54</v>
      </c>
      <c r="L40" s="47">
        <v>0</v>
      </c>
      <c r="M40" s="47">
        <v>54</v>
      </c>
      <c r="N40" s="48">
        <v>-3.6881851851851821</v>
      </c>
      <c r="O40" s="186">
        <f t="shared" si="2"/>
        <v>0.3</v>
      </c>
      <c r="P40" s="187">
        <f t="shared" si="3"/>
        <v>1.4260454002389484</v>
      </c>
      <c r="Q40" s="55">
        <f t="shared" si="4"/>
        <v>77.00645161290322</v>
      </c>
      <c r="R40" s="188">
        <f t="shared" si="5"/>
        <v>0.18238370118845501</v>
      </c>
      <c r="S40" s="55">
        <f t="shared" si="6"/>
        <v>9.8487198641765712</v>
      </c>
      <c r="U40" s="11">
        <f t="shared" si="7"/>
        <v>1.2436616990504934</v>
      </c>
      <c r="V40" s="11">
        <f t="shared" si="8"/>
        <v>-2.5</v>
      </c>
      <c r="W40" s="139"/>
      <c r="X40" s="139"/>
    </row>
    <row r="41" spans="2:25" ht="12" customHeight="1" thickBot="1" x14ac:dyDescent="0.25">
      <c r="C41" s="108" t="str">
        <f t="shared" si="9"/>
        <v/>
      </c>
      <c r="D41" s="109" t="str">
        <f t="shared" si="10"/>
        <v/>
      </c>
      <c r="E41" s="110" t="str">
        <f t="shared" si="11"/>
        <v/>
      </c>
      <c r="F41" s="114" t="str">
        <f t="shared" si="12"/>
        <v/>
      </c>
      <c r="G41" s="107"/>
      <c r="H41" s="10"/>
      <c r="J41" s="46">
        <v>-7.5</v>
      </c>
      <c r="K41" s="47">
        <v>25</v>
      </c>
      <c r="L41" s="47">
        <v>0</v>
      </c>
      <c r="M41" s="47">
        <v>25</v>
      </c>
      <c r="N41" s="48">
        <v>-8.3832400000000025</v>
      </c>
      <c r="O41" s="186">
        <f t="shared" si="2"/>
        <v>0.3</v>
      </c>
      <c r="P41" s="187">
        <f t="shared" si="3"/>
        <v>1.4260454002389484</v>
      </c>
      <c r="Q41" s="55">
        <f t="shared" si="4"/>
        <v>35.651135005973714</v>
      </c>
      <c r="R41" s="188">
        <f t="shared" si="5"/>
        <v>0.18238370118845501</v>
      </c>
      <c r="S41" s="55">
        <f t="shared" si="6"/>
        <v>4.5595925297113755</v>
      </c>
      <c r="T41" s="112"/>
      <c r="U41" s="11">
        <f t="shared" si="7"/>
        <v>1.2436616990504934</v>
      </c>
      <c r="V41" s="11">
        <f t="shared" si="8"/>
        <v>-7.5</v>
      </c>
      <c r="W41" s="139"/>
      <c r="X41" s="139"/>
    </row>
    <row r="42" spans="2:25" ht="12.75" customHeight="1" thickTop="1" thickBot="1" x14ac:dyDescent="0.25">
      <c r="C42" s="608" t="s">
        <v>64</v>
      </c>
      <c r="D42" s="609"/>
      <c r="E42" s="610"/>
      <c r="F42" s="115">
        <f>SUM(F36:F41)</f>
        <v>3375</v>
      </c>
      <c r="G42" s="116"/>
      <c r="H42" s="10"/>
      <c r="J42" s="46">
        <v>-12.5</v>
      </c>
      <c r="K42" s="47">
        <v>0</v>
      </c>
      <c r="L42" s="47">
        <v>0</v>
      </c>
      <c r="M42" s="47">
        <v>0</v>
      </c>
      <c r="N42" s="48" t="s">
        <v>46</v>
      </c>
      <c r="O42" s="186">
        <f t="shared" si="2"/>
        <v>0</v>
      </c>
      <c r="P42" s="187">
        <f t="shared" si="3"/>
        <v>0</v>
      </c>
      <c r="Q42" s="55">
        <f t="shared" si="4"/>
        <v>0</v>
      </c>
      <c r="R42" s="188">
        <f t="shared" si="5"/>
        <v>0</v>
      </c>
      <c r="S42" s="55">
        <f t="shared" si="6"/>
        <v>0</v>
      </c>
      <c r="U42" s="11">
        <f t="shared" si="7"/>
        <v>0</v>
      </c>
      <c r="V42" s="11">
        <f t="shared" si="8"/>
        <v>-12.5</v>
      </c>
      <c r="W42" s="139"/>
      <c r="X42" s="139"/>
    </row>
    <row r="43" spans="2:25" ht="12.75" customHeight="1" thickBot="1" x14ac:dyDescent="0.25">
      <c r="C43" s="10"/>
      <c r="D43" s="10"/>
      <c r="E43" s="117"/>
      <c r="F43" s="118"/>
      <c r="G43" s="119"/>
      <c r="H43" s="10"/>
      <c r="J43" s="46">
        <v>-17.5</v>
      </c>
      <c r="K43" s="47">
        <v>0</v>
      </c>
      <c r="L43" s="47">
        <v>0</v>
      </c>
      <c r="M43" s="47">
        <v>0</v>
      </c>
      <c r="N43" s="48" t="s">
        <v>46</v>
      </c>
      <c r="O43" s="186">
        <f t="shared" si="2"/>
        <v>0</v>
      </c>
      <c r="P43" s="187">
        <f t="shared" si="3"/>
        <v>0</v>
      </c>
      <c r="Q43" s="55">
        <f t="shared" si="4"/>
        <v>0</v>
      </c>
      <c r="R43" s="188">
        <f t="shared" si="5"/>
        <v>0</v>
      </c>
      <c r="S43" s="55">
        <f t="shared" si="6"/>
        <v>0</v>
      </c>
      <c r="U43" s="11">
        <f t="shared" si="7"/>
        <v>0</v>
      </c>
      <c r="V43" s="11">
        <f t="shared" si="8"/>
        <v>-17.5</v>
      </c>
      <c r="W43" s="139"/>
      <c r="X43" s="139"/>
    </row>
    <row r="44" spans="2:25" ht="12.75" customHeight="1" thickBot="1" x14ac:dyDescent="0.25">
      <c r="C44" s="140" t="s">
        <v>67</v>
      </c>
      <c r="D44" s="141"/>
      <c r="J44" s="46">
        <v>-22.5</v>
      </c>
      <c r="K44" s="47">
        <v>0</v>
      </c>
      <c r="L44" s="47">
        <v>0</v>
      </c>
      <c r="M44" s="47">
        <v>0</v>
      </c>
      <c r="N44" s="48" t="s">
        <v>46</v>
      </c>
      <c r="O44" s="186">
        <f t="shared" si="2"/>
        <v>0</v>
      </c>
      <c r="P44" s="187">
        <f t="shared" si="3"/>
        <v>0</v>
      </c>
      <c r="Q44" s="55">
        <f t="shared" si="4"/>
        <v>0</v>
      </c>
      <c r="R44" s="188">
        <f t="shared" si="5"/>
        <v>0</v>
      </c>
      <c r="S44" s="55">
        <f t="shared" si="6"/>
        <v>0</v>
      </c>
      <c r="U44" s="11">
        <f t="shared" si="7"/>
        <v>0</v>
      </c>
      <c r="V44" s="11">
        <f t="shared" si="8"/>
        <v>-22.5</v>
      </c>
      <c r="W44" s="139"/>
      <c r="X44" s="139"/>
    </row>
    <row r="45" spans="2:25" ht="13.5" customHeight="1" thickTop="1" x14ac:dyDescent="0.2">
      <c r="C45" s="61" t="s">
        <v>68</v>
      </c>
      <c r="D45" s="142">
        <f>(Q47-S47)/Q47</f>
        <v>0.60541180501362413</v>
      </c>
      <c r="J45" s="46">
        <v>-27.5</v>
      </c>
      <c r="K45" s="47">
        <v>0</v>
      </c>
      <c r="L45" s="47">
        <v>0</v>
      </c>
      <c r="M45" s="47">
        <v>0</v>
      </c>
      <c r="N45" s="48" t="s">
        <v>46</v>
      </c>
      <c r="O45" s="186">
        <f t="shared" si="2"/>
        <v>0</v>
      </c>
      <c r="P45" s="187">
        <f t="shared" si="3"/>
        <v>0</v>
      </c>
      <c r="Q45" s="55">
        <f t="shared" si="4"/>
        <v>0</v>
      </c>
      <c r="R45" s="188">
        <f t="shared" si="5"/>
        <v>0</v>
      </c>
      <c r="S45" s="55">
        <f t="shared" si="6"/>
        <v>0</v>
      </c>
      <c r="U45" s="11">
        <f t="shared" si="7"/>
        <v>0</v>
      </c>
      <c r="V45" s="11">
        <f t="shared" si="8"/>
        <v>-27.5</v>
      </c>
      <c r="W45" s="139"/>
      <c r="X45" s="139"/>
    </row>
    <row r="46" spans="2:25" ht="13.5" thickBot="1" x14ac:dyDescent="0.25">
      <c r="C46" s="61" t="s">
        <v>69</v>
      </c>
      <c r="D46" s="144">
        <f>U23</f>
        <v>1.3764035402125394</v>
      </c>
      <c r="E46" s="1" t="s">
        <v>127</v>
      </c>
      <c r="J46" s="120">
        <v>-32.5</v>
      </c>
      <c r="K46" s="121">
        <v>0</v>
      </c>
      <c r="L46" s="121">
        <v>0</v>
      </c>
      <c r="M46" s="121">
        <v>0</v>
      </c>
      <c r="N46" s="122" t="s">
        <v>46</v>
      </c>
      <c r="O46" s="191">
        <f t="shared" si="2"/>
        <v>0</v>
      </c>
      <c r="P46" s="192">
        <f t="shared" si="3"/>
        <v>0</v>
      </c>
      <c r="Q46" s="129">
        <f t="shared" si="4"/>
        <v>0</v>
      </c>
      <c r="R46" s="193">
        <f t="shared" si="5"/>
        <v>0</v>
      </c>
      <c r="S46" s="129">
        <f t="shared" si="6"/>
        <v>0</v>
      </c>
      <c r="U46" s="11">
        <f t="shared" si="7"/>
        <v>0</v>
      </c>
      <c r="V46" s="11">
        <f t="shared" si="8"/>
        <v>-32.5</v>
      </c>
      <c r="W46" s="139"/>
      <c r="X46" s="139"/>
    </row>
    <row r="47" spans="2:25" ht="14.25" thickTop="1" thickBot="1" x14ac:dyDescent="0.25">
      <c r="C47" s="61" t="s">
        <v>70</v>
      </c>
      <c r="D47" s="144">
        <f>Q47-S47</f>
        <v>13761.930669633151</v>
      </c>
      <c r="J47" s="131" t="s">
        <v>65</v>
      </c>
      <c r="K47" s="132">
        <v>8760</v>
      </c>
      <c r="L47" s="132">
        <v>0</v>
      </c>
      <c r="M47" s="132">
        <v>8760</v>
      </c>
      <c r="N47" s="132"/>
      <c r="O47" s="194"/>
      <c r="P47" s="133"/>
      <c r="Q47" s="136">
        <f>SUM(Q18:Q46)</f>
        <v>22731.520191158899</v>
      </c>
      <c r="R47" s="195"/>
      <c r="S47" s="136">
        <f t="shared" ref="S47" si="13">SUM(S18:S46)</f>
        <v>8969.5895215257478</v>
      </c>
      <c r="W47" s="139"/>
      <c r="X47" s="139"/>
    </row>
    <row r="48" spans="2:25" x14ac:dyDescent="0.2">
      <c r="B48" s="10"/>
      <c r="C48" s="61" t="s">
        <v>71</v>
      </c>
      <c r="D48" s="145">
        <f>D47*0.08</f>
        <v>1100.954453570652</v>
      </c>
      <c r="J48" s="139" t="s">
        <v>66</v>
      </c>
      <c r="K48" s="139"/>
      <c r="L48" s="139"/>
      <c r="M48" s="139"/>
      <c r="N48" s="139"/>
      <c r="O48" s="139"/>
      <c r="P48" s="139"/>
      <c r="Q48" s="139"/>
      <c r="R48" s="139"/>
      <c r="S48" s="139"/>
      <c r="W48" s="139"/>
      <c r="X48" s="139"/>
    </row>
    <row r="49" spans="3:24" x14ac:dyDescent="0.2">
      <c r="C49" s="61" t="s">
        <v>72</v>
      </c>
      <c r="D49" s="146">
        <f>F42</f>
        <v>3375</v>
      </c>
      <c r="J49" s="139"/>
      <c r="K49" s="139"/>
      <c r="L49" s="139"/>
      <c r="M49" s="139"/>
      <c r="N49" s="139"/>
      <c r="O49" s="139"/>
      <c r="P49" s="139"/>
      <c r="Q49" s="139"/>
      <c r="R49" s="139"/>
      <c r="S49" s="139"/>
      <c r="W49" s="139"/>
      <c r="X49" s="139"/>
    </row>
    <row r="50" spans="3:24" ht="13.5" thickBot="1" x14ac:dyDescent="0.25">
      <c r="C50" s="91" t="s">
        <v>73</v>
      </c>
      <c r="D50" s="147">
        <f>D49/D48</f>
        <v>3.0655219106059182</v>
      </c>
      <c r="L50" s="139"/>
      <c r="M50" s="139"/>
      <c r="N50" s="139"/>
      <c r="O50" s="139"/>
      <c r="P50" s="139"/>
      <c r="Q50" s="139"/>
      <c r="R50" s="139"/>
      <c r="S50" s="139"/>
      <c r="W50" s="139"/>
      <c r="X50" s="139"/>
    </row>
    <row r="51" spans="3:24" x14ac:dyDescent="0.2">
      <c r="L51" s="139"/>
      <c r="M51" s="139"/>
      <c r="N51" s="139"/>
      <c r="O51" s="139"/>
      <c r="P51" s="139"/>
      <c r="Q51" s="139"/>
      <c r="R51" s="139"/>
      <c r="S51" s="139"/>
      <c r="W51" s="139"/>
      <c r="X51" s="139"/>
    </row>
    <row r="52" spans="3:24" x14ac:dyDescent="0.2">
      <c r="C52" s="1" t="s">
        <v>74</v>
      </c>
      <c r="L52" s="139"/>
      <c r="M52" s="139"/>
      <c r="N52" s="139"/>
      <c r="O52" s="139"/>
      <c r="P52" s="139"/>
      <c r="Q52" s="139"/>
      <c r="R52" s="139"/>
      <c r="S52" s="139"/>
      <c r="W52" s="139"/>
      <c r="X52" s="139"/>
    </row>
    <row r="53" spans="3:24" x14ac:dyDescent="0.2">
      <c r="L53" s="139"/>
      <c r="M53" s="139"/>
      <c r="N53" s="139"/>
      <c r="O53" s="139"/>
      <c r="P53" s="139"/>
      <c r="Q53" s="139"/>
      <c r="R53" s="139"/>
      <c r="S53" s="139"/>
    </row>
    <row r="54" spans="3:24" ht="15" x14ac:dyDescent="0.25">
      <c r="C54" s="181" t="s">
        <v>125</v>
      </c>
      <c r="D54" s="182">
        <f>ROUND(D47/D17, -1)</f>
        <v>1380</v>
      </c>
      <c r="L54" s="139"/>
      <c r="M54" s="139"/>
      <c r="N54" s="139"/>
      <c r="O54" s="139"/>
      <c r="P54" s="139"/>
      <c r="Q54" s="139"/>
      <c r="R54" s="139"/>
      <c r="S54" s="139"/>
    </row>
    <row r="55" spans="3:24" ht="15" x14ac:dyDescent="0.25">
      <c r="C55" s="181" t="s">
        <v>181</v>
      </c>
      <c r="D55" s="183">
        <f>ROUND(D46/D17, 2)</f>
        <v>0.14000000000000001</v>
      </c>
      <c r="E55" s="1" t="s">
        <v>127</v>
      </c>
      <c r="L55" s="139"/>
      <c r="M55" s="139"/>
      <c r="N55" s="139"/>
      <c r="O55" s="139"/>
      <c r="P55" s="139"/>
      <c r="Q55" s="139"/>
      <c r="R55" s="139"/>
      <c r="S55" s="139"/>
    </row>
    <row r="56" spans="3:24" ht="15" x14ac:dyDescent="0.25">
      <c r="C56" s="181" t="s">
        <v>103</v>
      </c>
      <c r="D56" s="184">
        <f>ROUND(Y33+F37/D17, -1)</f>
        <v>370</v>
      </c>
      <c r="L56" s="139"/>
      <c r="M56" s="139"/>
      <c r="N56" s="139"/>
      <c r="O56" s="139"/>
      <c r="P56" s="139"/>
      <c r="Q56" s="139"/>
      <c r="R56" s="139"/>
      <c r="S56" s="139"/>
    </row>
    <row r="57" spans="3:24" ht="15" x14ac:dyDescent="0.25">
      <c r="C57" s="181" t="s">
        <v>104</v>
      </c>
      <c r="D57" s="185" t="s">
        <v>128</v>
      </c>
      <c r="L57" s="139"/>
      <c r="M57" s="139"/>
      <c r="N57" s="139"/>
      <c r="O57" s="139"/>
      <c r="P57" s="139"/>
      <c r="Q57" s="139"/>
      <c r="R57" s="139"/>
      <c r="S57" s="139"/>
    </row>
    <row r="58" spans="3:24" x14ac:dyDescent="0.2">
      <c r="L58" s="139"/>
      <c r="M58" s="139"/>
      <c r="N58" s="139"/>
      <c r="O58" s="139"/>
      <c r="P58" s="139"/>
      <c r="Q58" s="139"/>
      <c r="R58" s="139"/>
      <c r="S58" s="139"/>
    </row>
    <row r="59" spans="3:24" x14ac:dyDescent="0.2">
      <c r="L59" s="139"/>
      <c r="M59" s="139"/>
      <c r="N59" s="139"/>
      <c r="O59" s="139"/>
      <c r="P59" s="139"/>
      <c r="Q59" s="139"/>
      <c r="R59" s="139"/>
      <c r="S59" s="139"/>
    </row>
    <row r="60" spans="3:24" x14ac:dyDescent="0.2">
      <c r="L60" s="139"/>
      <c r="M60" s="139"/>
      <c r="N60" s="139"/>
      <c r="O60" s="139"/>
      <c r="P60" s="139"/>
      <c r="Q60" s="139"/>
      <c r="R60" s="139"/>
      <c r="S60" s="139"/>
    </row>
    <row r="61" spans="3:24" x14ac:dyDescent="0.2">
      <c r="L61" s="139"/>
      <c r="M61" s="139"/>
      <c r="N61" s="139"/>
      <c r="O61" s="139"/>
      <c r="P61" s="139"/>
      <c r="Q61" s="139"/>
      <c r="R61" s="139"/>
      <c r="S61" s="139"/>
    </row>
    <row r="62" spans="3:24" x14ac:dyDescent="0.2">
      <c r="L62" s="139"/>
      <c r="M62" s="139"/>
      <c r="N62" s="139"/>
      <c r="O62" s="139"/>
      <c r="P62" s="139"/>
      <c r="Q62" s="139"/>
      <c r="R62" s="139"/>
      <c r="S62" s="139"/>
    </row>
    <row r="63" spans="3:24" x14ac:dyDescent="0.2">
      <c r="L63" s="139"/>
      <c r="M63" s="139"/>
      <c r="N63" s="139"/>
      <c r="O63" s="139"/>
      <c r="P63" s="139"/>
      <c r="Q63" s="139"/>
      <c r="R63" s="139"/>
      <c r="S63" s="139"/>
    </row>
    <row r="64" spans="3:24" x14ac:dyDescent="0.2">
      <c r="L64" s="139"/>
      <c r="M64" s="139"/>
      <c r="N64" s="139"/>
      <c r="O64" s="139"/>
      <c r="P64" s="139"/>
      <c r="Q64" s="139"/>
      <c r="R64" s="139"/>
      <c r="S64" s="139"/>
    </row>
    <row r="65" spans="3:19" x14ac:dyDescent="0.2">
      <c r="L65" s="139"/>
      <c r="M65" s="139"/>
      <c r="N65" s="139"/>
      <c r="O65" s="139"/>
      <c r="P65" s="139"/>
      <c r="Q65" s="139"/>
      <c r="R65" s="139"/>
      <c r="S65" s="139"/>
    </row>
    <row r="66" spans="3:19" x14ac:dyDescent="0.2">
      <c r="C66" s="1" t="s">
        <v>75</v>
      </c>
      <c r="L66" s="139"/>
      <c r="M66" s="139"/>
      <c r="N66" s="139"/>
      <c r="O66" s="139"/>
      <c r="P66" s="139"/>
      <c r="Q66" s="139"/>
      <c r="R66" s="139"/>
      <c r="S66" s="139"/>
    </row>
    <row r="67" spans="3:19" ht="26.25" x14ac:dyDescent="0.25">
      <c r="C67" s="149" t="s">
        <v>76</v>
      </c>
      <c r="D67" s="149" t="s">
        <v>77</v>
      </c>
      <c r="E67" s="149" t="s">
        <v>39</v>
      </c>
      <c r="F67" s="196" t="s">
        <v>78</v>
      </c>
      <c r="G67" s="1" t="s">
        <v>79</v>
      </c>
      <c r="H67" s="152">
        <f>12*5/168</f>
        <v>0.35714285714285715</v>
      </c>
      <c r="L67" s="139"/>
      <c r="M67" s="139"/>
      <c r="N67" s="139"/>
      <c r="O67" s="139"/>
      <c r="P67" s="139"/>
      <c r="Q67" s="139"/>
      <c r="R67" s="139"/>
      <c r="S67" s="139"/>
    </row>
    <row r="68" spans="3:19" ht="15" x14ac:dyDescent="0.25">
      <c r="C68" s="9" t="s">
        <v>81</v>
      </c>
      <c r="D68" s="153"/>
      <c r="E68" s="154"/>
      <c r="F68" s="197"/>
      <c r="G68" s="1">
        <v>0.2</v>
      </c>
      <c r="L68" s="139"/>
      <c r="M68" s="139"/>
      <c r="N68" s="139"/>
      <c r="O68" s="139"/>
      <c r="P68" s="139"/>
      <c r="Q68" s="139"/>
      <c r="R68" s="139"/>
      <c r="S68" s="139"/>
    </row>
    <row r="69" spans="3:19" ht="15" x14ac:dyDescent="0.25">
      <c r="C69" s="9" t="s">
        <v>82</v>
      </c>
      <c r="D69" s="153"/>
      <c r="E69" s="154"/>
      <c r="F69" s="197"/>
      <c r="G69" s="1">
        <v>0.2</v>
      </c>
      <c r="L69" s="139"/>
      <c r="M69" s="139"/>
      <c r="N69" s="139"/>
      <c r="O69" s="139"/>
      <c r="P69" s="139"/>
      <c r="Q69" s="139"/>
      <c r="R69" s="139"/>
      <c r="S69" s="139"/>
    </row>
    <row r="70" spans="3:19" ht="15" x14ac:dyDescent="0.25">
      <c r="C70" s="9" t="s">
        <v>83</v>
      </c>
      <c r="D70" s="153"/>
      <c r="E70" s="154"/>
      <c r="F70" s="197"/>
      <c r="G70" s="1">
        <v>0.2</v>
      </c>
      <c r="I70" s="148"/>
      <c r="L70" s="139"/>
      <c r="M70" s="139"/>
      <c r="N70" s="139"/>
      <c r="O70" s="139"/>
      <c r="P70" s="139"/>
      <c r="Q70" s="139"/>
      <c r="R70" s="139"/>
      <c r="S70" s="139"/>
    </row>
    <row r="71" spans="3:19" ht="15" x14ac:dyDescent="0.25">
      <c r="C71" s="9" t="s">
        <v>84</v>
      </c>
      <c r="D71" s="153"/>
      <c r="E71" s="154"/>
      <c r="F71" s="197"/>
      <c r="G71" s="1">
        <v>0.5</v>
      </c>
      <c r="I71" s="148"/>
      <c r="L71" s="139"/>
      <c r="M71" s="139"/>
      <c r="N71" s="139"/>
      <c r="O71" s="139"/>
      <c r="P71" s="139"/>
      <c r="Q71" s="139"/>
      <c r="R71" s="139"/>
      <c r="S71" s="139"/>
    </row>
    <row r="72" spans="3:19" ht="15" x14ac:dyDescent="0.25">
      <c r="C72" s="9" t="s">
        <v>85</v>
      </c>
      <c r="D72" s="153"/>
      <c r="E72" s="154"/>
      <c r="F72" s="197"/>
      <c r="G72" s="1">
        <v>1</v>
      </c>
      <c r="I72" s="148"/>
      <c r="L72" s="139"/>
      <c r="M72" s="139"/>
      <c r="N72" s="139"/>
      <c r="O72" s="139"/>
      <c r="P72" s="139"/>
      <c r="Q72" s="139"/>
      <c r="R72" s="139"/>
      <c r="S72" s="139"/>
    </row>
    <row r="73" spans="3:19" ht="15" x14ac:dyDescent="0.25">
      <c r="C73" s="9" t="s">
        <v>86</v>
      </c>
      <c r="D73" s="153"/>
      <c r="E73" s="154"/>
      <c r="F73" s="197"/>
      <c r="G73" s="1">
        <v>1</v>
      </c>
      <c r="I73" s="148"/>
      <c r="L73" s="139"/>
      <c r="M73" s="139"/>
      <c r="N73" s="139"/>
      <c r="O73" s="139"/>
      <c r="P73" s="139"/>
      <c r="Q73" s="139"/>
      <c r="R73" s="139"/>
      <c r="S73" s="139"/>
    </row>
    <row r="74" spans="3:19" ht="15" x14ac:dyDescent="0.25">
      <c r="C74" s="9" t="s">
        <v>87</v>
      </c>
      <c r="D74" s="153"/>
      <c r="E74" s="154"/>
      <c r="F74" s="197"/>
      <c r="G74" s="1">
        <v>1</v>
      </c>
      <c r="I74" s="148"/>
      <c r="L74" s="139"/>
      <c r="M74" s="139"/>
      <c r="N74" s="139"/>
      <c r="O74" s="139"/>
      <c r="P74" s="139"/>
      <c r="Q74" s="139"/>
      <c r="R74" s="139"/>
      <c r="S74" s="139"/>
    </row>
    <row r="75" spans="3:19" ht="15" x14ac:dyDescent="0.25">
      <c r="C75" s="9" t="s">
        <v>88</v>
      </c>
      <c r="D75" s="153"/>
      <c r="E75" s="154"/>
      <c r="F75" s="197"/>
      <c r="G75" s="1">
        <v>1</v>
      </c>
      <c r="I75" s="148"/>
      <c r="L75" s="139"/>
      <c r="M75" s="139"/>
      <c r="N75" s="139"/>
      <c r="O75" s="139"/>
      <c r="P75" s="139"/>
      <c r="Q75" s="139"/>
      <c r="R75" s="139"/>
      <c r="S75" s="139"/>
    </row>
    <row r="76" spans="3:19" ht="15" x14ac:dyDescent="0.25">
      <c r="C76" s="9" t="s">
        <v>89</v>
      </c>
      <c r="D76" s="153"/>
      <c r="E76" s="154"/>
      <c r="F76" s="197"/>
      <c r="G76" s="1">
        <v>1</v>
      </c>
      <c r="I76" s="148"/>
      <c r="L76" s="139"/>
      <c r="M76" s="139"/>
      <c r="N76" s="139"/>
      <c r="O76" s="139"/>
      <c r="P76" s="139"/>
      <c r="Q76" s="139"/>
      <c r="R76" s="139"/>
      <c r="S76" s="139"/>
    </row>
    <row r="77" spans="3:19" ht="15" x14ac:dyDescent="0.25">
      <c r="C77" s="9" t="s">
        <v>90</v>
      </c>
      <c r="D77" s="153"/>
      <c r="E77" s="154"/>
      <c r="F77" s="197"/>
      <c r="G77" s="1">
        <v>0.5</v>
      </c>
      <c r="I77" s="148"/>
      <c r="L77" s="139"/>
      <c r="M77" s="139"/>
      <c r="N77" s="139"/>
      <c r="O77" s="139"/>
      <c r="P77" s="139"/>
      <c r="Q77" s="139"/>
      <c r="R77" s="139"/>
      <c r="S77" s="139"/>
    </row>
    <row r="78" spans="3:19" ht="15" x14ac:dyDescent="0.25">
      <c r="C78" s="9" t="s">
        <v>91</v>
      </c>
      <c r="D78" s="153"/>
      <c r="E78" s="154"/>
      <c r="F78" s="197"/>
      <c r="G78" s="1">
        <v>0.2</v>
      </c>
      <c r="I78" s="148"/>
      <c r="L78" s="139"/>
      <c r="M78" s="139"/>
      <c r="N78" s="139"/>
      <c r="O78" s="139"/>
      <c r="P78" s="139"/>
      <c r="Q78" s="139"/>
      <c r="R78" s="139"/>
      <c r="S78" s="139"/>
    </row>
    <row r="79" spans="3:19" ht="15" x14ac:dyDescent="0.25">
      <c r="C79" s="9" t="s">
        <v>92</v>
      </c>
      <c r="D79" s="153"/>
      <c r="E79" s="154"/>
      <c r="F79" s="197"/>
      <c r="G79" s="1">
        <v>0.2</v>
      </c>
      <c r="I79" s="148"/>
      <c r="L79" s="139"/>
      <c r="M79" s="139"/>
      <c r="N79" s="139"/>
      <c r="O79" s="139"/>
      <c r="P79" s="139"/>
      <c r="Q79" s="139"/>
      <c r="R79" s="139"/>
      <c r="S79" s="139"/>
    </row>
    <row r="80" spans="3:19" x14ac:dyDescent="0.2">
      <c r="I80" s="148"/>
      <c r="L80" s="139"/>
      <c r="M80" s="139"/>
      <c r="N80" s="139"/>
      <c r="O80" s="139"/>
      <c r="P80" s="139"/>
      <c r="Q80" s="139"/>
      <c r="R80" s="139"/>
      <c r="S80" s="139"/>
    </row>
    <row r="81" spans="3:19" x14ac:dyDescent="0.2">
      <c r="I81" s="148"/>
      <c r="L81" s="139"/>
      <c r="M81" s="139"/>
      <c r="N81" s="139"/>
      <c r="O81" s="139"/>
      <c r="P81" s="139"/>
      <c r="Q81" s="139"/>
      <c r="R81" s="139"/>
      <c r="S81" s="139"/>
    </row>
    <row r="82" spans="3:19" x14ac:dyDescent="0.2">
      <c r="L82" s="139"/>
      <c r="M82" s="139"/>
      <c r="N82" s="139"/>
      <c r="O82" s="139"/>
      <c r="P82" s="139"/>
      <c r="Q82" s="139"/>
      <c r="R82" s="139"/>
      <c r="S82" s="139"/>
    </row>
    <row r="83" spans="3:19" ht="18" x14ac:dyDescent="0.25">
      <c r="C83" s="158" t="s">
        <v>93</v>
      </c>
      <c r="L83" s="139"/>
      <c r="M83" s="139"/>
      <c r="N83" s="139"/>
      <c r="O83" s="139"/>
      <c r="P83" s="139"/>
      <c r="Q83" s="139"/>
      <c r="R83" s="139"/>
      <c r="S83" s="139"/>
    </row>
    <row r="84" spans="3:19" ht="12.75" customHeight="1" x14ac:dyDescent="0.2">
      <c r="C84" s="157"/>
      <c r="D84" s="157"/>
      <c r="E84" s="157"/>
      <c r="F84" s="157"/>
      <c r="G84" s="157"/>
      <c r="H84" s="157"/>
      <c r="L84" s="139"/>
      <c r="M84" s="139"/>
      <c r="N84" s="139"/>
      <c r="O84" s="139"/>
      <c r="P84" s="139"/>
      <c r="Q84" s="139"/>
      <c r="R84" s="139"/>
      <c r="S84" s="139"/>
    </row>
    <row r="85" spans="3:19" x14ac:dyDescent="0.2">
      <c r="C85" s="159"/>
      <c r="D85" s="159"/>
      <c r="E85" s="159"/>
      <c r="F85" s="159"/>
      <c r="G85" s="159"/>
      <c r="H85" s="159"/>
      <c r="L85" s="139"/>
      <c r="M85" s="139"/>
      <c r="N85" s="139"/>
      <c r="O85" s="139"/>
      <c r="P85" s="139"/>
      <c r="Q85" s="139"/>
      <c r="R85" s="139"/>
      <c r="S85" s="139"/>
    </row>
    <row r="86" spans="3:19" x14ac:dyDescent="0.2">
      <c r="C86" s="159"/>
      <c r="D86" s="159"/>
      <c r="E86" s="159"/>
      <c r="F86" s="159"/>
      <c r="G86" s="159"/>
      <c r="H86" s="159"/>
      <c r="L86" s="139"/>
      <c r="M86" s="139"/>
      <c r="N86" s="139"/>
      <c r="O86" s="139"/>
      <c r="P86" s="139"/>
      <c r="Q86" s="139"/>
      <c r="R86" s="139"/>
      <c r="S86" s="139"/>
    </row>
    <row r="87" spans="3:19" x14ac:dyDescent="0.2">
      <c r="C87" s="159"/>
      <c r="D87" s="159"/>
      <c r="E87" s="159"/>
      <c r="F87" s="159"/>
      <c r="G87" s="159"/>
      <c r="H87" s="159"/>
      <c r="L87" s="139"/>
      <c r="M87" s="139"/>
      <c r="N87" s="139"/>
      <c r="O87" s="139"/>
      <c r="P87" s="139"/>
      <c r="Q87" s="139"/>
      <c r="R87" s="139"/>
      <c r="S87" s="139"/>
    </row>
    <row r="88" spans="3:19" ht="15" x14ac:dyDescent="0.2">
      <c r="C88" s="159"/>
      <c r="D88" s="159"/>
      <c r="E88" s="159"/>
      <c r="F88" s="159"/>
      <c r="G88" s="159"/>
      <c r="H88" s="159"/>
      <c r="J88" s="157"/>
      <c r="L88" s="139"/>
      <c r="M88" s="139"/>
      <c r="N88" s="139"/>
      <c r="O88" s="139"/>
      <c r="P88" s="139"/>
      <c r="Q88" s="139"/>
      <c r="R88" s="139"/>
      <c r="S88" s="139"/>
    </row>
    <row r="89" spans="3:19" ht="15" x14ac:dyDescent="0.2">
      <c r="C89" s="159"/>
      <c r="D89" s="159"/>
      <c r="E89" s="159"/>
      <c r="F89" s="159"/>
      <c r="G89" s="159"/>
      <c r="H89" s="159"/>
      <c r="I89" s="157"/>
      <c r="L89" s="139"/>
      <c r="M89" s="139"/>
      <c r="N89" s="139"/>
      <c r="O89" s="139"/>
      <c r="P89" s="139"/>
      <c r="Q89" s="139"/>
      <c r="R89" s="139"/>
      <c r="S89" s="139"/>
    </row>
    <row r="90" spans="3:19" x14ac:dyDescent="0.2">
      <c r="C90" s="159"/>
      <c r="D90" s="159"/>
      <c r="E90" s="159"/>
      <c r="F90" s="159"/>
      <c r="G90" s="159"/>
      <c r="H90" s="159"/>
      <c r="L90" s="139"/>
      <c r="M90" s="139"/>
      <c r="N90" s="139"/>
      <c r="O90" s="139"/>
      <c r="P90" s="139"/>
      <c r="Q90" s="139"/>
      <c r="R90" s="139"/>
      <c r="S90" s="139"/>
    </row>
    <row r="91" spans="3:19" x14ac:dyDescent="0.2">
      <c r="C91" s="159"/>
      <c r="D91" s="159"/>
      <c r="E91" s="159"/>
      <c r="F91" s="159"/>
      <c r="G91" s="159"/>
      <c r="H91" s="159"/>
      <c r="L91" s="139"/>
      <c r="M91" s="139"/>
      <c r="N91" s="139"/>
      <c r="O91" s="139"/>
      <c r="P91" s="139"/>
      <c r="Q91" s="139"/>
      <c r="R91" s="139"/>
      <c r="S91" s="139"/>
    </row>
    <row r="92" spans="3:19" x14ac:dyDescent="0.2">
      <c r="C92" s="159"/>
      <c r="D92" s="159"/>
      <c r="E92" s="159"/>
      <c r="F92" s="159"/>
      <c r="G92" s="159"/>
      <c r="H92" s="159"/>
      <c r="L92" s="139"/>
      <c r="M92" s="139"/>
      <c r="N92" s="139"/>
      <c r="O92" s="139"/>
      <c r="P92" s="139"/>
      <c r="Q92" s="139"/>
      <c r="R92" s="139"/>
      <c r="S92" s="139"/>
    </row>
    <row r="93" spans="3:19" x14ac:dyDescent="0.2">
      <c r="C93" s="159"/>
      <c r="D93" s="159"/>
      <c r="E93" s="159"/>
      <c r="F93" s="159"/>
      <c r="G93" s="159"/>
      <c r="H93" s="159"/>
      <c r="L93" s="139"/>
      <c r="M93" s="139"/>
      <c r="N93" s="139"/>
      <c r="O93" s="139"/>
      <c r="P93" s="139"/>
      <c r="Q93" s="139"/>
      <c r="R93" s="139"/>
      <c r="S93" s="139"/>
    </row>
    <row r="94" spans="3:19" x14ac:dyDescent="0.2">
      <c r="C94" s="159"/>
      <c r="D94" s="159"/>
      <c r="E94" s="159"/>
      <c r="F94" s="159"/>
      <c r="G94" s="159"/>
      <c r="H94" s="159"/>
      <c r="L94" s="139"/>
      <c r="M94" s="139"/>
      <c r="N94" s="139"/>
      <c r="O94" s="139"/>
      <c r="P94" s="139"/>
      <c r="Q94" s="139"/>
      <c r="R94" s="139"/>
      <c r="S94" s="139"/>
    </row>
    <row r="95" spans="3:19" x14ac:dyDescent="0.2">
      <c r="C95" s="159"/>
      <c r="D95" s="159"/>
      <c r="E95" s="159"/>
      <c r="F95" s="159"/>
      <c r="G95" s="159"/>
      <c r="H95" s="159"/>
      <c r="L95" s="139"/>
      <c r="M95" s="139"/>
      <c r="N95" s="139"/>
      <c r="O95" s="139"/>
      <c r="P95" s="139"/>
      <c r="Q95" s="139"/>
      <c r="R95" s="139"/>
      <c r="S95" s="139"/>
    </row>
    <row r="96" spans="3:19" x14ac:dyDescent="0.2">
      <c r="C96" s="159"/>
      <c r="D96" s="159"/>
      <c r="E96" s="159"/>
      <c r="F96" s="159"/>
      <c r="G96" s="159"/>
      <c r="H96" s="159"/>
      <c r="L96" s="139"/>
      <c r="M96" s="139"/>
      <c r="N96" s="139"/>
      <c r="O96" s="139"/>
      <c r="P96" s="139"/>
      <c r="Q96" s="139"/>
      <c r="R96" s="139"/>
      <c r="S96" s="139"/>
    </row>
    <row r="97" spans="3:19" x14ac:dyDescent="0.2">
      <c r="C97" s="159"/>
      <c r="D97" s="159"/>
      <c r="E97" s="159"/>
      <c r="F97" s="159"/>
      <c r="G97" s="159"/>
      <c r="H97" s="159"/>
      <c r="L97" s="139"/>
      <c r="M97" s="139"/>
      <c r="N97" s="139"/>
      <c r="O97" s="139"/>
      <c r="P97" s="139"/>
      <c r="Q97" s="139"/>
      <c r="R97" s="139"/>
      <c r="S97" s="139"/>
    </row>
    <row r="98" spans="3:19" x14ac:dyDescent="0.2">
      <c r="C98" s="159"/>
      <c r="D98" s="159"/>
      <c r="E98" s="159"/>
      <c r="F98" s="159"/>
      <c r="G98" s="159"/>
      <c r="H98" s="159"/>
      <c r="L98" s="139"/>
      <c r="M98" s="139"/>
      <c r="N98" s="139"/>
      <c r="O98" s="139"/>
      <c r="P98" s="139"/>
      <c r="Q98" s="139"/>
      <c r="R98" s="139"/>
      <c r="S98" s="139"/>
    </row>
    <row r="99" spans="3:19" x14ac:dyDescent="0.2">
      <c r="C99" s="159"/>
      <c r="D99" s="159"/>
      <c r="E99" s="159"/>
      <c r="F99" s="159"/>
      <c r="G99" s="159"/>
      <c r="H99" s="159"/>
      <c r="L99" s="139"/>
      <c r="M99" s="139"/>
      <c r="N99" s="139"/>
      <c r="O99" s="139"/>
      <c r="P99" s="139"/>
      <c r="Q99" s="139"/>
      <c r="R99" s="139"/>
      <c r="S99" s="139"/>
    </row>
    <row r="100" spans="3:19" x14ac:dyDescent="0.2">
      <c r="C100" s="159"/>
      <c r="D100" s="159"/>
      <c r="E100" s="159"/>
      <c r="F100" s="159"/>
      <c r="G100" s="159"/>
      <c r="H100" s="159"/>
      <c r="L100" s="139"/>
      <c r="M100" s="139"/>
      <c r="N100" s="139"/>
      <c r="O100" s="139"/>
      <c r="P100" s="139"/>
      <c r="Q100" s="139"/>
      <c r="R100" s="139"/>
      <c r="S100" s="139"/>
    </row>
    <row r="101" spans="3:19" x14ac:dyDescent="0.2">
      <c r="L101" s="139"/>
      <c r="M101" s="139"/>
      <c r="N101" s="139"/>
      <c r="O101" s="139"/>
      <c r="P101" s="139"/>
      <c r="Q101" s="139"/>
      <c r="R101" s="139"/>
      <c r="S101" s="139"/>
    </row>
    <row r="102" spans="3:19" x14ac:dyDescent="0.2">
      <c r="L102" s="139"/>
      <c r="M102" s="139"/>
      <c r="N102" s="139"/>
      <c r="O102" s="139"/>
      <c r="P102" s="139"/>
      <c r="Q102" s="139"/>
      <c r="R102" s="139"/>
      <c r="S102" s="139"/>
    </row>
    <row r="103" spans="3:19" x14ac:dyDescent="0.2">
      <c r="L103" s="139"/>
      <c r="M103" s="139"/>
      <c r="N103" s="139"/>
      <c r="O103" s="139"/>
      <c r="P103" s="139"/>
      <c r="Q103" s="139"/>
      <c r="R103" s="139"/>
      <c r="S103" s="139"/>
    </row>
    <row r="104" spans="3:19" x14ac:dyDescent="0.2">
      <c r="L104" s="139"/>
      <c r="M104" s="139"/>
      <c r="N104" s="139"/>
      <c r="O104" s="139"/>
      <c r="P104" s="139"/>
      <c r="Q104" s="139"/>
      <c r="R104" s="139"/>
      <c r="S104" s="139"/>
    </row>
    <row r="105" spans="3:19" x14ac:dyDescent="0.2">
      <c r="L105" s="139"/>
      <c r="M105" s="139"/>
      <c r="N105" s="139"/>
      <c r="O105" s="139"/>
      <c r="P105" s="139"/>
      <c r="Q105" s="139"/>
      <c r="R105" s="139"/>
      <c r="S105" s="139"/>
    </row>
    <row r="106" spans="3:19" x14ac:dyDescent="0.2">
      <c r="L106" s="139"/>
      <c r="M106" s="139"/>
      <c r="N106" s="139"/>
      <c r="O106" s="139"/>
      <c r="P106" s="139"/>
      <c r="Q106" s="139"/>
      <c r="R106" s="139"/>
      <c r="S106" s="139"/>
    </row>
    <row r="107" spans="3:19" x14ac:dyDescent="0.2">
      <c r="L107" s="139"/>
      <c r="M107" s="139"/>
      <c r="N107" s="139"/>
      <c r="O107" s="139"/>
      <c r="P107" s="139"/>
      <c r="Q107" s="139"/>
      <c r="R107" s="139"/>
      <c r="S107" s="139"/>
    </row>
    <row r="108" spans="3:19" x14ac:dyDescent="0.2">
      <c r="L108" s="139"/>
      <c r="M108" s="139"/>
      <c r="N108" s="139"/>
      <c r="O108" s="139"/>
      <c r="P108" s="139"/>
      <c r="Q108" s="139"/>
      <c r="R108" s="139"/>
      <c r="S108" s="139"/>
    </row>
    <row r="109" spans="3:19" x14ac:dyDescent="0.2">
      <c r="L109" s="139"/>
      <c r="M109" s="139"/>
      <c r="N109" s="139"/>
      <c r="O109" s="139"/>
      <c r="P109" s="139"/>
      <c r="Q109" s="139"/>
      <c r="R109" s="139"/>
      <c r="S109" s="139"/>
    </row>
    <row r="110" spans="3:19" x14ac:dyDescent="0.2">
      <c r="L110" s="139"/>
      <c r="M110" s="139"/>
      <c r="N110" s="139"/>
      <c r="O110" s="139"/>
      <c r="P110" s="139"/>
      <c r="Q110" s="139"/>
      <c r="R110" s="139"/>
      <c r="S110" s="139"/>
    </row>
    <row r="111" spans="3:19" x14ac:dyDescent="0.2">
      <c r="L111" s="139"/>
      <c r="M111" s="139"/>
      <c r="N111" s="139"/>
      <c r="O111" s="139"/>
      <c r="P111" s="139"/>
      <c r="Q111" s="139"/>
      <c r="R111" s="139"/>
      <c r="S111" s="139"/>
    </row>
    <row r="112" spans="3:19" x14ac:dyDescent="0.2">
      <c r="L112" s="139"/>
      <c r="M112" s="139"/>
      <c r="N112" s="139"/>
      <c r="O112" s="139"/>
      <c r="P112" s="139"/>
      <c r="Q112" s="139"/>
      <c r="R112" s="139"/>
      <c r="S112" s="139"/>
    </row>
    <row r="113" spans="12:19" x14ac:dyDescent="0.2">
      <c r="L113" s="10"/>
      <c r="M113" s="10"/>
      <c r="N113" s="10"/>
      <c r="O113" s="10"/>
      <c r="P113" s="10"/>
      <c r="Q113" s="10"/>
      <c r="R113" s="10"/>
      <c r="S113" s="10"/>
    </row>
  </sheetData>
  <mergeCells count="12">
    <mergeCell ref="D25:F25"/>
    <mergeCell ref="E28:F28"/>
    <mergeCell ref="E29:F29"/>
    <mergeCell ref="C42:E42"/>
    <mergeCell ref="A1:B1"/>
    <mergeCell ref="O15:O17"/>
    <mergeCell ref="P15:Q15"/>
    <mergeCell ref="R15:S15"/>
    <mergeCell ref="P16:P17"/>
    <mergeCell ref="Q16:Q17"/>
    <mergeCell ref="R16:R17"/>
    <mergeCell ref="S16:S17"/>
  </mergeCells>
  <conditionalFormatting sqref="Y16:Y31">
    <cfRule type="colorScale" priority="1">
      <colorScale>
        <cfvo type="min"/>
        <cfvo type="percentile" val="50"/>
        <cfvo type="max"/>
        <color rgb="FF63BE7B"/>
        <color rgb="FFFFEB84"/>
        <color rgb="FFF8696B"/>
      </colorScale>
    </cfRule>
  </conditionalFormatting>
  <pageMargins left="0.75" right="0.75" top="1" bottom="1" header="0.5" footer="0.5"/>
  <pageSetup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6"/>
  <sheetViews>
    <sheetView zoomScaleNormal="100" workbookViewId="0">
      <selection activeCell="F46" sqref="F46"/>
    </sheetView>
  </sheetViews>
  <sheetFormatPr defaultRowHeight="12.75" x14ac:dyDescent="0.2"/>
  <cols>
    <col min="1" max="1" width="20" style="199" customWidth="1"/>
    <col min="2" max="2" width="23.5703125" style="199" customWidth="1"/>
    <col min="3" max="3" width="31" style="199" customWidth="1"/>
    <col min="4" max="9" width="11" style="199" customWidth="1"/>
    <col min="10" max="13" width="9.140625" style="199"/>
    <col min="14" max="14" width="14.85546875" style="199" customWidth="1"/>
    <col min="15" max="16384" width="9.140625" style="199"/>
  </cols>
  <sheetData>
    <row r="1" spans="1:15" x14ac:dyDescent="0.2">
      <c r="A1" s="626" t="s">
        <v>0</v>
      </c>
      <c r="B1" s="626"/>
      <c r="C1" s="198"/>
    </row>
    <row r="2" spans="1:15" ht="25.5" x14ac:dyDescent="0.2">
      <c r="A2" s="200" t="s">
        <v>1</v>
      </c>
      <c r="B2" s="201" t="s">
        <v>147</v>
      </c>
      <c r="D2" s="1" t="s">
        <v>107</v>
      </c>
    </row>
    <row r="3" spans="1:15" x14ac:dyDescent="0.2">
      <c r="A3" s="200" t="s">
        <v>2</v>
      </c>
      <c r="B3" s="202">
        <f>D40</f>
        <v>-1.0024636058230705</v>
      </c>
      <c r="C3" s="198"/>
      <c r="D3" s="1" t="s">
        <v>106</v>
      </c>
    </row>
    <row r="4" spans="1:15" x14ac:dyDescent="0.2">
      <c r="A4" s="200" t="s">
        <v>3</v>
      </c>
      <c r="B4" s="203">
        <f>D41</f>
        <v>24059.126539753648</v>
      </c>
      <c r="C4" s="204"/>
      <c r="D4" s="1" t="s">
        <v>108</v>
      </c>
    </row>
    <row r="5" spans="1:15" x14ac:dyDescent="0.2">
      <c r="A5" s="200" t="s">
        <v>4</v>
      </c>
      <c r="B5" s="203">
        <v>0</v>
      </c>
      <c r="C5" s="198"/>
      <c r="D5" s="1" t="s">
        <v>119</v>
      </c>
    </row>
    <row r="6" spans="1:15" x14ac:dyDescent="0.2">
      <c r="A6" s="200" t="s">
        <v>5</v>
      </c>
      <c r="B6" s="205">
        <f>D43</f>
        <v>1924.7301231802919</v>
      </c>
      <c r="C6" s="198"/>
      <c r="D6" s="1" t="s">
        <v>120</v>
      </c>
    </row>
    <row r="7" spans="1:15" x14ac:dyDescent="0.2">
      <c r="A7" s="200" t="s">
        <v>6</v>
      </c>
      <c r="B7" s="205">
        <v>0</v>
      </c>
      <c r="C7" s="198"/>
      <c r="D7" s="1" t="s">
        <v>170</v>
      </c>
    </row>
    <row r="8" spans="1:15" ht="22.5" x14ac:dyDescent="0.2">
      <c r="A8" s="200" t="s">
        <v>7</v>
      </c>
      <c r="B8" s="205">
        <f>D42</f>
        <v>7100</v>
      </c>
    </row>
    <row r="9" spans="1:15" ht="23.25" x14ac:dyDescent="0.25">
      <c r="A9" s="200" t="s">
        <v>8</v>
      </c>
      <c r="B9" s="206" t="e">
        <f>#REF!</f>
        <v>#REF!</v>
      </c>
      <c r="C9" s="198"/>
    </row>
    <row r="10" spans="1:15" ht="13.5" thickBot="1" x14ac:dyDescent="0.25"/>
    <row r="11" spans="1:15" ht="13.5" thickBot="1" x14ac:dyDescent="0.25">
      <c r="C11" s="207" t="s">
        <v>148</v>
      </c>
      <c r="D11" s="208"/>
      <c r="E11" s="209"/>
    </row>
    <row r="12" spans="1:15" ht="13.5" thickBot="1" x14ac:dyDescent="0.25">
      <c r="C12" s="198"/>
    </row>
    <row r="13" spans="1:15" x14ac:dyDescent="0.2">
      <c r="C13" s="627"/>
      <c r="D13" s="628"/>
      <c r="E13" s="628"/>
      <c r="F13" s="628"/>
      <c r="G13" s="628"/>
      <c r="H13" s="628"/>
      <c r="I13" s="628"/>
      <c r="J13" s="629"/>
      <c r="M13" s="1"/>
      <c r="N13" s="1"/>
    </row>
    <row r="14" spans="1:15" ht="38.25" x14ac:dyDescent="0.2">
      <c r="C14" s="210" t="s">
        <v>110</v>
      </c>
      <c r="D14" s="211" t="s">
        <v>176</v>
      </c>
      <c r="E14" s="211"/>
      <c r="F14" s="211"/>
      <c r="G14" s="211"/>
      <c r="H14" s="211"/>
      <c r="I14" s="211"/>
      <c r="J14" s="212" t="s">
        <v>149</v>
      </c>
      <c r="M14" s="1" t="s">
        <v>17</v>
      </c>
      <c r="N14" s="1"/>
    </row>
    <row r="15" spans="1:15" x14ac:dyDescent="0.2">
      <c r="C15" s="210" t="s">
        <v>150</v>
      </c>
      <c r="D15" s="213">
        <v>30</v>
      </c>
      <c r="E15" s="213"/>
      <c r="F15" s="213"/>
      <c r="G15" s="213"/>
      <c r="H15" s="213"/>
      <c r="I15" s="213"/>
      <c r="J15" s="214">
        <f>SUM(D15:I15)</f>
        <v>30</v>
      </c>
      <c r="M15" s="9" t="s">
        <v>27</v>
      </c>
      <c r="N15" s="9" t="s">
        <v>28</v>
      </c>
      <c r="O15" s="1" t="s">
        <v>122</v>
      </c>
    </row>
    <row r="16" spans="1:15" x14ac:dyDescent="0.2">
      <c r="C16" s="210" t="s">
        <v>151</v>
      </c>
      <c r="D16" s="215">
        <v>0.8</v>
      </c>
      <c r="E16" s="215"/>
      <c r="F16" s="215"/>
      <c r="G16" s="215"/>
      <c r="H16" s="215"/>
      <c r="I16" s="215"/>
      <c r="J16" s="216"/>
      <c r="M16" s="9">
        <v>3</v>
      </c>
      <c r="N16" s="34">
        <v>2000</v>
      </c>
      <c r="O16" s="176">
        <f>N16/M16</f>
        <v>666.66666666666663</v>
      </c>
    </row>
    <row r="17" spans="3:15" x14ac:dyDescent="0.2">
      <c r="C17" s="210" t="s">
        <v>152</v>
      </c>
      <c r="D17" s="217">
        <v>0.94</v>
      </c>
      <c r="E17" s="217"/>
      <c r="F17" s="217"/>
      <c r="G17" s="217"/>
      <c r="H17" s="217"/>
      <c r="I17" s="217"/>
      <c r="J17" s="218"/>
      <c r="M17" s="9">
        <v>5</v>
      </c>
      <c r="N17" s="34">
        <v>2150</v>
      </c>
      <c r="O17" s="176">
        <f t="shared" ref="O17:O32" si="0">N17/M17</f>
        <v>430</v>
      </c>
    </row>
    <row r="18" spans="3:15" x14ac:dyDescent="0.2">
      <c r="C18" s="210" t="s">
        <v>153</v>
      </c>
      <c r="D18" s="219">
        <f t="shared" ref="D18" si="1">D15*0.746*D16/D17</f>
        <v>19.0468085106383</v>
      </c>
      <c r="E18" s="219"/>
      <c r="F18" s="219"/>
      <c r="G18" s="219"/>
      <c r="H18" s="219"/>
      <c r="I18" s="219"/>
      <c r="J18" s="220">
        <f t="shared" ref="J18:J29" si="2">SUM(D18:I18)</f>
        <v>19.0468085106383</v>
      </c>
      <c r="M18" s="9">
        <v>7.5</v>
      </c>
      <c r="N18" s="34">
        <v>2575</v>
      </c>
      <c r="O18" s="176">
        <f t="shared" si="0"/>
        <v>343.33333333333331</v>
      </c>
    </row>
    <row r="19" spans="3:15" x14ac:dyDescent="0.2">
      <c r="C19" s="210" t="s">
        <v>154</v>
      </c>
      <c r="D19" s="221">
        <f>24*5*50</f>
        <v>6000</v>
      </c>
      <c r="E19" s="573"/>
      <c r="F19" s="221"/>
      <c r="G19" s="221"/>
      <c r="H19" s="221"/>
      <c r="I19" s="221"/>
      <c r="J19" s="222"/>
      <c r="M19" s="9">
        <v>10</v>
      </c>
      <c r="N19" s="34">
        <v>2875</v>
      </c>
      <c r="O19" s="176">
        <f t="shared" si="0"/>
        <v>287.5</v>
      </c>
    </row>
    <row r="20" spans="3:15" x14ac:dyDescent="0.2">
      <c r="C20" s="210"/>
      <c r="D20" s="219"/>
      <c r="E20" s="219"/>
      <c r="F20" s="219"/>
      <c r="G20" s="219"/>
      <c r="H20" s="219"/>
      <c r="I20" s="219"/>
      <c r="J20" s="220"/>
      <c r="M20" s="9">
        <v>15</v>
      </c>
      <c r="N20" s="34">
        <v>3700</v>
      </c>
      <c r="O20" s="176">
        <f t="shared" si="0"/>
        <v>246.66666666666666</v>
      </c>
    </row>
    <row r="21" spans="3:15" x14ac:dyDescent="0.2">
      <c r="C21" s="630" t="s">
        <v>155</v>
      </c>
      <c r="D21" s="631"/>
      <c r="E21" s="631"/>
      <c r="F21" s="631"/>
      <c r="G21" s="631"/>
      <c r="H21" s="631"/>
      <c r="I21" s="631"/>
      <c r="J21" s="632"/>
      <c r="M21" s="9">
        <v>20</v>
      </c>
      <c r="N21" s="34">
        <v>4150</v>
      </c>
      <c r="O21" s="176">
        <f t="shared" si="0"/>
        <v>207.5</v>
      </c>
    </row>
    <row r="22" spans="3:15" x14ac:dyDescent="0.2">
      <c r="C22" s="210" t="s">
        <v>156</v>
      </c>
      <c r="D22" s="219">
        <f>D18/$D$33</f>
        <v>20.049272116461371</v>
      </c>
      <c r="E22" s="219"/>
      <c r="F22" s="219"/>
      <c r="G22" s="219"/>
      <c r="H22" s="219"/>
      <c r="I22" s="219"/>
      <c r="J22" s="220">
        <f t="shared" si="2"/>
        <v>20.049272116461371</v>
      </c>
      <c r="M22" s="9">
        <v>25</v>
      </c>
      <c r="N22" s="34">
        <v>5300</v>
      </c>
      <c r="O22" s="176">
        <f t="shared" si="0"/>
        <v>212</v>
      </c>
    </row>
    <row r="23" spans="3:15" x14ac:dyDescent="0.2">
      <c r="C23" s="210" t="s">
        <v>157</v>
      </c>
      <c r="D23" s="219">
        <f>D18*$D$37</f>
        <v>15.036954087346025</v>
      </c>
      <c r="E23" s="219"/>
      <c r="F23" s="219"/>
      <c r="G23" s="219"/>
      <c r="H23" s="219"/>
      <c r="I23" s="219"/>
      <c r="J23" s="220">
        <f t="shared" si="2"/>
        <v>15.036954087346025</v>
      </c>
      <c r="M23" s="9">
        <v>30</v>
      </c>
      <c r="N23" s="34">
        <v>6100</v>
      </c>
      <c r="O23" s="176">
        <f t="shared" si="0"/>
        <v>203.33333333333334</v>
      </c>
    </row>
    <row r="24" spans="3:15" x14ac:dyDescent="0.2">
      <c r="C24" s="210" t="s">
        <v>69</v>
      </c>
      <c r="D24" s="223">
        <f>D18-D22</f>
        <v>-1.0024636058230705</v>
      </c>
      <c r="E24" s="223"/>
      <c r="F24" s="223"/>
      <c r="G24" s="223"/>
      <c r="H24" s="223"/>
      <c r="I24" s="223"/>
      <c r="J24" s="224">
        <f t="shared" si="2"/>
        <v>-1.0024636058230705</v>
      </c>
      <c r="M24" s="9">
        <v>40</v>
      </c>
      <c r="N24" s="34">
        <v>6925</v>
      </c>
      <c r="O24" s="176">
        <f t="shared" si="0"/>
        <v>173.125</v>
      </c>
    </row>
    <row r="25" spans="3:15" x14ac:dyDescent="0.2">
      <c r="C25" s="210" t="s">
        <v>158</v>
      </c>
      <c r="D25" s="223">
        <f>D18-D23</f>
        <v>4.0098544232922748</v>
      </c>
      <c r="E25" s="223"/>
      <c r="F25" s="223"/>
      <c r="G25" s="223"/>
      <c r="H25" s="223"/>
      <c r="I25" s="223"/>
      <c r="J25" s="224">
        <f t="shared" si="2"/>
        <v>4.0098544232922748</v>
      </c>
      <c r="M25" s="9">
        <v>50</v>
      </c>
      <c r="N25" s="34">
        <v>8675</v>
      </c>
      <c r="O25" s="176">
        <f t="shared" si="0"/>
        <v>173.5</v>
      </c>
    </row>
    <row r="26" spans="3:15" x14ac:dyDescent="0.2">
      <c r="C26" s="210" t="s">
        <v>70</v>
      </c>
      <c r="D26" s="221">
        <f>D25*D19</f>
        <v>24059.126539753648</v>
      </c>
      <c r="E26" s="221"/>
      <c r="F26" s="221"/>
      <c r="G26" s="221"/>
      <c r="H26" s="221"/>
      <c r="I26" s="221"/>
      <c r="J26" s="222">
        <f t="shared" si="2"/>
        <v>24059.126539753648</v>
      </c>
      <c r="M26" s="9">
        <v>60</v>
      </c>
      <c r="N26" s="34">
        <v>10600</v>
      </c>
      <c r="O26" s="176">
        <f t="shared" si="0"/>
        <v>176.66666666666666</v>
      </c>
    </row>
    <row r="27" spans="3:15" x14ac:dyDescent="0.2">
      <c r="C27" s="210"/>
      <c r="D27" s="225"/>
      <c r="E27" s="225"/>
      <c r="F27" s="225"/>
      <c r="G27" s="225"/>
      <c r="H27" s="225"/>
      <c r="I27" s="225"/>
      <c r="J27" s="226"/>
      <c r="M27" s="9">
        <v>75</v>
      </c>
      <c r="N27" s="34">
        <v>11700</v>
      </c>
      <c r="O27" s="176">
        <f t="shared" si="0"/>
        <v>156</v>
      </c>
    </row>
    <row r="28" spans="3:15" x14ac:dyDescent="0.2">
      <c r="C28" s="248" t="s">
        <v>159</v>
      </c>
      <c r="D28" s="247">
        <f>N23</f>
        <v>6100</v>
      </c>
      <c r="E28" s="247"/>
      <c r="F28" s="247"/>
      <c r="G28" s="247"/>
      <c r="H28" s="247"/>
      <c r="I28" s="247"/>
      <c r="J28" s="249">
        <f t="shared" si="2"/>
        <v>6100</v>
      </c>
      <c r="M28" s="9">
        <v>100</v>
      </c>
      <c r="N28" s="34">
        <v>13500</v>
      </c>
      <c r="O28" s="176">
        <f t="shared" si="0"/>
        <v>135</v>
      </c>
    </row>
    <row r="29" spans="3:15" x14ac:dyDescent="0.2">
      <c r="C29" s="248" t="s">
        <v>179</v>
      </c>
      <c r="D29" s="247">
        <v>1000</v>
      </c>
      <c r="E29" s="247"/>
      <c r="F29" s="247"/>
      <c r="G29" s="247"/>
      <c r="H29" s="247"/>
      <c r="I29" s="247"/>
      <c r="J29" s="249">
        <f t="shared" si="2"/>
        <v>1000</v>
      </c>
      <c r="M29" s="9"/>
      <c r="N29" s="34"/>
      <c r="O29" s="176"/>
    </row>
    <row r="30" spans="3:15" ht="13.5" thickBot="1" x14ac:dyDescent="0.25">
      <c r="C30" s="227" t="s">
        <v>72</v>
      </c>
      <c r="D30" s="228">
        <f>D28+D29</f>
        <v>7100</v>
      </c>
      <c r="E30" s="228"/>
      <c r="F30" s="228"/>
      <c r="G30" s="228"/>
      <c r="H30" s="228"/>
      <c r="I30" s="228"/>
      <c r="J30" s="229">
        <f t="shared" ref="J30" si="3">J28+J29</f>
        <v>7100</v>
      </c>
      <c r="M30" s="9">
        <v>125</v>
      </c>
      <c r="N30" s="34">
        <v>14700</v>
      </c>
      <c r="O30" s="176">
        <f t="shared" si="0"/>
        <v>117.6</v>
      </c>
    </row>
    <row r="31" spans="3:15" x14ac:dyDescent="0.2">
      <c r="C31" s="230"/>
      <c r="D31" s="231"/>
      <c r="E31" s="231"/>
      <c r="F31" s="231"/>
      <c r="G31" s="231"/>
      <c r="H31" s="231"/>
      <c r="I31" s="231"/>
      <c r="M31" s="9">
        <v>150</v>
      </c>
      <c r="N31" s="34">
        <v>16300</v>
      </c>
      <c r="O31" s="176">
        <f t="shared" si="0"/>
        <v>108.66666666666667</v>
      </c>
    </row>
    <row r="32" spans="3:15" x14ac:dyDescent="0.2">
      <c r="C32" s="633" t="s">
        <v>160</v>
      </c>
      <c r="D32" s="634"/>
      <c r="E32" s="634"/>
      <c r="F32" s="635"/>
      <c r="G32" s="231"/>
      <c r="H32" s="231"/>
      <c r="I32" s="231"/>
      <c r="M32" s="9">
        <v>200</v>
      </c>
      <c r="N32" s="34">
        <v>20900</v>
      </c>
      <c r="O32" s="176">
        <f t="shared" si="0"/>
        <v>104.5</v>
      </c>
    </row>
    <row r="33" spans="3:15" x14ac:dyDescent="0.2">
      <c r="C33" s="232" t="s">
        <v>59</v>
      </c>
      <c r="D33" s="215">
        <v>0.95</v>
      </c>
      <c r="E33" s="225"/>
      <c r="F33" s="225"/>
      <c r="G33" s="231"/>
      <c r="H33" s="231"/>
      <c r="I33" s="231"/>
      <c r="M33" s="1"/>
      <c r="N33" s="1"/>
      <c r="O33" s="1"/>
    </row>
    <row r="34" spans="3:15" x14ac:dyDescent="0.2">
      <c r="C34" s="232" t="s">
        <v>177</v>
      </c>
      <c r="D34" s="574">
        <v>1</v>
      </c>
      <c r="E34" s="574">
        <v>0.75</v>
      </c>
      <c r="F34" s="574">
        <v>0.5</v>
      </c>
      <c r="G34" s="230" t="s">
        <v>161</v>
      </c>
      <c r="H34" s="231"/>
      <c r="I34" s="231"/>
      <c r="M34" s="1" t="s">
        <v>123</v>
      </c>
      <c r="N34" s="1"/>
      <c r="O34" s="178">
        <f>AVERAGE(O16:O32)</f>
        <v>233.87864583333331</v>
      </c>
    </row>
    <row r="35" spans="3:15" ht="27" customHeight="1" x14ac:dyDescent="0.2">
      <c r="C35" s="232" t="s">
        <v>162</v>
      </c>
      <c r="D35" s="573">
        <f>$D$19/3</f>
        <v>2000</v>
      </c>
      <c r="E35" s="573">
        <f t="shared" ref="E35:F35" si="4">$D$19/3</f>
        <v>2000</v>
      </c>
      <c r="F35" s="573">
        <f t="shared" si="4"/>
        <v>2000</v>
      </c>
      <c r="G35" s="230" t="s">
        <v>163</v>
      </c>
      <c r="H35" s="231"/>
      <c r="I35" s="231"/>
      <c r="M35" s="1" t="s">
        <v>116</v>
      </c>
      <c r="N35" s="1"/>
      <c r="O35" s="178">
        <f>STDEV(O16:O32)</f>
        <v>144.97934488800496</v>
      </c>
    </row>
    <row r="36" spans="3:15" x14ac:dyDescent="0.2">
      <c r="C36" s="232" t="s">
        <v>164</v>
      </c>
      <c r="D36" s="219">
        <f>(D34)/$D$33</f>
        <v>1.0526315789473684</v>
      </c>
      <c r="E36" s="219">
        <f>(E34)/$D$33</f>
        <v>0.78947368421052633</v>
      </c>
      <c r="F36" s="219">
        <f>(F34)/$D$33</f>
        <v>0.52631578947368418</v>
      </c>
      <c r="G36" s="230" t="s">
        <v>178</v>
      </c>
      <c r="H36" s="231"/>
      <c r="I36" s="231"/>
      <c r="M36" s="139"/>
      <c r="N36" s="139"/>
      <c r="O36" s="1"/>
    </row>
    <row r="37" spans="3:15" x14ac:dyDescent="0.2">
      <c r="C37" s="232" t="s">
        <v>165</v>
      </c>
      <c r="D37" s="219">
        <f>(D36*D35+E36*E35+F36*F35)/SUM(D35:F35)</f>
        <v>0.78947368421052622</v>
      </c>
      <c r="E37" s="225"/>
      <c r="F37" s="225"/>
      <c r="G37" s="231"/>
      <c r="H37" s="231"/>
      <c r="I37" s="231"/>
      <c r="M37" s="139"/>
      <c r="N37" s="139"/>
      <c r="O37" s="1"/>
    </row>
    <row r="38" spans="3:15" ht="13.5" thickBot="1" x14ac:dyDescent="0.25"/>
    <row r="39" spans="3:15" x14ac:dyDescent="0.2">
      <c r="C39" s="636" t="s">
        <v>67</v>
      </c>
      <c r="D39" s="637"/>
      <c r="E39" s="233"/>
    </row>
    <row r="40" spans="3:15" x14ac:dyDescent="0.2">
      <c r="C40" s="234" t="s">
        <v>166</v>
      </c>
      <c r="D40" s="235">
        <f>J24</f>
        <v>-1.0024636058230705</v>
      </c>
      <c r="E40" s="236" t="s">
        <v>180</v>
      </c>
    </row>
    <row r="41" spans="3:15" x14ac:dyDescent="0.2">
      <c r="C41" s="234" t="s">
        <v>167</v>
      </c>
      <c r="D41" s="237">
        <f>J26</f>
        <v>24059.126539753648</v>
      </c>
      <c r="E41" s="236"/>
    </row>
    <row r="42" spans="3:15" x14ac:dyDescent="0.2">
      <c r="C42" s="234" t="s">
        <v>168</v>
      </c>
      <c r="D42" s="238">
        <f>J30</f>
        <v>7100</v>
      </c>
      <c r="E42" s="236"/>
    </row>
    <row r="43" spans="3:15" x14ac:dyDescent="0.2">
      <c r="C43" s="234" t="s">
        <v>169</v>
      </c>
      <c r="D43" s="239">
        <f>D41*0.08</f>
        <v>1924.7301231802919</v>
      </c>
      <c r="E43" s="236"/>
    </row>
    <row r="44" spans="3:15" x14ac:dyDescent="0.2">
      <c r="C44" s="234" t="s">
        <v>73</v>
      </c>
      <c r="D44" s="240">
        <f>D42/D43</f>
        <v>3.6888288464402725</v>
      </c>
      <c r="E44" s="236"/>
    </row>
    <row r="45" spans="3:15" x14ac:dyDescent="0.2">
      <c r="C45" s="231"/>
      <c r="D45" s="246"/>
    </row>
    <row r="46" spans="3:15" ht="15" x14ac:dyDescent="0.25">
      <c r="C46" s="181" t="s">
        <v>125</v>
      </c>
      <c r="D46" s="182">
        <f>ROUND(D41/D15, -1)</f>
        <v>800</v>
      </c>
      <c r="E46" s="1"/>
    </row>
    <row r="47" spans="3:15" ht="15" x14ac:dyDescent="0.25">
      <c r="C47" s="181" t="s">
        <v>181</v>
      </c>
      <c r="D47" s="183">
        <f>ROUND(D40/D15, 2)</f>
        <v>-0.03</v>
      </c>
      <c r="E47" s="1"/>
    </row>
    <row r="48" spans="3:15" ht="15" x14ac:dyDescent="0.25">
      <c r="C48" s="181" t="s">
        <v>103</v>
      </c>
      <c r="D48" s="184">
        <f>ROUND(O34+D29/D15, -1)</f>
        <v>270</v>
      </c>
      <c r="E48" s="1"/>
    </row>
    <row r="49" spans="3:6" ht="15" x14ac:dyDescent="0.25">
      <c r="C49" s="181" t="s">
        <v>104</v>
      </c>
      <c r="D49" s="185" t="s">
        <v>128</v>
      </c>
      <c r="E49" s="1"/>
    </row>
    <row r="50" spans="3:6" x14ac:dyDescent="0.2">
      <c r="C50" s="231"/>
      <c r="D50" s="246"/>
    </row>
    <row r="51" spans="3:6" x14ac:dyDescent="0.2">
      <c r="C51" s="231"/>
      <c r="D51" s="246"/>
    </row>
    <row r="52" spans="3:6" x14ac:dyDescent="0.2">
      <c r="C52" s="231"/>
      <c r="D52" s="246"/>
    </row>
    <row r="53" spans="3:6" x14ac:dyDescent="0.2">
      <c r="C53" s="231"/>
      <c r="D53" s="246"/>
    </row>
    <row r="54" spans="3:6" x14ac:dyDescent="0.2">
      <c r="C54" s="231"/>
      <c r="D54" s="246"/>
    </row>
    <row r="55" spans="3:6" x14ac:dyDescent="0.2">
      <c r="C55" s="231"/>
      <c r="D55" s="246"/>
    </row>
    <row r="56" spans="3:6" x14ac:dyDescent="0.2">
      <c r="C56" s="241"/>
      <c r="D56" s="241"/>
      <c r="E56" s="241"/>
    </row>
    <row r="57" spans="3:6" ht="25.5" x14ac:dyDescent="0.2">
      <c r="C57" s="242" t="s">
        <v>76</v>
      </c>
      <c r="D57" s="242" t="s">
        <v>77</v>
      </c>
      <c r="E57" s="242" t="s">
        <v>39</v>
      </c>
      <c r="F57" s="198"/>
    </row>
    <row r="58" spans="3:6" x14ac:dyDescent="0.2">
      <c r="C58" s="243" t="s">
        <v>81</v>
      </c>
      <c r="D58" s="244"/>
      <c r="E58" s="245"/>
    </row>
    <row r="59" spans="3:6" x14ac:dyDescent="0.2">
      <c r="C59" s="243" t="s">
        <v>82</v>
      </c>
      <c r="D59" s="244"/>
      <c r="E59" s="245"/>
    </row>
    <row r="60" spans="3:6" x14ac:dyDescent="0.2">
      <c r="C60" s="243" t="s">
        <v>83</v>
      </c>
      <c r="D60" s="244"/>
      <c r="E60" s="245"/>
    </row>
    <row r="61" spans="3:6" x14ac:dyDescent="0.2">
      <c r="C61" s="243" t="s">
        <v>84</v>
      </c>
      <c r="D61" s="244"/>
      <c r="E61" s="245"/>
    </row>
    <row r="62" spans="3:6" x14ac:dyDescent="0.2">
      <c r="C62" s="243" t="s">
        <v>85</v>
      </c>
      <c r="D62" s="244"/>
      <c r="E62" s="245"/>
    </row>
    <row r="63" spans="3:6" x14ac:dyDescent="0.2">
      <c r="C63" s="243" t="s">
        <v>86</v>
      </c>
      <c r="D63" s="244"/>
      <c r="E63" s="245"/>
    </row>
    <row r="64" spans="3:6" x14ac:dyDescent="0.2">
      <c r="C64" s="243" t="s">
        <v>87</v>
      </c>
      <c r="D64" s="244"/>
      <c r="E64" s="245"/>
    </row>
    <row r="65" spans="3:9" x14ac:dyDescent="0.2">
      <c r="C65" s="243" t="s">
        <v>88</v>
      </c>
      <c r="D65" s="244"/>
      <c r="E65" s="245"/>
    </row>
    <row r="66" spans="3:9" x14ac:dyDescent="0.2">
      <c r="C66" s="243" t="s">
        <v>89</v>
      </c>
      <c r="D66" s="244"/>
      <c r="E66" s="245"/>
    </row>
    <row r="67" spans="3:9" x14ac:dyDescent="0.2">
      <c r="C67" s="243" t="s">
        <v>90</v>
      </c>
      <c r="D67" s="244"/>
      <c r="E67" s="245"/>
    </row>
    <row r="68" spans="3:9" x14ac:dyDescent="0.2">
      <c r="C68" s="243" t="s">
        <v>91</v>
      </c>
      <c r="D68" s="244"/>
      <c r="E68" s="245"/>
    </row>
    <row r="69" spans="3:9" x14ac:dyDescent="0.2">
      <c r="C69" s="243" t="s">
        <v>92</v>
      </c>
      <c r="D69" s="244"/>
      <c r="E69" s="245"/>
    </row>
    <row r="71" spans="3:9" x14ac:dyDescent="0.2">
      <c r="C71" s="204" t="s">
        <v>93</v>
      </c>
    </row>
    <row r="72" spans="3:9" ht="15" x14ac:dyDescent="0.2">
      <c r="C72" s="624"/>
      <c r="D72" s="624"/>
      <c r="E72" s="624"/>
      <c r="F72" s="624"/>
      <c r="G72" s="624"/>
      <c r="H72" s="624"/>
      <c r="I72" s="624"/>
    </row>
    <row r="73" spans="3:9" ht="15" x14ac:dyDescent="0.2">
      <c r="C73" s="625"/>
      <c r="D73" s="625"/>
      <c r="E73" s="625"/>
      <c r="F73" s="625"/>
    </row>
    <row r="75" spans="3:9" ht="148.5" customHeight="1" x14ac:dyDescent="0.2"/>
    <row r="76" spans="3:9" ht="15.75" customHeight="1" x14ac:dyDescent="0.2"/>
  </sheetData>
  <mergeCells count="7">
    <mergeCell ref="C72:I72"/>
    <mergeCell ref="C73:F73"/>
    <mergeCell ref="A1:B1"/>
    <mergeCell ref="C13:J13"/>
    <mergeCell ref="C21:J21"/>
    <mergeCell ref="C32:F32"/>
    <mergeCell ref="C39:D39"/>
  </mergeCells>
  <conditionalFormatting sqref="O16:O3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56"/>
  <sheetViews>
    <sheetView topLeftCell="A13" zoomScale="70" zoomScaleNormal="70" workbookViewId="0">
      <selection activeCell="F56" sqref="F56"/>
    </sheetView>
  </sheetViews>
  <sheetFormatPr defaultRowHeight="12.75" x14ac:dyDescent="0.2"/>
  <cols>
    <col min="1" max="1" width="25.5703125" style="255" customWidth="1"/>
    <col min="2" max="2" width="33.85546875" style="255" customWidth="1"/>
    <col min="3" max="3" width="34.7109375" style="255" customWidth="1"/>
    <col min="4" max="4" width="11.28515625" style="255" customWidth="1"/>
    <col min="5" max="6" width="12.28515625" style="255" customWidth="1"/>
    <col min="7" max="7" width="11.5703125" style="255" customWidth="1"/>
    <col min="8" max="8" width="13.140625" style="255" customWidth="1"/>
    <col min="9" max="9" width="2" style="255" customWidth="1"/>
    <col min="10" max="10" width="19.28515625" style="255" customWidth="1"/>
    <col min="11" max="14" width="10.140625" style="255" customWidth="1"/>
    <col min="15" max="23" width="10.85546875" style="255" customWidth="1"/>
    <col min="24" max="30" width="9.140625" style="255"/>
    <col min="31" max="31" width="35.85546875" style="255" bestFit="1" customWidth="1"/>
    <col min="32" max="37" width="13.5703125" style="255" customWidth="1"/>
    <col min="38" max="38" width="9.140625" style="255"/>
    <col min="39" max="39" width="10.85546875" style="255" customWidth="1"/>
    <col min="40" max="40" width="16" style="255" customWidth="1"/>
    <col min="41" max="16384" width="9.140625" style="255"/>
  </cols>
  <sheetData>
    <row r="1" spans="1:27" ht="15" x14ac:dyDescent="0.25">
      <c r="A1" s="638" t="s">
        <v>0</v>
      </c>
      <c r="B1" s="638"/>
      <c r="D1" s="376"/>
      <c r="E1" s="376"/>
      <c r="F1" s="376"/>
      <c r="G1" s="376"/>
      <c r="H1" s="376"/>
      <c r="I1" s="376"/>
      <c r="J1" s="376"/>
      <c r="K1" s="376"/>
    </row>
    <row r="2" spans="1:27" ht="27.75" customHeight="1" x14ac:dyDescent="0.25">
      <c r="A2" s="256" t="s">
        <v>1</v>
      </c>
      <c r="B2" s="257" t="str">
        <f>D12</f>
        <v>Install Variable Speed Drives on Ventilation Fans</v>
      </c>
      <c r="D2" s="1" t="s">
        <v>107</v>
      </c>
      <c r="E2" s="376"/>
      <c r="F2" s="376"/>
      <c r="G2" s="376"/>
      <c r="H2" s="376"/>
      <c r="I2" s="376"/>
      <c r="J2" s="376"/>
      <c r="K2" s="376"/>
    </row>
    <row r="3" spans="1:27" ht="12.75" customHeight="1" x14ac:dyDescent="0.25">
      <c r="A3" s="256" t="s">
        <v>2</v>
      </c>
      <c r="B3" s="258">
        <f>D54</f>
        <v>0.71228248252500703</v>
      </c>
      <c r="D3" s="1" t="s">
        <v>202</v>
      </c>
      <c r="E3" s="376"/>
      <c r="F3" s="376"/>
      <c r="G3" s="376"/>
      <c r="H3" s="376"/>
      <c r="I3" s="376"/>
      <c r="J3" s="376"/>
      <c r="K3" s="376"/>
    </row>
    <row r="4" spans="1:27" ht="12.75" customHeight="1" x14ac:dyDescent="0.25">
      <c r="A4" s="256" t="s">
        <v>3</v>
      </c>
      <c r="B4" s="259">
        <f>D55</f>
        <v>5622.5653699513641</v>
      </c>
      <c r="D4" s="1" t="s">
        <v>108</v>
      </c>
      <c r="E4" s="376"/>
      <c r="F4" s="376"/>
      <c r="G4" s="376"/>
      <c r="H4" s="376"/>
      <c r="I4" s="376"/>
      <c r="J4" s="376"/>
      <c r="K4" s="376"/>
    </row>
    <row r="5" spans="1:27" ht="15" x14ac:dyDescent="0.25">
      <c r="A5" s="256" t="s">
        <v>4</v>
      </c>
      <c r="B5" s="259">
        <v>0</v>
      </c>
      <c r="D5" s="1" t="s">
        <v>119</v>
      </c>
      <c r="E5" s="376"/>
      <c r="F5" s="376"/>
      <c r="G5" s="376"/>
      <c r="H5" s="376"/>
      <c r="I5" s="376"/>
      <c r="J5" s="376"/>
      <c r="K5" s="376"/>
    </row>
    <row r="6" spans="1:27" ht="12.75" customHeight="1" x14ac:dyDescent="0.25">
      <c r="A6" s="256" t="s">
        <v>5</v>
      </c>
      <c r="B6" s="260">
        <f>D56</f>
        <v>449.80522959610914</v>
      </c>
      <c r="D6" s="1" t="s">
        <v>120</v>
      </c>
      <c r="E6" s="376"/>
      <c r="F6" s="376"/>
      <c r="G6" s="376"/>
      <c r="H6" s="376"/>
      <c r="I6" s="376"/>
      <c r="J6" s="376"/>
      <c r="K6" s="376"/>
    </row>
    <row r="7" spans="1:27" ht="12.75" customHeight="1" x14ac:dyDescent="0.25">
      <c r="A7" s="256" t="s">
        <v>6</v>
      </c>
      <c r="B7" s="260">
        <v>0</v>
      </c>
      <c r="D7" s="1" t="s">
        <v>170</v>
      </c>
      <c r="E7" s="376"/>
      <c r="F7" s="376"/>
      <c r="G7" s="376"/>
      <c r="H7" s="376"/>
      <c r="I7" s="376"/>
      <c r="J7" s="376"/>
      <c r="K7" s="376"/>
    </row>
    <row r="8" spans="1:27" ht="15" x14ac:dyDescent="0.25">
      <c r="A8" s="256" t="s">
        <v>7</v>
      </c>
      <c r="B8" s="260">
        <f>D57</f>
        <v>2500</v>
      </c>
      <c r="D8" s="376"/>
      <c r="E8" s="376"/>
      <c r="F8" s="376"/>
      <c r="G8" s="376"/>
      <c r="H8" s="376"/>
      <c r="I8" s="376"/>
      <c r="J8" s="376"/>
      <c r="K8" s="376"/>
    </row>
    <row r="9" spans="1:27" ht="22.5" customHeight="1" x14ac:dyDescent="0.25">
      <c r="A9" s="256" t="s">
        <v>8</v>
      </c>
      <c r="B9" s="261" t="e">
        <f>#REF!</f>
        <v>#REF!</v>
      </c>
      <c r="D9" s="376"/>
      <c r="E9" s="376"/>
      <c r="F9" s="376"/>
      <c r="G9" s="376"/>
      <c r="H9" s="376"/>
      <c r="I9" s="376"/>
      <c r="J9" s="376"/>
      <c r="K9" s="376"/>
    </row>
    <row r="10" spans="1:27" ht="15" x14ac:dyDescent="0.25">
      <c r="D10" s="376"/>
      <c r="E10" s="376"/>
      <c r="F10" s="376"/>
      <c r="G10" s="376"/>
      <c r="H10" s="376"/>
      <c r="I10" s="376"/>
      <c r="J10" s="376"/>
      <c r="K10" s="376"/>
      <c r="O10" s="262"/>
      <c r="P10" s="262"/>
      <c r="Q10" s="262"/>
      <c r="R10" s="262"/>
      <c r="S10" s="262"/>
      <c r="T10" s="262"/>
      <c r="U10" s="262"/>
    </row>
    <row r="11" spans="1:27" ht="13.5" thickBot="1" x14ac:dyDescent="0.25">
      <c r="O11" s="262"/>
      <c r="P11" s="262"/>
      <c r="Q11" s="262"/>
      <c r="R11" s="262"/>
      <c r="S11" s="262"/>
      <c r="T11" s="262"/>
      <c r="U11" s="262"/>
    </row>
    <row r="12" spans="1:27" ht="13.5" thickBot="1" x14ac:dyDescent="0.25">
      <c r="C12" s="263" t="s">
        <v>12</v>
      </c>
      <c r="D12" s="264" t="s">
        <v>187</v>
      </c>
      <c r="E12" s="265"/>
      <c r="F12" s="265"/>
      <c r="G12" s="266"/>
      <c r="H12" s="262"/>
      <c r="I12" s="262"/>
      <c r="J12" s="262"/>
      <c r="K12" s="262"/>
      <c r="L12" s="262"/>
      <c r="M12" s="262"/>
      <c r="N12" s="262"/>
      <c r="O12" s="262"/>
      <c r="P12" s="262"/>
      <c r="Q12" s="262"/>
      <c r="R12" s="262"/>
      <c r="S12" s="262"/>
      <c r="T12" s="262"/>
      <c r="U12" s="262"/>
    </row>
    <row r="13" spans="1:27" ht="13.5" thickBot="1" x14ac:dyDescent="0.25">
      <c r="C13" s="262"/>
      <c r="E13" s="262"/>
      <c r="G13" s="262"/>
      <c r="H13" s="262"/>
      <c r="O13" s="262"/>
      <c r="P13" s="262"/>
      <c r="Q13" s="262"/>
      <c r="R13" s="262"/>
      <c r="S13" s="262"/>
      <c r="T13" s="262"/>
      <c r="U13" s="262"/>
    </row>
    <row r="14" spans="1:27" ht="13.5" thickBot="1" x14ac:dyDescent="0.25">
      <c r="C14" s="267" t="s">
        <v>18</v>
      </c>
      <c r="D14" s="268"/>
      <c r="E14" s="268"/>
      <c r="F14" s="268"/>
      <c r="G14" s="268"/>
      <c r="H14" s="269"/>
      <c r="I14" s="270"/>
      <c r="J14" s="270"/>
      <c r="K14" s="270"/>
      <c r="L14" s="270"/>
      <c r="M14" s="270"/>
      <c r="N14" s="270"/>
      <c r="O14" s="639"/>
      <c r="P14" s="639"/>
      <c r="Q14" s="639"/>
      <c r="R14" s="639"/>
      <c r="S14" s="639"/>
      <c r="T14" s="639"/>
      <c r="U14" s="380"/>
    </row>
    <row r="15" spans="1:27" ht="27" customHeight="1" thickTop="1" x14ac:dyDescent="0.25">
      <c r="C15" s="271" t="s">
        <v>188</v>
      </c>
      <c r="D15" s="272" t="s">
        <v>31</v>
      </c>
      <c r="E15" s="273" t="s">
        <v>32</v>
      </c>
      <c r="F15" s="273" t="s">
        <v>33</v>
      </c>
      <c r="G15" s="273" t="s">
        <v>34</v>
      </c>
      <c r="H15" s="386"/>
      <c r="I15" s="274"/>
      <c r="J15" s="31" t="s">
        <v>118</v>
      </c>
      <c r="K15" s="32"/>
      <c r="L15" s="32"/>
      <c r="M15" s="32"/>
      <c r="N15" s="33"/>
      <c r="O15" s="640" t="s">
        <v>204</v>
      </c>
      <c r="P15" s="642" t="s">
        <v>189</v>
      </c>
      <c r="Q15" s="642" t="s">
        <v>205</v>
      </c>
      <c r="R15" s="644" t="s">
        <v>190</v>
      </c>
      <c r="S15" s="658" t="s">
        <v>208</v>
      </c>
      <c r="T15" s="644" t="s">
        <v>209</v>
      </c>
      <c r="U15" s="644" t="s">
        <v>210</v>
      </c>
      <c r="V15" s="642" t="s">
        <v>39</v>
      </c>
      <c r="W15" s="651" t="s">
        <v>77</v>
      </c>
      <c r="Y15" s="1" t="s">
        <v>17</v>
      </c>
      <c r="Z15" s="1"/>
      <c r="AA15" s="199"/>
    </row>
    <row r="16" spans="1:27" ht="15" x14ac:dyDescent="0.25">
      <c r="C16" s="275" t="s">
        <v>213</v>
      </c>
      <c r="D16" s="276">
        <v>3</v>
      </c>
      <c r="E16" s="277">
        <v>0.8</v>
      </c>
      <c r="F16" s="278">
        <v>0.91</v>
      </c>
      <c r="G16" s="387">
        <f t="shared" ref="G16:G22" si="0">IF(C16="", "", D16*0.746*E16/F16)</f>
        <v>1.9674725274725273</v>
      </c>
      <c r="H16" s="386"/>
      <c r="I16" s="274"/>
      <c r="J16" s="42" t="s">
        <v>40</v>
      </c>
      <c r="K16" s="43" t="s">
        <v>41</v>
      </c>
      <c r="L16" s="43" t="s">
        <v>42</v>
      </c>
      <c r="M16" s="43" t="s">
        <v>43</v>
      </c>
      <c r="N16" s="44" t="s">
        <v>44</v>
      </c>
      <c r="O16" s="641"/>
      <c r="P16" s="643"/>
      <c r="Q16" s="643"/>
      <c r="R16" s="643"/>
      <c r="S16" s="659"/>
      <c r="T16" s="643"/>
      <c r="U16" s="643"/>
      <c r="V16" s="643"/>
      <c r="W16" s="652"/>
      <c r="Y16" s="9" t="s">
        <v>27</v>
      </c>
      <c r="Z16" s="9" t="s">
        <v>28</v>
      </c>
      <c r="AA16" s="1" t="s">
        <v>122</v>
      </c>
    </row>
    <row r="17" spans="1:27" ht="15" x14ac:dyDescent="0.25">
      <c r="A17" s="279" t="s">
        <v>191</v>
      </c>
      <c r="C17" s="275"/>
      <c r="D17" s="276"/>
      <c r="E17" s="277"/>
      <c r="F17" s="278"/>
      <c r="G17" s="387" t="str">
        <f t="shared" si="0"/>
        <v/>
      </c>
      <c r="H17" s="386"/>
      <c r="I17" s="274"/>
      <c r="J17" s="46">
        <v>107.5</v>
      </c>
      <c r="K17" s="47">
        <v>0</v>
      </c>
      <c r="L17" s="47">
        <v>0</v>
      </c>
      <c r="M17" s="47">
        <v>0</v>
      </c>
      <c r="N17" s="48" t="s">
        <v>46</v>
      </c>
      <c r="O17" s="280">
        <f>IF(J17&gt;$G$32, $D$32, IF(J17&lt;$G$33, $D$33, ((($D$32-$D$33)/($G$32-$G$33))*(J17-$G$33)+$D$33 ) ))</f>
        <v>1</v>
      </c>
      <c r="P17" s="378">
        <f t="shared" ref="P17:P45" si="1">$G$23</f>
        <v>1.9674725274725273</v>
      </c>
      <c r="Q17" s="281">
        <f t="shared" ref="Q17:Q45" si="2">$G$23*O17</f>
        <v>1.9674725274725273</v>
      </c>
      <c r="R17" s="282">
        <f>Q17*K17</f>
        <v>0</v>
      </c>
      <c r="S17" s="379">
        <f>MAX((O17^(1/0.55))^2.5, 0.1)</f>
        <v>1</v>
      </c>
      <c r="T17" s="281">
        <f t="shared" ref="T17:T45" si="3">$G$23*S17/$D$27</f>
        <v>2.0710237131289762</v>
      </c>
      <c r="U17" s="282">
        <f>T17*K17</f>
        <v>0</v>
      </c>
      <c r="V17" s="283">
        <f>(Q17-T17)</f>
        <v>-0.10355118565644883</v>
      </c>
      <c r="W17" s="284">
        <f>R17-U17</f>
        <v>0</v>
      </c>
      <c r="X17" s="285"/>
      <c r="Y17" s="9">
        <v>3</v>
      </c>
      <c r="Z17" s="34">
        <v>2000</v>
      </c>
      <c r="AA17" s="176">
        <f>Z17/Y17</f>
        <v>666.66666666666663</v>
      </c>
    </row>
    <row r="18" spans="1:27" ht="15" x14ac:dyDescent="0.25">
      <c r="A18" s="286" t="s">
        <v>192</v>
      </c>
      <c r="C18" s="275"/>
      <c r="D18" s="276"/>
      <c r="E18" s="277"/>
      <c r="F18" s="278"/>
      <c r="G18" s="387" t="str">
        <f t="shared" si="0"/>
        <v/>
      </c>
      <c r="H18" s="386"/>
      <c r="I18" s="274"/>
      <c r="J18" s="46">
        <v>102.5</v>
      </c>
      <c r="K18" s="47">
        <v>0</v>
      </c>
      <c r="L18" s="47">
        <v>0</v>
      </c>
      <c r="M18" s="47">
        <v>0</v>
      </c>
      <c r="N18" s="48" t="s">
        <v>46</v>
      </c>
      <c r="O18" s="280">
        <f t="shared" ref="O18:O45" si="4">IF(J18&gt;$G$32, $D$32, IF(J18&lt;$G$33, $D$33, ((($D$32-$D$33)/($G$32-$G$33))*(J18-$G$33)+$D$33 ) ))</f>
        <v>1</v>
      </c>
      <c r="P18" s="378">
        <f t="shared" si="1"/>
        <v>1.9674725274725273</v>
      </c>
      <c r="Q18" s="281">
        <f t="shared" si="2"/>
        <v>1.9674725274725273</v>
      </c>
      <c r="R18" s="282">
        <f t="shared" ref="R18:R45" si="5">Q18*K18</f>
        <v>0</v>
      </c>
      <c r="S18" s="379">
        <f t="shared" ref="S18:S45" si="6">MAX((O18^(1/0.55))^2.5, 0.1)</f>
        <v>1</v>
      </c>
      <c r="T18" s="281">
        <f t="shared" si="3"/>
        <v>2.0710237131289762</v>
      </c>
      <c r="U18" s="282">
        <f t="shared" ref="U18:U45" si="7">T18*K18</f>
        <v>0</v>
      </c>
      <c r="V18" s="283">
        <f t="shared" ref="V18:V45" si="8">(Q18-T18)</f>
        <v>-0.10355118565644883</v>
      </c>
      <c r="W18" s="284">
        <f t="shared" ref="W18:W45" si="9">R18-U18</f>
        <v>0</v>
      </c>
      <c r="X18" s="285"/>
      <c r="Y18" s="9">
        <v>5</v>
      </c>
      <c r="Z18" s="34">
        <v>2150</v>
      </c>
      <c r="AA18" s="176">
        <f t="shared" ref="AA18:AA20" si="10">Z18/Y18</f>
        <v>430</v>
      </c>
    </row>
    <row r="19" spans="1:27" ht="15" x14ac:dyDescent="0.25">
      <c r="C19" s="275"/>
      <c r="D19" s="276"/>
      <c r="E19" s="277"/>
      <c r="F19" s="278"/>
      <c r="G19" s="387" t="str">
        <f t="shared" si="0"/>
        <v/>
      </c>
      <c r="H19" s="386"/>
      <c r="I19" s="274"/>
      <c r="J19" s="46">
        <v>97.5</v>
      </c>
      <c r="K19" s="47">
        <v>1</v>
      </c>
      <c r="L19" s="47">
        <v>0</v>
      </c>
      <c r="M19" s="47">
        <v>1</v>
      </c>
      <c r="N19" s="48">
        <v>79.11</v>
      </c>
      <c r="O19" s="280">
        <f t="shared" si="4"/>
        <v>1</v>
      </c>
      <c r="P19" s="378">
        <f t="shared" si="1"/>
        <v>1.9674725274725273</v>
      </c>
      <c r="Q19" s="281">
        <f t="shared" si="2"/>
        <v>1.9674725274725273</v>
      </c>
      <c r="R19" s="282">
        <f t="shared" si="5"/>
        <v>1.9674725274725273</v>
      </c>
      <c r="S19" s="379">
        <f t="shared" si="6"/>
        <v>1</v>
      </c>
      <c r="T19" s="281">
        <f t="shared" si="3"/>
        <v>2.0710237131289762</v>
      </c>
      <c r="U19" s="282">
        <f t="shared" si="7"/>
        <v>2.0710237131289762</v>
      </c>
      <c r="V19" s="283">
        <f t="shared" si="8"/>
        <v>-0.10355118565644883</v>
      </c>
      <c r="W19" s="284">
        <f t="shared" si="9"/>
        <v>-0.10355118565644883</v>
      </c>
      <c r="X19" s="285"/>
      <c r="Y19" s="9">
        <v>7.5</v>
      </c>
      <c r="Z19" s="34">
        <v>2575</v>
      </c>
      <c r="AA19" s="176">
        <f t="shared" si="10"/>
        <v>343.33333333333331</v>
      </c>
    </row>
    <row r="20" spans="1:27" ht="15" x14ac:dyDescent="0.25">
      <c r="C20" s="275"/>
      <c r="D20" s="276"/>
      <c r="E20" s="277"/>
      <c r="F20" s="278"/>
      <c r="G20" s="387" t="str">
        <f t="shared" si="0"/>
        <v/>
      </c>
      <c r="H20" s="386"/>
      <c r="I20" s="274"/>
      <c r="J20" s="46">
        <v>92.5</v>
      </c>
      <c r="K20" s="47">
        <v>26</v>
      </c>
      <c r="L20" s="47">
        <v>0</v>
      </c>
      <c r="M20" s="47">
        <v>26</v>
      </c>
      <c r="N20" s="48">
        <v>78.340769230769226</v>
      </c>
      <c r="O20" s="280">
        <f t="shared" si="4"/>
        <v>0.96818181818181803</v>
      </c>
      <c r="P20" s="378">
        <f t="shared" si="1"/>
        <v>1.9674725274725273</v>
      </c>
      <c r="Q20" s="281">
        <f t="shared" si="2"/>
        <v>1.9048711288711284</v>
      </c>
      <c r="R20" s="282">
        <f t="shared" si="5"/>
        <v>49.526649350649336</v>
      </c>
      <c r="S20" s="379">
        <f t="shared" si="6"/>
        <v>0.86331210425722582</v>
      </c>
      <c r="T20" s="281">
        <f t="shared" si="3"/>
        <v>1.7879398397479898</v>
      </c>
      <c r="U20" s="282">
        <f t="shared" si="7"/>
        <v>46.486435833447736</v>
      </c>
      <c r="V20" s="283">
        <f t="shared" si="8"/>
        <v>0.11693128912313866</v>
      </c>
      <c r="W20" s="284">
        <f t="shared" si="9"/>
        <v>3.0402135172016003</v>
      </c>
      <c r="X20" s="285"/>
      <c r="Y20" s="9">
        <v>10</v>
      </c>
      <c r="Z20" s="34">
        <v>2875</v>
      </c>
      <c r="AA20" s="176">
        <f t="shared" si="10"/>
        <v>287.5</v>
      </c>
    </row>
    <row r="21" spans="1:27" ht="15" x14ac:dyDescent="0.25">
      <c r="C21" s="275"/>
      <c r="D21" s="276"/>
      <c r="E21" s="277"/>
      <c r="F21" s="278"/>
      <c r="G21" s="387" t="str">
        <f t="shared" si="0"/>
        <v/>
      </c>
      <c r="H21" s="386"/>
      <c r="I21" s="274"/>
      <c r="J21" s="46">
        <v>87.5</v>
      </c>
      <c r="K21" s="47">
        <v>160</v>
      </c>
      <c r="L21" s="47">
        <v>0</v>
      </c>
      <c r="M21" s="47">
        <v>160</v>
      </c>
      <c r="N21" s="48">
        <v>72.417562500000003</v>
      </c>
      <c r="O21" s="280">
        <f t="shared" si="4"/>
        <v>0.90454545454545454</v>
      </c>
      <c r="P21" s="378">
        <f t="shared" si="1"/>
        <v>1.9674725274725273</v>
      </c>
      <c r="Q21" s="281">
        <f t="shared" si="2"/>
        <v>1.7796683316683315</v>
      </c>
      <c r="R21" s="282">
        <f t="shared" si="5"/>
        <v>284.74693306693302</v>
      </c>
      <c r="S21" s="379">
        <f t="shared" si="6"/>
        <v>0.63380599621339961</v>
      </c>
      <c r="T21" s="281">
        <f t="shared" si="3"/>
        <v>1.3126272476812848</v>
      </c>
      <c r="U21" s="282">
        <f t="shared" si="7"/>
        <v>210.02035962900555</v>
      </c>
      <c r="V21" s="283">
        <f t="shared" si="8"/>
        <v>0.46704108398704669</v>
      </c>
      <c r="W21" s="284">
        <f t="shared" si="9"/>
        <v>74.72657343792747</v>
      </c>
      <c r="X21" s="285"/>
      <c r="Y21" s="9">
        <v>15</v>
      </c>
      <c r="Z21" s="34">
        <v>3700</v>
      </c>
      <c r="AA21" s="176" t="s">
        <v>124</v>
      </c>
    </row>
    <row r="22" spans="1:27" ht="15.75" thickBot="1" x14ac:dyDescent="0.3">
      <c r="C22" s="275"/>
      <c r="D22" s="276"/>
      <c r="E22" s="277"/>
      <c r="F22" s="278"/>
      <c r="G22" s="388" t="str">
        <f t="shared" si="0"/>
        <v/>
      </c>
      <c r="H22" s="386"/>
      <c r="I22" s="274"/>
      <c r="J22" s="46">
        <v>82.5</v>
      </c>
      <c r="K22" s="47">
        <v>428</v>
      </c>
      <c r="L22" s="47">
        <v>0</v>
      </c>
      <c r="M22" s="47">
        <v>428</v>
      </c>
      <c r="N22" s="48">
        <v>69.528901869159029</v>
      </c>
      <c r="O22" s="280">
        <f t="shared" si="4"/>
        <v>0.84090909090909083</v>
      </c>
      <c r="P22" s="378">
        <f t="shared" si="1"/>
        <v>1.9674725274725273</v>
      </c>
      <c r="Q22" s="281">
        <f t="shared" si="2"/>
        <v>1.6544655344655341</v>
      </c>
      <c r="R22" s="282">
        <f t="shared" si="5"/>
        <v>708.11124875124858</v>
      </c>
      <c r="S22" s="379">
        <f t="shared" si="6"/>
        <v>0.45493590728473282</v>
      </c>
      <c r="T22" s="281">
        <f t="shared" si="3"/>
        <v>0.94218305194052709</v>
      </c>
      <c r="U22" s="282">
        <f t="shared" si="7"/>
        <v>403.25434623054559</v>
      </c>
      <c r="V22" s="283">
        <f t="shared" si="8"/>
        <v>0.71228248252500703</v>
      </c>
      <c r="W22" s="284">
        <f t="shared" si="9"/>
        <v>304.85690252070299</v>
      </c>
      <c r="X22" s="285"/>
      <c r="Y22" s="9">
        <v>20</v>
      </c>
      <c r="Z22" s="34">
        <v>4150</v>
      </c>
      <c r="AA22" s="176"/>
    </row>
    <row r="23" spans="1:27" ht="15.75" thickTop="1" x14ac:dyDescent="0.25">
      <c r="C23" s="287"/>
      <c r="D23" s="288"/>
      <c r="E23" s="288"/>
      <c r="F23" s="289" t="s">
        <v>47</v>
      </c>
      <c r="G23" s="389">
        <f>SUM(G16:G22)</f>
        <v>1.9674725274725273</v>
      </c>
      <c r="H23" s="386"/>
      <c r="I23" s="274"/>
      <c r="J23" s="46">
        <v>77.5</v>
      </c>
      <c r="K23" s="47">
        <v>531</v>
      </c>
      <c r="L23" s="47">
        <v>0</v>
      </c>
      <c r="M23" s="47">
        <v>531</v>
      </c>
      <c r="N23" s="48">
        <v>67.593389830508343</v>
      </c>
      <c r="O23" s="280">
        <f t="shared" si="4"/>
        <v>0.77727272727272723</v>
      </c>
      <c r="P23" s="378">
        <f t="shared" si="1"/>
        <v>1.9674725274725273</v>
      </c>
      <c r="Q23" s="281">
        <f t="shared" si="2"/>
        <v>1.529262737262737</v>
      </c>
      <c r="R23" s="282">
        <f t="shared" si="5"/>
        <v>812.03851348651335</v>
      </c>
      <c r="S23" s="379">
        <f t="shared" si="6"/>
        <v>0.31813137170168171</v>
      </c>
      <c r="T23" s="281">
        <f t="shared" si="3"/>
        <v>0.65885761468443138</v>
      </c>
      <c r="U23" s="282">
        <f t="shared" si="7"/>
        <v>349.85339339743308</v>
      </c>
      <c r="V23" s="283">
        <f t="shared" si="8"/>
        <v>0.8704051225783056</v>
      </c>
      <c r="W23" s="284">
        <f t="shared" si="9"/>
        <v>462.18512008908027</v>
      </c>
      <c r="X23" s="285"/>
      <c r="Y23" s="9">
        <v>25</v>
      </c>
      <c r="Z23" s="34">
        <v>5300</v>
      </c>
      <c r="AA23" s="176"/>
    </row>
    <row r="24" spans="1:27" ht="12.75" customHeight="1" x14ac:dyDescent="0.2">
      <c r="C24" s="287"/>
      <c r="D24" s="288"/>
      <c r="E24" s="288"/>
      <c r="F24" s="288"/>
      <c r="G24" s="288"/>
      <c r="H24" s="290"/>
      <c r="I24" s="291"/>
      <c r="J24" s="46">
        <v>72.5</v>
      </c>
      <c r="K24" s="47">
        <v>538</v>
      </c>
      <c r="L24" s="47">
        <v>0</v>
      </c>
      <c r="M24" s="47">
        <v>538</v>
      </c>
      <c r="N24" s="48">
        <v>65.190464684014756</v>
      </c>
      <c r="O24" s="280">
        <f t="shared" si="4"/>
        <v>0.71363636363636362</v>
      </c>
      <c r="P24" s="378">
        <f t="shared" si="1"/>
        <v>1.9674725274725273</v>
      </c>
      <c r="Q24" s="281">
        <f t="shared" si="2"/>
        <v>1.4040599400599398</v>
      </c>
      <c r="R24" s="282">
        <f t="shared" si="5"/>
        <v>755.38424775224769</v>
      </c>
      <c r="S24" s="379">
        <f t="shared" si="6"/>
        <v>0.21576760177953447</v>
      </c>
      <c r="T24" s="281">
        <f t="shared" si="3"/>
        <v>0.44685981981038575</v>
      </c>
      <c r="U24" s="282">
        <f t="shared" si="7"/>
        <v>240.41058305798754</v>
      </c>
      <c r="V24" s="283">
        <f t="shared" si="8"/>
        <v>0.95720012024955414</v>
      </c>
      <c r="W24" s="284">
        <f t="shared" si="9"/>
        <v>514.97366469426015</v>
      </c>
      <c r="X24" s="285"/>
      <c r="Y24" s="9">
        <v>30</v>
      </c>
      <c r="Z24" s="34">
        <v>6100</v>
      </c>
      <c r="AA24" s="176"/>
    </row>
    <row r="25" spans="1:27" ht="12.75" customHeight="1" x14ac:dyDescent="0.2">
      <c r="C25" s="292" t="s">
        <v>200</v>
      </c>
      <c r="D25" s="653" t="s">
        <v>201</v>
      </c>
      <c r="E25" s="654"/>
      <c r="F25" s="654"/>
      <c r="G25" s="655"/>
      <c r="H25" s="290"/>
      <c r="I25" s="291"/>
      <c r="J25" s="46">
        <v>67.5</v>
      </c>
      <c r="K25" s="47">
        <v>767</v>
      </c>
      <c r="L25" s="47">
        <v>0</v>
      </c>
      <c r="M25" s="47">
        <v>767</v>
      </c>
      <c r="N25" s="48">
        <v>61.564132985657949</v>
      </c>
      <c r="O25" s="280">
        <f t="shared" si="4"/>
        <v>0.64999999999999991</v>
      </c>
      <c r="P25" s="378">
        <f t="shared" si="1"/>
        <v>1.9674725274725273</v>
      </c>
      <c r="Q25" s="281">
        <f t="shared" si="2"/>
        <v>1.2788571428571427</v>
      </c>
      <c r="R25" s="282">
        <f t="shared" si="5"/>
        <v>980.88342857142845</v>
      </c>
      <c r="S25" s="379">
        <f t="shared" si="6"/>
        <v>0.1411257186746406</v>
      </c>
      <c r="T25" s="281">
        <f t="shared" si="3"/>
        <v>0.2922747099075495</v>
      </c>
      <c r="U25" s="282">
        <f t="shared" si="7"/>
        <v>224.17470249909047</v>
      </c>
      <c r="V25" s="283">
        <f t="shared" si="8"/>
        <v>0.98658243294959314</v>
      </c>
      <c r="W25" s="284">
        <f t="shared" si="9"/>
        <v>756.70872607233798</v>
      </c>
      <c r="X25" s="285"/>
      <c r="Y25" s="9">
        <v>40</v>
      </c>
      <c r="Z25" s="34">
        <v>6925</v>
      </c>
      <c r="AA25" s="176"/>
    </row>
    <row r="26" spans="1:27" ht="12.75" customHeight="1" x14ac:dyDescent="0.2">
      <c r="C26" s="292" t="s">
        <v>193</v>
      </c>
      <c r="D26" s="293" t="s">
        <v>194</v>
      </c>
      <c r="E26" s="288"/>
      <c r="F26" s="288"/>
      <c r="G26" s="288"/>
      <c r="H26" s="290"/>
      <c r="I26" s="294"/>
      <c r="J26" s="46">
        <v>62.5</v>
      </c>
      <c r="K26" s="47">
        <v>848</v>
      </c>
      <c r="L26" s="47">
        <v>0</v>
      </c>
      <c r="M26" s="47">
        <v>848</v>
      </c>
      <c r="N26" s="48">
        <v>57.274351415094301</v>
      </c>
      <c r="O26" s="280">
        <f t="shared" si="4"/>
        <v>0.58636363636363631</v>
      </c>
      <c r="P26" s="378">
        <f t="shared" si="1"/>
        <v>1.9674725274725273</v>
      </c>
      <c r="Q26" s="281">
        <f t="shared" si="2"/>
        <v>1.1536543456543455</v>
      </c>
      <c r="R26" s="282">
        <f t="shared" si="5"/>
        <v>978.29888511488502</v>
      </c>
      <c r="S26" s="379">
        <f t="shared" si="6"/>
        <v>0.1</v>
      </c>
      <c r="T26" s="281">
        <f t="shared" si="3"/>
        <v>0.20710237131289763</v>
      </c>
      <c r="U26" s="282">
        <f t="shared" si="7"/>
        <v>175.62281087333719</v>
      </c>
      <c r="V26" s="283">
        <f t="shared" si="8"/>
        <v>0.94655197434144789</v>
      </c>
      <c r="W26" s="284">
        <f t="shared" si="9"/>
        <v>802.67607424154789</v>
      </c>
      <c r="X26" s="285"/>
      <c r="Y26" s="9">
        <v>50</v>
      </c>
      <c r="Z26" s="34">
        <v>8675</v>
      </c>
      <c r="AA26" s="176"/>
    </row>
    <row r="27" spans="1:27" x14ac:dyDescent="0.2">
      <c r="C27" s="292" t="s">
        <v>195</v>
      </c>
      <c r="D27" s="295">
        <v>0.95</v>
      </c>
      <c r="E27" s="288"/>
      <c r="F27" s="288"/>
      <c r="G27" s="288"/>
      <c r="H27" s="290"/>
      <c r="I27" s="294"/>
      <c r="J27" s="46">
        <v>57.5</v>
      </c>
      <c r="K27" s="47">
        <v>677</v>
      </c>
      <c r="L27" s="47">
        <v>0</v>
      </c>
      <c r="M27" s="47">
        <v>677</v>
      </c>
      <c r="N27" s="48">
        <v>52.655214180206563</v>
      </c>
      <c r="O27" s="280">
        <f t="shared" si="4"/>
        <v>0.52272727272727271</v>
      </c>
      <c r="P27" s="378">
        <f t="shared" si="1"/>
        <v>1.9674725274725273</v>
      </c>
      <c r="Q27" s="281">
        <f t="shared" si="2"/>
        <v>1.0284515484515484</v>
      </c>
      <c r="R27" s="282">
        <f t="shared" si="5"/>
        <v>696.26169830169829</v>
      </c>
      <c r="S27" s="379">
        <f t="shared" si="6"/>
        <v>0.1</v>
      </c>
      <c r="T27" s="281">
        <f t="shared" si="3"/>
        <v>0.20710237131289763</v>
      </c>
      <c r="U27" s="282">
        <f t="shared" si="7"/>
        <v>140.20830537883171</v>
      </c>
      <c r="V27" s="283">
        <f t="shared" si="8"/>
        <v>0.82134917713865074</v>
      </c>
      <c r="W27" s="284">
        <f t="shared" si="9"/>
        <v>556.05339292286658</v>
      </c>
      <c r="X27" s="285"/>
      <c r="Y27" s="9">
        <v>60</v>
      </c>
      <c r="Z27" s="34">
        <v>10600</v>
      </c>
      <c r="AA27" s="176"/>
    </row>
    <row r="28" spans="1:27" x14ac:dyDescent="0.2">
      <c r="C28" s="287"/>
      <c r="D28" s="288"/>
      <c r="E28" s="288"/>
      <c r="F28" s="288"/>
      <c r="G28" s="288"/>
      <c r="H28" s="290"/>
      <c r="I28" s="294"/>
      <c r="J28" s="46">
        <v>52.5</v>
      </c>
      <c r="K28" s="47">
        <v>641</v>
      </c>
      <c r="L28" s="47">
        <v>0</v>
      </c>
      <c r="M28" s="47">
        <v>641</v>
      </c>
      <c r="N28" s="48">
        <v>47.771029641185542</v>
      </c>
      <c r="O28" s="280">
        <f t="shared" si="4"/>
        <v>0.45909090909090905</v>
      </c>
      <c r="P28" s="378">
        <f t="shared" si="1"/>
        <v>1.9674725274725273</v>
      </c>
      <c r="Q28" s="281">
        <f t="shared" si="2"/>
        <v>0.90324875124875115</v>
      </c>
      <c r="R28" s="282">
        <f t="shared" si="5"/>
        <v>578.98244955044947</v>
      </c>
      <c r="S28" s="379">
        <f t="shared" si="6"/>
        <v>0.1</v>
      </c>
      <c r="T28" s="281">
        <f t="shared" si="3"/>
        <v>0.20710237131289763</v>
      </c>
      <c r="U28" s="282">
        <f t="shared" si="7"/>
        <v>132.75262001156739</v>
      </c>
      <c r="V28" s="283">
        <f t="shared" si="8"/>
        <v>0.69614637993585349</v>
      </c>
      <c r="W28" s="284">
        <f t="shared" si="9"/>
        <v>446.22982953888209</v>
      </c>
      <c r="X28" s="296"/>
      <c r="Y28" s="9">
        <v>75</v>
      </c>
      <c r="Z28" s="34">
        <v>11700</v>
      </c>
      <c r="AA28" s="176"/>
    </row>
    <row r="29" spans="1:27" ht="12.75" customHeight="1" x14ac:dyDescent="0.2">
      <c r="C29" s="292" t="s">
        <v>206</v>
      </c>
      <c r="D29" s="653" t="s">
        <v>207</v>
      </c>
      <c r="E29" s="654"/>
      <c r="F29" s="654"/>
      <c r="G29" s="655"/>
      <c r="H29" s="290"/>
      <c r="I29" s="294"/>
      <c r="J29" s="46">
        <v>47.5</v>
      </c>
      <c r="K29" s="47">
        <v>408</v>
      </c>
      <c r="L29" s="47">
        <v>0</v>
      </c>
      <c r="M29" s="47">
        <v>408</v>
      </c>
      <c r="N29" s="48">
        <v>43.561200980392243</v>
      </c>
      <c r="O29" s="280">
        <f t="shared" si="4"/>
        <v>0.39545454545454545</v>
      </c>
      <c r="P29" s="378">
        <f t="shared" si="1"/>
        <v>1.9674725274725273</v>
      </c>
      <c r="Q29" s="281">
        <f t="shared" si="2"/>
        <v>0.778045954045954</v>
      </c>
      <c r="R29" s="282">
        <f t="shared" si="5"/>
        <v>317.44274925074922</v>
      </c>
      <c r="S29" s="379">
        <f t="shared" si="6"/>
        <v>0.1</v>
      </c>
      <c r="T29" s="281">
        <f t="shared" si="3"/>
        <v>0.20710237131289763</v>
      </c>
      <c r="U29" s="282">
        <f t="shared" si="7"/>
        <v>84.497767495662231</v>
      </c>
      <c r="V29" s="283">
        <f t="shared" si="8"/>
        <v>0.57094358273305634</v>
      </c>
      <c r="W29" s="284">
        <f t="shared" si="9"/>
        <v>232.94498175508699</v>
      </c>
      <c r="X29" s="285"/>
      <c r="Y29" s="9">
        <v>100</v>
      </c>
      <c r="Z29" s="34">
        <v>13500</v>
      </c>
      <c r="AA29" s="176"/>
    </row>
    <row r="30" spans="1:27" ht="12.75" customHeight="1" x14ac:dyDescent="0.2">
      <c r="C30" s="287"/>
      <c r="D30" s="288"/>
      <c r="E30" s="288"/>
      <c r="F30" s="288"/>
      <c r="G30" s="288"/>
      <c r="H30" s="290"/>
      <c r="I30" s="297"/>
      <c r="J30" s="46">
        <v>42.5</v>
      </c>
      <c r="K30" s="47">
        <v>595</v>
      </c>
      <c r="L30" s="47">
        <v>0</v>
      </c>
      <c r="M30" s="47">
        <v>595</v>
      </c>
      <c r="N30" s="48">
        <v>38.91354621848734</v>
      </c>
      <c r="O30" s="280">
        <f t="shared" si="4"/>
        <v>0.33181818181818179</v>
      </c>
      <c r="P30" s="378">
        <f t="shared" si="1"/>
        <v>1.9674725274725273</v>
      </c>
      <c r="Q30" s="281">
        <f t="shared" si="2"/>
        <v>0.65284315684315675</v>
      </c>
      <c r="R30" s="282">
        <f t="shared" si="5"/>
        <v>388.44167832167824</v>
      </c>
      <c r="S30" s="379">
        <f t="shared" si="6"/>
        <v>0.1</v>
      </c>
      <c r="T30" s="281">
        <f t="shared" si="3"/>
        <v>0.20710237131289763</v>
      </c>
      <c r="U30" s="282">
        <f t="shared" si="7"/>
        <v>123.22591093117408</v>
      </c>
      <c r="V30" s="283">
        <f t="shared" si="8"/>
        <v>0.44574078553025909</v>
      </c>
      <c r="W30" s="284">
        <f t="shared" si="9"/>
        <v>265.21576739050414</v>
      </c>
      <c r="X30" s="285"/>
      <c r="Y30" s="9"/>
      <c r="Z30" s="34"/>
      <c r="AA30" s="176"/>
    </row>
    <row r="31" spans="1:27" x14ac:dyDescent="0.2">
      <c r="C31" s="298" t="s">
        <v>203</v>
      </c>
      <c r="D31" s="299"/>
      <c r="E31" s="299"/>
      <c r="F31" s="300"/>
      <c r="G31" s="300"/>
      <c r="H31" s="301"/>
      <c r="J31" s="46">
        <v>37.5</v>
      </c>
      <c r="K31" s="47">
        <v>865</v>
      </c>
      <c r="L31" s="47">
        <v>0</v>
      </c>
      <c r="M31" s="47">
        <v>865</v>
      </c>
      <c r="N31" s="48">
        <v>34.174589595375785</v>
      </c>
      <c r="O31" s="280">
        <f t="shared" si="4"/>
        <v>0.3</v>
      </c>
      <c r="P31" s="378">
        <f t="shared" si="1"/>
        <v>1.9674725274725273</v>
      </c>
      <c r="Q31" s="281">
        <f t="shared" si="2"/>
        <v>0.59024175824175817</v>
      </c>
      <c r="R31" s="282">
        <f t="shared" si="5"/>
        <v>510.55912087912083</v>
      </c>
      <c r="S31" s="379">
        <f t="shared" si="6"/>
        <v>0.1</v>
      </c>
      <c r="T31" s="281">
        <f t="shared" si="3"/>
        <v>0.20710237131289763</v>
      </c>
      <c r="U31" s="282">
        <f t="shared" si="7"/>
        <v>179.14355118565646</v>
      </c>
      <c r="V31" s="283">
        <f t="shared" si="8"/>
        <v>0.38313938692886051</v>
      </c>
      <c r="W31" s="284">
        <f t="shared" si="9"/>
        <v>331.41556969346436</v>
      </c>
      <c r="X31" s="285"/>
      <c r="Y31" s="9">
        <v>125</v>
      </c>
      <c r="Z31" s="34">
        <v>14700</v>
      </c>
      <c r="AA31" s="176"/>
    </row>
    <row r="32" spans="1:27" ht="12" customHeight="1" x14ac:dyDescent="0.25">
      <c r="C32" s="298"/>
      <c r="D32" s="295">
        <v>1</v>
      </c>
      <c r="E32" s="656" t="s">
        <v>143</v>
      </c>
      <c r="F32" s="657"/>
      <c r="G32" s="302">
        <v>95</v>
      </c>
      <c r="H32" s="303" t="s">
        <v>196</v>
      </c>
      <c r="J32" s="46">
        <v>32.5</v>
      </c>
      <c r="K32" s="47">
        <v>759</v>
      </c>
      <c r="L32" s="47">
        <v>0</v>
      </c>
      <c r="M32" s="47">
        <v>759</v>
      </c>
      <c r="N32" s="48">
        <v>29.752292490118474</v>
      </c>
      <c r="O32" s="280">
        <f t="shared" si="4"/>
        <v>0.3</v>
      </c>
      <c r="P32" s="378">
        <f t="shared" si="1"/>
        <v>1.9674725274725273</v>
      </c>
      <c r="Q32" s="281">
        <f t="shared" si="2"/>
        <v>0.59024175824175817</v>
      </c>
      <c r="R32" s="282">
        <f t="shared" si="5"/>
        <v>447.99349450549448</v>
      </c>
      <c r="S32" s="379">
        <f t="shared" si="6"/>
        <v>0.1</v>
      </c>
      <c r="T32" s="281">
        <f t="shared" si="3"/>
        <v>0.20710237131289763</v>
      </c>
      <c r="U32" s="282">
        <f t="shared" si="7"/>
        <v>157.19069982648929</v>
      </c>
      <c r="V32" s="283">
        <f t="shared" si="8"/>
        <v>0.38313938692886051</v>
      </c>
      <c r="W32" s="284">
        <f t="shared" si="9"/>
        <v>290.80279467900516</v>
      </c>
      <c r="X32" s="285"/>
      <c r="Y32" s="9">
        <v>150</v>
      </c>
      <c r="Z32" s="34">
        <v>16300</v>
      </c>
      <c r="AA32" s="176"/>
    </row>
    <row r="33" spans="2:27" ht="15" x14ac:dyDescent="0.25">
      <c r="C33" s="575"/>
      <c r="D33" s="295">
        <v>0.3</v>
      </c>
      <c r="E33" s="656" t="s">
        <v>143</v>
      </c>
      <c r="F33" s="657"/>
      <c r="G33" s="302">
        <v>40</v>
      </c>
      <c r="H33" s="303" t="s">
        <v>197</v>
      </c>
      <c r="J33" s="46">
        <v>27.5</v>
      </c>
      <c r="K33" s="47">
        <v>402</v>
      </c>
      <c r="L33" s="47">
        <v>0</v>
      </c>
      <c r="M33" s="47">
        <v>402</v>
      </c>
      <c r="N33" s="48">
        <v>25.203084577114421</v>
      </c>
      <c r="O33" s="280">
        <f t="shared" si="4"/>
        <v>0.3</v>
      </c>
      <c r="P33" s="378">
        <f t="shared" si="1"/>
        <v>1.9674725274725273</v>
      </c>
      <c r="Q33" s="281">
        <f t="shared" si="2"/>
        <v>0.59024175824175817</v>
      </c>
      <c r="R33" s="282">
        <f t="shared" si="5"/>
        <v>237.27718681318677</v>
      </c>
      <c r="S33" s="379">
        <f t="shared" si="6"/>
        <v>0.1</v>
      </c>
      <c r="T33" s="281">
        <f t="shared" si="3"/>
        <v>0.20710237131289763</v>
      </c>
      <c r="U33" s="282">
        <f t="shared" si="7"/>
        <v>83.255153267784848</v>
      </c>
      <c r="V33" s="283">
        <f t="shared" si="8"/>
        <v>0.38313938692886051</v>
      </c>
      <c r="W33" s="284">
        <f t="shared" si="9"/>
        <v>154.02203354540194</v>
      </c>
      <c r="X33" s="285"/>
      <c r="Y33" s="9">
        <v>200</v>
      </c>
      <c r="Z33" s="34">
        <v>20900</v>
      </c>
      <c r="AA33" s="176"/>
    </row>
    <row r="34" spans="2:27" ht="15" x14ac:dyDescent="0.25">
      <c r="B34" s="304"/>
      <c r="C34" s="384"/>
      <c r="D34" s="385"/>
      <c r="E34" s="385"/>
      <c r="F34" s="385"/>
      <c r="G34" s="385"/>
      <c r="H34" s="386"/>
      <c r="J34" s="46">
        <v>22.5</v>
      </c>
      <c r="K34" s="47">
        <v>320</v>
      </c>
      <c r="L34" s="47">
        <v>0</v>
      </c>
      <c r="M34" s="47">
        <v>320</v>
      </c>
      <c r="N34" s="48">
        <v>20.29556250000002</v>
      </c>
      <c r="O34" s="280">
        <f t="shared" si="4"/>
        <v>0.3</v>
      </c>
      <c r="P34" s="378">
        <f t="shared" si="1"/>
        <v>1.9674725274725273</v>
      </c>
      <c r="Q34" s="281">
        <f t="shared" si="2"/>
        <v>0.59024175824175817</v>
      </c>
      <c r="R34" s="282">
        <f t="shared" si="5"/>
        <v>188.87736263736261</v>
      </c>
      <c r="S34" s="379">
        <f t="shared" si="6"/>
        <v>0.1</v>
      </c>
      <c r="T34" s="281">
        <f t="shared" si="3"/>
        <v>0.20710237131289763</v>
      </c>
      <c r="U34" s="282">
        <f t="shared" si="7"/>
        <v>66.272758820127237</v>
      </c>
      <c r="V34" s="283">
        <f t="shared" si="8"/>
        <v>0.38313938692886051</v>
      </c>
      <c r="W34" s="284">
        <f t="shared" si="9"/>
        <v>122.60460381723537</v>
      </c>
      <c r="X34" s="285"/>
      <c r="Y34" s="1" t="s">
        <v>211</v>
      </c>
      <c r="Z34" s="1"/>
      <c r="AA34" s="1"/>
    </row>
    <row r="35" spans="2:27" ht="12" customHeight="1" x14ac:dyDescent="0.2">
      <c r="C35" s="645" t="s">
        <v>212</v>
      </c>
      <c r="D35" s="646"/>
      <c r="E35" s="646"/>
      <c r="F35" s="646"/>
      <c r="G35" s="646"/>
      <c r="H35" s="647"/>
      <c r="J35" s="46">
        <v>17.5</v>
      </c>
      <c r="K35" s="47">
        <v>382</v>
      </c>
      <c r="L35" s="47">
        <v>0</v>
      </c>
      <c r="M35" s="47">
        <v>382</v>
      </c>
      <c r="N35" s="48">
        <v>15.561439790575941</v>
      </c>
      <c r="O35" s="280">
        <f t="shared" si="4"/>
        <v>0.3</v>
      </c>
      <c r="P35" s="378">
        <f t="shared" si="1"/>
        <v>1.9674725274725273</v>
      </c>
      <c r="Q35" s="281">
        <f t="shared" si="2"/>
        <v>0.59024175824175817</v>
      </c>
      <c r="R35" s="282">
        <f t="shared" si="5"/>
        <v>225.47235164835163</v>
      </c>
      <c r="S35" s="379">
        <f t="shared" si="6"/>
        <v>0.1</v>
      </c>
      <c r="T35" s="281">
        <f t="shared" si="3"/>
        <v>0.20710237131289763</v>
      </c>
      <c r="U35" s="282">
        <f t="shared" si="7"/>
        <v>79.113105841526902</v>
      </c>
      <c r="V35" s="283">
        <f t="shared" si="8"/>
        <v>0.38313938692886051</v>
      </c>
      <c r="W35" s="284">
        <f t="shared" si="9"/>
        <v>146.35924580682473</v>
      </c>
      <c r="X35" s="285"/>
      <c r="Y35" s="1" t="s">
        <v>123</v>
      </c>
      <c r="Z35" s="1"/>
      <c r="AA35" s="178">
        <f>AVERAGE(AA17:AA20)</f>
        <v>431.87499999999994</v>
      </c>
    </row>
    <row r="36" spans="2:27" ht="12.75" customHeight="1" x14ac:dyDescent="0.2">
      <c r="C36" s="645"/>
      <c r="D36" s="646"/>
      <c r="E36" s="646"/>
      <c r="F36" s="646"/>
      <c r="G36" s="646"/>
      <c r="H36" s="647"/>
      <c r="J36" s="46">
        <v>12.5</v>
      </c>
      <c r="K36" s="47">
        <v>157</v>
      </c>
      <c r="L36" s="47">
        <v>0</v>
      </c>
      <c r="M36" s="47">
        <v>157</v>
      </c>
      <c r="N36" s="48">
        <v>10.628808917197434</v>
      </c>
      <c r="O36" s="280">
        <f t="shared" si="4"/>
        <v>0.3</v>
      </c>
      <c r="P36" s="378">
        <f t="shared" si="1"/>
        <v>1.9674725274725273</v>
      </c>
      <c r="Q36" s="281">
        <f t="shared" si="2"/>
        <v>0.59024175824175817</v>
      </c>
      <c r="R36" s="282">
        <f t="shared" si="5"/>
        <v>92.667956043956039</v>
      </c>
      <c r="S36" s="379">
        <f t="shared" si="6"/>
        <v>0.1</v>
      </c>
      <c r="T36" s="281">
        <f t="shared" si="3"/>
        <v>0.20710237131289763</v>
      </c>
      <c r="U36" s="282">
        <f t="shared" si="7"/>
        <v>32.515072296124927</v>
      </c>
      <c r="V36" s="283">
        <f t="shared" si="8"/>
        <v>0.38313938692886051</v>
      </c>
      <c r="W36" s="284">
        <f t="shared" si="9"/>
        <v>60.152883747831112</v>
      </c>
      <c r="X36" s="285"/>
      <c r="Y36" s="1" t="s">
        <v>116</v>
      </c>
      <c r="Z36" s="1"/>
      <c r="AA36" s="178">
        <f>STDEV(AA17:AA20)</f>
        <v>167.14705074895613</v>
      </c>
    </row>
    <row r="37" spans="2:27" ht="12.75" customHeight="1" thickBot="1" x14ac:dyDescent="0.25">
      <c r="C37" s="648"/>
      <c r="D37" s="649"/>
      <c r="E37" s="649"/>
      <c r="F37" s="649"/>
      <c r="G37" s="649"/>
      <c r="H37" s="650"/>
      <c r="J37" s="46">
        <v>7.5</v>
      </c>
      <c r="K37" s="47">
        <v>108</v>
      </c>
      <c r="L37" s="47">
        <v>0</v>
      </c>
      <c r="M37" s="47">
        <v>108</v>
      </c>
      <c r="N37" s="48">
        <v>6.0472222222222225</v>
      </c>
      <c r="O37" s="280">
        <f t="shared" si="4"/>
        <v>0.3</v>
      </c>
      <c r="P37" s="378">
        <f t="shared" si="1"/>
        <v>1.9674725274725273</v>
      </c>
      <c r="Q37" s="281">
        <f t="shared" si="2"/>
        <v>0.59024175824175817</v>
      </c>
      <c r="R37" s="282">
        <f t="shared" si="5"/>
        <v>63.746109890109885</v>
      </c>
      <c r="S37" s="379">
        <f t="shared" si="6"/>
        <v>0.1</v>
      </c>
      <c r="T37" s="281">
        <f t="shared" si="3"/>
        <v>0.20710237131289763</v>
      </c>
      <c r="U37" s="282">
        <f t="shared" si="7"/>
        <v>22.367056101792944</v>
      </c>
      <c r="V37" s="283">
        <f t="shared" si="8"/>
        <v>0.38313938692886051</v>
      </c>
      <c r="W37" s="284">
        <f t="shared" si="9"/>
        <v>41.379053788316938</v>
      </c>
      <c r="X37" s="285"/>
    </row>
    <row r="38" spans="2:27" ht="12.75" customHeight="1" thickBot="1" x14ac:dyDescent="0.25">
      <c r="B38" s="262"/>
      <c r="C38" s="305"/>
      <c r="D38" s="306"/>
      <c r="E38" s="306"/>
      <c r="F38" s="307"/>
      <c r="G38" s="262"/>
      <c r="H38" s="262"/>
      <c r="J38" s="46">
        <v>2.5</v>
      </c>
      <c r="K38" s="47">
        <v>68</v>
      </c>
      <c r="L38" s="47">
        <v>0</v>
      </c>
      <c r="M38" s="47">
        <v>68</v>
      </c>
      <c r="N38" s="48">
        <v>1.2042707352941175</v>
      </c>
      <c r="O38" s="280">
        <f t="shared" si="4"/>
        <v>0.3</v>
      </c>
      <c r="P38" s="378">
        <f t="shared" si="1"/>
        <v>1.9674725274725273</v>
      </c>
      <c r="Q38" s="281">
        <f t="shared" si="2"/>
        <v>0.59024175824175817</v>
      </c>
      <c r="R38" s="282">
        <f t="shared" si="5"/>
        <v>40.136439560439555</v>
      </c>
      <c r="S38" s="379">
        <f t="shared" si="6"/>
        <v>0.1</v>
      </c>
      <c r="T38" s="281">
        <f t="shared" si="3"/>
        <v>0.20710237131289763</v>
      </c>
      <c r="U38" s="282">
        <f t="shared" si="7"/>
        <v>14.082961249277039</v>
      </c>
      <c r="V38" s="283">
        <f t="shared" si="8"/>
        <v>0.38313938692886051</v>
      </c>
      <c r="W38" s="284">
        <f t="shared" si="9"/>
        <v>26.053478311162515</v>
      </c>
      <c r="X38" s="285"/>
    </row>
    <row r="39" spans="2:27" ht="13.5" customHeight="1" thickBot="1" x14ac:dyDescent="0.25">
      <c r="B39" s="262"/>
      <c r="C39" s="308" t="s">
        <v>60</v>
      </c>
      <c r="D39" s="309"/>
      <c r="E39" s="310"/>
      <c r="F39" s="262"/>
      <c r="G39" s="262"/>
      <c r="H39" s="262"/>
      <c r="J39" s="46">
        <v>-2.5</v>
      </c>
      <c r="K39" s="47">
        <v>54</v>
      </c>
      <c r="L39" s="47">
        <v>0</v>
      </c>
      <c r="M39" s="47">
        <v>54</v>
      </c>
      <c r="N39" s="48">
        <v>-3.6881851851851821</v>
      </c>
      <c r="O39" s="280">
        <f t="shared" si="4"/>
        <v>0.3</v>
      </c>
      <c r="P39" s="378">
        <f t="shared" si="1"/>
        <v>1.9674725274725273</v>
      </c>
      <c r="Q39" s="281">
        <f t="shared" si="2"/>
        <v>0.59024175824175817</v>
      </c>
      <c r="R39" s="282">
        <f t="shared" si="5"/>
        <v>31.873054945054943</v>
      </c>
      <c r="S39" s="379">
        <f t="shared" si="6"/>
        <v>0.1</v>
      </c>
      <c r="T39" s="281">
        <f t="shared" si="3"/>
        <v>0.20710237131289763</v>
      </c>
      <c r="U39" s="282">
        <f t="shared" si="7"/>
        <v>11.183528050896472</v>
      </c>
      <c r="V39" s="283">
        <f t="shared" si="8"/>
        <v>0.38313938692886051</v>
      </c>
      <c r="W39" s="284">
        <f t="shared" si="9"/>
        <v>20.689526894158469</v>
      </c>
      <c r="X39" s="285"/>
    </row>
    <row r="40" spans="2:27" ht="26.25" thickTop="1" x14ac:dyDescent="0.2">
      <c r="B40" s="262"/>
      <c r="C40" s="311"/>
      <c r="D40" s="312" t="s">
        <v>61</v>
      </c>
      <c r="E40" s="313" t="s">
        <v>198</v>
      </c>
      <c r="F40" s="314"/>
      <c r="G40" s="315"/>
      <c r="H40" s="262"/>
      <c r="J40" s="46">
        <v>-7.5</v>
      </c>
      <c r="K40" s="47">
        <v>25</v>
      </c>
      <c r="L40" s="47">
        <v>0</v>
      </c>
      <c r="M40" s="47">
        <v>25</v>
      </c>
      <c r="N40" s="48">
        <v>-8.3832400000000025</v>
      </c>
      <c r="O40" s="280">
        <f t="shared" si="4"/>
        <v>0.3</v>
      </c>
      <c r="P40" s="378">
        <f t="shared" si="1"/>
        <v>1.9674725274725273</v>
      </c>
      <c r="Q40" s="281">
        <f t="shared" si="2"/>
        <v>0.59024175824175817</v>
      </c>
      <c r="R40" s="282">
        <f t="shared" si="5"/>
        <v>14.756043956043955</v>
      </c>
      <c r="S40" s="379">
        <f t="shared" si="6"/>
        <v>0.1</v>
      </c>
      <c r="T40" s="281">
        <f t="shared" si="3"/>
        <v>0.20710237131289763</v>
      </c>
      <c r="U40" s="282">
        <f t="shared" si="7"/>
        <v>5.1775592828224406</v>
      </c>
      <c r="V40" s="283">
        <f t="shared" si="8"/>
        <v>0.38313938692886051</v>
      </c>
      <c r="W40" s="284">
        <f t="shared" si="9"/>
        <v>9.5784846732215136</v>
      </c>
      <c r="X40" s="285"/>
    </row>
    <row r="41" spans="2:27" x14ac:dyDescent="0.2">
      <c r="B41" s="262"/>
      <c r="C41" s="316" t="str">
        <f t="shared" ref="C41:C47" si="11">IF(C16="", "", C16 &amp;" VFD")</f>
        <v>Generic Evap Fan VFD VFD</v>
      </c>
      <c r="D41" s="317">
        <f t="shared" ref="D41:D47" si="12">IF(C16="", "", D16)</f>
        <v>3</v>
      </c>
      <c r="E41" s="318">
        <f>Z17</f>
        <v>2000</v>
      </c>
      <c r="F41" s="107" t="s">
        <v>130</v>
      </c>
      <c r="G41" s="320"/>
      <c r="H41" s="262"/>
      <c r="J41" s="46">
        <v>-12.5</v>
      </c>
      <c r="K41" s="47">
        <v>0</v>
      </c>
      <c r="L41" s="47">
        <v>0</v>
      </c>
      <c r="M41" s="47">
        <v>0</v>
      </c>
      <c r="N41" s="48" t="s">
        <v>46</v>
      </c>
      <c r="O41" s="280">
        <f t="shared" si="4"/>
        <v>0.3</v>
      </c>
      <c r="P41" s="378">
        <f t="shared" si="1"/>
        <v>1.9674725274725273</v>
      </c>
      <c r="Q41" s="281">
        <f t="shared" si="2"/>
        <v>0.59024175824175817</v>
      </c>
      <c r="R41" s="282">
        <f t="shared" si="5"/>
        <v>0</v>
      </c>
      <c r="S41" s="379">
        <f t="shared" si="6"/>
        <v>0.1</v>
      </c>
      <c r="T41" s="281">
        <f t="shared" si="3"/>
        <v>0.20710237131289763</v>
      </c>
      <c r="U41" s="282">
        <f t="shared" si="7"/>
        <v>0</v>
      </c>
      <c r="V41" s="283">
        <f t="shared" si="8"/>
        <v>0.38313938692886051</v>
      </c>
      <c r="W41" s="284">
        <f t="shared" si="9"/>
        <v>0</v>
      </c>
      <c r="X41" s="285"/>
    </row>
    <row r="42" spans="2:27" x14ac:dyDescent="0.2">
      <c r="C42" s="316" t="str">
        <f t="shared" si="11"/>
        <v/>
      </c>
      <c r="D42" s="317" t="str">
        <f t="shared" si="12"/>
        <v/>
      </c>
      <c r="E42" s="318" t="str">
        <f t="shared" ref="E42:E47" si="13">IF(C42="", "", VLOOKUP(D42, $AM$101:$AN$116, 2, FALSE))</f>
        <v/>
      </c>
      <c r="G42" s="320"/>
      <c r="J42" s="46">
        <v>-17.5</v>
      </c>
      <c r="K42" s="47">
        <v>0</v>
      </c>
      <c r="L42" s="47">
        <v>0</v>
      </c>
      <c r="M42" s="47">
        <v>0</v>
      </c>
      <c r="N42" s="48" t="s">
        <v>46</v>
      </c>
      <c r="O42" s="280">
        <f t="shared" si="4"/>
        <v>0.3</v>
      </c>
      <c r="P42" s="378">
        <f t="shared" si="1"/>
        <v>1.9674725274725273</v>
      </c>
      <c r="Q42" s="281">
        <f t="shared" si="2"/>
        <v>0.59024175824175817</v>
      </c>
      <c r="R42" s="282">
        <f t="shared" si="5"/>
        <v>0</v>
      </c>
      <c r="S42" s="379">
        <f t="shared" si="6"/>
        <v>0.1</v>
      </c>
      <c r="T42" s="281">
        <f t="shared" si="3"/>
        <v>0.20710237131289763</v>
      </c>
      <c r="U42" s="282">
        <f t="shared" si="7"/>
        <v>0</v>
      </c>
      <c r="V42" s="283">
        <f t="shared" si="8"/>
        <v>0.38313938692886051</v>
      </c>
      <c r="W42" s="284">
        <f t="shared" si="9"/>
        <v>0</v>
      </c>
      <c r="X42" s="285"/>
    </row>
    <row r="43" spans="2:27" x14ac:dyDescent="0.2">
      <c r="C43" s="316" t="str">
        <f t="shared" si="11"/>
        <v/>
      </c>
      <c r="D43" s="317" t="str">
        <f t="shared" si="12"/>
        <v/>
      </c>
      <c r="E43" s="318" t="str">
        <f t="shared" si="13"/>
        <v/>
      </c>
      <c r="F43" s="319"/>
      <c r="G43" s="320"/>
      <c r="J43" s="46">
        <v>-22.5</v>
      </c>
      <c r="K43" s="47">
        <v>0</v>
      </c>
      <c r="L43" s="47">
        <v>0</v>
      </c>
      <c r="M43" s="47">
        <v>0</v>
      </c>
      <c r="N43" s="48" t="s">
        <v>46</v>
      </c>
      <c r="O43" s="280">
        <f t="shared" si="4"/>
        <v>0.3</v>
      </c>
      <c r="P43" s="378">
        <f t="shared" si="1"/>
        <v>1.9674725274725273</v>
      </c>
      <c r="Q43" s="281">
        <f t="shared" si="2"/>
        <v>0.59024175824175817</v>
      </c>
      <c r="R43" s="282">
        <f t="shared" si="5"/>
        <v>0</v>
      </c>
      <c r="S43" s="379">
        <f t="shared" si="6"/>
        <v>0.1</v>
      </c>
      <c r="T43" s="281">
        <f t="shared" si="3"/>
        <v>0.20710237131289763</v>
      </c>
      <c r="U43" s="282">
        <f t="shared" si="7"/>
        <v>0</v>
      </c>
      <c r="V43" s="283">
        <f t="shared" si="8"/>
        <v>0.38313938692886051</v>
      </c>
      <c r="W43" s="284">
        <f t="shared" si="9"/>
        <v>0</v>
      </c>
      <c r="X43" s="285"/>
    </row>
    <row r="44" spans="2:27" x14ac:dyDescent="0.2">
      <c r="C44" s="316" t="str">
        <f t="shared" si="11"/>
        <v/>
      </c>
      <c r="D44" s="317" t="str">
        <f t="shared" si="12"/>
        <v/>
      </c>
      <c r="E44" s="318" t="str">
        <f t="shared" si="13"/>
        <v/>
      </c>
      <c r="F44" s="319"/>
      <c r="G44" s="320"/>
      <c r="J44" s="46">
        <v>-27.5</v>
      </c>
      <c r="K44" s="47">
        <v>0</v>
      </c>
      <c r="L44" s="47">
        <v>0</v>
      </c>
      <c r="M44" s="47">
        <v>0</v>
      </c>
      <c r="N44" s="48" t="s">
        <v>46</v>
      </c>
      <c r="O44" s="280">
        <f t="shared" si="4"/>
        <v>0.3</v>
      </c>
      <c r="P44" s="378">
        <f t="shared" si="1"/>
        <v>1.9674725274725273</v>
      </c>
      <c r="Q44" s="281">
        <f t="shared" si="2"/>
        <v>0.59024175824175817</v>
      </c>
      <c r="R44" s="282">
        <f t="shared" si="5"/>
        <v>0</v>
      </c>
      <c r="S44" s="379">
        <f t="shared" si="6"/>
        <v>0.1</v>
      </c>
      <c r="T44" s="281">
        <f t="shared" si="3"/>
        <v>0.20710237131289763</v>
      </c>
      <c r="U44" s="282">
        <f t="shared" si="7"/>
        <v>0</v>
      </c>
      <c r="V44" s="283">
        <f t="shared" si="8"/>
        <v>0.38313938692886051</v>
      </c>
      <c r="W44" s="284">
        <f t="shared" si="9"/>
        <v>0</v>
      </c>
      <c r="X44" s="285"/>
    </row>
    <row r="45" spans="2:27" ht="13.5" thickBot="1" x14ac:dyDescent="0.25">
      <c r="C45" s="316" t="str">
        <f t="shared" si="11"/>
        <v/>
      </c>
      <c r="D45" s="317" t="str">
        <f t="shared" si="12"/>
        <v/>
      </c>
      <c r="E45" s="318" t="str">
        <f t="shared" si="13"/>
        <v/>
      </c>
      <c r="F45" s="319"/>
      <c r="G45" s="320"/>
      <c r="H45" s="262"/>
      <c r="J45" s="120">
        <v>-32.5</v>
      </c>
      <c r="K45" s="121">
        <v>0</v>
      </c>
      <c r="L45" s="121">
        <v>0</v>
      </c>
      <c r="M45" s="121">
        <v>0</v>
      </c>
      <c r="N45" s="122" t="s">
        <v>46</v>
      </c>
      <c r="O45" s="321">
        <f t="shared" si="4"/>
        <v>0.3</v>
      </c>
      <c r="P45" s="381">
        <f t="shared" si="1"/>
        <v>1.9674725274725273</v>
      </c>
      <c r="Q45" s="322">
        <f t="shared" si="2"/>
        <v>0.59024175824175817</v>
      </c>
      <c r="R45" s="323">
        <f t="shared" si="5"/>
        <v>0</v>
      </c>
      <c r="S45" s="382">
        <f t="shared" si="6"/>
        <v>0.1</v>
      </c>
      <c r="T45" s="322">
        <f t="shared" si="3"/>
        <v>0.20710237131289763</v>
      </c>
      <c r="U45" s="323">
        <f t="shared" si="7"/>
        <v>0</v>
      </c>
      <c r="V45" s="324">
        <f t="shared" si="8"/>
        <v>0.38313938692886051</v>
      </c>
      <c r="W45" s="325">
        <f t="shared" si="9"/>
        <v>0</v>
      </c>
      <c r="X45" s="285"/>
    </row>
    <row r="46" spans="2:27" ht="14.25" thickTop="1" thickBot="1" x14ac:dyDescent="0.25">
      <c r="C46" s="316" t="str">
        <f t="shared" si="11"/>
        <v/>
      </c>
      <c r="D46" s="317" t="str">
        <f t="shared" si="12"/>
        <v/>
      </c>
      <c r="E46" s="318" t="str">
        <f t="shared" si="13"/>
        <v/>
      </c>
      <c r="F46" s="319"/>
      <c r="G46" s="320"/>
      <c r="H46" s="262"/>
      <c r="J46" s="131" t="s">
        <v>65</v>
      </c>
      <c r="K46" s="132">
        <v>8760</v>
      </c>
      <c r="L46" s="132">
        <v>0</v>
      </c>
      <c r="M46" s="132">
        <v>8760</v>
      </c>
      <c r="N46" s="132"/>
      <c r="O46" s="326"/>
      <c r="P46" s="377"/>
      <c r="Q46" s="327"/>
      <c r="R46" s="328">
        <f>SUM(R17:R45)</f>
        <v>8405.4450749250736</v>
      </c>
      <c r="S46" s="328"/>
      <c r="T46" s="328"/>
      <c r="U46" s="328">
        <f>SUM(U17:U45)</f>
        <v>2782.87970497371</v>
      </c>
      <c r="V46" s="329"/>
      <c r="W46" s="330">
        <f>SUM(W17:W45)</f>
        <v>5622.5653699513641</v>
      </c>
    </row>
    <row r="47" spans="2:27" ht="13.5" thickBot="1" x14ac:dyDescent="0.25">
      <c r="C47" s="335" t="str">
        <f t="shared" si="11"/>
        <v/>
      </c>
      <c r="D47" s="336" t="str">
        <f t="shared" si="12"/>
        <v/>
      </c>
      <c r="E47" s="337" t="str">
        <f t="shared" si="13"/>
        <v/>
      </c>
      <c r="F47" s="319"/>
      <c r="G47" s="320"/>
      <c r="H47" s="262"/>
      <c r="I47" s="262"/>
      <c r="J47" s="139" t="s">
        <v>66</v>
      </c>
      <c r="K47" s="139"/>
      <c r="L47" s="139"/>
      <c r="M47" s="139"/>
      <c r="N47" s="139"/>
      <c r="O47" s="331"/>
      <c r="P47" s="331"/>
      <c r="Q47" s="332"/>
      <c r="R47" s="332"/>
      <c r="S47" s="332"/>
      <c r="T47" s="332"/>
      <c r="U47" s="332"/>
      <c r="V47" s="333"/>
      <c r="W47" s="334"/>
    </row>
    <row r="48" spans="2:27" x14ac:dyDescent="0.2">
      <c r="C48" s="338" t="s">
        <v>214</v>
      </c>
      <c r="D48" s="339" t="s">
        <v>124</v>
      </c>
      <c r="E48" s="576">
        <v>500</v>
      </c>
      <c r="F48" s="107" t="s">
        <v>131</v>
      </c>
      <c r="G48" s="341"/>
      <c r="H48" s="262"/>
      <c r="I48" s="262"/>
      <c r="J48" s="262"/>
      <c r="K48" s="262"/>
      <c r="L48" s="262"/>
      <c r="M48" s="262"/>
      <c r="N48" s="262"/>
      <c r="O48" s="262"/>
      <c r="P48" s="262"/>
      <c r="Q48" s="262"/>
      <c r="R48" s="262"/>
      <c r="S48" s="262"/>
      <c r="T48" s="262"/>
      <c r="U48" s="262"/>
      <c r="V48" s="262"/>
      <c r="W48" s="262"/>
    </row>
    <row r="49" spans="3:23" ht="13.5" thickBot="1" x14ac:dyDescent="0.25">
      <c r="C49" s="344" t="s">
        <v>64</v>
      </c>
      <c r="D49" s="345"/>
      <c r="E49" s="346">
        <f>SUM(E41:E48)</f>
        <v>2500</v>
      </c>
      <c r="F49" s="347"/>
      <c r="G49" s="348"/>
      <c r="H49" s="262"/>
      <c r="I49" s="262"/>
      <c r="J49" s="342"/>
      <c r="L49" s="306"/>
      <c r="M49" s="307"/>
      <c r="N49" s="262"/>
      <c r="O49" s="262"/>
      <c r="P49" s="262"/>
      <c r="Q49" s="343"/>
      <c r="R49" s="343"/>
      <c r="S49" s="343"/>
      <c r="T49" s="343"/>
      <c r="U49" s="343"/>
      <c r="V49" s="262"/>
      <c r="W49" s="262"/>
    </row>
    <row r="50" spans="3:23" x14ac:dyDescent="0.2">
      <c r="C50" s="340"/>
      <c r="D50" s="340"/>
      <c r="E50" s="350"/>
      <c r="F50" s="347"/>
      <c r="G50" s="348"/>
      <c r="H50" s="262"/>
      <c r="I50" s="262"/>
      <c r="J50" s="342"/>
      <c r="L50" s="306"/>
      <c r="M50" s="349"/>
      <c r="N50" s="262"/>
      <c r="O50" s="262"/>
      <c r="P50" s="262"/>
      <c r="Q50" s="343"/>
      <c r="R50" s="343"/>
      <c r="S50" s="343"/>
      <c r="T50" s="343"/>
      <c r="U50" s="343"/>
      <c r="V50" s="262"/>
      <c r="W50" s="262"/>
    </row>
    <row r="51" spans="3:23" ht="13.5" thickBot="1" x14ac:dyDescent="0.25">
      <c r="C51" s="262"/>
      <c r="D51" s="262"/>
      <c r="E51" s="351"/>
      <c r="F51" s="352"/>
      <c r="G51" s="262"/>
      <c r="H51" s="262"/>
      <c r="I51" s="262"/>
      <c r="J51" s="342"/>
      <c r="L51" s="306"/>
      <c r="M51" s="349"/>
      <c r="N51" s="262"/>
      <c r="O51" s="262"/>
      <c r="P51" s="262"/>
      <c r="Q51" s="343"/>
      <c r="R51" s="343"/>
      <c r="S51" s="343"/>
      <c r="T51" s="343"/>
      <c r="U51" s="343"/>
      <c r="V51" s="262"/>
      <c r="W51" s="262"/>
    </row>
    <row r="52" spans="3:23" ht="13.5" thickBot="1" x14ac:dyDescent="0.25">
      <c r="C52" s="354" t="s">
        <v>67</v>
      </c>
      <c r="D52" s="355"/>
      <c r="E52" s="262"/>
      <c r="F52" s="356"/>
      <c r="G52" s="262"/>
      <c r="H52" s="357"/>
      <c r="I52" s="262"/>
      <c r="J52" s="342"/>
      <c r="L52" s="306"/>
      <c r="M52" s="349"/>
      <c r="N52" s="262"/>
      <c r="O52" s="262"/>
      <c r="P52" s="262"/>
      <c r="Q52" s="343"/>
      <c r="R52" s="343"/>
      <c r="S52" s="343"/>
      <c r="T52" s="343"/>
      <c r="U52" s="343"/>
      <c r="V52" s="262"/>
      <c r="W52" s="262"/>
    </row>
    <row r="53" spans="3:23" ht="13.5" thickTop="1" x14ac:dyDescent="0.2">
      <c r="C53" s="287" t="s">
        <v>68</v>
      </c>
      <c r="D53" s="358">
        <f>W46/R46</f>
        <v>0.66891941114747977</v>
      </c>
      <c r="F53" s="359"/>
      <c r="G53" s="262"/>
      <c r="H53" s="262"/>
      <c r="I53" s="262"/>
      <c r="J53" s="342"/>
      <c r="L53" s="306"/>
      <c r="M53" s="349"/>
      <c r="N53" s="262"/>
      <c r="O53" s="262"/>
      <c r="P53" s="262"/>
      <c r="Q53" s="343"/>
      <c r="R53" s="343"/>
      <c r="S53" s="343"/>
      <c r="T53" s="343"/>
      <c r="U53" s="343"/>
      <c r="V53" s="262"/>
      <c r="W53" s="262"/>
    </row>
    <row r="54" spans="3:23" x14ac:dyDescent="0.2">
      <c r="C54" s="287" t="s">
        <v>69</v>
      </c>
      <c r="D54" s="360">
        <f>V22</f>
        <v>0.71228248252500703</v>
      </c>
      <c r="E54" s="1" t="s">
        <v>127</v>
      </c>
      <c r="F54" s="262"/>
      <c r="G54" s="262"/>
      <c r="I54" s="262"/>
      <c r="J54" s="342"/>
      <c r="L54" s="306"/>
      <c r="M54" s="349"/>
      <c r="N54" s="262"/>
      <c r="O54" s="262"/>
      <c r="P54" s="262"/>
      <c r="Q54" s="343"/>
      <c r="R54" s="343"/>
      <c r="S54" s="343"/>
      <c r="T54" s="343"/>
      <c r="U54" s="343"/>
      <c r="V54" s="262"/>
      <c r="W54" s="262"/>
    </row>
    <row r="55" spans="3:23" x14ac:dyDescent="0.2">
      <c r="C55" s="287" t="s">
        <v>70</v>
      </c>
      <c r="D55" s="361">
        <f>W46</f>
        <v>5622.5653699513641</v>
      </c>
      <c r="E55" s="262"/>
      <c r="I55" s="262"/>
      <c r="J55" s="342"/>
      <c r="L55" s="306"/>
      <c r="M55" s="349"/>
      <c r="N55" s="262"/>
      <c r="O55" s="262"/>
      <c r="P55" s="262"/>
      <c r="Q55" s="343"/>
      <c r="R55" s="343"/>
      <c r="S55" s="343"/>
      <c r="T55" s="343"/>
      <c r="U55" s="343"/>
      <c r="V55" s="262"/>
      <c r="W55" s="262"/>
    </row>
    <row r="56" spans="3:23" x14ac:dyDescent="0.2">
      <c r="C56" s="287" t="s">
        <v>71</v>
      </c>
      <c r="D56" s="362">
        <f>D55*0.08</f>
        <v>449.80522959610914</v>
      </c>
      <c r="J56" s="342"/>
      <c r="L56" s="306"/>
      <c r="M56" s="353"/>
      <c r="Q56" s="274"/>
      <c r="R56" s="274"/>
      <c r="S56" s="274"/>
      <c r="T56" s="274"/>
      <c r="U56" s="274"/>
    </row>
    <row r="57" spans="3:23" x14ac:dyDescent="0.2">
      <c r="C57" s="287" t="s">
        <v>72</v>
      </c>
      <c r="D57" s="363">
        <f>E49</f>
        <v>2500</v>
      </c>
      <c r="J57" s="342"/>
      <c r="L57" s="306"/>
      <c r="M57" s="307"/>
      <c r="Q57" s="274"/>
      <c r="R57" s="274"/>
      <c r="S57" s="274"/>
      <c r="T57" s="274"/>
      <c r="U57" s="274"/>
    </row>
    <row r="58" spans="3:23" ht="13.5" thickBot="1" x14ac:dyDescent="0.25">
      <c r="C58" s="364" t="s">
        <v>73</v>
      </c>
      <c r="D58" s="365">
        <f>D57/D56</f>
        <v>5.5579611696484941</v>
      </c>
      <c r="J58" s="342"/>
      <c r="K58" s="285"/>
      <c r="L58" s="306"/>
      <c r="M58" s="307"/>
      <c r="Q58" s="274"/>
      <c r="R58" s="274"/>
      <c r="S58" s="274"/>
      <c r="T58" s="274"/>
      <c r="U58" s="274"/>
    </row>
    <row r="59" spans="3:23" x14ac:dyDescent="0.2">
      <c r="C59" s="274"/>
      <c r="D59" s="274"/>
      <c r="Q59" s="274"/>
      <c r="R59" s="274"/>
      <c r="S59" s="274"/>
      <c r="T59" s="274"/>
      <c r="U59" s="274"/>
    </row>
    <row r="60" spans="3:23" x14ac:dyDescent="0.2">
      <c r="F60" s="262"/>
      <c r="G60" s="262"/>
      <c r="H60" s="262"/>
      <c r="Q60" s="274"/>
      <c r="R60" s="274"/>
      <c r="S60" s="274"/>
      <c r="T60" s="274"/>
      <c r="U60" s="274"/>
    </row>
    <row r="61" spans="3:23" s="199" customFormat="1" ht="15" x14ac:dyDescent="0.25">
      <c r="C61" s="181" t="s">
        <v>125</v>
      </c>
      <c r="D61" s="182">
        <f>ROUND(D55/D16, -1)</f>
        <v>1870</v>
      </c>
      <c r="E61" s="1"/>
    </row>
    <row r="62" spans="3:23" s="199" customFormat="1" ht="15" x14ac:dyDescent="0.25">
      <c r="C62" s="181" t="s">
        <v>181</v>
      </c>
      <c r="D62" s="183">
        <f>ROUND(D54/D16, 2)</f>
        <v>0.24</v>
      </c>
      <c r="E62" s="1"/>
    </row>
    <row r="63" spans="3:23" s="199" customFormat="1" ht="15" x14ac:dyDescent="0.25">
      <c r="C63" s="181" t="s">
        <v>103</v>
      </c>
      <c r="D63" s="184">
        <f>ROUND(AA35+E48/D16, -1)</f>
        <v>600</v>
      </c>
      <c r="E63" s="1"/>
    </row>
    <row r="64" spans="3:23" s="199" customFormat="1" ht="15" x14ac:dyDescent="0.25">
      <c r="C64" s="181" t="s">
        <v>104</v>
      </c>
      <c r="D64" s="185" t="s">
        <v>128</v>
      </c>
      <c r="E64" s="1"/>
    </row>
    <row r="65" spans="3:21" x14ac:dyDescent="0.2">
      <c r="C65" s="262"/>
      <c r="D65" s="262"/>
      <c r="E65" s="366"/>
      <c r="F65" s="262"/>
      <c r="G65" s="262"/>
      <c r="H65" s="262"/>
      <c r="Q65" s="274"/>
      <c r="R65" s="274"/>
      <c r="S65" s="274"/>
      <c r="T65" s="274"/>
      <c r="U65" s="274"/>
    </row>
    <row r="66" spans="3:21" x14ac:dyDescent="0.2">
      <c r="C66" s="262"/>
      <c r="D66" s="367"/>
      <c r="E66" s="366"/>
      <c r="F66" s="262"/>
      <c r="G66" s="262"/>
      <c r="H66" s="262"/>
      <c r="Q66" s="274"/>
      <c r="R66" s="274"/>
      <c r="S66" s="274"/>
      <c r="T66" s="274"/>
      <c r="U66" s="274"/>
    </row>
    <row r="67" spans="3:21" x14ac:dyDescent="0.2">
      <c r="C67" s="262"/>
      <c r="D67" s="367"/>
      <c r="E67" s="366"/>
      <c r="F67" s="262"/>
      <c r="G67" s="368"/>
      <c r="H67" s="368"/>
      <c r="Q67" s="274"/>
      <c r="R67" s="274"/>
      <c r="S67" s="274"/>
      <c r="T67" s="274"/>
      <c r="U67" s="274"/>
    </row>
    <row r="68" spans="3:21" x14ac:dyDescent="0.2">
      <c r="C68" s="369" t="s">
        <v>75</v>
      </c>
      <c r="D68" s="369"/>
      <c r="E68" s="369"/>
      <c r="F68" s="368"/>
      <c r="G68" s="368"/>
      <c r="H68" s="368"/>
      <c r="Q68" s="274"/>
      <c r="R68" s="274"/>
      <c r="S68" s="274"/>
      <c r="T68" s="274"/>
      <c r="U68" s="274"/>
    </row>
    <row r="69" spans="3:21" ht="25.5" x14ac:dyDescent="0.2">
      <c r="C69" s="370" t="s">
        <v>76</v>
      </c>
      <c r="D69" s="370" t="s">
        <v>77</v>
      </c>
      <c r="E69" s="370" t="s">
        <v>39</v>
      </c>
      <c r="F69" s="371" t="s">
        <v>199</v>
      </c>
      <c r="G69" s="368"/>
      <c r="H69" s="368"/>
      <c r="Q69" s="274"/>
      <c r="R69" s="274"/>
      <c r="S69" s="274"/>
      <c r="T69" s="274"/>
      <c r="U69" s="274"/>
    </row>
    <row r="70" spans="3:21" x14ac:dyDescent="0.2">
      <c r="C70" s="372" t="s">
        <v>81</v>
      </c>
      <c r="D70" s="244"/>
      <c r="E70" s="373"/>
      <c r="F70" s="368"/>
      <c r="G70" s="368"/>
      <c r="H70" s="368"/>
      <c r="Q70" s="274"/>
      <c r="R70" s="274"/>
      <c r="S70" s="274"/>
      <c r="T70" s="274"/>
      <c r="U70" s="274"/>
    </row>
    <row r="71" spans="3:21" x14ac:dyDescent="0.2">
      <c r="C71" s="372" t="s">
        <v>82</v>
      </c>
      <c r="D71" s="244"/>
      <c r="E71" s="373"/>
      <c r="F71" s="368"/>
      <c r="G71" s="368"/>
      <c r="H71" s="368"/>
      <c r="I71" s="368"/>
      <c r="Q71" s="274"/>
      <c r="R71" s="274"/>
      <c r="S71" s="274"/>
      <c r="T71" s="274"/>
      <c r="U71" s="274"/>
    </row>
    <row r="72" spans="3:21" x14ac:dyDescent="0.2">
      <c r="C72" s="372" t="s">
        <v>83</v>
      </c>
      <c r="D72" s="244"/>
      <c r="E72" s="373"/>
      <c r="F72" s="368"/>
      <c r="G72" s="368"/>
      <c r="H72" s="368"/>
      <c r="I72" s="368"/>
      <c r="Q72" s="274"/>
      <c r="R72" s="274"/>
      <c r="S72" s="274"/>
      <c r="T72" s="274"/>
      <c r="U72" s="274"/>
    </row>
    <row r="73" spans="3:21" x14ac:dyDescent="0.2">
      <c r="C73" s="372" t="s">
        <v>84</v>
      </c>
      <c r="D73" s="244"/>
      <c r="E73" s="373"/>
      <c r="F73" s="368"/>
      <c r="G73" s="368"/>
      <c r="H73" s="368"/>
      <c r="I73" s="368"/>
      <c r="Q73" s="274"/>
      <c r="R73" s="274"/>
      <c r="S73" s="274"/>
      <c r="T73" s="274"/>
      <c r="U73" s="274"/>
    </row>
    <row r="74" spans="3:21" x14ac:dyDescent="0.2">
      <c r="C74" s="372" t="s">
        <v>85</v>
      </c>
      <c r="D74" s="244"/>
      <c r="E74" s="373"/>
      <c r="F74" s="368"/>
      <c r="G74" s="368"/>
      <c r="H74" s="368"/>
      <c r="I74" s="368"/>
      <c r="Q74" s="274"/>
      <c r="R74" s="274"/>
      <c r="S74" s="274"/>
      <c r="T74" s="274"/>
      <c r="U74" s="274"/>
    </row>
    <row r="75" spans="3:21" x14ac:dyDescent="0.2">
      <c r="C75" s="372" t="s">
        <v>86</v>
      </c>
      <c r="D75" s="244"/>
      <c r="E75" s="373"/>
      <c r="F75" s="368"/>
      <c r="G75" s="368"/>
      <c r="H75" s="368"/>
      <c r="I75" s="368"/>
      <c r="Q75" s="274"/>
      <c r="R75" s="274"/>
      <c r="S75" s="274"/>
      <c r="T75" s="274"/>
      <c r="U75" s="274"/>
    </row>
    <row r="76" spans="3:21" x14ac:dyDescent="0.2">
      <c r="C76" s="372" t="s">
        <v>87</v>
      </c>
      <c r="D76" s="244"/>
      <c r="E76" s="373"/>
      <c r="F76" s="368"/>
      <c r="G76" s="368"/>
      <c r="H76" s="368"/>
      <c r="I76" s="368"/>
      <c r="Q76" s="274"/>
      <c r="R76" s="274"/>
      <c r="S76" s="274"/>
      <c r="T76" s="274"/>
      <c r="U76" s="274"/>
    </row>
    <row r="77" spans="3:21" x14ac:dyDescent="0.2">
      <c r="C77" s="372" t="s">
        <v>88</v>
      </c>
      <c r="D77" s="244"/>
      <c r="E77" s="373"/>
      <c r="F77" s="368"/>
      <c r="G77" s="368"/>
      <c r="H77" s="368"/>
      <c r="I77" s="368"/>
      <c r="Q77" s="274"/>
      <c r="R77" s="274"/>
      <c r="S77" s="274"/>
      <c r="T77" s="274"/>
      <c r="U77" s="274"/>
    </row>
    <row r="78" spans="3:21" x14ac:dyDescent="0.2">
      <c r="C78" s="372" t="s">
        <v>89</v>
      </c>
      <c r="D78" s="244"/>
      <c r="E78" s="373"/>
      <c r="F78" s="368"/>
      <c r="G78" s="368"/>
      <c r="H78" s="368"/>
      <c r="I78" s="368"/>
      <c r="Q78" s="274"/>
      <c r="R78" s="274"/>
      <c r="S78" s="274"/>
      <c r="T78" s="274"/>
      <c r="U78" s="274"/>
    </row>
    <row r="79" spans="3:21" x14ac:dyDescent="0.2">
      <c r="C79" s="372" t="s">
        <v>90</v>
      </c>
      <c r="D79" s="244"/>
      <c r="E79" s="373"/>
      <c r="F79" s="368"/>
      <c r="G79" s="368"/>
      <c r="H79" s="368"/>
      <c r="I79" s="368"/>
      <c r="Q79" s="274"/>
      <c r="R79" s="274"/>
      <c r="S79" s="274"/>
      <c r="T79" s="274"/>
      <c r="U79" s="274"/>
    </row>
    <row r="80" spans="3:21" x14ac:dyDescent="0.2">
      <c r="C80" s="372" t="s">
        <v>91</v>
      </c>
      <c r="D80" s="244"/>
      <c r="E80" s="373"/>
      <c r="F80" s="368"/>
      <c r="G80" s="368"/>
      <c r="H80" s="368"/>
      <c r="I80" s="368"/>
      <c r="Q80" s="274"/>
      <c r="R80" s="274"/>
      <c r="S80" s="274"/>
      <c r="T80" s="274"/>
      <c r="U80" s="274"/>
    </row>
    <row r="81" spans="3:40" x14ac:dyDescent="0.2">
      <c r="C81" s="372" t="s">
        <v>92</v>
      </c>
      <c r="D81" s="244"/>
      <c r="E81" s="373"/>
      <c r="F81" s="368"/>
      <c r="G81" s="368"/>
      <c r="H81" s="368"/>
      <c r="I81" s="368"/>
      <c r="Q81" s="274"/>
      <c r="R81" s="274"/>
      <c r="S81" s="274"/>
      <c r="T81" s="274"/>
      <c r="U81" s="274"/>
    </row>
    <row r="82" spans="3:40" x14ac:dyDescent="0.2">
      <c r="C82" s="368"/>
      <c r="D82" s="368"/>
      <c r="E82" s="368"/>
      <c r="F82" s="368"/>
      <c r="G82" s="368"/>
      <c r="H82" s="368"/>
      <c r="I82" s="368"/>
      <c r="Q82" s="274"/>
      <c r="R82" s="274"/>
      <c r="S82" s="274"/>
      <c r="T82" s="274"/>
      <c r="U82" s="274"/>
    </row>
    <row r="83" spans="3:40" x14ac:dyDescent="0.2">
      <c r="C83" s="368"/>
      <c r="D83" s="368"/>
      <c r="E83" s="368"/>
      <c r="F83" s="368"/>
      <c r="G83" s="368"/>
      <c r="H83" s="368"/>
      <c r="I83" s="368"/>
      <c r="Q83" s="274"/>
      <c r="R83" s="274"/>
      <c r="S83" s="274"/>
      <c r="T83" s="274"/>
      <c r="U83" s="274"/>
    </row>
    <row r="84" spans="3:40" x14ac:dyDescent="0.2">
      <c r="C84" s="368"/>
      <c r="D84" s="368"/>
      <c r="E84" s="368"/>
      <c r="F84" s="368"/>
      <c r="G84" s="369"/>
      <c r="H84" s="369"/>
      <c r="I84" s="368"/>
      <c r="Q84" s="274"/>
      <c r="R84" s="274"/>
      <c r="S84" s="274"/>
      <c r="T84" s="274"/>
      <c r="U84" s="274"/>
    </row>
    <row r="85" spans="3:40" ht="15" x14ac:dyDescent="0.2">
      <c r="C85" s="375" t="s">
        <v>93</v>
      </c>
      <c r="D85" s="369"/>
      <c r="E85" s="369"/>
      <c r="F85" s="369"/>
      <c r="G85" s="374"/>
      <c r="H85" s="374"/>
      <c r="I85" s="368"/>
      <c r="Q85" s="274"/>
      <c r="R85" s="274"/>
      <c r="S85" s="274"/>
      <c r="T85" s="274"/>
      <c r="U85" s="274"/>
    </row>
    <row r="86" spans="3:40" ht="15" x14ac:dyDescent="0.2">
      <c r="C86" s="374"/>
      <c r="D86" s="374"/>
      <c r="E86" s="374"/>
      <c r="F86" s="374"/>
      <c r="G86" s="374"/>
      <c r="H86" s="374"/>
      <c r="I86" s="368"/>
      <c r="Q86" s="274"/>
      <c r="R86" s="274"/>
      <c r="S86" s="274"/>
      <c r="T86" s="274"/>
      <c r="U86" s="274"/>
    </row>
    <row r="87" spans="3:40" ht="15" x14ac:dyDescent="0.2">
      <c r="F87" s="374"/>
      <c r="I87" s="368"/>
      <c r="Q87" s="274"/>
      <c r="R87" s="274"/>
      <c r="S87" s="274"/>
      <c r="T87" s="274"/>
      <c r="U87" s="274"/>
    </row>
    <row r="88" spans="3:40" x14ac:dyDescent="0.2">
      <c r="I88" s="369"/>
      <c r="Q88" s="274"/>
      <c r="R88" s="274"/>
      <c r="S88" s="274"/>
      <c r="T88" s="274"/>
      <c r="U88" s="274"/>
    </row>
    <row r="89" spans="3:40" ht="15" x14ac:dyDescent="0.2">
      <c r="I89" s="374"/>
      <c r="Q89" s="274"/>
      <c r="R89" s="274"/>
      <c r="S89" s="274"/>
      <c r="T89" s="274"/>
      <c r="U89" s="274"/>
    </row>
    <row r="90" spans="3:40" ht="225" customHeight="1" x14ac:dyDescent="0.2">
      <c r="I90" s="374"/>
      <c r="J90" s="374"/>
      <c r="K90" s="374"/>
      <c r="L90" s="374"/>
      <c r="Q90" s="274"/>
      <c r="R90" s="274"/>
      <c r="S90" s="274"/>
      <c r="T90" s="274"/>
      <c r="U90" s="274"/>
    </row>
    <row r="91" spans="3:40" x14ac:dyDescent="0.2">
      <c r="Q91" s="274"/>
      <c r="R91" s="274"/>
      <c r="S91" s="274"/>
      <c r="T91" s="274"/>
      <c r="U91" s="274"/>
    </row>
    <row r="96" spans="3:40" ht="15" x14ac:dyDescent="0.25">
      <c r="AD96"/>
      <c r="AE96"/>
      <c r="AF96"/>
      <c r="AG96"/>
      <c r="AH96"/>
      <c r="AI96"/>
      <c r="AJ96"/>
      <c r="AK96"/>
      <c r="AL96"/>
      <c r="AM96"/>
      <c r="AN96"/>
    </row>
    <row r="97" spans="30:40" ht="15" x14ac:dyDescent="0.25">
      <c r="AD97"/>
      <c r="AE97"/>
      <c r="AF97"/>
      <c r="AG97"/>
      <c r="AH97"/>
      <c r="AI97"/>
      <c r="AJ97"/>
      <c r="AK97"/>
      <c r="AL97"/>
      <c r="AM97"/>
      <c r="AN97"/>
    </row>
    <row r="98" spans="30:40" ht="15" x14ac:dyDescent="0.25">
      <c r="AD98"/>
      <c r="AE98"/>
      <c r="AF98"/>
      <c r="AG98"/>
      <c r="AH98"/>
      <c r="AI98"/>
      <c r="AJ98"/>
      <c r="AK98"/>
      <c r="AL98"/>
      <c r="AM98"/>
      <c r="AN98"/>
    </row>
    <row r="99" spans="30:40" ht="15" x14ac:dyDescent="0.25">
      <c r="AD99"/>
      <c r="AE99"/>
      <c r="AF99"/>
      <c r="AG99"/>
      <c r="AH99"/>
      <c r="AI99"/>
      <c r="AJ99"/>
      <c r="AK99"/>
      <c r="AL99"/>
      <c r="AM99"/>
      <c r="AN99"/>
    </row>
    <row r="100" spans="30:40" ht="15" x14ac:dyDescent="0.25">
      <c r="AD100"/>
      <c r="AE100"/>
      <c r="AF100"/>
      <c r="AG100"/>
      <c r="AH100"/>
      <c r="AI100"/>
      <c r="AJ100"/>
      <c r="AK100"/>
      <c r="AL100"/>
      <c r="AM100"/>
      <c r="AN100"/>
    </row>
    <row r="101" spans="30:40" ht="15" x14ac:dyDescent="0.25">
      <c r="AD101"/>
      <c r="AE101"/>
      <c r="AF101"/>
      <c r="AG101"/>
      <c r="AH101"/>
      <c r="AI101"/>
      <c r="AJ101"/>
      <c r="AK101"/>
      <c r="AL101"/>
      <c r="AM101"/>
      <c r="AN101"/>
    </row>
    <row r="102" spans="30:40" ht="15" x14ac:dyDescent="0.25">
      <c r="AD102"/>
      <c r="AE102"/>
      <c r="AF102"/>
      <c r="AG102"/>
      <c r="AH102"/>
      <c r="AI102"/>
      <c r="AJ102"/>
      <c r="AK102"/>
      <c r="AL102"/>
      <c r="AM102"/>
      <c r="AN102"/>
    </row>
    <row r="103" spans="30:40" ht="15" x14ac:dyDescent="0.25">
      <c r="AD103"/>
      <c r="AE103"/>
      <c r="AF103"/>
      <c r="AG103"/>
      <c r="AH103"/>
      <c r="AI103"/>
      <c r="AJ103"/>
      <c r="AK103"/>
      <c r="AL103"/>
      <c r="AM103"/>
      <c r="AN103"/>
    </row>
    <row r="104" spans="30:40" ht="15" x14ac:dyDescent="0.25">
      <c r="AD104"/>
      <c r="AE104"/>
      <c r="AF104"/>
      <c r="AG104"/>
      <c r="AH104"/>
      <c r="AI104"/>
      <c r="AJ104"/>
      <c r="AK104"/>
      <c r="AL104"/>
      <c r="AM104"/>
      <c r="AN104"/>
    </row>
    <row r="105" spans="30:40" ht="15" x14ac:dyDescent="0.25">
      <c r="AD105"/>
      <c r="AE105"/>
      <c r="AF105"/>
      <c r="AG105"/>
      <c r="AH105"/>
      <c r="AI105"/>
      <c r="AJ105"/>
      <c r="AK105"/>
      <c r="AL105"/>
      <c r="AM105"/>
      <c r="AN105"/>
    </row>
    <row r="106" spans="30:40" ht="15" x14ac:dyDescent="0.25">
      <c r="AD106"/>
      <c r="AE106"/>
      <c r="AF106"/>
      <c r="AG106"/>
      <c r="AH106"/>
      <c r="AI106"/>
      <c r="AJ106"/>
      <c r="AK106"/>
      <c r="AL106"/>
      <c r="AM106"/>
      <c r="AN106"/>
    </row>
    <row r="107" spans="30:40" ht="15" x14ac:dyDescent="0.25">
      <c r="AD107"/>
      <c r="AE107"/>
      <c r="AF107"/>
      <c r="AG107"/>
      <c r="AH107"/>
      <c r="AI107"/>
      <c r="AJ107"/>
      <c r="AK107"/>
      <c r="AL107"/>
      <c r="AM107"/>
      <c r="AN107"/>
    </row>
    <row r="108" spans="30:40" ht="15" x14ac:dyDescent="0.25">
      <c r="AD108"/>
      <c r="AE108"/>
      <c r="AF108"/>
      <c r="AG108"/>
      <c r="AH108"/>
      <c r="AI108"/>
      <c r="AJ108"/>
      <c r="AK108"/>
      <c r="AL108"/>
      <c r="AM108"/>
      <c r="AN108"/>
    </row>
    <row r="109" spans="30:40" ht="15" x14ac:dyDescent="0.25">
      <c r="AD109"/>
      <c r="AE109"/>
      <c r="AF109"/>
      <c r="AG109"/>
      <c r="AH109"/>
      <c r="AI109"/>
      <c r="AJ109"/>
      <c r="AK109"/>
      <c r="AL109"/>
      <c r="AM109"/>
      <c r="AN109"/>
    </row>
    <row r="110" spans="30:40" ht="15" x14ac:dyDescent="0.25">
      <c r="AD110"/>
      <c r="AE110"/>
      <c r="AF110"/>
      <c r="AG110"/>
      <c r="AH110"/>
      <c r="AI110"/>
      <c r="AJ110"/>
      <c r="AK110"/>
      <c r="AL110"/>
      <c r="AM110"/>
      <c r="AN110"/>
    </row>
    <row r="111" spans="30:40" ht="15" x14ac:dyDescent="0.25">
      <c r="AD111"/>
      <c r="AE111"/>
      <c r="AF111"/>
      <c r="AG111"/>
      <c r="AH111"/>
      <c r="AI111"/>
      <c r="AJ111"/>
      <c r="AK111"/>
      <c r="AL111"/>
      <c r="AM111"/>
      <c r="AN111"/>
    </row>
    <row r="112" spans="30:40" ht="15" x14ac:dyDescent="0.25">
      <c r="AD112"/>
      <c r="AE112"/>
      <c r="AF112"/>
      <c r="AG112"/>
      <c r="AH112"/>
      <c r="AI112"/>
      <c r="AJ112"/>
      <c r="AK112"/>
      <c r="AL112"/>
      <c r="AM112"/>
      <c r="AN112"/>
    </row>
    <row r="113" spans="30:40" ht="15" x14ac:dyDescent="0.25">
      <c r="AD113"/>
      <c r="AE113"/>
      <c r="AF113"/>
      <c r="AG113"/>
      <c r="AH113"/>
      <c r="AI113"/>
      <c r="AJ113"/>
      <c r="AK113"/>
      <c r="AL113"/>
      <c r="AM113"/>
      <c r="AN113"/>
    </row>
    <row r="114" spans="30:40" ht="15" x14ac:dyDescent="0.25">
      <c r="AD114"/>
      <c r="AE114"/>
      <c r="AF114"/>
      <c r="AG114"/>
      <c r="AH114"/>
      <c r="AI114"/>
      <c r="AJ114"/>
      <c r="AK114"/>
      <c r="AL114"/>
      <c r="AM114"/>
      <c r="AN114"/>
    </row>
    <row r="115" spans="30:40" ht="15" x14ac:dyDescent="0.25">
      <c r="AD115"/>
      <c r="AE115"/>
      <c r="AF115"/>
      <c r="AG115"/>
      <c r="AH115"/>
      <c r="AI115"/>
      <c r="AJ115"/>
      <c r="AK115"/>
      <c r="AL115"/>
      <c r="AM115"/>
      <c r="AN115"/>
    </row>
    <row r="116" spans="30:40" ht="15" x14ac:dyDescent="0.25">
      <c r="AD116"/>
      <c r="AE116"/>
      <c r="AF116"/>
      <c r="AG116"/>
      <c r="AH116"/>
      <c r="AI116"/>
      <c r="AJ116"/>
      <c r="AK116"/>
      <c r="AL116"/>
      <c r="AM116"/>
      <c r="AN116"/>
    </row>
    <row r="117" spans="30:40" ht="15" x14ac:dyDescent="0.25">
      <c r="AD117"/>
      <c r="AE117"/>
      <c r="AF117"/>
      <c r="AG117"/>
      <c r="AH117"/>
      <c r="AI117"/>
      <c r="AJ117"/>
      <c r="AK117"/>
      <c r="AL117"/>
      <c r="AM117"/>
      <c r="AN117"/>
    </row>
    <row r="118" spans="30:40" ht="15" x14ac:dyDescent="0.25">
      <c r="AD118"/>
      <c r="AE118"/>
      <c r="AF118"/>
      <c r="AG118"/>
      <c r="AH118"/>
      <c r="AI118"/>
      <c r="AJ118"/>
      <c r="AK118"/>
      <c r="AL118"/>
      <c r="AM118"/>
      <c r="AN118"/>
    </row>
    <row r="119" spans="30:40" ht="15" x14ac:dyDescent="0.25">
      <c r="AD119"/>
      <c r="AE119"/>
      <c r="AF119"/>
      <c r="AG119"/>
      <c r="AH119"/>
      <c r="AI119"/>
      <c r="AJ119"/>
      <c r="AK119"/>
      <c r="AL119"/>
      <c r="AM119"/>
      <c r="AN119"/>
    </row>
    <row r="120" spans="30:40" ht="15" x14ac:dyDescent="0.25">
      <c r="AD120"/>
      <c r="AE120"/>
      <c r="AF120"/>
      <c r="AG120"/>
      <c r="AH120"/>
      <c r="AI120"/>
      <c r="AJ120"/>
      <c r="AK120"/>
      <c r="AL120"/>
      <c r="AM120"/>
      <c r="AN120"/>
    </row>
    <row r="121" spans="30:40" ht="15" x14ac:dyDescent="0.25">
      <c r="AD121"/>
      <c r="AE121"/>
      <c r="AF121"/>
      <c r="AG121"/>
      <c r="AH121"/>
      <c r="AI121"/>
      <c r="AJ121"/>
      <c r="AK121"/>
      <c r="AL121"/>
      <c r="AM121"/>
      <c r="AN121"/>
    </row>
    <row r="122" spans="30:40" ht="15" x14ac:dyDescent="0.25">
      <c r="AD122"/>
      <c r="AE122"/>
      <c r="AF122"/>
      <c r="AG122"/>
      <c r="AH122"/>
      <c r="AI122"/>
      <c r="AJ122"/>
      <c r="AK122"/>
      <c r="AL122"/>
      <c r="AM122"/>
      <c r="AN122"/>
    </row>
    <row r="123" spans="30:40" ht="15" x14ac:dyDescent="0.25">
      <c r="AD123"/>
      <c r="AE123"/>
      <c r="AF123"/>
      <c r="AG123"/>
      <c r="AH123"/>
      <c r="AI123"/>
      <c r="AJ123"/>
      <c r="AK123"/>
      <c r="AL123"/>
      <c r="AM123"/>
      <c r="AN123"/>
    </row>
    <row r="124" spans="30:40" ht="15" x14ac:dyDescent="0.25">
      <c r="AD124"/>
      <c r="AE124"/>
      <c r="AF124"/>
      <c r="AG124"/>
      <c r="AH124"/>
      <c r="AI124"/>
      <c r="AJ124"/>
      <c r="AK124"/>
      <c r="AL124"/>
      <c r="AM124"/>
      <c r="AN124"/>
    </row>
    <row r="125" spans="30:40" ht="15" x14ac:dyDescent="0.25">
      <c r="AD125"/>
      <c r="AE125"/>
      <c r="AF125"/>
      <c r="AG125"/>
      <c r="AH125"/>
      <c r="AI125"/>
      <c r="AJ125"/>
      <c r="AK125"/>
      <c r="AL125"/>
      <c r="AM125"/>
      <c r="AN125"/>
    </row>
    <row r="126" spans="30:40" ht="15" x14ac:dyDescent="0.25">
      <c r="AD126"/>
      <c r="AE126"/>
      <c r="AF126"/>
      <c r="AG126"/>
      <c r="AH126"/>
      <c r="AI126"/>
      <c r="AJ126"/>
      <c r="AK126"/>
      <c r="AL126"/>
      <c r="AM126"/>
      <c r="AN126"/>
    </row>
    <row r="127" spans="30:40" ht="15" x14ac:dyDescent="0.25">
      <c r="AD127"/>
      <c r="AE127"/>
      <c r="AF127"/>
      <c r="AG127"/>
      <c r="AH127"/>
      <c r="AI127"/>
      <c r="AJ127"/>
      <c r="AK127"/>
      <c r="AL127"/>
      <c r="AM127"/>
      <c r="AN127"/>
    </row>
    <row r="128" spans="30:40" ht="15" x14ac:dyDescent="0.25">
      <c r="AD128"/>
      <c r="AE128"/>
      <c r="AF128"/>
      <c r="AG128"/>
      <c r="AH128"/>
      <c r="AI128"/>
      <c r="AJ128"/>
      <c r="AK128"/>
      <c r="AL128"/>
      <c r="AM128"/>
      <c r="AN128"/>
    </row>
    <row r="129" spans="30:40" ht="15" x14ac:dyDescent="0.25">
      <c r="AD129"/>
      <c r="AE129"/>
      <c r="AF129"/>
      <c r="AG129"/>
      <c r="AH129"/>
      <c r="AI129"/>
      <c r="AJ129"/>
      <c r="AK129"/>
      <c r="AL129"/>
      <c r="AM129"/>
      <c r="AN129"/>
    </row>
    <row r="130" spans="30:40" ht="15" x14ac:dyDescent="0.25">
      <c r="AD130"/>
      <c r="AE130"/>
      <c r="AF130"/>
      <c r="AG130"/>
      <c r="AH130"/>
      <c r="AI130"/>
      <c r="AJ130"/>
      <c r="AK130"/>
      <c r="AL130"/>
      <c r="AM130"/>
      <c r="AN130"/>
    </row>
    <row r="131" spans="30:40" ht="15" x14ac:dyDescent="0.25">
      <c r="AD131"/>
      <c r="AE131"/>
      <c r="AF131"/>
      <c r="AG131"/>
      <c r="AH131"/>
      <c r="AI131"/>
      <c r="AJ131"/>
      <c r="AK131"/>
      <c r="AL131"/>
      <c r="AM131"/>
      <c r="AN131"/>
    </row>
    <row r="132" spans="30:40" ht="15" x14ac:dyDescent="0.25">
      <c r="AD132"/>
      <c r="AE132"/>
      <c r="AF132"/>
      <c r="AG132"/>
      <c r="AH132"/>
      <c r="AI132"/>
      <c r="AJ132"/>
      <c r="AK132"/>
      <c r="AL132"/>
      <c r="AM132"/>
      <c r="AN132"/>
    </row>
    <row r="133" spans="30:40" ht="15" x14ac:dyDescent="0.25">
      <c r="AD133"/>
      <c r="AE133"/>
      <c r="AF133"/>
      <c r="AG133"/>
      <c r="AH133"/>
      <c r="AI133"/>
      <c r="AJ133"/>
      <c r="AK133"/>
      <c r="AL133"/>
      <c r="AM133"/>
      <c r="AN133"/>
    </row>
    <row r="134" spans="30:40" ht="15" x14ac:dyDescent="0.25">
      <c r="AD134"/>
      <c r="AE134"/>
      <c r="AF134"/>
      <c r="AG134"/>
      <c r="AH134"/>
      <c r="AI134"/>
      <c r="AJ134"/>
      <c r="AK134"/>
      <c r="AL134"/>
      <c r="AM134"/>
      <c r="AN134"/>
    </row>
    <row r="135" spans="30:40" ht="15" x14ac:dyDescent="0.25">
      <c r="AD135"/>
      <c r="AE135"/>
      <c r="AF135"/>
      <c r="AG135"/>
      <c r="AH135"/>
      <c r="AI135"/>
      <c r="AJ135"/>
      <c r="AK135"/>
      <c r="AL135"/>
      <c r="AM135"/>
      <c r="AN135"/>
    </row>
    <row r="136" spans="30:40" ht="15" x14ac:dyDescent="0.25">
      <c r="AD136"/>
      <c r="AE136"/>
      <c r="AF136"/>
      <c r="AG136"/>
      <c r="AH136"/>
      <c r="AI136"/>
      <c r="AJ136"/>
      <c r="AK136"/>
      <c r="AL136"/>
      <c r="AM136"/>
      <c r="AN136"/>
    </row>
    <row r="137" spans="30:40" ht="15" x14ac:dyDescent="0.25">
      <c r="AD137"/>
      <c r="AE137"/>
      <c r="AF137"/>
      <c r="AG137"/>
      <c r="AH137"/>
      <c r="AI137"/>
      <c r="AJ137"/>
      <c r="AK137"/>
      <c r="AL137"/>
      <c r="AM137"/>
      <c r="AN137"/>
    </row>
    <row r="138" spans="30:40" ht="15" x14ac:dyDescent="0.25">
      <c r="AD138"/>
      <c r="AE138"/>
      <c r="AF138"/>
      <c r="AG138"/>
      <c r="AH138"/>
      <c r="AI138"/>
      <c r="AJ138"/>
      <c r="AK138"/>
      <c r="AL138"/>
      <c r="AM138"/>
      <c r="AN138"/>
    </row>
    <row r="139" spans="30:40" ht="15" x14ac:dyDescent="0.25">
      <c r="AD139"/>
      <c r="AE139"/>
      <c r="AF139"/>
      <c r="AG139"/>
      <c r="AH139"/>
      <c r="AI139"/>
      <c r="AJ139"/>
      <c r="AK139"/>
      <c r="AL139"/>
      <c r="AM139"/>
      <c r="AN139"/>
    </row>
    <row r="140" spans="30:40" ht="15" x14ac:dyDescent="0.25">
      <c r="AD140"/>
      <c r="AE140"/>
      <c r="AF140"/>
      <c r="AG140"/>
      <c r="AH140"/>
      <c r="AI140"/>
      <c r="AJ140"/>
      <c r="AK140"/>
      <c r="AL140"/>
      <c r="AM140"/>
      <c r="AN140"/>
    </row>
    <row r="141" spans="30:40" ht="15" x14ac:dyDescent="0.25">
      <c r="AD141"/>
      <c r="AE141"/>
      <c r="AF141"/>
      <c r="AG141"/>
      <c r="AH141"/>
      <c r="AI141"/>
      <c r="AJ141"/>
      <c r="AK141"/>
      <c r="AL141"/>
      <c r="AM141"/>
      <c r="AN141"/>
    </row>
    <row r="142" spans="30:40" ht="15" x14ac:dyDescent="0.25">
      <c r="AD142"/>
      <c r="AE142"/>
      <c r="AF142"/>
      <c r="AG142"/>
      <c r="AH142"/>
      <c r="AI142"/>
      <c r="AJ142"/>
      <c r="AK142"/>
      <c r="AL142"/>
      <c r="AM142"/>
      <c r="AN142"/>
    </row>
    <row r="143" spans="30:40" ht="15" x14ac:dyDescent="0.25">
      <c r="AD143"/>
      <c r="AE143"/>
      <c r="AF143"/>
      <c r="AG143"/>
      <c r="AH143"/>
      <c r="AI143"/>
      <c r="AJ143"/>
      <c r="AK143"/>
      <c r="AL143"/>
      <c r="AM143"/>
      <c r="AN143"/>
    </row>
    <row r="144" spans="30:40" ht="15" x14ac:dyDescent="0.25">
      <c r="AD144"/>
      <c r="AE144"/>
      <c r="AF144"/>
      <c r="AG144"/>
      <c r="AH144"/>
      <c r="AI144"/>
      <c r="AJ144"/>
      <c r="AK144"/>
      <c r="AL144"/>
      <c r="AM144"/>
      <c r="AN144"/>
    </row>
    <row r="145" spans="30:40" ht="15" x14ac:dyDescent="0.25">
      <c r="AD145"/>
      <c r="AE145"/>
      <c r="AF145"/>
      <c r="AG145"/>
      <c r="AH145"/>
      <c r="AI145"/>
      <c r="AJ145"/>
      <c r="AK145"/>
      <c r="AL145"/>
      <c r="AM145"/>
      <c r="AN145"/>
    </row>
    <row r="146" spans="30:40" ht="15" x14ac:dyDescent="0.25">
      <c r="AD146"/>
      <c r="AE146"/>
      <c r="AF146"/>
      <c r="AG146"/>
      <c r="AH146"/>
      <c r="AI146"/>
      <c r="AJ146"/>
      <c r="AK146"/>
      <c r="AL146"/>
      <c r="AM146"/>
      <c r="AN146"/>
    </row>
    <row r="147" spans="30:40" ht="15" x14ac:dyDescent="0.25">
      <c r="AD147"/>
      <c r="AE147"/>
      <c r="AF147"/>
      <c r="AG147"/>
      <c r="AH147"/>
      <c r="AI147"/>
      <c r="AJ147"/>
      <c r="AK147"/>
      <c r="AL147"/>
      <c r="AM147"/>
      <c r="AN147"/>
    </row>
    <row r="148" spans="30:40" ht="15" x14ac:dyDescent="0.25">
      <c r="AD148"/>
      <c r="AE148"/>
      <c r="AF148"/>
      <c r="AG148"/>
      <c r="AH148"/>
      <c r="AI148"/>
      <c r="AJ148"/>
      <c r="AK148"/>
      <c r="AL148"/>
      <c r="AM148"/>
      <c r="AN148"/>
    </row>
    <row r="149" spans="30:40" ht="15" x14ac:dyDescent="0.25">
      <c r="AD149"/>
      <c r="AE149"/>
      <c r="AF149"/>
      <c r="AG149"/>
      <c r="AH149"/>
      <c r="AI149"/>
      <c r="AJ149"/>
      <c r="AK149"/>
      <c r="AL149"/>
      <c r="AM149"/>
      <c r="AN149"/>
    </row>
    <row r="150" spans="30:40" ht="15" x14ac:dyDescent="0.25">
      <c r="AD150"/>
      <c r="AE150"/>
      <c r="AF150"/>
      <c r="AG150"/>
      <c r="AH150"/>
      <c r="AI150"/>
      <c r="AJ150"/>
      <c r="AK150"/>
      <c r="AL150"/>
      <c r="AM150"/>
      <c r="AN150"/>
    </row>
    <row r="151" spans="30:40" ht="15" x14ac:dyDescent="0.25">
      <c r="AD151"/>
      <c r="AE151"/>
      <c r="AF151"/>
      <c r="AG151"/>
      <c r="AH151"/>
      <c r="AI151"/>
      <c r="AJ151"/>
      <c r="AK151"/>
      <c r="AL151"/>
      <c r="AM151"/>
      <c r="AN151"/>
    </row>
    <row r="152" spans="30:40" ht="15" x14ac:dyDescent="0.25">
      <c r="AD152"/>
      <c r="AE152"/>
      <c r="AF152"/>
      <c r="AG152"/>
      <c r="AH152"/>
      <c r="AI152"/>
      <c r="AJ152"/>
      <c r="AK152"/>
      <c r="AL152"/>
      <c r="AM152"/>
      <c r="AN152"/>
    </row>
    <row r="153" spans="30:40" ht="15" x14ac:dyDescent="0.25">
      <c r="AD153"/>
      <c r="AE153"/>
      <c r="AF153"/>
      <c r="AG153"/>
      <c r="AH153"/>
      <c r="AI153"/>
      <c r="AJ153"/>
      <c r="AK153"/>
      <c r="AL153"/>
      <c r="AM153"/>
      <c r="AN153"/>
    </row>
    <row r="154" spans="30:40" ht="15" x14ac:dyDescent="0.25">
      <c r="AD154"/>
      <c r="AE154"/>
      <c r="AF154"/>
      <c r="AG154"/>
      <c r="AH154"/>
      <c r="AI154"/>
      <c r="AJ154"/>
      <c r="AK154"/>
      <c r="AL154"/>
      <c r="AM154"/>
      <c r="AN154"/>
    </row>
    <row r="155" spans="30:40" ht="15" x14ac:dyDescent="0.25">
      <c r="AD155"/>
      <c r="AE155"/>
      <c r="AF155"/>
      <c r="AG155"/>
      <c r="AH155"/>
      <c r="AI155"/>
      <c r="AJ155"/>
      <c r="AK155"/>
      <c r="AL155"/>
      <c r="AM155"/>
      <c r="AN155"/>
    </row>
    <row r="156" spans="30:40" ht="15" x14ac:dyDescent="0.25">
      <c r="AD156"/>
      <c r="AE156"/>
      <c r="AF156"/>
      <c r="AG156"/>
      <c r="AH156"/>
      <c r="AI156"/>
      <c r="AJ156"/>
      <c r="AK156"/>
      <c r="AL156"/>
      <c r="AM156"/>
      <c r="AN156"/>
    </row>
  </sheetData>
  <dataConsolidate/>
  <mergeCells count="16">
    <mergeCell ref="C35:H37"/>
    <mergeCell ref="V15:V16"/>
    <mergeCell ref="W15:W16"/>
    <mergeCell ref="D25:G25"/>
    <mergeCell ref="E32:F32"/>
    <mergeCell ref="E33:F33"/>
    <mergeCell ref="P15:P16"/>
    <mergeCell ref="D29:G29"/>
    <mergeCell ref="S15:S16"/>
    <mergeCell ref="U15:U16"/>
    <mergeCell ref="A1:B1"/>
    <mergeCell ref="O14:T14"/>
    <mergeCell ref="O15:O16"/>
    <mergeCell ref="Q15:Q16"/>
    <mergeCell ref="R15:R16"/>
    <mergeCell ref="T15:T16"/>
  </mergeCells>
  <conditionalFormatting sqref="AA17:AA33">
    <cfRule type="colorScale" priority="1">
      <colorScale>
        <cfvo type="min"/>
        <cfvo type="percentile" val="50"/>
        <cfvo type="max"/>
        <color rgb="FF63BE7B"/>
        <color rgb="FFFFEB84"/>
        <color rgb="FFF8696B"/>
      </colorScale>
    </cfRule>
  </conditionalFormatting>
  <dataValidations disablePrompts="1" count="7">
    <dataValidation type="whole" allowBlank="1" showInputMessage="1" showErrorMessage="1" promptTitle="Minimum Cooling Temperature" prompt="At this temperature, the facility cooling will be at 0.  This temperature will typically be around the balance point of the building, or between 35F and 60F, depending on the construction, use, and occupancy of the building." sqref="G33">
      <formula1>-20</formula1>
      <formula2>80</formula2>
    </dataValidation>
    <dataValidation type="decimal" allowBlank="1" showInputMessage="1" showErrorMessage="1" error="Select a value between 10% and 100%." promptTitle="Minimum Speed" prompt="AHU CFM is at a minimum all winter.  This is the minimum speed the system would typically operate at.  A good minimum is between 20 and 40%.  30% would be a good value unless you have better information." sqref="D33">
      <formula1>0.1</formula1>
      <formula2>1</formula2>
    </dataValidation>
    <dataValidation type="whole" allowBlank="1" showInputMessage="1" showErrorMessage="1" promptTitle="Design Condition" prompt="This is the design temperature at which the system has the flow in the cell to the left.  Design conditions will typically be 100% flow at around 95F.  The fan will run at 100% fan speed at higher outdoor temperatures and may not be able to meet the load." sqref="G32">
      <formula1>0</formula1>
      <formula2>110</formula2>
    </dataValidation>
    <dataValidation type="decimal" allowBlank="1" showInputMessage="1" showErrorMessage="1" error="Input a value between 50% and 100%.  You will typically use 100% in this cell." promptTitle="Maximun Fan CFM" prompt="This is the maximum percent of fan speed the system will ever see.  This is typically 100% unless you have a system significantly oversized." sqref="D32">
      <formula1>0.5</formula1>
      <formula2>1</formula2>
    </dataValidation>
    <dataValidation allowBlank="1" showInputMessage="1" showErrorMessage="1" error="You must choose one of the two types of operation." sqref="D29:E29"/>
    <dataValidation allowBlank="1" showInputMessage="1" showErrorMessage="1" errorTitle="Invalid Fan Type" error="You must choose one of the available fan types.  Other fan types will not automatically calculate." promptTitle="Fan Type and Operation" prompt="Choose the appropriate type of fan and existing operation.  Backward-inclined are very common fans if you do not have better information. " sqref="D25:G25"/>
    <dataValidation type="decimal" allowBlank="1" showInputMessage="1" showErrorMessage="1" promptTitle="VFD Efficiency" prompt="VFD efficiency is typically 95-98%.  95% would be a good value for walk-through estimates.  Other stages of a project may have better information from a manufacturer." sqref="D27:D28">
      <formula1>0.9</formula1>
      <formula2>1</formula2>
    </dataValidation>
  </dataValidations>
  <pageMargins left="0.75" right="0.75" top="1" bottom="1" header="0.5" footer="0.5"/>
  <pageSetup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01"/>
  <sheetViews>
    <sheetView topLeftCell="A11" zoomScale="85" zoomScaleNormal="85" workbookViewId="0">
      <selection activeCell="E61" sqref="E61"/>
    </sheetView>
  </sheetViews>
  <sheetFormatPr defaultRowHeight="15" x14ac:dyDescent="0.25"/>
  <cols>
    <col min="1" max="1" width="17.85546875" style="407" customWidth="1"/>
    <col min="2" max="2" width="32.85546875" style="407" customWidth="1"/>
    <col min="3" max="3" width="4.5703125" style="407" customWidth="1"/>
    <col min="4" max="4" width="4.28515625" style="407" customWidth="1"/>
    <col min="5" max="5" width="39.85546875" style="407" customWidth="1"/>
    <col min="6" max="10" width="19.42578125" style="407" customWidth="1"/>
    <col min="11" max="11" width="5" style="407" customWidth="1"/>
    <col min="12" max="12" width="9.140625" style="407"/>
    <col min="13" max="13" width="3.28515625" style="408" customWidth="1"/>
    <col min="14" max="14" width="37.42578125" style="410" customWidth="1"/>
    <col min="15" max="15" width="16.28515625" style="410" customWidth="1"/>
    <col min="16" max="16" width="13.7109375" style="410" customWidth="1"/>
    <col min="17" max="21" width="9.140625" style="410"/>
    <col min="22" max="22" width="7" style="410" customWidth="1"/>
    <col min="23" max="32" width="6.140625" style="410" customWidth="1"/>
    <col min="33" max="34" width="9.140625" style="410"/>
    <col min="35" max="16384" width="9.140625" style="407"/>
  </cols>
  <sheetData>
    <row r="1" spans="1:34" s="392" customFormat="1" ht="12.75" x14ac:dyDescent="0.2">
      <c r="A1" s="660" t="s">
        <v>0</v>
      </c>
      <c r="B1" s="660"/>
      <c r="C1" s="390"/>
      <c r="D1" s="391"/>
      <c r="E1" s="391"/>
      <c r="F1" s="391"/>
      <c r="G1" s="391"/>
      <c r="M1" s="393"/>
      <c r="N1" s="394"/>
      <c r="O1" s="394"/>
      <c r="P1" s="394"/>
      <c r="Q1" s="394"/>
      <c r="R1" s="394"/>
      <c r="S1" s="394"/>
      <c r="T1" s="394"/>
      <c r="U1" s="394"/>
      <c r="V1" s="394"/>
      <c r="W1" s="394"/>
      <c r="X1" s="394"/>
      <c r="Y1" s="394"/>
      <c r="Z1" s="394"/>
      <c r="AA1" s="394"/>
      <c r="AB1" s="394"/>
      <c r="AC1" s="394"/>
      <c r="AD1" s="394"/>
      <c r="AE1" s="394"/>
      <c r="AF1" s="394"/>
      <c r="AG1" s="394"/>
      <c r="AH1" s="394"/>
    </row>
    <row r="2" spans="1:34" s="392" customFormat="1" ht="12.75" x14ac:dyDescent="0.2">
      <c r="A2" s="395" t="s">
        <v>1</v>
      </c>
      <c r="B2" s="396" t="str">
        <f>F12</f>
        <v>Install High-Efficiency Air Nozzles</v>
      </c>
      <c r="C2" s="397"/>
      <c r="D2" s="391"/>
      <c r="E2" s="391"/>
      <c r="F2" s="391"/>
      <c r="G2" s="391"/>
      <c r="M2" s="393"/>
      <c r="N2" s="394"/>
      <c r="O2" s="394"/>
      <c r="P2" s="394"/>
      <c r="Q2" s="394"/>
      <c r="R2" s="394"/>
      <c r="S2" s="394"/>
      <c r="T2" s="394"/>
      <c r="U2" s="394"/>
      <c r="V2" s="394"/>
      <c r="W2" s="394"/>
      <c r="X2" s="394"/>
      <c r="Y2" s="394"/>
      <c r="Z2" s="394"/>
      <c r="AA2" s="394"/>
      <c r="AB2" s="394"/>
      <c r="AC2" s="394"/>
      <c r="AD2" s="394"/>
      <c r="AE2" s="394"/>
      <c r="AF2" s="394"/>
      <c r="AG2" s="394"/>
      <c r="AH2" s="394"/>
    </row>
    <row r="3" spans="1:34" s="392" customFormat="1" ht="12.75" x14ac:dyDescent="0.2">
      <c r="A3" s="395" t="s">
        <v>2</v>
      </c>
      <c r="B3" s="398">
        <f>F64</f>
        <v>0.17357949790794977</v>
      </c>
      <c r="C3" s="399"/>
      <c r="D3" s="391"/>
      <c r="E3" s="391"/>
      <c r="F3" s="391"/>
      <c r="G3" s="391"/>
      <c r="M3" s="393"/>
      <c r="N3" s="394"/>
      <c r="O3" s="394"/>
      <c r="P3" s="394"/>
      <c r="Q3" s="394"/>
      <c r="R3" s="394"/>
      <c r="S3" s="394"/>
      <c r="T3" s="394"/>
      <c r="U3" s="394"/>
      <c r="V3" s="394"/>
      <c r="W3" s="394"/>
      <c r="X3" s="394"/>
      <c r="Y3" s="394"/>
      <c r="Z3" s="394"/>
      <c r="AA3" s="394"/>
      <c r="AB3" s="394"/>
      <c r="AC3" s="394"/>
      <c r="AD3" s="394"/>
      <c r="AE3" s="394"/>
      <c r="AF3" s="394"/>
      <c r="AG3" s="394"/>
      <c r="AH3" s="394"/>
    </row>
    <row r="4" spans="1:34" s="392" customFormat="1" ht="12.75" x14ac:dyDescent="0.2">
      <c r="A4" s="395" t="s">
        <v>3</v>
      </c>
      <c r="B4" s="400">
        <f>F63</f>
        <v>1065.0837991631797</v>
      </c>
      <c r="C4" s="401"/>
      <c r="D4" s="402"/>
      <c r="E4" s="391"/>
      <c r="F4" s="391"/>
      <c r="G4" s="391"/>
      <c r="M4" s="393"/>
      <c r="N4" s="394"/>
      <c r="O4" s="394"/>
      <c r="P4" s="394"/>
      <c r="Q4" s="394"/>
      <c r="R4" s="394"/>
      <c r="S4" s="394"/>
      <c r="T4" s="394"/>
      <c r="U4" s="394"/>
      <c r="V4" s="394"/>
      <c r="W4" s="394"/>
      <c r="X4" s="394"/>
      <c r="Y4" s="394"/>
      <c r="Z4" s="394"/>
      <c r="AA4" s="394"/>
      <c r="AB4" s="394"/>
      <c r="AC4" s="394"/>
      <c r="AD4" s="394"/>
      <c r="AE4" s="394"/>
      <c r="AF4" s="394"/>
      <c r="AG4" s="394"/>
      <c r="AH4" s="394"/>
    </row>
    <row r="5" spans="1:34" s="392" customFormat="1" ht="12.75" x14ac:dyDescent="0.2">
      <c r="A5" s="395" t="s">
        <v>4</v>
      </c>
      <c r="B5" s="400">
        <f>0</f>
        <v>0</v>
      </c>
      <c r="C5" s="401"/>
      <c r="D5" s="391"/>
      <c r="E5" s="391"/>
      <c r="F5" s="391"/>
      <c r="G5" s="391"/>
      <c r="M5" s="393"/>
      <c r="N5" s="394"/>
      <c r="O5" s="394"/>
      <c r="P5" s="394"/>
      <c r="Q5" s="394"/>
      <c r="R5" s="394"/>
      <c r="S5" s="394"/>
      <c r="T5" s="394"/>
      <c r="U5" s="394"/>
      <c r="V5" s="394"/>
      <c r="W5" s="394"/>
      <c r="X5" s="394"/>
      <c r="Y5" s="394"/>
      <c r="Z5" s="394"/>
      <c r="AA5" s="394"/>
      <c r="AB5" s="394"/>
      <c r="AC5" s="394"/>
      <c r="AD5" s="394"/>
      <c r="AE5" s="394"/>
      <c r="AF5" s="394"/>
      <c r="AG5" s="394"/>
      <c r="AH5" s="394"/>
    </row>
    <row r="6" spans="1:34" s="392" customFormat="1" ht="12.75" x14ac:dyDescent="0.2">
      <c r="A6" s="395" t="s">
        <v>5</v>
      </c>
      <c r="B6" s="403">
        <f>F65</f>
        <v>85.206703933054385</v>
      </c>
      <c r="C6" s="404"/>
      <c r="D6" s="391"/>
      <c r="E6" s="391"/>
      <c r="F6" s="391"/>
      <c r="G6" s="391"/>
      <c r="M6" s="393"/>
      <c r="N6" s="394"/>
      <c r="O6" s="394"/>
      <c r="P6" s="394"/>
      <c r="Q6" s="394"/>
      <c r="R6" s="394"/>
      <c r="S6" s="394"/>
      <c r="T6" s="394"/>
      <c r="U6" s="394"/>
      <c r="V6" s="394"/>
      <c r="W6" s="394"/>
      <c r="X6" s="394"/>
      <c r="Y6" s="394"/>
      <c r="Z6" s="394"/>
      <c r="AA6" s="394"/>
      <c r="AB6" s="394"/>
      <c r="AC6" s="394"/>
      <c r="AD6" s="394"/>
      <c r="AE6" s="394"/>
      <c r="AF6" s="394"/>
      <c r="AG6" s="394"/>
      <c r="AH6" s="394"/>
    </row>
    <row r="7" spans="1:34" s="392" customFormat="1" ht="12.75" x14ac:dyDescent="0.2">
      <c r="A7" s="395" t="s">
        <v>6</v>
      </c>
      <c r="B7" s="403">
        <v>0</v>
      </c>
      <c r="C7" s="404"/>
      <c r="D7" s="391"/>
      <c r="E7" s="391"/>
      <c r="F7" s="391"/>
      <c r="G7" s="391"/>
      <c r="M7" s="393"/>
      <c r="N7" s="394"/>
      <c r="O7" s="394"/>
      <c r="P7" s="394"/>
      <c r="Q7" s="394"/>
      <c r="R7" s="394"/>
      <c r="S7" s="394"/>
      <c r="T7" s="394"/>
      <c r="U7" s="394"/>
      <c r="V7" s="394"/>
      <c r="W7" s="394"/>
      <c r="X7" s="394"/>
      <c r="Y7" s="394"/>
      <c r="Z7" s="394"/>
      <c r="AA7" s="394"/>
      <c r="AB7" s="394"/>
      <c r="AC7" s="394"/>
      <c r="AD7" s="394"/>
      <c r="AE7" s="394"/>
      <c r="AF7" s="394"/>
      <c r="AG7" s="394"/>
      <c r="AH7" s="394"/>
    </row>
    <row r="8" spans="1:34" s="392" customFormat="1" ht="22.5" x14ac:dyDescent="0.2">
      <c r="A8" s="395" t="s">
        <v>7</v>
      </c>
      <c r="B8" s="403">
        <f>F66</f>
        <v>100</v>
      </c>
      <c r="C8" s="404"/>
      <c r="D8" s="391"/>
      <c r="E8" s="391"/>
      <c r="F8" s="391"/>
      <c r="G8" s="391"/>
      <c r="M8" s="393"/>
      <c r="N8" s="394"/>
      <c r="O8" s="394"/>
      <c r="P8" s="394"/>
      <c r="Q8" s="394"/>
      <c r="R8" s="394"/>
      <c r="S8" s="394"/>
      <c r="T8" s="394"/>
      <c r="U8" s="394"/>
      <c r="V8" s="394"/>
      <c r="W8" s="394"/>
      <c r="X8" s="394"/>
      <c r="Y8" s="394"/>
      <c r="Z8" s="394"/>
      <c r="AA8" s="394"/>
      <c r="AB8" s="394"/>
      <c r="AC8" s="394"/>
      <c r="AD8" s="394"/>
      <c r="AE8" s="394"/>
      <c r="AF8" s="394"/>
      <c r="AG8" s="394"/>
      <c r="AH8" s="394"/>
    </row>
    <row r="9" spans="1:34" s="392" customFormat="1" ht="23.25" x14ac:dyDescent="0.25">
      <c r="A9" s="395" t="s">
        <v>8</v>
      </c>
      <c r="B9" s="405">
        <v>0</v>
      </c>
      <c r="C9" s="406"/>
      <c r="D9" s="391"/>
      <c r="E9" s="391"/>
      <c r="F9" s="391"/>
      <c r="G9" s="391"/>
      <c r="M9" s="393"/>
      <c r="N9" s="394"/>
      <c r="O9" s="394"/>
      <c r="P9" s="394"/>
      <c r="Q9" s="394"/>
      <c r="R9" s="394"/>
      <c r="S9" s="394"/>
      <c r="T9" s="394"/>
      <c r="U9" s="394"/>
      <c r="V9" s="394"/>
      <c r="W9" s="394"/>
      <c r="X9" s="394"/>
      <c r="Y9" s="394"/>
      <c r="Z9" s="394"/>
      <c r="AA9" s="394"/>
      <c r="AB9" s="394"/>
      <c r="AC9" s="394"/>
      <c r="AD9" s="394"/>
      <c r="AE9" s="394"/>
      <c r="AF9" s="394"/>
      <c r="AG9" s="394"/>
      <c r="AH9" s="394"/>
    </row>
    <row r="10" spans="1:34" x14ac:dyDescent="0.25">
      <c r="N10" s="409"/>
      <c r="O10" s="409"/>
    </row>
    <row r="11" spans="1:34" ht="15.75" thickBot="1" x14ac:dyDescent="0.3">
      <c r="N11" s="409"/>
      <c r="O11" s="409"/>
    </row>
    <row r="12" spans="1:34" x14ac:dyDescent="0.25">
      <c r="D12" s="411"/>
      <c r="E12" s="412" t="s">
        <v>12</v>
      </c>
      <c r="F12" s="413" t="s">
        <v>216</v>
      </c>
      <c r="G12" s="412"/>
      <c r="H12" s="412"/>
      <c r="I12" s="412"/>
      <c r="J12" s="412"/>
      <c r="K12" s="414"/>
      <c r="N12" s="409"/>
      <c r="O12" s="409"/>
    </row>
    <row r="13" spans="1:34" x14ac:dyDescent="0.25">
      <c r="D13" s="415"/>
      <c r="E13" s="416"/>
      <c r="F13" s="416"/>
      <c r="G13" s="416"/>
      <c r="H13" s="416"/>
      <c r="I13" s="416"/>
      <c r="J13" s="416"/>
      <c r="K13" s="417"/>
      <c r="N13" s="409"/>
      <c r="O13" s="409"/>
    </row>
    <row r="14" spans="1:34" x14ac:dyDescent="0.25">
      <c r="D14" s="415"/>
      <c r="E14" s="416"/>
      <c r="F14" s="418" t="s">
        <v>217</v>
      </c>
      <c r="G14" s="661" t="s">
        <v>218</v>
      </c>
      <c r="H14" s="661"/>
      <c r="I14" s="661"/>
      <c r="J14" s="661"/>
      <c r="K14" s="417"/>
      <c r="N14" s="409"/>
      <c r="O14" s="409"/>
    </row>
    <row r="15" spans="1:34" ht="34.5" customHeight="1" x14ac:dyDescent="0.25">
      <c r="A15" s="662" t="s">
        <v>219</v>
      </c>
      <c r="B15" s="662"/>
      <c r="D15" s="415"/>
      <c r="E15" s="419" t="s">
        <v>220</v>
      </c>
      <c r="F15" s="450" t="s">
        <v>299</v>
      </c>
      <c r="G15" s="663" t="s">
        <v>302</v>
      </c>
      <c r="H15" s="664"/>
      <c r="I15" s="664"/>
      <c r="J15" s="664"/>
      <c r="K15" s="417"/>
      <c r="N15" s="409"/>
      <c r="O15" s="409"/>
      <c r="P15" s="410" t="s">
        <v>221</v>
      </c>
    </row>
    <row r="16" spans="1:34" x14ac:dyDescent="0.25">
      <c r="A16" s="662"/>
      <c r="B16" s="662"/>
      <c r="D16" s="415"/>
      <c r="E16" s="416" t="s">
        <v>222</v>
      </c>
      <c r="F16" s="450" t="s">
        <v>299</v>
      </c>
      <c r="G16" s="665"/>
      <c r="H16" s="666"/>
      <c r="I16" s="666"/>
      <c r="J16" s="666"/>
      <c r="K16" s="417"/>
      <c r="N16" s="409"/>
      <c r="O16" s="409"/>
    </row>
    <row r="17" spans="1:33" x14ac:dyDescent="0.25">
      <c r="A17" s="662"/>
      <c r="B17" s="662"/>
      <c r="D17" s="415"/>
      <c r="E17" s="416" t="s">
        <v>109</v>
      </c>
      <c r="F17" s="450" t="s">
        <v>301</v>
      </c>
      <c r="G17" s="665"/>
      <c r="H17" s="666"/>
      <c r="I17" s="666"/>
      <c r="J17" s="666"/>
      <c r="K17" s="417"/>
      <c r="N17" s="409"/>
      <c r="O17" s="409"/>
    </row>
    <row r="18" spans="1:33" ht="45" x14ac:dyDescent="0.25">
      <c r="A18" s="662"/>
      <c r="B18" s="662"/>
      <c r="D18" s="415"/>
      <c r="E18" s="420" t="s">
        <v>223</v>
      </c>
      <c r="F18" s="568" t="s">
        <v>247</v>
      </c>
      <c r="G18" s="667" t="s">
        <v>300</v>
      </c>
      <c r="H18" s="666"/>
      <c r="I18" s="666"/>
      <c r="J18" s="666"/>
      <c r="K18" s="417"/>
      <c r="N18" s="668" t="s">
        <v>224</v>
      </c>
      <c r="O18" s="668"/>
      <c r="P18" s="668"/>
      <c r="Q18" s="668"/>
      <c r="R18" s="668"/>
      <c r="U18" s="669" t="s">
        <v>225</v>
      </c>
      <c r="V18" s="670"/>
      <c r="W18" s="670"/>
      <c r="X18" s="670"/>
      <c r="Y18" s="670"/>
      <c r="Z18" s="670"/>
      <c r="AA18" s="670"/>
      <c r="AB18" s="670"/>
      <c r="AC18" s="670"/>
      <c r="AD18" s="670"/>
      <c r="AE18" s="670"/>
      <c r="AF18" s="670"/>
      <c r="AG18" s="671"/>
    </row>
    <row r="19" spans="1:33" x14ac:dyDescent="0.25">
      <c r="A19" s="662"/>
      <c r="B19" s="662"/>
      <c r="D19" s="415"/>
      <c r="E19" s="416"/>
      <c r="F19" s="416"/>
      <c r="G19" s="661" t="s">
        <v>218</v>
      </c>
      <c r="H19" s="661"/>
      <c r="I19" s="661"/>
      <c r="J19" s="661"/>
      <c r="K19" s="417"/>
      <c r="N19" s="422"/>
      <c r="O19" s="422" t="s">
        <v>226</v>
      </c>
      <c r="P19" s="422"/>
      <c r="Q19" s="422" t="s">
        <v>227</v>
      </c>
      <c r="R19" s="422"/>
      <c r="U19" s="422" t="s">
        <v>228</v>
      </c>
      <c r="V19" s="423">
        <v>0</v>
      </c>
      <c r="W19" s="423">
        <v>0.1</v>
      </c>
      <c r="X19" s="423">
        <v>0.2</v>
      </c>
      <c r="Y19" s="423">
        <v>0.3</v>
      </c>
      <c r="Z19" s="423">
        <v>0.4</v>
      </c>
      <c r="AA19" s="423">
        <v>0.5</v>
      </c>
      <c r="AB19" s="423">
        <v>0.6</v>
      </c>
      <c r="AC19" s="423">
        <v>0.7</v>
      </c>
      <c r="AD19" s="423">
        <v>0.8</v>
      </c>
      <c r="AE19" s="423">
        <v>0.9</v>
      </c>
      <c r="AF19" s="423">
        <v>1</v>
      </c>
      <c r="AG19" s="422"/>
    </row>
    <row r="20" spans="1:33" ht="15" customHeight="1" x14ac:dyDescent="0.25">
      <c r="D20" s="415"/>
      <c r="E20" s="416" t="s">
        <v>229</v>
      </c>
      <c r="F20" s="424">
        <v>100</v>
      </c>
      <c r="G20" s="663" t="s">
        <v>303</v>
      </c>
      <c r="H20" s="688"/>
      <c r="I20" s="688"/>
      <c r="J20" s="688"/>
      <c r="K20" s="417"/>
      <c r="N20" s="422"/>
      <c r="O20" s="422" t="s">
        <v>230</v>
      </c>
      <c r="P20" s="422" t="s">
        <v>231</v>
      </c>
      <c r="Q20" s="422" t="s">
        <v>232</v>
      </c>
      <c r="R20" s="422" t="s">
        <v>231</v>
      </c>
      <c r="U20" s="422" t="s">
        <v>233</v>
      </c>
      <c r="V20" s="422">
        <v>2</v>
      </c>
      <c r="W20" s="422">
        <v>3</v>
      </c>
      <c r="X20" s="422">
        <v>4</v>
      </c>
      <c r="Y20" s="422">
        <v>5</v>
      </c>
      <c r="Z20" s="422">
        <v>6</v>
      </c>
      <c r="AA20" s="422">
        <v>7</v>
      </c>
      <c r="AB20" s="422">
        <v>8</v>
      </c>
      <c r="AC20" s="422">
        <v>9</v>
      </c>
      <c r="AD20" s="422">
        <v>10</v>
      </c>
      <c r="AE20" s="422">
        <v>11</v>
      </c>
      <c r="AF20" s="422">
        <v>12</v>
      </c>
      <c r="AG20" s="422"/>
    </row>
    <row r="21" spans="1:33" ht="15" customHeight="1" x14ac:dyDescent="0.25">
      <c r="A21" s="672" t="s">
        <v>234</v>
      </c>
      <c r="B21" s="672"/>
      <c r="D21" s="415"/>
      <c r="E21" s="416" t="s">
        <v>235</v>
      </c>
      <c r="F21" s="424">
        <v>478</v>
      </c>
      <c r="G21" s="674"/>
      <c r="H21" s="689"/>
      <c r="I21" s="689"/>
      <c r="J21" s="689"/>
      <c r="K21" s="417"/>
      <c r="N21" s="422" t="s">
        <v>236</v>
      </c>
      <c r="O21" s="425">
        <v>1</v>
      </c>
      <c r="P21" s="425">
        <v>0</v>
      </c>
      <c r="Q21" s="425">
        <v>1</v>
      </c>
      <c r="R21" s="425">
        <v>0</v>
      </c>
      <c r="U21" s="422" t="s">
        <v>237</v>
      </c>
      <c r="V21" s="422"/>
      <c r="W21" s="422"/>
      <c r="X21" s="422"/>
      <c r="Y21" s="422"/>
      <c r="Z21" s="422"/>
      <c r="AA21" s="422"/>
      <c r="AB21" s="422"/>
      <c r="AC21" s="422"/>
      <c r="AD21" s="422"/>
      <c r="AE21" s="422"/>
      <c r="AF21" s="422"/>
      <c r="AG21" s="422"/>
    </row>
    <row r="22" spans="1:33" x14ac:dyDescent="0.25">
      <c r="A22" s="672"/>
      <c r="B22" s="672"/>
      <c r="D22" s="415"/>
      <c r="E22" s="416" t="s">
        <v>238</v>
      </c>
      <c r="F22" s="424"/>
      <c r="G22" s="665"/>
      <c r="H22" s="666"/>
      <c r="I22" s="666"/>
      <c r="J22" s="666"/>
      <c r="K22" s="417"/>
      <c r="N22" s="422" t="s">
        <v>239</v>
      </c>
      <c r="O22" s="425">
        <v>0.74</v>
      </c>
      <c r="P22" s="425">
        <v>0.26</v>
      </c>
      <c r="Q22" s="425">
        <v>0.74</v>
      </c>
      <c r="R22" s="425">
        <v>0.26</v>
      </c>
      <c r="U22" s="426">
        <v>0</v>
      </c>
      <c r="V22" s="427">
        <f>V23</f>
        <v>0</v>
      </c>
      <c r="W22" s="427">
        <f t="shared" ref="W22:AF22" si="0">W23</f>
        <v>0.11</v>
      </c>
      <c r="X22" s="427">
        <f t="shared" si="0"/>
        <v>0.2</v>
      </c>
      <c r="Y22" s="427">
        <f t="shared" si="0"/>
        <v>0.22</v>
      </c>
      <c r="Z22" s="427">
        <f t="shared" si="0"/>
        <v>0.22</v>
      </c>
      <c r="AA22" s="427">
        <f t="shared" si="0"/>
        <v>0.2</v>
      </c>
      <c r="AB22" s="427">
        <f t="shared" si="0"/>
        <v>0.16</v>
      </c>
      <c r="AC22" s="427">
        <f t="shared" si="0"/>
        <v>0.11</v>
      </c>
      <c r="AD22" s="427">
        <f t="shared" si="0"/>
        <v>0.08</v>
      </c>
      <c r="AE22" s="427">
        <f t="shared" si="0"/>
        <v>0.03</v>
      </c>
      <c r="AF22" s="427">
        <f t="shared" si="0"/>
        <v>0</v>
      </c>
      <c r="AG22" s="422" t="s">
        <v>240</v>
      </c>
    </row>
    <row r="23" spans="1:33" x14ac:dyDescent="0.25">
      <c r="A23" s="672"/>
      <c r="B23" s="672"/>
      <c r="D23" s="415"/>
      <c r="E23" s="416" t="s">
        <v>241</v>
      </c>
      <c r="F23" s="424">
        <v>100</v>
      </c>
      <c r="G23" s="665"/>
      <c r="H23" s="666"/>
      <c r="I23" s="666"/>
      <c r="J23" s="666"/>
      <c r="K23" s="417"/>
      <c r="N23" s="422" t="s">
        <v>242</v>
      </c>
      <c r="O23" s="425">
        <v>0.74</v>
      </c>
      <c r="P23" s="425">
        <v>0.26</v>
      </c>
      <c r="Q23" s="425">
        <v>0.74</v>
      </c>
      <c r="R23" s="425">
        <v>0.26</v>
      </c>
      <c r="S23" s="410" t="s">
        <v>243</v>
      </c>
      <c r="U23" s="426">
        <v>1</v>
      </c>
      <c r="V23" s="427">
        <v>0</v>
      </c>
      <c r="W23" s="427">
        <v>0.11</v>
      </c>
      <c r="X23" s="427">
        <v>0.2</v>
      </c>
      <c r="Y23" s="427">
        <v>0.22</v>
      </c>
      <c r="Z23" s="427">
        <v>0.22</v>
      </c>
      <c r="AA23" s="427">
        <v>0.2</v>
      </c>
      <c r="AB23" s="427">
        <v>0.16</v>
      </c>
      <c r="AC23" s="427">
        <v>0.11</v>
      </c>
      <c r="AD23" s="427">
        <v>0.08</v>
      </c>
      <c r="AE23" s="427">
        <v>0.03</v>
      </c>
      <c r="AF23" s="427">
        <v>0</v>
      </c>
      <c r="AG23" s="422"/>
    </row>
    <row r="24" spans="1:33" x14ac:dyDescent="0.25">
      <c r="A24" s="672"/>
      <c r="B24" s="672"/>
      <c r="D24" s="415"/>
      <c r="E24" s="416" t="s">
        <v>152</v>
      </c>
      <c r="F24" s="428">
        <v>0.95399999999999996</v>
      </c>
      <c r="G24" s="665"/>
      <c r="H24" s="666"/>
      <c r="I24" s="666"/>
      <c r="J24" s="666"/>
      <c r="K24" s="417"/>
      <c r="N24" s="422" t="s">
        <v>244</v>
      </c>
      <c r="O24" s="425">
        <v>0.3</v>
      </c>
      <c r="P24" s="425">
        <v>0.7</v>
      </c>
      <c r="Q24" s="425">
        <v>0.3</v>
      </c>
      <c r="R24" s="425">
        <v>0.7</v>
      </c>
      <c r="U24" s="426">
        <v>2</v>
      </c>
      <c r="V24" s="427">
        <f t="shared" ref="V24:AF24" si="1">(V22+V25)/2</f>
        <v>0</v>
      </c>
      <c r="W24" s="427">
        <f t="shared" si="1"/>
        <v>7.0000000000000007E-2</v>
      </c>
      <c r="X24" s="427">
        <f t="shared" si="1"/>
        <v>0.125</v>
      </c>
      <c r="Y24" s="427">
        <f t="shared" si="1"/>
        <v>0.14500000000000002</v>
      </c>
      <c r="Z24" s="427">
        <f t="shared" si="1"/>
        <v>0.15</v>
      </c>
      <c r="AA24" s="427">
        <f t="shared" si="1"/>
        <v>0.14000000000000001</v>
      </c>
      <c r="AB24" s="427">
        <f t="shared" si="1"/>
        <v>0.115</v>
      </c>
      <c r="AC24" s="427">
        <f t="shared" si="1"/>
        <v>8.4999999999999992E-2</v>
      </c>
      <c r="AD24" s="427">
        <f t="shared" si="1"/>
        <v>0.06</v>
      </c>
      <c r="AE24" s="427">
        <f t="shared" si="1"/>
        <v>2.5000000000000001E-2</v>
      </c>
      <c r="AF24" s="427">
        <f t="shared" si="1"/>
        <v>0</v>
      </c>
      <c r="AG24" s="422" t="s">
        <v>245</v>
      </c>
    </row>
    <row r="25" spans="1:33" ht="15" customHeight="1" x14ac:dyDescent="0.25">
      <c r="A25" s="672"/>
      <c r="B25" s="672"/>
      <c r="C25" s="429"/>
      <c r="D25" s="415"/>
      <c r="E25" s="416" t="s">
        <v>246</v>
      </c>
      <c r="F25" s="430"/>
      <c r="G25" s="665"/>
      <c r="H25" s="666"/>
      <c r="I25" s="666"/>
      <c r="J25" s="666"/>
      <c r="K25" s="417"/>
      <c r="N25" s="422" t="s">
        <v>247</v>
      </c>
      <c r="O25" s="425">
        <f>(0.82-0.26)/(0.4-0)</f>
        <v>1.3999999999999997</v>
      </c>
      <c r="P25" s="425">
        <v>0.26</v>
      </c>
      <c r="Q25" s="425">
        <v>0.3</v>
      </c>
      <c r="R25" s="425">
        <v>0.7</v>
      </c>
      <c r="U25" s="426">
        <v>3</v>
      </c>
      <c r="V25" s="427">
        <v>0</v>
      </c>
      <c r="W25" s="427">
        <v>0.03</v>
      </c>
      <c r="X25" s="427">
        <v>0.05</v>
      </c>
      <c r="Y25" s="427">
        <v>7.0000000000000007E-2</v>
      </c>
      <c r="Z25" s="427">
        <v>0.08</v>
      </c>
      <c r="AA25" s="427">
        <v>0.08</v>
      </c>
      <c r="AB25" s="427">
        <v>7.0000000000000007E-2</v>
      </c>
      <c r="AC25" s="427">
        <v>0.06</v>
      </c>
      <c r="AD25" s="427">
        <v>0.04</v>
      </c>
      <c r="AE25" s="427">
        <v>0.02</v>
      </c>
      <c r="AF25" s="427">
        <v>0</v>
      </c>
      <c r="AG25" s="422"/>
    </row>
    <row r="26" spans="1:33" x14ac:dyDescent="0.25">
      <c r="A26" s="431"/>
      <c r="B26" s="431"/>
      <c r="D26" s="415"/>
      <c r="E26" s="416" t="s">
        <v>248</v>
      </c>
      <c r="F26" s="432"/>
      <c r="G26" s="665"/>
      <c r="H26" s="666"/>
      <c r="I26" s="666"/>
      <c r="J26" s="666"/>
      <c r="K26" s="417"/>
      <c r="N26" s="422" t="s">
        <v>249</v>
      </c>
      <c r="O26" s="425">
        <f>(0.5-0.26)/(0.4-0)</f>
        <v>0.6</v>
      </c>
      <c r="P26" s="425">
        <v>0.26</v>
      </c>
      <c r="Q26" s="425">
        <f>(1-0.5)/(1-0.4)</f>
        <v>0.83333333333333337</v>
      </c>
      <c r="R26" s="425">
        <f>0.5-Q26*0.4</f>
        <v>0.16666666666666663</v>
      </c>
      <c r="U26" s="426">
        <v>4</v>
      </c>
      <c r="V26" s="427">
        <f>(V25+V27)/2</f>
        <v>0</v>
      </c>
      <c r="W26" s="427">
        <f t="shared" ref="W26:AF26" si="2">(W25+W27)/2</f>
        <v>0.02</v>
      </c>
      <c r="X26" s="427">
        <f t="shared" si="2"/>
        <v>3.5000000000000003E-2</v>
      </c>
      <c r="Y26" s="427">
        <f t="shared" si="2"/>
        <v>0.05</v>
      </c>
      <c r="Z26" s="427">
        <f t="shared" si="2"/>
        <v>5.5E-2</v>
      </c>
      <c r="AA26" s="427">
        <f t="shared" si="2"/>
        <v>5.5E-2</v>
      </c>
      <c r="AB26" s="427">
        <f t="shared" si="2"/>
        <v>0.05</v>
      </c>
      <c r="AC26" s="427">
        <f t="shared" si="2"/>
        <v>4.4999999999999998E-2</v>
      </c>
      <c r="AD26" s="427">
        <f t="shared" si="2"/>
        <v>0.03</v>
      </c>
      <c r="AE26" s="427">
        <f t="shared" si="2"/>
        <v>1.4999999999999999E-2</v>
      </c>
      <c r="AF26" s="427">
        <f t="shared" si="2"/>
        <v>0</v>
      </c>
      <c r="AG26" s="422" t="s">
        <v>245</v>
      </c>
    </row>
    <row r="27" spans="1:33" ht="15" customHeight="1" x14ac:dyDescent="0.25">
      <c r="A27" s="662" t="s">
        <v>250</v>
      </c>
      <c r="B27" s="662"/>
      <c r="D27" s="415"/>
      <c r="E27" s="416" t="s">
        <v>251</v>
      </c>
      <c r="F27" s="433">
        <v>87.8</v>
      </c>
      <c r="G27" s="665"/>
      <c r="H27" s="666"/>
      <c r="I27" s="666"/>
      <c r="J27" s="666"/>
      <c r="K27" s="417"/>
      <c r="N27" s="422" t="s">
        <v>252</v>
      </c>
      <c r="O27" s="422">
        <f>(0.42-0.1)/(0.4-0)</f>
        <v>0.79999999999999982</v>
      </c>
      <c r="P27" s="425">
        <v>0.1</v>
      </c>
      <c r="Q27" s="425">
        <f>(1-0.42)/(1-0.4)</f>
        <v>0.96666666666666679</v>
      </c>
      <c r="R27" s="425">
        <f>0.42-(Q27*0.4)</f>
        <v>3.333333333333327E-2</v>
      </c>
      <c r="U27" s="426">
        <v>5</v>
      </c>
      <c r="V27" s="427">
        <v>0</v>
      </c>
      <c r="W27" s="427">
        <v>0.01</v>
      </c>
      <c r="X27" s="427">
        <v>0.02</v>
      </c>
      <c r="Y27" s="427">
        <v>0.03</v>
      </c>
      <c r="Z27" s="427">
        <v>0.03</v>
      </c>
      <c r="AA27" s="427">
        <v>0.03</v>
      </c>
      <c r="AB27" s="427">
        <v>0.03</v>
      </c>
      <c r="AC27" s="427">
        <v>0.03</v>
      </c>
      <c r="AD27" s="427">
        <v>0.02</v>
      </c>
      <c r="AE27" s="427">
        <v>0.01</v>
      </c>
      <c r="AF27" s="427">
        <v>0</v>
      </c>
      <c r="AG27" s="422"/>
    </row>
    <row r="28" spans="1:33" x14ac:dyDescent="0.25">
      <c r="A28" s="662"/>
      <c r="B28" s="662"/>
      <c r="D28" s="415"/>
      <c r="E28" s="416" t="s">
        <v>253</v>
      </c>
      <c r="F28" s="488">
        <f>F21*2</f>
        <v>956</v>
      </c>
      <c r="G28" s="667" t="s">
        <v>304</v>
      </c>
      <c r="H28" s="666"/>
      <c r="I28" s="666"/>
      <c r="J28" s="666"/>
      <c r="K28" s="417"/>
      <c r="U28" s="426">
        <v>7.5</v>
      </c>
      <c r="V28" s="427">
        <f>(V27+V29)/2</f>
        <v>0</v>
      </c>
      <c r="W28" s="427">
        <f t="shared" ref="W28:AF28" si="3">(W27+W29)/2</f>
        <v>5.0000000000000001E-3</v>
      </c>
      <c r="X28" s="427">
        <f t="shared" si="3"/>
        <v>0.01</v>
      </c>
      <c r="Y28" s="427">
        <f t="shared" si="3"/>
        <v>1.4999999999999999E-2</v>
      </c>
      <c r="Z28" s="427">
        <f t="shared" si="3"/>
        <v>1.4999999999999999E-2</v>
      </c>
      <c r="AA28" s="427">
        <f t="shared" si="3"/>
        <v>1.4999999999999999E-2</v>
      </c>
      <c r="AB28" s="427">
        <f t="shared" si="3"/>
        <v>1.4999999999999999E-2</v>
      </c>
      <c r="AC28" s="427">
        <f t="shared" si="3"/>
        <v>1.4999999999999999E-2</v>
      </c>
      <c r="AD28" s="427">
        <f t="shared" si="3"/>
        <v>0.01</v>
      </c>
      <c r="AE28" s="427">
        <f t="shared" si="3"/>
        <v>5.0000000000000001E-3</v>
      </c>
      <c r="AF28" s="427">
        <f t="shared" si="3"/>
        <v>0</v>
      </c>
      <c r="AG28" s="422" t="s">
        <v>245</v>
      </c>
    </row>
    <row r="29" spans="1:33" ht="45.75" customHeight="1" x14ac:dyDescent="0.25">
      <c r="A29" s="662"/>
      <c r="B29" s="662"/>
      <c r="D29" s="415"/>
      <c r="E29" s="416" t="s">
        <v>254</v>
      </c>
      <c r="F29" s="424">
        <v>100</v>
      </c>
      <c r="G29" s="674" t="s">
        <v>305</v>
      </c>
      <c r="H29" s="675"/>
      <c r="I29" s="675"/>
      <c r="J29" s="675"/>
      <c r="K29" s="434"/>
      <c r="N29" s="410" t="s">
        <v>255</v>
      </c>
      <c r="U29" s="426">
        <v>10</v>
      </c>
      <c r="V29" s="427">
        <v>0</v>
      </c>
      <c r="W29" s="427">
        <v>0</v>
      </c>
      <c r="X29" s="427">
        <v>0</v>
      </c>
      <c r="Y29" s="427">
        <v>0</v>
      </c>
      <c r="Z29" s="427">
        <v>0</v>
      </c>
      <c r="AA29" s="427">
        <v>0</v>
      </c>
      <c r="AB29" s="427">
        <v>0</v>
      </c>
      <c r="AC29" s="427">
        <v>0</v>
      </c>
      <c r="AD29" s="427">
        <v>0</v>
      </c>
      <c r="AE29" s="427">
        <v>0</v>
      </c>
      <c r="AF29" s="427">
        <v>0</v>
      </c>
      <c r="AG29" s="422"/>
    </row>
    <row r="30" spans="1:33" x14ac:dyDescent="0.25">
      <c r="A30" s="662"/>
      <c r="B30" s="662"/>
      <c r="D30" s="415"/>
      <c r="E30" s="416"/>
      <c r="F30" s="416"/>
      <c r="G30" s="416"/>
      <c r="H30" s="420"/>
      <c r="I30" s="420"/>
      <c r="J30" s="420"/>
      <c r="K30" s="434"/>
      <c r="U30" s="435"/>
      <c r="V30" s="436"/>
      <c r="W30" s="436"/>
    </row>
    <row r="31" spans="1:33" x14ac:dyDescent="0.25">
      <c r="A31" s="662"/>
      <c r="B31" s="662"/>
      <c r="D31" s="415"/>
      <c r="E31" s="416" t="s">
        <v>256</v>
      </c>
      <c r="F31" s="437">
        <f>F21/F27</f>
        <v>5.4441913439635536</v>
      </c>
      <c r="G31" s="416" t="s">
        <v>257</v>
      </c>
      <c r="H31" s="420"/>
      <c r="I31" s="420"/>
      <c r="J31" s="420"/>
      <c r="K31" s="434"/>
      <c r="U31" s="435"/>
      <c r="V31" s="436"/>
      <c r="W31" s="436"/>
    </row>
    <row r="32" spans="1:33" x14ac:dyDescent="0.25">
      <c r="A32" s="662"/>
      <c r="B32" s="662"/>
      <c r="D32" s="415"/>
      <c r="E32" s="420" t="s">
        <v>258</v>
      </c>
      <c r="F32" s="438">
        <f>O33/O34</f>
        <v>5.4441913439635536</v>
      </c>
      <c r="G32" s="676" t="s">
        <v>259</v>
      </c>
      <c r="H32" s="677"/>
      <c r="I32" s="677"/>
      <c r="J32" s="677"/>
      <c r="K32" s="434"/>
      <c r="W32" s="439"/>
      <c r="Z32" s="440"/>
    </row>
    <row r="33" spans="1:26" ht="30" x14ac:dyDescent="0.25">
      <c r="A33" s="662"/>
      <c r="B33" s="662"/>
      <c r="D33" s="415"/>
      <c r="E33" s="441" t="s">
        <v>260</v>
      </c>
      <c r="F33" s="579">
        <f>(VLOOKUP(F18,N21:R27, 4, FALSE)+$Z$34)/F32</f>
        <v>5.5104602510460246E-2</v>
      </c>
      <c r="G33" s="678" t="s">
        <v>261</v>
      </c>
      <c r="H33" s="679"/>
      <c r="I33" s="679"/>
      <c r="J33" s="679"/>
      <c r="K33" s="434"/>
      <c r="N33" s="422" t="s">
        <v>262</v>
      </c>
      <c r="O33" s="426">
        <f>F21*(1+0.0004*(F23-F29))</f>
        <v>478</v>
      </c>
      <c r="P33" s="680" t="s">
        <v>263</v>
      </c>
      <c r="Q33" s="681"/>
      <c r="R33" s="681"/>
      <c r="S33" s="681"/>
      <c r="T33" s="681"/>
      <c r="U33" s="682"/>
      <c r="Y33" s="442" t="s">
        <v>237</v>
      </c>
      <c r="Z33" s="426">
        <f>IFERROR(F28/F21, 0)</f>
        <v>2</v>
      </c>
    </row>
    <row r="34" spans="1:26" x14ac:dyDescent="0.25">
      <c r="D34" s="415"/>
      <c r="E34" s="416"/>
      <c r="F34" s="416"/>
      <c r="G34" s="416"/>
      <c r="H34" s="416"/>
      <c r="I34" s="420"/>
      <c r="J34" s="420"/>
      <c r="K34" s="434"/>
      <c r="N34" s="422" t="s">
        <v>264</v>
      </c>
      <c r="O34" s="426">
        <f>F27*(1-0.005*(F23-F29))</f>
        <v>87.8</v>
      </c>
      <c r="P34" s="680" t="s">
        <v>265</v>
      </c>
      <c r="Q34" s="681"/>
      <c r="R34" s="681"/>
      <c r="S34" s="681"/>
      <c r="T34" s="681"/>
      <c r="U34" s="682"/>
      <c r="Y34" s="442" t="s">
        <v>266</v>
      </c>
      <c r="Z34" s="427">
        <f>IF($F$18=$N$23, VLOOKUP($Z$33, $U$22:$AF$29, 9, TRUE), 0)</f>
        <v>0</v>
      </c>
    </row>
    <row r="35" spans="1:26" ht="15" customHeight="1" x14ac:dyDescent="0.25">
      <c r="A35" s="683" t="s">
        <v>267</v>
      </c>
      <c r="B35" s="683"/>
      <c r="D35" s="415"/>
      <c r="E35" s="416" t="s">
        <v>268</v>
      </c>
      <c r="F35" s="443">
        <v>6136</v>
      </c>
      <c r="G35" s="667" t="s">
        <v>407</v>
      </c>
      <c r="H35" s="666"/>
      <c r="I35" s="666"/>
      <c r="J35" s="666"/>
      <c r="K35" s="417"/>
    </row>
    <row r="36" spans="1:26" x14ac:dyDescent="0.25">
      <c r="A36" s="683"/>
      <c r="B36" s="683"/>
      <c r="D36" s="415"/>
      <c r="E36" s="416"/>
      <c r="F36" s="416"/>
      <c r="G36" s="416"/>
      <c r="H36" s="416"/>
      <c r="I36" s="416"/>
      <c r="J36" s="416"/>
      <c r="K36" s="417"/>
      <c r="N36" s="444" t="s">
        <v>269</v>
      </c>
      <c r="O36" s="444" t="s">
        <v>270</v>
      </c>
      <c r="X36" s="436"/>
    </row>
    <row r="37" spans="1:26" x14ac:dyDescent="0.25">
      <c r="A37" s="683"/>
      <c r="B37" s="683"/>
      <c r="D37" s="415"/>
      <c r="E37" s="445" t="s">
        <v>271</v>
      </c>
      <c r="F37" s="416"/>
      <c r="G37" s="416"/>
      <c r="H37" s="416"/>
      <c r="I37" s="416"/>
      <c r="J37" s="416"/>
      <c r="K37" s="417"/>
      <c r="N37" s="444" t="s">
        <v>272</v>
      </c>
      <c r="O37" s="444">
        <v>0.97</v>
      </c>
    </row>
    <row r="38" spans="1:26" x14ac:dyDescent="0.25">
      <c r="A38" s="683"/>
      <c r="B38" s="683"/>
      <c r="D38" s="415"/>
      <c r="E38" s="446" t="s">
        <v>273</v>
      </c>
      <c r="F38" s="447" t="s">
        <v>306</v>
      </c>
      <c r="G38" s="447"/>
      <c r="H38" s="421"/>
      <c r="I38" s="448"/>
      <c r="J38" s="448"/>
      <c r="K38" s="417"/>
      <c r="N38" s="444" t="s">
        <v>274</v>
      </c>
      <c r="O38" s="444">
        <v>0.61</v>
      </c>
    </row>
    <row r="39" spans="1:26" x14ac:dyDescent="0.25">
      <c r="A39" s="683"/>
      <c r="B39" s="683"/>
      <c r="D39" s="415"/>
      <c r="E39" s="446" t="s">
        <v>275</v>
      </c>
      <c r="F39" s="449">
        <v>6136</v>
      </c>
      <c r="G39" s="449"/>
      <c r="H39" s="449"/>
      <c r="I39" s="449"/>
      <c r="J39" s="449"/>
      <c r="K39" s="417"/>
    </row>
    <row r="40" spans="1:26" x14ac:dyDescent="0.25">
      <c r="A40" s="683"/>
      <c r="B40" s="683"/>
      <c r="D40" s="415"/>
      <c r="E40" s="446" t="s">
        <v>276</v>
      </c>
      <c r="F40" s="449">
        <v>90</v>
      </c>
      <c r="G40" s="449"/>
      <c r="H40" s="449"/>
      <c r="I40" s="449"/>
      <c r="J40" s="449"/>
      <c r="K40" s="417"/>
    </row>
    <row r="41" spans="1:26" x14ac:dyDescent="0.25">
      <c r="A41" s="683"/>
      <c r="B41" s="683"/>
      <c r="D41" s="415"/>
      <c r="E41" s="446" t="s">
        <v>277</v>
      </c>
      <c r="F41" s="450" t="s">
        <v>308</v>
      </c>
      <c r="G41" s="450"/>
      <c r="H41" s="450"/>
      <c r="I41" s="450"/>
      <c r="J41" s="450"/>
      <c r="K41" s="417"/>
    </row>
    <row r="42" spans="1:26" x14ac:dyDescent="0.25">
      <c r="A42" s="683"/>
      <c r="B42" s="683"/>
      <c r="D42" s="415"/>
      <c r="E42" s="446" t="s">
        <v>278</v>
      </c>
      <c r="F42" s="565">
        <v>100</v>
      </c>
      <c r="G42" s="451"/>
      <c r="H42" s="451"/>
      <c r="I42" s="451"/>
      <c r="J42" s="451"/>
      <c r="K42" s="417"/>
    </row>
    <row r="43" spans="1:26" x14ac:dyDescent="0.25">
      <c r="A43" s="683"/>
      <c r="B43" s="683"/>
      <c r="D43" s="415"/>
      <c r="E43" s="446" t="s">
        <v>279</v>
      </c>
      <c r="F43" s="565">
        <v>30</v>
      </c>
      <c r="G43" s="451"/>
      <c r="H43" s="451"/>
      <c r="I43" s="451"/>
      <c r="J43" s="451"/>
      <c r="K43" s="417"/>
    </row>
    <row r="44" spans="1:26" x14ac:dyDescent="0.25">
      <c r="A44" s="684" t="s">
        <v>280</v>
      </c>
      <c r="B44" s="673"/>
      <c r="D44" s="415"/>
      <c r="E44" s="446" t="s">
        <v>281</v>
      </c>
      <c r="F44" s="452">
        <v>1</v>
      </c>
      <c r="G44" s="452"/>
      <c r="H44" s="452"/>
      <c r="I44" s="452"/>
      <c r="J44" s="452"/>
      <c r="K44" s="417"/>
    </row>
    <row r="45" spans="1:26" x14ac:dyDescent="0.25">
      <c r="A45" s="431"/>
      <c r="B45" s="431"/>
      <c r="D45" s="415"/>
      <c r="E45" s="446" t="s">
        <v>282</v>
      </c>
      <c r="F45" s="564">
        <v>0.125</v>
      </c>
      <c r="G45" s="453"/>
      <c r="H45" s="453"/>
      <c r="I45" s="453"/>
      <c r="J45" s="453"/>
      <c r="K45" s="417"/>
    </row>
    <row r="46" spans="1:26" x14ac:dyDescent="0.25">
      <c r="B46" s="431"/>
      <c r="D46" s="415"/>
      <c r="E46" s="446" t="s">
        <v>269</v>
      </c>
      <c r="F46" s="454" t="s">
        <v>274</v>
      </c>
      <c r="G46" s="454"/>
      <c r="H46" s="454"/>
      <c r="I46" s="454"/>
      <c r="J46" s="454"/>
      <c r="K46" s="417"/>
      <c r="N46" s="455" t="s">
        <v>283</v>
      </c>
    </row>
    <row r="47" spans="1:26" x14ac:dyDescent="0.25">
      <c r="D47" s="415"/>
      <c r="E47" s="456" t="s">
        <v>284</v>
      </c>
      <c r="F47" s="577">
        <v>21</v>
      </c>
      <c r="G47" s="457" t="str">
        <f t="shared" ref="G47:J47" si="4">IFERROR(ROUND(VLOOKUP(G46, $N$37:$O$38, 2, FALSE)*IF(G40&lt;15, SQRT((2/(1.4-1))*((((G40+14.5)/14.5)^((1.4-1)/1.4))-1))*G45^2*369.32480163585, 14.485*G45^2*(G40+14.5)), 1), "")</f>
        <v/>
      </c>
      <c r="H47" s="457" t="str">
        <f>IFERROR(ROUND(VLOOKUP(H46, $N$37:$O$38, 2, FALSE)*IF(H40&lt;15, SQRT((2/(1.4-1))*((((H40+14.5)/14.5)^((1.4-1)/1.4))-1))*H45^2*369.32480163585, 14.485*H45^2*(H40+14.5)), 1), "")</f>
        <v/>
      </c>
      <c r="I47" s="457" t="str">
        <f t="shared" si="4"/>
        <v/>
      </c>
      <c r="J47" s="457" t="str">
        <f t="shared" si="4"/>
        <v/>
      </c>
      <c r="K47" s="417"/>
    </row>
    <row r="48" spans="1:26" x14ac:dyDescent="0.25">
      <c r="D48" s="415"/>
      <c r="E48" s="456" t="s">
        <v>285</v>
      </c>
      <c r="F48" s="458">
        <f>IFERROR(F47*F44, "")</f>
        <v>21</v>
      </c>
      <c r="G48" s="458" t="str">
        <f t="shared" ref="G48:J48" si="5">IFERROR(G47*G44, "")</f>
        <v/>
      </c>
      <c r="H48" s="458" t="str">
        <f t="shared" si="5"/>
        <v/>
      </c>
      <c r="I48" s="458" t="str">
        <f t="shared" si="5"/>
        <v/>
      </c>
      <c r="J48" s="458" t="str">
        <f t="shared" si="5"/>
        <v/>
      </c>
      <c r="K48" s="417"/>
    </row>
    <row r="49" spans="1:11" x14ac:dyDescent="0.25">
      <c r="A49" s="459" t="s">
        <v>286</v>
      </c>
      <c r="D49" s="415"/>
      <c r="E49" s="456" t="s">
        <v>287</v>
      </c>
      <c r="F49" s="457">
        <f>IFERROR(IF(F41="Intermittent", F48*F43/F42, F48), "")</f>
        <v>6.3</v>
      </c>
      <c r="G49" s="457" t="str">
        <f t="shared" ref="G49:J49" si="6">IFERROR(IF(G41="Intermittent", G48*G43/G42, G48), "")</f>
        <v/>
      </c>
      <c r="H49" s="457" t="str">
        <f t="shared" si="6"/>
        <v/>
      </c>
      <c r="I49" s="457" t="str">
        <f t="shared" si="6"/>
        <v/>
      </c>
      <c r="J49" s="457" t="str">
        <f t="shared" si="6"/>
        <v/>
      </c>
      <c r="K49" s="417"/>
    </row>
    <row r="50" spans="1:11" x14ac:dyDescent="0.25">
      <c r="A50" s="673" t="s">
        <v>288</v>
      </c>
      <c r="B50" s="673"/>
      <c r="D50" s="415"/>
      <c r="E50" s="416"/>
      <c r="F50" s="460"/>
      <c r="G50" s="460"/>
      <c r="H50" s="460"/>
      <c r="I50" s="460"/>
      <c r="J50" s="460"/>
      <c r="K50" s="417"/>
    </row>
    <row r="51" spans="1:11" x14ac:dyDescent="0.25">
      <c r="D51" s="415"/>
      <c r="E51" s="445" t="s">
        <v>289</v>
      </c>
      <c r="F51" s="460"/>
      <c r="G51" s="460"/>
      <c r="H51" s="460"/>
      <c r="I51" s="460"/>
      <c r="J51" s="460"/>
      <c r="K51" s="417"/>
    </row>
    <row r="52" spans="1:11" x14ac:dyDescent="0.25">
      <c r="D52" s="415"/>
      <c r="E52" s="456" t="s">
        <v>290</v>
      </c>
      <c r="F52" s="566">
        <v>0.5</v>
      </c>
      <c r="G52" s="461"/>
      <c r="H52" s="461"/>
      <c r="I52" s="461"/>
      <c r="J52" s="461"/>
      <c r="K52" s="417"/>
    </row>
    <row r="53" spans="1:11" ht="15" customHeight="1" x14ac:dyDescent="0.25">
      <c r="D53" s="415"/>
      <c r="E53" s="462" t="s">
        <v>291</v>
      </c>
      <c r="F53" s="463">
        <f>IFERROR(F49*F52, "")</f>
        <v>3.15</v>
      </c>
      <c r="G53" s="463" t="str">
        <f t="shared" ref="G53:J53" si="7">IFERROR(G49*G52, "")</f>
        <v/>
      </c>
      <c r="H53" s="463" t="str">
        <f t="shared" si="7"/>
        <v/>
      </c>
      <c r="I53" s="463" t="str">
        <f t="shared" si="7"/>
        <v/>
      </c>
      <c r="J53" s="463" t="str">
        <f t="shared" si="7"/>
        <v/>
      </c>
      <c r="K53" s="417"/>
    </row>
    <row r="54" spans="1:11" x14ac:dyDescent="0.25">
      <c r="D54" s="415"/>
      <c r="E54" s="462" t="s">
        <v>292</v>
      </c>
      <c r="F54" s="464">
        <f>IFERROR(F55/F39, "")</f>
        <v>0.17357949790794977</v>
      </c>
      <c r="G54" s="464" t="str">
        <f t="shared" ref="G54:I54" si="8">IFERROR(G55/G39, "")</f>
        <v/>
      </c>
      <c r="H54" s="464" t="str">
        <f t="shared" si="8"/>
        <v/>
      </c>
      <c r="I54" s="464" t="str">
        <f t="shared" si="8"/>
        <v/>
      </c>
      <c r="J54" s="464" t="str">
        <f>IFERROR(J55/J39, "")</f>
        <v/>
      </c>
      <c r="K54" s="417"/>
    </row>
    <row r="55" spans="1:11" x14ac:dyDescent="0.25">
      <c r="D55" s="415"/>
      <c r="E55" s="462" t="s">
        <v>293</v>
      </c>
      <c r="F55" s="465">
        <f>IFERROR(F53*$F$33*F39, "")</f>
        <v>1065.0837991631797</v>
      </c>
      <c r="G55" s="465" t="str">
        <f t="shared" ref="G55:I55" si="9">IFERROR(G53*$F$33*G39, "")</f>
        <v/>
      </c>
      <c r="H55" s="465" t="str">
        <f t="shared" si="9"/>
        <v/>
      </c>
      <c r="I55" s="465" t="str">
        <f t="shared" si="9"/>
        <v/>
      </c>
      <c r="J55" s="465" t="str">
        <f>IFERROR(J53*$F$33*J39, "")</f>
        <v/>
      </c>
      <c r="K55" s="417"/>
    </row>
    <row r="56" spans="1:11" x14ac:dyDescent="0.25">
      <c r="D56" s="415"/>
      <c r="E56" s="466" t="s">
        <v>294</v>
      </c>
      <c r="F56" s="567">
        <v>100</v>
      </c>
      <c r="G56" s="467"/>
      <c r="H56" s="467"/>
      <c r="I56" s="467"/>
      <c r="J56" s="467"/>
      <c r="K56" s="417"/>
    </row>
    <row r="57" spans="1:11" x14ac:dyDescent="0.25">
      <c r="D57" s="415"/>
      <c r="E57" s="468" t="s">
        <v>72</v>
      </c>
      <c r="F57" s="469">
        <f>F56*F44</f>
        <v>100</v>
      </c>
      <c r="G57" s="469">
        <f t="shared" ref="G57:J57" si="10">G56*G44</f>
        <v>0</v>
      </c>
      <c r="H57" s="469">
        <f t="shared" si="10"/>
        <v>0</v>
      </c>
      <c r="I57" s="469">
        <f t="shared" si="10"/>
        <v>0</v>
      </c>
      <c r="J57" s="469">
        <f t="shared" si="10"/>
        <v>0</v>
      </c>
      <c r="K57" s="417"/>
    </row>
    <row r="58" spans="1:11" x14ac:dyDescent="0.25">
      <c r="D58" s="415"/>
      <c r="E58" s="416"/>
      <c r="F58" s="416"/>
      <c r="G58" s="416"/>
      <c r="H58" s="416"/>
      <c r="I58" s="416"/>
      <c r="J58" s="416"/>
      <c r="K58" s="417"/>
    </row>
    <row r="59" spans="1:11" x14ac:dyDescent="0.25">
      <c r="D59" s="415"/>
      <c r="E59" s="470" t="s">
        <v>295</v>
      </c>
      <c r="F59" s="690" t="s">
        <v>309</v>
      </c>
      <c r="G59" s="691"/>
      <c r="H59" s="691"/>
      <c r="I59" s="691"/>
      <c r="J59" s="692"/>
      <c r="K59" s="417"/>
    </row>
    <row r="60" spans="1:11" x14ac:dyDescent="0.25">
      <c r="D60" s="415"/>
      <c r="E60" s="416"/>
      <c r="F60" s="693"/>
      <c r="G60" s="685"/>
      <c r="H60" s="685"/>
      <c r="I60" s="685"/>
      <c r="J60" s="694"/>
      <c r="K60" s="417"/>
    </row>
    <row r="61" spans="1:11" ht="57.75" customHeight="1" x14ac:dyDescent="0.25">
      <c r="D61" s="415"/>
      <c r="E61" s="416"/>
      <c r="F61" s="695"/>
      <c r="G61" s="696"/>
      <c r="H61" s="696"/>
      <c r="I61" s="696"/>
      <c r="J61" s="697"/>
      <c r="K61" s="417"/>
    </row>
    <row r="62" spans="1:11" x14ac:dyDescent="0.25">
      <c r="D62" s="415"/>
      <c r="E62" s="471" t="s">
        <v>67</v>
      </c>
      <c r="F62" s="416"/>
      <c r="G62" s="698" t="s">
        <v>218</v>
      </c>
      <c r="H62" s="698"/>
      <c r="I62" s="698"/>
      <c r="J62" s="698"/>
      <c r="K62" s="417"/>
    </row>
    <row r="63" spans="1:11" x14ac:dyDescent="0.25">
      <c r="D63" s="415"/>
      <c r="E63" s="416" t="s">
        <v>296</v>
      </c>
      <c r="F63" s="472">
        <f>SUM(F55:J55)</f>
        <v>1065.0837991631797</v>
      </c>
      <c r="G63" s="685"/>
      <c r="H63" s="685"/>
      <c r="I63" s="685"/>
      <c r="J63" s="685"/>
      <c r="K63" s="417"/>
    </row>
    <row r="64" spans="1:11" x14ac:dyDescent="0.25">
      <c r="D64" s="415"/>
      <c r="E64" s="416" t="s">
        <v>297</v>
      </c>
      <c r="F64" s="473">
        <f>SUM(F54:J54)</f>
        <v>0.17357949790794977</v>
      </c>
      <c r="G64" s="685"/>
      <c r="H64" s="685"/>
      <c r="I64" s="685"/>
      <c r="J64" s="685"/>
      <c r="K64" s="417"/>
    </row>
    <row r="65" spans="4:11" x14ac:dyDescent="0.25">
      <c r="D65" s="415"/>
      <c r="E65" s="416" t="s">
        <v>71</v>
      </c>
      <c r="F65" s="474">
        <f>F63*0.08</f>
        <v>85.206703933054385</v>
      </c>
      <c r="G65" s="685"/>
      <c r="H65" s="685"/>
      <c r="I65" s="685"/>
      <c r="J65" s="685"/>
      <c r="K65" s="417"/>
    </row>
    <row r="66" spans="4:11" x14ac:dyDescent="0.25">
      <c r="D66" s="415"/>
      <c r="E66" s="416" t="s">
        <v>72</v>
      </c>
      <c r="F66" s="475">
        <f>SUM(F57:J57)</f>
        <v>100</v>
      </c>
      <c r="G66" s="699" t="s">
        <v>310</v>
      </c>
      <c r="H66" s="685"/>
      <c r="I66" s="685"/>
      <c r="J66" s="685"/>
      <c r="K66" s="417"/>
    </row>
    <row r="67" spans="4:11" x14ac:dyDescent="0.25">
      <c r="D67" s="415"/>
      <c r="E67" s="416" t="s">
        <v>73</v>
      </c>
      <c r="F67" s="476">
        <f>F66/F65</f>
        <v>1.1736165745663449</v>
      </c>
      <c r="G67" s="685"/>
      <c r="H67" s="685"/>
      <c r="I67" s="685"/>
      <c r="J67" s="685"/>
      <c r="K67" s="417"/>
    </row>
    <row r="68" spans="4:11" ht="15.75" thickBot="1" x14ac:dyDescent="0.3">
      <c r="D68" s="477"/>
      <c r="E68" s="478"/>
      <c r="F68" s="478"/>
      <c r="G68" s="478"/>
      <c r="H68" s="478"/>
      <c r="I68" s="478"/>
      <c r="J68" s="478"/>
      <c r="K68" s="479"/>
    </row>
    <row r="70" spans="4:11" s="199" customFormat="1" x14ac:dyDescent="0.25">
      <c r="E70" s="181" t="s">
        <v>311</v>
      </c>
      <c r="F70" s="182">
        <f>ROUND(F63/F44, -1)</f>
        <v>1070</v>
      </c>
    </row>
    <row r="71" spans="4:11" s="199" customFormat="1" x14ac:dyDescent="0.25">
      <c r="E71" s="181" t="s">
        <v>312</v>
      </c>
      <c r="F71" s="183">
        <f>ROUND(F64/F44, 2)</f>
        <v>0.17</v>
      </c>
    </row>
    <row r="72" spans="4:11" s="199" customFormat="1" x14ac:dyDescent="0.25">
      <c r="E72" s="181" t="s">
        <v>103</v>
      </c>
      <c r="F72" s="184">
        <f>F66/F44</f>
        <v>100</v>
      </c>
    </row>
    <row r="73" spans="4:11" s="199" customFormat="1" x14ac:dyDescent="0.25">
      <c r="E73" s="181" t="s">
        <v>104</v>
      </c>
      <c r="F73" s="185" t="s">
        <v>313</v>
      </c>
    </row>
    <row r="76" spans="4:11" x14ac:dyDescent="0.25">
      <c r="E76" s="480" t="s">
        <v>75</v>
      </c>
      <c r="F76" s="480"/>
      <c r="G76" s="391"/>
      <c r="H76" s="392"/>
      <c r="I76" s="392"/>
      <c r="J76" s="392"/>
    </row>
    <row r="77" spans="4:11" x14ac:dyDescent="0.25">
      <c r="E77" s="481" t="s">
        <v>76</v>
      </c>
      <c r="F77" s="481" t="s">
        <v>77</v>
      </c>
      <c r="G77" s="481" t="s">
        <v>39</v>
      </c>
      <c r="H77" s="482" t="s">
        <v>298</v>
      </c>
      <c r="I77" s="392"/>
      <c r="J77" s="392"/>
    </row>
    <row r="78" spans="4:11" x14ac:dyDescent="0.25">
      <c r="E78" s="483" t="s">
        <v>81</v>
      </c>
      <c r="F78" s="484">
        <f>$F$63/12</f>
        <v>88.756983263598315</v>
      </c>
      <c r="G78" s="485">
        <f>$F$64</f>
        <v>0.17357949790794977</v>
      </c>
      <c r="H78" s="486"/>
      <c r="I78" s="392"/>
      <c r="J78" s="392"/>
    </row>
    <row r="79" spans="4:11" x14ac:dyDescent="0.25">
      <c r="E79" s="483" t="s">
        <v>82</v>
      </c>
      <c r="F79" s="484">
        <f t="shared" ref="F79:F89" si="11">$F$63/12</f>
        <v>88.756983263598315</v>
      </c>
      <c r="G79" s="485">
        <f t="shared" ref="G79:G89" si="12">$F$64</f>
        <v>0.17357949790794977</v>
      </c>
      <c r="H79" s="486"/>
      <c r="I79" s="392"/>
      <c r="J79" s="392"/>
    </row>
    <row r="80" spans="4:11" x14ac:dyDescent="0.25">
      <c r="E80" s="483" t="s">
        <v>83</v>
      </c>
      <c r="F80" s="484">
        <f t="shared" si="11"/>
        <v>88.756983263598315</v>
      </c>
      <c r="G80" s="485">
        <f t="shared" si="12"/>
        <v>0.17357949790794977</v>
      </c>
      <c r="H80" s="486"/>
      <c r="I80" s="392"/>
      <c r="J80" s="392"/>
    </row>
    <row r="81" spans="5:10" x14ac:dyDescent="0.25">
      <c r="E81" s="483" t="s">
        <v>84</v>
      </c>
      <c r="F81" s="484">
        <f t="shared" si="11"/>
        <v>88.756983263598315</v>
      </c>
      <c r="G81" s="485">
        <f t="shared" si="12"/>
        <v>0.17357949790794977</v>
      </c>
      <c r="H81" s="486"/>
      <c r="I81" s="392"/>
      <c r="J81" s="392"/>
    </row>
    <row r="82" spans="5:10" x14ac:dyDescent="0.25">
      <c r="E82" s="483" t="s">
        <v>85</v>
      </c>
      <c r="F82" s="484">
        <f t="shared" si="11"/>
        <v>88.756983263598315</v>
      </c>
      <c r="G82" s="485">
        <f t="shared" si="12"/>
        <v>0.17357949790794977</v>
      </c>
      <c r="H82" s="486"/>
      <c r="I82" s="392"/>
      <c r="J82" s="392"/>
    </row>
    <row r="83" spans="5:10" x14ac:dyDescent="0.25">
      <c r="E83" s="483" t="s">
        <v>86</v>
      </c>
      <c r="F83" s="484">
        <f t="shared" si="11"/>
        <v>88.756983263598315</v>
      </c>
      <c r="G83" s="485">
        <f t="shared" si="12"/>
        <v>0.17357949790794977</v>
      </c>
      <c r="H83" s="486"/>
      <c r="I83" s="392"/>
      <c r="J83" s="392"/>
    </row>
    <row r="84" spans="5:10" x14ac:dyDescent="0.25">
      <c r="E84" s="483" t="s">
        <v>87</v>
      </c>
      <c r="F84" s="484">
        <f t="shared" si="11"/>
        <v>88.756983263598315</v>
      </c>
      <c r="G84" s="485">
        <f t="shared" si="12"/>
        <v>0.17357949790794977</v>
      </c>
      <c r="H84" s="486"/>
      <c r="I84" s="392"/>
      <c r="J84" s="392"/>
    </row>
    <row r="85" spans="5:10" x14ac:dyDescent="0.25">
      <c r="E85" s="483" t="s">
        <v>88</v>
      </c>
      <c r="F85" s="484">
        <f t="shared" si="11"/>
        <v>88.756983263598315</v>
      </c>
      <c r="G85" s="485">
        <f t="shared" si="12"/>
        <v>0.17357949790794977</v>
      </c>
      <c r="H85" s="486"/>
      <c r="I85" s="392"/>
      <c r="J85" s="392"/>
    </row>
    <row r="86" spans="5:10" x14ac:dyDescent="0.25">
      <c r="E86" s="483" t="s">
        <v>89</v>
      </c>
      <c r="F86" s="484">
        <f t="shared" si="11"/>
        <v>88.756983263598315</v>
      </c>
      <c r="G86" s="485">
        <f t="shared" si="12"/>
        <v>0.17357949790794977</v>
      </c>
      <c r="H86" s="486"/>
      <c r="I86" s="392"/>
      <c r="J86" s="392"/>
    </row>
    <row r="87" spans="5:10" x14ac:dyDescent="0.25">
      <c r="E87" s="483" t="s">
        <v>90</v>
      </c>
      <c r="F87" s="484">
        <f t="shared" si="11"/>
        <v>88.756983263598315</v>
      </c>
      <c r="G87" s="485">
        <f t="shared" si="12"/>
        <v>0.17357949790794977</v>
      </c>
      <c r="H87" s="486"/>
      <c r="I87" s="392"/>
      <c r="J87" s="392"/>
    </row>
    <row r="88" spans="5:10" x14ac:dyDescent="0.25">
      <c r="E88" s="483" t="s">
        <v>91</v>
      </c>
      <c r="F88" s="484">
        <f t="shared" si="11"/>
        <v>88.756983263598315</v>
      </c>
      <c r="G88" s="485">
        <f t="shared" si="12"/>
        <v>0.17357949790794977</v>
      </c>
      <c r="H88" s="486"/>
      <c r="I88" s="392"/>
      <c r="J88" s="392"/>
    </row>
    <row r="89" spans="5:10" x14ac:dyDescent="0.25">
      <c r="E89" s="483" t="s">
        <v>92</v>
      </c>
      <c r="F89" s="484">
        <f t="shared" si="11"/>
        <v>88.756983263598315</v>
      </c>
      <c r="G89" s="485">
        <f t="shared" si="12"/>
        <v>0.17357949790794977</v>
      </c>
      <c r="H89" s="486"/>
      <c r="I89" s="392"/>
      <c r="J89" s="392"/>
    </row>
    <row r="90" spans="5:10" x14ac:dyDescent="0.25">
      <c r="E90" s="391"/>
      <c r="F90" s="487">
        <f>SUM(F78:F89)</f>
        <v>1065.0837991631795</v>
      </c>
      <c r="G90" s="391"/>
      <c r="H90" s="391"/>
      <c r="I90" s="392"/>
      <c r="J90" s="392"/>
    </row>
    <row r="91" spans="5:10" x14ac:dyDescent="0.25">
      <c r="E91" s="391"/>
      <c r="F91" s="391"/>
      <c r="G91" s="391"/>
      <c r="H91" s="391"/>
      <c r="I91" s="392"/>
      <c r="J91" s="392"/>
    </row>
    <row r="92" spans="5:10" x14ac:dyDescent="0.25">
      <c r="E92" s="391"/>
      <c r="F92" s="391"/>
      <c r="G92" s="391"/>
      <c r="H92" s="391"/>
      <c r="I92" s="392"/>
      <c r="J92" s="392"/>
    </row>
    <row r="93" spans="5:10" ht="258" customHeight="1" x14ac:dyDescent="0.25">
      <c r="E93" s="402" t="s">
        <v>93</v>
      </c>
      <c r="F93" s="392"/>
      <c r="G93" s="392"/>
      <c r="H93" s="392"/>
      <c r="I93" s="392"/>
      <c r="J93" s="392"/>
    </row>
    <row r="94" spans="5:10" x14ac:dyDescent="0.25">
      <c r="E94" s="686"/>
      <c r="F94" s="687"/>
      <c r="G94" s="687"/>
      <c r="H94" s="687"/>
      <c r="I94" s="687"/>
      <c r="J94" s="687"/>
    </row>
    <row r="101" ht="216" customHeight="1" x14ac:dyDescent="0.25"/>
  </sheetData>
  <mergeCells count="37">
    <mergeCell ref="G67:J67"/>
    <mergeCell ref="E94:J94"/>
    <mergeCell ref="G20:J21"/>
    <mergeCell ref="F59:J61"/>
    <mergeCell ref="G62:J62"/>
    <mergeCell ref="G63:J63"/>
    <mergeCell ref="G64:J64"/>
    <mergeCell ref="G65:J65"/>
    <mergeCell ref="G66:J66"/>
    <mergeCell ref="P33:U33"/>
    <mergeCell ref="P34:U34"/>
    <mergeCell ref="A35:B43"/>
    <mergeCell ref="G35:J35"/>
    <mergeCell ref="A44:B44"/>
    <mergeCell ref="A50:B50"/>
    <mergeCell ref="G26:J26"/>
    <mergeCell ref="A27:B33"/>
    <mergeCell ref="G27:J27"/>
    <mergeCell ref="G28:J28"/>
    <mergeCell ref="G29:J29"/>
    <mergeCell ref="G32:J32"/>
    <mergeCell ref="G33:J33"/>
    <mergeCell ref="N18:R18"/>
    <mergeCell ref="U18:AG18"/>
    <mergeCell ref="G19:J19"/>
    <mergeCell ref="A21:B25"/>
    <mergeCell ref="G22:J22"/>
    <mergeCell ref="G23:J23"/>
    <mergeCell ref="G24:J24"/>
    <mergeCell ref="G25:J25"/>
    <mergeCell ref="A1:B1"/>
    <mergeCell ref="G14:J14"/>
    <mergeCell ref="A15:B19"/>
    <mergeCell ref="G15:J15"/>
    <mergeCell ref="G16:J16"/>
    <mergeCell ref="G17:J17"/>
    <mergeCell ref="G18:J18"/>
  </mergeCells>
  <dataValidations count="20">
    <dataValidation allowBlank="1" showInputMessage="1" showErrorMessage="1" prompt="Cost is usually $20-$100 for a basic nozzle, with $50 being a reasonable first estimate.  Air knives can be much more expensive. " sqref="F56:J56"/>
    <dataValidation type="decimal" allowBlank="1" showInputMessage="1" showErrorMessage="1" errorTitle="Invalid Entry" error="Savings percent must be between 30% and 80%." promptTitle="Energy Savings" prompt="Value should be between 30% and 80%, with 50% usually a good estimate." sqref="F52:J52">
      <formula1>0.3</formula1>
      <formula2>0.8</formula2>
    </dataValidation>
    <dataValidation type="list" allowBlank="1" showInputMessage="1" showErrorMessage="1" sqref="F46:J46">
      <formula1>$N$37:$N$38</formula1>
    </dataValidation>
    <dataValidation type="decimal" allowBlank="1" showInputMessage="1" showErrorMessage="1" sqref="F45:J45">
      <formula1>0</formula1>
      <formula2>10000000</formula2>
    </dataValidation>
    <dataValidation type="decimal" allowBlank="1" showInputMessage="1" showErrorMessage="1" prompt="For Intermittent Applications Only" sqref="F42:J43">
      <formula1>0</formula1>
      <formula2>1000000</formula2>
    </dataValidation>
    <dataValidation type="list" allowBlank="1" showErrorMessage="1" sqref="F41:J41">
      <formula1>"Continuous, Intermittent"</formula1>
    </dataValidation>
    <dataValidation type="decimal" allowBlank="1" showInputMessage="1" showErrorMessage="1" errorTitle="Out of Range" error="Value should be between 0 psig and the System Pressure." prompt="Enter the pressure of the blow-off application." sqref="F40:J40">
      <formula1>0</formula1>
      <formula2>$F$29</formula2>
    </dataValidation>
    <dataValidation type="decimal" allowBlank="1" showInputMessage="1" showErrorMessage="1" errorTitle="Out of Range" error="Value should be between 0 hours and Compressed Air System Pressurized Hours." prompt="This should be the total hours the application is in use." sqref="F39:J39">
      <formula1>0</formula1>
      <formula2>$F$35</formula2>
    </dataValidation>
    <dataValidation type="list" allowBlank="1" showInputMessage="1" showErrorMessage="1" promptTitle="VFD Efficiency" prompt="Select VFD efficiency or select &quot;No VFD&quot; if a non-VFD compressor is selected." sqref="F25">
      <formula1>".95, .97, No VFD"</formula1>
    </dataValidation>
    <dataValidation allowBlank="1" showInputMessage="1" showErrorMessage="1" promptTitle="Pressure at Rated Flow" prompt="Enter the pressure corresponding with the rated flow conditions.  This is not the system operating pressure.  The performance of the compressor is adjusted from the rated conditions by the calcualtor." sqref="F23"/>
    <dataValidation allowBlank="1" showInputMessage="1" showErrorMessage="1" promptTitle="System Pressure" prompt="Actual system pressure should be entered here.  These cells adjust compressor performance from rated conditions.  " sqref="F29"/>
    <dataValidation allowBlank="1" showInputMessage="1" showErrorMessage="1" promptTitle="System Storage " prompt="Enter the system storage volume in gallons.  This is only required if screw compressors with load/unload control are selected above." sqref="F28"/>
    <dataValidation allowBlank="1" showInputMessage="1" showErrorMessage="1" promptTitle="Package Input Power" prompt="The package input power is calculated based on data entered above.  If the manufacturer provides the package input power, simply enter it here." sqref="F27"/>
    <dataValidation allowBlank="1" showInputMessage="1" showErrorMessage="1" promptTitle="Compressor Shaft bhp" prompt="Enter the brake horsepower if available.  If not, leave the cell blank." sqref="F22"/>
    <dataValidation allowBlank="1" showInputMessage="1" showErrorMessage="1" promptTitle="Rated Flow" prompt="Enter the compressor rated flow in CFM.  This should be at the compressor's rated operating condition." sqref="F21"/>
    <dataValidation allowBlank="1" showInputMessage="1" showErrorMessage="1" promptTitle="Nominal Compressor hp" prompt="Enter compressor drive motor hp" sqref="F20"/>
    <dataValidation type="list" allowBlank="1" showInputMessage="1" showErrorMessage="1" sqref="F18">
      <formula1>$N$21:$N$27</formula1>
    </dataValidation>
    <dataValidation allowBlank="1" showInputMessage="1" showErrorMessage="1" promptTitle="Motor Load Factor" prompt="If shaft bhp is not available, then power is calculated based on the motor and load factor.  In general, most compressor motors have a load factor of over 95%, and sometimes as high as 125%." sqref="F26"/>
    <dataValidation type="whole" allowBlank="1" showInputMessage="1" showErrorMessage="1" sqref="F44:J44">
      <formula1>0</formula1>
      <formula2>10000000</formula2>
    </dataValidation>
    <dataValidation allowBlank="1" showErrorMessage="1" sqref="E56"/>
  </dataValidations>
  <hyperlinks>
    <hyperlink ref="A44" r:id="rId1"/>
  </hyperlinks>
  <pageMargins left="0.7" right="0.7" top="0.75" bottom="0.75" header="0.3" footer="0.3"/>
  <pageSetup orientation="portrait"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91"/>
  <sheetViews>
    <sheetView topLeftCell="A15" zoomScale="85" zoomScaleNormal="85" workbookViewId="0">
      <selection activeCell="E61" sqref="E61"/>
    </sheetView>
  </sheetViews>
  <sheetFormatPr defaultRowHeight="15" x14ac:dyDescent="0.25"/>
  <cols>
    <col min="1" max="1" width="17.85546875" style="407" customWidth="1"/>
    <col min="2" max="2" width="32.85546875" style="407" customWidth="1"/>
    <col min="3" max="3" width="4.5703125" style="407" customWidth="1"/>
    <col min="4" max="4" width="4.28515625" style="407" customWidth="1"/>
    <col min="5" max="5" width="39.85546875" style="407" customWidth="1"/>
    <col min="6" max="10" width="19.42578125" style="407" customWidth="1"/>
    <col min="11" max="11" width="5" style="407" customWidth="1"/>
    <col min="12" max="12" width="9.140625" style="407"/>
    <col min="13" max="13" width="3.28515625" style="408" customWidth="1"/>
    <col min="14" max="14" width="37.42578125" style="410" customWidth="1"/>
    <col min="15" max="15" width="16.28515625" style="410" customWidth="1"/>
    <col min="16" max="16" width="13.7109375" style="410" customWidth="1"/>
    <col min="17" max="21" width="9.140625" style="410"/>
    <col min="22" max="22" width="7" style="410" customWidth="1"/>
    <col min="23" max="32" width="6.140625" style="410" customWidth="1"/>
    <col min="33" max="34" width="9.140625" style="410"/>
    <col min="35" max="16384" width="9.140625" style="407"/>
  </cols>
  <sheetData>
    <row r="1" spans="1:34" s="392" customFormat="1" ht="12.75" x14ac:dyDescent="0.2">
      <c r="A1" s="703" t="s">
        <v>0</v>
      </c>
      <c r="B1" s="703"/>
      <c r="C1" s="390"/>
      <c r="D1" s="391"/>
      <c r="E1" s="391"/>
      <c r="F1" s="391"/>
      <c r="G1" s="391"/>
      <c r="M1" s="393"/>
      <c r="N1" s="394"/>
      <c r="O1" s="394"/>
      <c r="P1" s="394"/>
      <c r="Q1" s="394"/>
      <c r="R1" s="394"/>
      <c r="S1" s="394"/>
      <c r="T1" s="394"/>
      <c r="U1" s="394"/>
      <c r="V1" s="394"/>
      <c r="W1" s="394"/>
      <c r="X1" s="394"/>
      <c r="Y1" s="394"/>
      <c r="Z1" s="394"/>
      <c r="AA1" s="394"/>
      <c r="AB1" s="394"/>
      <c r="AC1" s="394"/>
      <c r="AD1" s="394"/>
      <c r="AE1" s="394"/>
      <c r="AF1" s="394"/>
      <c r="AG1" s="394"/>
      <c r="AH1" s="394"/>
    </row>
    <row r="2" spans="1:34" s="392" customFormat="1" ht="25.5" x14ac:dyDescent="0.2">
      <c r="A2" s="489" t="s">
        <v>1</v>
      </c>
      <c r="B2" s="490" t="str">
        <f>F12</f>
        <v>Install No-loss Condensate Drain Valves</v>
      </c>
      <c r="C2" s="397"/>
      <c r="D2" s="391"/>
      <c r="E2" s="391"/>
      <c r="F2" s="391"/>
      <c r="G2" s="391"/>
      <c r="M2" s="393"/>
      <c r="N2" s="394"/>
      <c r="O2" s="394"/>
      <c r="P2" s="394"/>
      <c r="Q2" s="394"/>
      <c r="R2" s="394"/>
      <c r="S2" s="394"/>
      <c r="T2" s="394"/>
      <c r="U2" s="394"/>
      <c r="V2" s="394"/>
      <c r="W2" s="394"/>
      <c r="X2" s="394"/>
      <c r="Y2" s="394"/>
      <c r="Z2" s="394"/>
      <c r="AA2" s="394"/>
      <c r="AB2" s="394"/>
      <c r="AC2" s="394"/>
      <c r="AD2" s="394"/>
      <c r="AE2" s="394"/>
      <c r="AF2" s="394"/>
      <c r="AG2" s="394"/>
      <c r="AH2" s="394"/>
    </row>
    <row r="3" spans="1:34" s="392" customFormat="1" ht="12.75" x14ac:dyDescent="0.2">
      <c r="A3" s="489" t="s">
        <v>2</v>
      </c>
      <c r="B3" s="491">
        <f>F60</f>
        <v>1.0469874476987446</v>
      </c>
      <c r="C3" s="399"/>
      <c r="D3" s="391"/>
      <c r="E3" s="391"/>
      <c r="F3" s="391"/>
      <c r="G3" s="391"/>
      <c r="M3" s="393"/>
      <c r="N3" s="394"/>
      <c r="O3" s="394"/>
      <c r="P3" s="394"/>
      <c r="Q3" s="394"/>
      <c r="R3" s="394"/>
      <c r="S3" s="394"/>
      <c r="T3" s="394"/>
      <c r="U3" s="394"/>
      <c r="V3" s="394"/>
      <c r="W3" s="394"/>
      <c r="X3" s="394"/>
      <c r="Y3" s="394"/>
      <c r="Z3" s="394"/>
      <c r="AA3" s="394"/>
      <c r="AB3" s="394"/>
      <c r="AC3" s="394"/>
      <c r="AD3" s="394"/>
      <c r="AE3" s="394"/>
      <c r="AF3" s="394"/>
      <c r="AG3" s="394"/>
      <c r="AH3" s="394"/>
    </row>
    <row r="4" spans="1:34" s="392" customFormat="1" ht="12.75" x14ac:dyDescent="0.2">
      <c r="A4" s="489" t="s">
        <v>3</v>
      </c>
      <c r="B4" s="492">
        <f>F59</f>
        <v>6424.3149790794969</v>
      </c>
      <c r="C4" s="401"/>
      <c r="D4" s="402"/>
      <c r="E4" s="391"/>
      <c r="F4" s="391"/>
      <c r="G4" s="391"/>
      <c r="M4" s="393"/>
      <c r="N4" s="394"/>
      <c r="O4" s="394"/>
      <c r="P4" s="394"/>
      <c r="Q4" s="394"/>
      <c r="R4" s="394"/>
      <c r="S4" s="394"/>
      <c r="T4" s="394"/>
      <c r="U4" s="394"/>
      <c r="V4" s="394"/>
      <c r="W4" s="394"/>
      <c r="X4" s="394"/>
      <c r="Y4" s="394"/>
      <c r="Z4" s="394"/>
      <c r="AA4" s="394"/>
      <c r="AB4" s="394"/>
      <c r="AC4" s="394"/>
      <c r="AD4" s="394"/>
      <c r="AE4" s="394"/>
      <c r="AF4" s="394"/>
      <c r="AG4" s="394"/>
      <c r="AH4" s="394"/>
    </row>
    <row r="5" spans="1:34" s="392" customFormat="1" ht="12.75" x14ac:dyDescent="0.2">
      <c r="A5" s="489" t="s">
        <v>4</v>
      </c>
      <c r="B5" s="492">
        <f>0</f>
        <v>0</v>
      </c>
      <c r="C5" s="401"/>
      <c r="D5" s="391"/>
      <c r="E5" s="391"/>
      <c r="F5" s="391"/>
      <c r="G5" s="391"/>
      <c r="M5" s="393"/>
      <c r="N5" s="394"/>
      <c r="O5" s="394"/>
      <c r="P5" s="394"/>
      <c r="Q5" s="394"/>
      <c r="R5" s="394"/>
      <c r="S5" s="394"/>
      <c r="T5" s="394"/>
      <c r="U5" s="394"/>
      <c r="V5" s="394"/>
      <c r="W5" s="394"/>
      <c r="X5" s="394"/>
      <c r="Y5" s="394"/>
      <c r="Z5" s="394"/>
      <c r="AA5" s="394"/>
      <c r="AB5" s="394"/>
      <c r="AC5" s="394"/>
      <c r="AD5" s="394"/>
      <c r="AE5" s="394"/>
      <c r="AF5" s="394"/>
      <c r="AG5" s="394"/>
      <c r="AH5" s="394"/>
    </row>
    <row r="6" spans="1:34" s="392" customFormat="1" ht="12.75" x14ac:dyDescent="0.2">
      <c r="A6" s="489" t="s">
        <v>5</v>
      </c>
      <c r="B6" s="493">
        <f>F61</f>
        <v>513.94519832635979</v>
      </c>
      <c r="C6" s="404"/>
      <c r="D6" s="391"/>
      <c r="E6" s="391"/>
      <c r="F6" s="391"/>
      <c r="G6" s="391"/>
      <c r="M6" s="393"/>
      <c r="N6" s="394"/>
      <c r="O6" s="394"/>
      <c r="P6" s="394"/>
      <c r="Q6" s="394"/>
      <c r="R6" s="394"/>
      <c r="S6" s="394"/>
      <c r="T6" s="394"/>
      <c r="U6" s="394"/>
      <c r="V6" s="394"/>
      <c r="W6" s="394"/>
      <c r="X6" s="394"/>
      <c r="Y6" s="394"/>
      <c r="Z6" s="394"/>
      <c r="AA6" s="394"/>
      <c r="AB6" s="394"/>
      <c r="AC6" s="394"/>
      <c r="AD6" s="394"/>
      <c r="AE6" s="394"/>
      <c r="AF6" s="394"/>
      <c r="AG6" s="394"/>
      <c r="AH6" s="394"/>
    </row>
    <row r="7" spans="1:34" s="392" customFormat="1" ht="12.75" x14ac:dyDescent="0.2">
      <c r="A7" s="489" t="s">
        <v>6</v>
      </c>
      <c r="B7" s="493">
        <v>0</v>
      </c>
      <c r="C7" s="404"/>
      <c r="D7" s="391"/>
      <c r="E7" s="391"/>
      <c r="F7" s="391"/>
      <c r="G7" s="391"/>
      <c r="M7" s="393"/>
      <c r="N7" s="394"/>
      <c r="O7" s="394"/>
      <c r="P7" s="394"/>
      <c r="Q7" s="394"/>
      <c r="R7" s="394"/>
      <c r="S7" s="394"/>
      <c r="T7" s="394"/>
      <c r="U7" s="394"/>
      <c r="V7" s="394"/>
      <c r="W7" s="394"/>
      <c r="X7" s="394"/>
      <c r="Y7" s="394"/>
      <c r="Z7" s="394"/>
      <c r="AA7" s="394"/>
      <c r="AB7" s="394"/>
      <c r="AC7" s="394"/>
      <c r="AD7" s="394"/>
      <c r="AE7" s="394"/>
      <c r="AF7" s="394"/>
      <c r="AG7" s="394"/>
      <c r="AH7" s="394"/>
    </row>
    <row r="8" spans="1:34" s="392" customFormat="1" ht="22.5" x14ac:dyDescent="0.2">
      <c r="A8" s="489" t="s">
        <v>7</v>
      </c>
      <c r="B8" s="493">
        <f>F62</f>
        <v>2800</v>
      </c>
      <c r="C8" s="404"/>
      <c r="D8" s="391"/>
      <c r="E8" s="391"/>
      <c r="F8" s="391"/>
      <c r="G8" s="391"/>
      <c r="M8" s="393"/>
      <c r="N8" s="394"/>
      <c r="O8" s="394"/>
      <c r="P8" s="394"/>
      <c r="Q8" s="394"/>
      <c r="R8" s="394"/>
      <c r="S8" s="394"/>
      <c r="T8" s="394"/>
      <c r="U8" s="394"/>
      <c r="V8" s="394"/>
      <c r="W8" s="394"/>
      <c r="X8" s="394"/>
      <c r="Y8" s="394"/>
      <c r="Z8" s="394"/>
      <c r="AA8" s="394"/>
      <c r="AB8" s="394"/>
      <c r="AC8" s="394"/>
      <c r="AD8" s="394"/>
      <c r="AE8" s="394"/>
      <c r="AF8" s="394"/>
      <c r="AG8" s="394"/>
      <c r="AH8" s="394"/>
    </row>
    <row r="9" spans="1:34" s="392" customFormat="1" ht="23.25" x14ac:dyDescent="0.25">
      <c r="A9" s="489" t="s">
        <v>8</v>
      </c>
      <c r="B9" s="494">
        <v>0</v>
      </c>
      <c r="C9" s="406"/>
      <c r="D9" s="391"/>
      <c r="E9" s="391"/>
      <c r="F9" s="391"/>
      <c r="G9" s="391"/>
      <c r="M9" s="393"/>
      <c r="N9" s="394"/>
      <c r="O9" s="394"/>
      <c r="P9" s="394"/>
      <c r="Q9" s="394"/>
      <c r="R9" s="394"/>
      <c r="S9" s="394"/>
      <c r="T9" s="394"/>
      <c r="U9" s="394"/>
      <c r="V9" s="394"/>
      <c r="W9" s="394"/>
      <c r="X9" s="394"/>
      <c r="Y9" s="394"/>
      <c r="Z9" s="394"/>
      <c r="AA9" s="394"/>
      <c r="AB9" s="394"/>
      <c r="AC9" s="394"/>
      <c r="AD9" s="394"/>
      <c r="AE9" s="394"/>
      <c r="AF9" s="394"/>
      <c r="AG9" s="394"/>
      <c r="AH9" s="394"/>
    </row>
    <row r="10" spans="1:34" x14ac:dyDescent="0.25">
      <c r="N10" s="409"/>
      <c r="O10" s="409"/>
    </row>
    <row r="11" spans="1:34" ht="15.75" thickBot="1" x14ac:dyDescent="0.3">
      <c r="N11" s="409"/>
      <c r="O11" s="409"/>
    </row>
    <row r="12" spans="1:34" x14ac:dyDescent="0.25">
      <c r="D12" s="411"/>
      <c r="E12" s="412" t="s">
        <v>12</v>
      </c>
      <c r="F12" s="412" t="s">
        <v>315</v>
      </c>
      <c r="G12" s="412"/>
      <c r="H12" s="412"/>
      <c r="I12" s="412"/>
      <c r="J12" s="412"/>
      <c r="K12" s="414"/>
      <c r="N12" s="409"/>
      <c r="O12" s="409"/>
    </row>
    <row r="13" spans="1:34" x14ac:dyDescent="0.25">
      <c r="D13" s="415"/>
      <c r="E13" s="416"/>
      <c r="F13" s="416"/>
      <c r="G13" s="416"/>
      <c r="H13" s="416"/>
      <c r="I13" s="416"/>
      <c r="J13" s="416"/>
      <c r="K13" s="417"/>
      <c r="N13" s="409"/>
      <c r="O13" s="409"/>
    </row>
    <row r="14" spans="1:34" x14ac:dyDescent="0.25">
      <c r="D14" s="415"/>
      <c r="E14" s="416"/>
      <c r="F14" s="418" t="s">
        <v>217</v>
      </c>
      <c r="G14" s="661" t="s">
        <v>218</v>
      </c>
      <c r="H14" s="661"/>
      <c r="I14" s="661"/>
      <c r="J14" s="661"/>
      <c r="K14" s="417"/>
      <c r="N14" s="409"/>
      <c r="O14" s="409"/>
    </row>
    <row r="15" spans="1:34" ht="15" customHeight="1" x14ac:dyDescent="0.25">
      <c r="A15" s="662" t="s">
        <v>219</v>
      </c>
      <c r="B15" s="662"/>
      <c r="D15" s="415"/>
      <c r="E15" s="419" t="s">
        <v>220</v>
      </c>
      <c r="F15" s="450" t="s">
        <v>299</v>
      </c>
      <c r="G15" s="663" t="s">
        <v>302</v>
      </c>
      <c r="H15" s="664"/>
      <c r="I15" s="664"/>
      <c r="J15" s="664"/>
      <c r="K15" s="417"/>
      <c r="N15" s="409"/>
      <c r="O15" s="409"/>
      <c r="P15" s="410" t="s">
        <v>221</v>
      </c>
    </row>
    <row r="16" spans="1:34" x14ac:dyDescent="0.25">
      <c r="A16" s="662"/>
      <c r="B16" s="662"/>
      <c r="D16" s="415"/>
      <c r="E16" s="416" t="s">
        <v>222</v>
      </c>
      <c r="F16" s="450" t="s">
        <v>299</v>
      </c>
      <c r="G16" s="665"/>
      <c r="H16" s="666"/>
      <c r="I16" s="666"/>
      <c r="J16" s="666"/>
      <c r="K16" s="417"/>
      <c r="N16" s="409"/>
      <c r="O16" s="409"/>
    </row>
    <row r="17" spans="1:33" x14ac:dyDescent="0.25">
      <c r="A17" s="662"/>
      <c r="B17" s="662"/>
      <c r="D17" s="415"/>
      <c r="E17" s="416" t="s">
        <v>109</v>
      </c>
      <c r="F17" s="450" t="s">
        <v>301</v>
      </c>
      <c r="G17" s="665"/>
      <c r="H17" s="666"/>
      <c r="I17" s="666"/>
      <c r="J17" s="666"/>
      <c r="K17" s="417"/>
      <c r="N17" s="409"/>
      <c r="O17" s="409"/>
    </row>
    <row r="18" spans="1:33" ht="45" x14ac:dyDescent="0.25">
      <c r="A18" s="662"/>
      <c r="B18" s="662"/>
      <c r="D18" s="415"/>
      <c r="E18" s="420" t="s">
        <v>223</v>
      </c>
      <c r="F18" s="421" t="s">
        <v>247</v>
      </c>
      <c r="G18" s="667" t="s">
        <v>300</v>
      </c>
      <c r="H18" s="666"/>
      <c r="I18" s="666"/>
      <c r="J18" s="666"/>
      <c r="K18" s="417"/>
      <c r="N18" s="704" t="s">
        <v>224</v>
      </c>
      <c r="O18" s="704"/>
      <c r="P18" s="704"/>
      <c r="Q18" s="704"/>
      <c r="R18" s="704"/>
      <c r="U18" s="700" t="s">
        <v>225</v>
      </c>
      <c r="V18" s="701"/>
      <c r="W18" s="701"/>
      <c r="X18" s="701"/>
      <c r="Y18" s="701"/>
      <c r="Z18" s="701"/>
      <c r="AA18" s="701"/>
      <c r="AB18" s="701"/>
      <c r="AC18" s="701"/>
      <c r="AD18" s="701"/>
      <c r="AE18" s="701"/>
      <c r="AF18" s="701"/>
      <c r="AG18" s="702"/>
    </row>
    <row r="19" spans="1:33" x14ac:dyDescent="0.25">
      <c r="A19" s="662"/>
      <c r="B19" s="662"/>
      <c r="D19" s="415"/>
      <c r="E19" s="416"/>
      <c r="F19" s="416"/>
      <c r="G19" s="661" t="s">
        <v>218</v>
      </c>
      <c r="H19" s="661"/>
      <c r="I19" s="661"/>
      <c r="J19" s="661"/>
      <c r="K19" s="417"/>
      <c r="N19" s="498"/>
      <c r="O19" s="498" t="s">
        <v>226</v>
      </c>
      <c r="P19" s="498"/>
      <c r="Q19" s="498" t="s">
        <v>227</v>
      </c>
      <c r="R19" s="498"/>
      <c r="U19" s="498" t="s">
        <v>228</v>
      </c>
      <c r="V19" s="499">
        <v>0</v>
      </c>
      <c r="W19" s="499">
        <v>0.1</v>
      </c>
      <c r="X19" s="499">
        <v>0.2</v>
      </c>
      <c r="Y19" s="499">
        <v>0.3</v>
      </c>
      <c r="Z19" s="499">
        <v>0.4</v>
      </c>
      <c r="AA19" s="499">
        <v>0.5</v>
      </c>
      <c r="AB19" s="499">
        <v>0.6</v>
      </c>
      <c r="AC19" s="499">
        <v>0.7</v>
      </c>
      <c r="AD19" s="499">
        <v>0.8</v>
      </c>
      <c r="AE19" s="499">
        <v>0.9</v>
      </c>
      <c r="AF19" s="499">
        <v>1</v>
      </c>
      <c r="AG19" s="498"/>
    </row>
    <row r="20" spans="1:33" x14ac:dyDescent="0.25">
      <c r="D20" s="415"/>
      <c r="E20" s="416" t="s">
        <v>229</v>
      </c>
      <c r="F20" s="424">
        <v>100</v>
      </c>
      <c r="G20" s="663" t="s">
        <v>303</v>
      </c>
      <c r="H20" s="688"/>
      <c r="I20" s="688"/>
      <c r="J20" s="688"/>
      <c r="K20" s="417"/>
      <c r="N20" s="498"/>
      <c r="O20" s="498" t="s">
        <v>230</v>
      </c>
      <c r="P20" s="498" t="s">
        <v>231</v>
      </c>
      <c r="Q20" s="498" t="s">
        <v>232</v>
      </c>
      <c r="R20" s="498" t="s">
        <v>231</v>
      </c>
      <c r="U20" s="498" t="s">
        <v>233</v>
      </c>
      <c r="V20" s="498">
        <v>2</v>
      </c>
      <c r="W20" s="498">
        <v>3</v>
      </c>
      <c r="X20" s="498">
        <v>4</v>
      </c>
      <c r="Y20" s="498">
        <v>5</v>
      </c>
      <c r="Z20" s="498">
        <v>6</v>
      </c>
      <c r="AA20" s="498">
        <v>7</v>
      </c>
      <c r="AB20" s="498">
        <v>8</v>
      </c>
      <c r="AC20" s="498">
        <v>9</v>
      </c>
      <c r="AD20" s="498">
        <v>10</v>
      </c>
      <c r="AE20" s="498">
        <v>11</v>
      </c>
      <c r="AF20" s="498">
        <v>12</v>
      </c>
      <c r="AG20" s="498"/>
    </row>
    <row r="21" spans="1:33" ht="15" customHeight="1" x14ac:dyDescent="0.25">
      <c r="A21" s="672" t="s">
        <v>234</v>
      </c>
      <c r="B21" s="672"/>
      <c r="D21" s="415"/>
      <c r="E21" s="416" t="s">
        <v>235</v>
      </c>
      <c r="F21" s="424">
        <v>478</v>
      </c>
      <c r="G21" s="674"/>
      <c r="H21" s="689"/>
      <c r="I21" s="689"/>
      <c r="J21" s="689"/>
      <c r="K21" s="417"/>
      <c r="N21" s="498" t="s">
        <v>236</v>
      </c>
      <c r="O21" s="501">
        <v>1</v>
      </c>
      <c r="P21" s="501">
        <v>0</v>
      </c>
      <c r="Q21" s="501">
        <v>1</v>
      </c>
      <c r="R21" s="501">
        <v>0</v>
      </c>
      <c r="U21" s="498" t="s">
        <v>237</v>
      </c>
      <c r="V21" s="498"/>
      <c r="W21" s="498"/>
      <c r="X21" s="498"/>
      <c r="Y21" s="498"/>
      <c r="Z21" s="498"/>
      <c r="AA21" s="498"/>
      <c r="AB21" s="498"/>
      <c r="AC21" s="498"/>
      <c r="AD21" s="498"/>
      <c r="AE21" s="498"/>
      <c r="AF21" s="498"/>
      <c r="AG21" s="498"/>
    </row>
    <row r="22" spans="1:33" x14ac:dyDescent="0.25">
      <c r="A22" s="672"/>
      <c r="B22" s="672"/>
      <c r="D22" s="415"/>
      <c r="E22" s="416" t="s">
        <v>238</v>
      </c>
      <c r="F22" s="424"/>
      <c r="G22" s="665"/>
      <c r="H22" s="666"/>
      <c r="I22" s="666"/>
      <c r="J22" s="666"/>
      <c r="K22" s="417"/>
      <c r="N22" s="498" t="s">
        <v>239</v>
      </c>
      <c r="O22" s="501">
        <v>0.74</v>
      </c>
      <c r="P22" s="501">
        <v>0.26</v>
      </c>
      <c r="Q22" s="501">
        <v>0.74</v>
      </c>
      <c r="R22" s="501">
        <v>0.26</v>
      </c>
      <c r="U22" s="502">
        <v>0</v>
      </c>
      <c r="V22" s="503">
        <f>V23</f>
        <v>0</v>
      </c>
      <c r="W22" s="503">
        <f t="shared" ref="W22:AF22" si="0">W23</f>
        <v>0.11</v>
      </c>
      <c r="X22" s="503">
        <f t="shared" si="0"/>
        <v>0.2</v>
      </c>
      <c r="Y22" s="503">
        <f t="shared" si="0"/>
        <v>0.22</v>
      </c>
      <c r="Z22" s="503">
        <f t="shared" si="0"/>
        <v>0.22</v>
      </c>
      <c r="AA22" s="503">
        <f t="shared" si="0"/>
        <v>0.2</v>
      </c>
      <c r="AB22" s="503">
        <f t="shared" si="0"/>
        <v>0.16</v>
      </c>
      <c r="AC22" s="503">
        <f t="shared" si="0"/>
        <v>0.11</v>
      </c>
      <c r="AD22" s="503">
        <f t="shared" si="0"/>
        <v>0.08</v>
      </c>
      <c r="AE22" s="503">
        <f t="shared" si="0"/>
        <v>0.03</v>
      </c>
      <c r="AF22" s="503">
        <f t="shared" si="0"/>
        <v>0</v>
      </c>
      <c r="AG22" s="498" t="s">
        <v>240</v>
      </c>
    </row>
    <row r="23" spans="1:33" x14ac:dyDescent="0.25">
      <c r="A23" s="672"/>
      <c r="B23" s="672"/>
      <c r="D23" s="415"/>
      <c r="E23" s="416" t="s">
        <v>241</v>
      </c>
      <c r="F23" s="424">
        <v>100</v>
      </c>
      <c r="G23" s="665"/>
      <c r="H23" s="666"/>
      <c r="I23" s="666"/>
      <c r="J23" s="666"/>
      <c r="K23" s="417"/>
      <c r="N23" s="498" t="s">
        <v>242</v>
      </c>
      <c r="O23" s="501">
        <v>0.74</v>
      </c>
      <c r="P23" s="501">
        <v>0.26</v>
      </c>
      <c r="Q23" s="501">
        <v>0.74</v>
      </c>
      <c r="R23" s="501">
        <v>0.26</v>
      </c>
      <c r="S23" s="410" t="s">
        <v>243</v>
      </c>
      <c r="U23" s="502">
        <v>1</v>
      </c>
      <c r="V23" s="503">
        <v>0</v>
      </c>
      <c r="W23" s="503">
        <v>0.11</v>
      </c>
      <c r="X23" s="503">
        <v>0.2</v>
      </c>
      <c r="Y23" s="503">
        <v>0.22</v>
      </c>
      <c r="Z23" s="503">
        <v>0.22</v>
      </c>
      <c r="AA23" s="503">
        <v>0.2</v>
      </c>
      <c r="AB23" s="503">
        <v>0.16</v>
      </c>
      <c r="AC23" s="503">
        <v>0.11</v>
      </c>
      <c r="AD23" s="503">
        <v>0.08</v>
      </c>
      <c r="AE23" s="503">
        <v>0.03</v>
      </c>
      <c r="AF23" s="503">
        <v>0</v>
      </c>
      <c r="AG23" s="498"/>
    </row>
    <row r="24" spans="1:33" x14ac:dyDescent="0.25">
      <c r="A24" s="672"/>
      <c r="B24" s="672"/>
      <c r="D24" s="415"/>
      <c r="E24" s="416" t="s">
        <v>152</v>
      </c>
      <c r="F24" s="428">
        <v>0.95399999999999996</v>
      </c>
      <c r="G24" s="665"/>
      <c r="H24" s="666"/>
      <c r="I24" s="666"/>
      <c r="J24" s="666"/>
      <c r="K24" s="417"/>
      <c r="N24" s="498" t="s">
        <v>244</v>
      </c>
      <c r="O24" s="501">
        <v>0.3</v>
      </c>
      <c r="P24" s="501">
        <v>0.7</v>
      </c>
      <c r="Q24" s="501">
        <v>0.3</v>
      </c>
      <c r="R24" s="501">
        <v>0.7</v>
      </c>
      <c r="U24" s="502">
        <v>2</v>
      </c>
      <c r="V24" s="503">
        <f t="shared" ref="V24:AF24" si="1">(V22+V25)/2</f>
        <v>0</v>
      </c>
      <c r="W24" s="503">
        <f t="shared" si="1"/>
        <v>7.0000000000000007E-2</v>
      </c>
      <c r="X24" s="503">
        <f t="shared" si="1"/>
        <v>0.125</v>
      </c>
      <c r="Y24" s="503">
        <f t="shared" si="1"/>
        <v>0.14500000000000002</v>
      </c>
      <c r="Z24" s="503">
        <f t="shared" si="1"/>
        <v>0.15</v>
      </c>
      <c r="AA24" s="503">
        <f t="shared" si="1"/>
        <v>0.14000000000000001</v>
      </c>
      <c r="AB24" s="503">
        <f t="shared" si="1"/>
        <v>0.115</v>
      </c>
      <c r="AC24" s="503">
        <f t="shared" si="1"/>
        <v>8.4999999999999992E-2</v>
      </c>
      <c r="AD24" s="503">
        <f t="shared" si="1"/>
        <v>0.06</v>
      </c>
      <c r="AE24" s="503">
        <f t="shared" si="1"/>
        <v>2.5000000000000001E-2</v>
      </c>
      <c r="AF24" s="503">
        <f t="shared" si="1"/>
        <v>0</v>
      </c>
      <c r="AG24" s="498" t="s">
        <v>245</v>
      </c>
    </row>
    <row r="25" spans="1:33" ht="15" customHeight="1" x14ac:dyDescent="0.25">
      <c r="A25" s="672"/>
      <c r="B25" s="672"/>
      <c r="C25" s="429"/>
      <c r="D25" s="415"/>
      <c r="E25" s="416" t="s">
        <v>246</v>
      </c>
      <c r="F25" s="430"/>
      <c r="G25" s="665"/>
      <c r="H25" s="666"/>
      <c r="I25" s="666"/>
      <c r="J25" s="666"/>
      <c r="K25" s="417"/>
      <c r="N25" s="498" t="s">
        <v>247</v>
      </c>
      <c r="O25" s="501">
        <f>(0.82-0.26)/(0.4-0)</f>
        <v>1.3999999999999997</v>
      </c>
      <c r="P25" s="501">
        <v>0.26</v>
      </c>
      <c r="Q25" s="501">
        <v>0.3</v>
      </c>
      <c r="R25" s="501">
        <v>0.7</v>
      </c>
      <c r="U25" s="502">
        <v>3</v>
      </c>
      <c r="V25" s="503">
        <v>0</v>
      </c>
      <c r="W25" s="503">
        <v>0.03</v>
      </c>
      <c r="X25" s="503">
        <v>0.05</v>
      </c>
      <c r="Y25" s="503">
        <v>7.0000000000000007E-2</v>
      </c>
      <c r="Z25" s="503">
        <v>0.08</v>
      </c>
      <c r="AA25" s="503">
        <v>0.08</v>
      </c>
      <c r="AB25" s="503">
        <v>7.0000000000000007E-2</v>
      </c>
      <c r="AC25" s="503">
        <v>0.06</v>
      </c>
      <c r="AD25" s="503">
        <v>0.04</v>
      </c>
      <c r="AE25" s="503">
        <v>0.02</v>
      </c>
      <c r="AF25" s="503">
        <v>0</v>
      </c>
      <c r="AG25" s="498"/>
    </row>
    <row r="26" spans="1:33" x14ac:dyDescent="0.25">
      <c r="A26" s="431"/>
      <c r="B26" s="431"/>
      <c r="D26" s="415"/>
      <c r="E26" s="416" t="s">
        <v>248</v>
      </c>
      <c r="F26" s="432"/>
      <c r="G26" s="665"/>
      <c r="H26" s="666"/>
      <c r="I26" s="666"/>
      <c r="J26" s="666"/>
      <c r="K26" s="417"/>
      <c r="N26" s="498" t="s">
        <v>249</v>
      </c>
      <c r="O26" s="501">
        <f>(0.5-0.26)/(0.4-0)</f>
        <v>0.6</v>
      </c>
      <c r="P26" s="501">
        <v>0.26</v>
      </c>
      <c r="Q26" s="501">
        <f>(1-0.5)/(1-0.4)</f>
        <v>0.83333333333333337</v>
      </c>
      <c r="R26" s="501">
        <f>0.5-Q26*0.4</f>
        <v>0.16666666666666663</v>
      </c>
      <c r="U26" s="502">
        <v>4</v>
      </c>
      <c r="V26" s="503">
        <f>(V25+V27)/2</f>
        <v>0</v>
      </c>
      <c r="W26" s="503">
        <f t="shared" ref="W26:AF26" si="2">(W25+W27)/2</f>
        <v>0.02</v>
      </c>
      <c r="X26" s="503">
        <f t="shared" si="2"/>
        <v>3.5000000000000003E-2</v>
      </c>
      <c r="Y26" s="503">
        <f t="shared" si="2"/>
        <v>0.05</v>
      </c>
      <c r="Z26" s="503">
        <f t="shared" si="2"/>
        <v>5.5E-2</v>
      </c>
      <c r="AA26" s="503">
        <f t="shared" si="2"/>
        <v>5.5E-2</v>
      </c>
      <c r="AB26" s="503">
        <f t="shared" si="2"/>
        <v>0.05</v>
      </c>
      <c r="AC26" s="503">
        <f t="shared" si="2"/>
        <v>4.4999999999999998E-2</v>
      </c>
      <c r="AD26" s="503">
        <f t="shared" si="2"/>
        <v>0.03</v>
      </c>
      <c r="AE26" s="503">
        <f t="shared" si="2"/>
        <v>1.4999999999999999E-2</v>
      </c>
      <c r="AF26" s="503">
        <f t="shared" si="2"/>
        <v>0</v>
      </c>
      <c r="AG26" s="498" t="s">
        <v>245</v>
      </c>
    </row>
    <row r="27" spans="1:33" ht="15" customHeight="1" x14ac:dyDescent="0.25">
      <c r="A27" s="662" t="s">
        <v>250</v>
      </c>
      <c r="B27" s="662"/>
      <c r="D27" s="415"/>
      <c r="E27" s="416" t="s">
        <v>251</v>
      </c>
      <c r="F27" s="433">
        <v>87.8</v>
      </c>
      <c r="G27" s="665"/>
      <c r="H27" s="666"/>
      <c r="I27" s="666"/>
      <c r="J27" s="666"/>
      <c r="K27" s="417"/>
      <c r="N27" s="498" t="s">
        <v>252</v>
      </c>
      <c r="O27" s="498">
        <f>(0.42-0.1)/(0.4-0)</f>
        <v>0.79999999999999982</v>
      </c>
      <c r="P27" s="501">
        <v>0.1</v>
      </c>
      <c r="Q27" s="501">
        <f>(1-0.42)/(1-0.4)</f>
        <v>0.96666666666666679</v>
      </c>
      <c r="R27" s="501">
        <f>0.42-(Q27*0.4)</f>
        <v>3.333333333333327E-2</v>
      </c>
      <c r="U27" s="502">
        <v>5</v>
      </c>
      <c r="V27" s="503">
        <v>0</v>
      </c>
      <c r="W27" s="503">
        <v>0.01</v>
      </c>
      <c r="X27" s="503">
        <v>0.02</v>
      </c>
      <c r="Y27" s="503">
        <v>0.03</v>
      </c>
      <c r="Z27" s="503">
        <v>0.03</v>
      </c>
      <c r="AA27" s="503">
        <v>0.03</v>
      </c>
      <c r="AB27" s="503">
        <v>0.03</v>
      </c>
      <c r="AC27" s="503">
        <v>0.03</v>
      </c>
      <c r="AD27" s="503">
        <v>0.02</v>
      </c>
      <c r="AE27" s="503">
        <v>0.01</v>
      </c>
      <c r="AF27" s="503">
        <v>0</v>
      </c>
      <c r="AG27" s="498"/>
    </row>
    <row r="28" spans="1:33" x14ac:dyDescent="0.25">
      <c r="A28" s="662"/>
      <c r="B28" s="662"/>
      <c r="D28" s="415"/>
      <c r="E28" s="416" t="s">
        <v>253</v>
      </c>
      <c r="F28" s="488">
        <f>F21*2</f>
        <v>956</v>
      </c>
      <c r="G28" s="667" t="s">
        <v>304</v>
      </c>
      <c r="H28" s="666"/>
      <c r="I28" s="666"/>
      <c r="J28" s="666"/>
      <c r="K28" s="417"/>
      <c r="U28" s="502">
        <v>7.5</v>
      </c>
      <c r="V28" s="503">
        <f>(V27+V29)/2</f>
        <v>0</v>
      </c>
      <c r="W28" s="503">
        <f t="shared" ref="W28:AF28" si="3">(W27+W29)/2</f>
        <v>5.0000000000000001E-3</v>
      </c>
      <c r="X28" s="503">
        <f t="shared" si="3"/>
        <v>0.01</v>
      </c>
      <c r="Y28" s="503">
        <f t="shared" si="3"/>
        <v>1.4999999999999999E-2</v>
      </c>
      <c r="Z28" s="503">
        <f t="shared" si="3"/>
        <v>1.4999999999999999E-2</v>
      </c>
      <c r="AA28" s="503">
        <f t="shared" si="3"/>
        <v>1.4999999999999999E-2</v>
      </c>
      <c r="AB28" s="503">
        <f t="shared" si="3"/>
        <v>1.4999999999999999E-2</v>
      </c>
      <c r="AC28" s="503">
        <f t="shared" si="3"/>
        <v>1.4999999999999999E-2</v>
      </c>
      <c r="AD28" s="503">
        <f t="shared" si="3"/>
        <v>0.01</v>
      </c>
      <c r="AE28" s="503">
        <f t="shared" si="3"/>
        <v>5.0000000000000001E-3</v>
      </c>
      <c r="AF28" s="503">
        <f t="shared" si="3"/>
        <v>0</v>
      </c>
      <c r="AG28" s="498" t="s">
        <v>245</v>
      </c>
    </row>
    <row r="29" spans="1:33" x14ac:dyDescent="0.25">
      <c r="A29" s="662"/>
      <c r="B29" s="662"/>
      <c r="D29" s="415"/>
      <c r="E29" s="416" t="s">
        <v>254</v>
      </c>
      <c r="F29" s="424">
        <v>100</v>
      </c>
      <c r="G29" s="674" t="s">
        <v>305</v>
      </c>
      <c r="H29" s="675"/>
      <c r="I29" s="675"/>
      <c r="J29" s="675"/>
      <c r="K29" s="434"/>
      <c r="N29" s="410" t="s">
        <v>255</v>
      </c>
      <c r="U29" s="502">
        <v>10</v>
      </c>
      <c r="V29" s="503">
        <v>0</v>
      </c>
      <c r="W29" s="503">
        <v>0</v>
      </c>
      <c r="X29" s="503">
        <v>0</v>
      </c>
      <c r="Y29" s="503">
        <v>0</v>
      </c>
      <c r="Z29" s="503">
        <v>0</v>
      </c>
      <c r="AA29" s="503">
        <v>0</v>
      </c>
      <c r="AB29" s="503">
        <v>0</v>
      </c>
      <c r="AC29" s="503">
        <v>0</v>
      </c>
      <c r="AD29" s="503">
        <v>0</v>
      </c>
      <c r="AE29" s="503">
        <v>0</v>
      </c>
      <c r="AF29" s="503">
        <v>0</v>
      </c>
      <c r="AG29" s="498"/>
    </row>
    <row r="30" spans="1:33" x14ac:dyDescent="0.25">
      <c r="A30" s="662"/>
      <c r="B30" s="662"/>
      <c r="D30" s="415"/>
      <c r="E30" s="416"/>
      <c r="F30" s="416"/>
      <c r="G30" s="416"/>
      <c r="H30" s="420"/>
      <c r="I30" s="420"/>
      <c r="J30" s="420"/>
      <c r="K30" s="434"/>
      <c r="U30" s="435"/>
      <c r="V30" s="436"/>
      <c r="W30" s="436"/>
    </row>
    <row r="31" spans="1:33" x14ac:dyDescent="0.25">
      <c r="A31" s="662"/>
      <c r="B31" s="662"/>
      <c r="D31" s="415"/>
      <c r="E31" s="416" t="s">
        <v>256</v>
      </c>
      <c r="F31" s="509">
        <f>F21/F27</f>
        <v>5.4441913439635536</v>
      </c>
      <c r="G31" s="416" t="s">
        <v>257</v>
      </c>
      <c r="H31" s="420"/>
      <c r="I31" s="420"/>
      <c r="J31" s="420"/>
      <c r="K31" s="434"/>
      <c r="U31" s="435"/>
      <c r="V31" s="436"/>
      <c r="W31" s="436"/>
    </row>
    <row r="32" spans="1:33" x14ac:dyDescent="0.25">
      <c r="A32" s="662"/>
      <c r="B32" s="662"/>
      <c r="D32" s="415"/>
      <c r="E32" s="420" t="s">
        <v>258</v>
      </c>
      <c r="F32" s="510">
        <f>O33/O34</f>
        <v>5.4441913439635536</v>
      </c>
      <c r="G32" s="676" t="s">
        <v>259</v>
      </c>
      <c r="H32" s="677"/>
      <c r="I32" s="677"/>
      <c r="J32" s="677"/>
      <c r="K32" s="434"/>
      <c r="W32" s="439"/>
      <c r="Z32" s="440"/>
    </row>
    <row r="33" spans="1:26" ht="30" x14ac:dyDescent="0.25">
      <c r="A33" s="662"/>
      <c r="B33" s="662"/>
      <c r="D33" s="415"/>
      <c r="E33" s="441" t="s">
        <v>260</v>
      </c>
      <c r="F33" s="580">
        <f>(VLOOKUP(F18,N21:R27, 4, FALSE)+$Z$34)/F32</f>
        <v>5.5104602510460246E-2</v>
      </c>
      <c r="G33" s="708" t="s">
        <v>261</v>
      </c>
      <c r="H33" s="679"/>
      <c r="I33" s="679"/>
      <c r="J33" s="679"/>
      <c r="K33" s="434"/>
      <c r="N33" s="498" t="s">
        <v>262</v>
      </c>
      <c r="O33" s="502">
        <f>F21*(1+0.0004*(F23-F29))</f>
        <v>478</v>
      </c>
      <c r="P33" s="705" t="s">
        <v>263</v>
      </c>
      <c r="Q33" s="706"/>
      <c r="R33" s="706"/>
      <c r="S33" s="706"/>
      <c r="T33" s="706"/>
      <c r="U33" s="707"/>
      <c r="Y33" s="442" t="s">
        <v>237</v>
      </c>
      <c r="Z33" s="502">
        <f>IFERROR(F28/F21, 0)</f>
        <v>2</v>
      </c>
    </row>
    <row r="34" spans="1:26" x14ac:dyDescent="0.25">
      <c r="D34" s="415"/>
      <c r="E34" s="416"/>
      <c r="F34" s="416"/>
      <c r="G34" s="416"/>
      <c r="H34" s="416"/>
      <c r="I34" s="420"/>
      <c r="J34" s="420"/>
      <c r="K34" s="434"/>
      <c r="N34" s="498" t="s">
        <v>264</v>
      </c>
      <c r="O34" s="502">
        <f>F27*(1-0.005*(F23-F29))</f>
        <v>87.8</v>
      </c>
      <c r="P34" s="705" t="s">
        <v>265</v>
      </c>
      <c r="Q34" s="706"/>
      <c r="R34" s="706"/>
      <c r="S34" s="706"/>
      <c r="T34" s="706"/>
      <c r="U34" s="707"/>
      <c r="Y34" s="442" t="s">
        <v>266</v>
      </c>
      <c r="Z34" s="503">
        <f>IF($F$18=$N$23, VLOOKUP($Z$33, $U$22:$AF$29, 9, TRUE), 0)</f>
        <v>0</v>
      </c>
    </row>
    <row r="35" spans="1:26" ht="15" customHeight="1" x14ac:dyDescent="0.25">
      <c r="A35" s="683" t="s">
        <v>267</v>
      </c>
      <c r="B35" s="683"/>
      <c r="D35" s="415"/>
      <c r="E35" s="416" t="s">
        <v>268</v>
      </c>
      <c r="F35" s="443">
        <v>6136</v>
      </c>
      <c r="G35" s="667" t="s">
        <v>407</v>
      </c>
      <c r="H35" s="666"/>
      <c r="I35" s="666"/>
      <c r="J35" s="666"/>
      <c r="K35" s="417"/>
    </row>
    <row r="36" spans="1:26" x14ac:dyDescent="0.25">
      <c r="A36" s="683"/>
      <c r="B36" s="683"/>
      <c r="D36" s="415"/>
      <c r="E36" s="416"/>
      <c r="F36" s="416"/>
      <c r="G36" s="416"/>
      <c r="H36" s="416"/>
      <c r="I36" s="416"/>
      <c r="J36" s="416"/>
      <c r="K36" s="417"/>
      <c r="X36" s="436"/>
    </row>
    <row r="37" spans="1:26" x14ac:dyDescent="0.25">
      <c r="A37" s="683"/>
      <c r="B37" s="683"/>
      <c r="D37" s="415"/>
      <c r="E37" s="416" t="s">
        <v>316</v>
      </c>
      <c r="F37" s="416"/>
      <c r="G37" s="416"/>
      <c r="H37" s="416"/>
      <c r="I37" s="416"/>
      <c r="J37" s="416"/>
      <c r="K37" s="417"/>
    </row>
    <row r="38" spans="1:26" x14ac:dyDescent="0.25">
      <c r="A38" s="683"/>
      <c r="B38" s="683"/>
      <c r="D38" s="415"/>
      <c r="E38" s="512" t="s">
        <v>317</v>
      </c>
      <c r="F38" s="526" t="s">
        <v>327</v>
      </c>
      <c r="G38" s="526" t="s">
        <v>328</v>
      </c>
      <c r="H38" s="512"/>
      <c r="I38" s="513"/>
      <c r="J38" s="513"/>
      <c r="K38" s="417"/>
    </row>
    <row r="39" spans="1:26" x14ac:dyDescent="0.25">
      <c r="A39" s="683"/>
      <c r="B39" s="683"/>
      <c r="D39" s="415"/>
      <c r="E39" s="512" t="s">
        <v>318</v>
      </c>
      <c r="F39" s="512" t="s">
        <v>307</v>
      </c>
      <c r="G39" s="512" t="s">
        <v>329</v>
      </c>
      <c r="H39" s="512"/>
      <c r="I39" s="512"/>
      <c r="J39" s="512"/>
      <c r="K39" s="417"/>
    </row>
    <row r="40" spans="1:26" x14ac:dyDescent="0.25">
      <c r="A40" s="673" t="s">
        <v>280</v>
      </c>
      <c r="B40" s="673"/>
      <c r="D40" s="415"/>
      <c r="E40" s="512" t="s">
        <v>319</v>
      </c>
      <c r="F40" s="514">
        <v>1</v>
      </c>
      <c r="G40" s="514">
        <v>3</v>
      </c>
      <c r="H40" s="514"/>
      <c r="I40" s="514"/>
      <c r="J40" s="514"/>
      <c r="K40" s="417"/>
    </row>
    <row r="41" spans="1:26" ht="15" customHeight="1" x14ac:dyDescent="0.25">
      <c r="A41" s="431"/>
      <c r="B41" s="431"/>
      <c r="D41" s="415"/>
      <c r="E41" s="513" t="s">
        <v>320</v>
      </c>
      <c r="F41" s="527" t="s">
        <v>124</v>
      </c>
      <c r="G41" s="515">
        <f>5*60</f>
        <v>300</v>
      </c>
      <c r="H41" s="513"/>
      <c r="I41" s="513"/>
      <c r="J41" s="513"/>
      <c r="K41" s="417"/>
    </row>
    <row r="42" spans="1:26" x14ac:dyDescent="0.25">
      <c r="B42" s="431"/>
      <c r="D42" s="415"/>
      <c r="E42" s="513" t="s">
        <v>321</v>
      </c>
      <c r="F42" s="527" t="s">
        <v>124</v>
      </c>
      <c r="G42" s="515">
        <v>10</v>
      </c>
      <c r="H42" s="513"/>
      <c r="I42" s="513"/>
      <c r="J42" s="513"/>
      <c r="K42" s="417"/>
    </row>
    <row r="43" spans="1:26" x14ac:dyDescent="0.25">
      <c r="D43" s="415"/>
      <c r="E43" s="516" t="s">
        <v>322</v>
      </c>
      <c r="F43" s="517">
        <v>10</v>
      </c>
      <c r="G43" s="517">
        <v>90</v>
      </c>
      <c r="H43" s="517"/>
      <c r="I43" s="517"/>
      <c r="J43" s="517"/>
      <c r="K43" s="417"/>
    </row>
    <row r="44" spans="1:26" x14ac:dyDescent="0.25">
      <c r="D44" s="415"/>
      <c r="E44" s="518" t="s">
        <v>323</v>
      </c>
      <c r="F44" s="519">
        <f>IF(F39="Timer Drain", (F42/F41)*F43, F43)</f>
        <v>10</v>
      </c>
      <c r="G44" s="519">
        <f>IF(G39="Timer Drain", (G42/G41)*G43, G43)</f>
        <v>3</v>
      </c>
      <c r="H44" s="519">
        <f t="shared" ref="H44:J44" si="4">IF(H39="Timer Drain", (H42/H41)*H43, H43)</f>
        <v>0</v>
      </c>
      <c r="I44" s="519">
        <f t="shared" si="4"/>
        <v>0</v>
      </c>
      <c r="J44" s="519">
        <f t="shared" si="4"/>
        <v>0</v>
      </c>
      <c r="K44" s="417"/>
    </row>
    <row r="45" spans="1:26" x14ac:dyDescent="0.25">
      <c r="A45" s="459" t="s">
        <v>286</v>
      </c>
      <c r="D45" s="415"/>
      <c r="E45" s="518" t="s">
        <v>324</v>
      </c>
      <c r="F45" s="519">
        <f>F40*F44</f>
        <v>10</v>
      </c>
      <c r="G45" s="519">
        <f t="shared" ref="G45:J45" si="5">G40*G44</f>
        <v>9</v>
      </c>
      <c r="H45" s="519">
        <f t="shared" si="5"/>
        <v>0</v>
      </c>
      <c r="I45" s="519">
        <f t="shared" si="5"/>
        <v>0</v>
      </c>
      <c r="J45" s="519">
        <f t="shared" si="5"/>
        <v>0</v>
      </c>
      <c r="K45" s="417"/>
    </row>
    <row r="46" spans="1:26" x14ac:dyDescent="0.25">
      <c r="A46" s="673" t="s">
        <v>288</v>
      </c>
      <c r="B46" s="673"/>
      <c r="D46" s="415"/>
      <c r="E46" s="416"/>
      <c r="F46" s="416"/>
      <c r="G46" s="416"/>
      <c r="H46" s="416"/>
      <c r="I46" s="416"/>
      <c r="J46" s="416"/>
      <c r="K46" s="417"/>
    </row>
    <row r="47" spans="1:26" x14ac:dyDescent="0.25">
      <c r="D47" s="415"/>
      <c r="E47" s="416" t="s">
        <v>325</v>
      </c>
      <c r="F47" s="416"/>
      <c r="G47" s="416"/>
      <c r="H47" s="416"/>
      <c r="I47" s="416"/>
      <c r="J47" s="416"/>
      <c r="K47" s="417"/>
    </row>
    <row r="48" spans="1:26" x14ac:dyDescent="0.25">
      <c r="D48" s="415"/>
      <c r="E48" s="518" t="s">
        <v>324</v>
      </c>
      <c r="F48" s="520">
        <v>0</v>
      </c>
      <c r="G48" s="520">
        <v>0</v>
      </c>
      <c r="H48" s="520">
        <v>0</v>
      </c>
      <c r="I48" s="520">
        <v>0</v>
      </c>
      <c r="J48" s="520">
        <v>0</v>
      </c>
      <c r="K48" s="417"/>
    </row>
    <row r="49" spans="4:11" x14ac:dyDescent="0.25">
      <c r="D49" s="415"/>
      <c r="E49" s="518" t="s">
        <v>291</v>
      </c>
      <c r="F49" s="510">
        <f>F45-F48</f>
        <v>10</v>
      </c>
      <c r="G49" s="510">
        <f>G45-G48</f>
        <v>9</v>
      </c>
      <c r="H49" s="510">
        <f>H45-H48</f>
        <v>0</v>
      </c>
      <c r="I49" s="510">
        <f>I45-I48</f>
        <v>0</v>
      </c>
      <c r="J49" s="510">
        <f>J45-J48</f>
        <v>0</v>
      </c>
      <c r="K49" s="417"/>
    </row>
    <row r="50" spans="4:11" x14ac:dyDescent="0.25">
      <c r="D50" s="415"/>
      <c r="E50" s="518" t="s">
        <v>292</v>
      </c>
      <c r="F50" s="521">
        <f>IFERROR(F51/$F$35, "")</f>
        <v>0.55104602510460243</v>
      </c>
      <c r="G50" s="521">
        <f t="shared" ref="G50:I50" si="6">IFERROR(G51/$F$35, "")</f>
        <v>0.4959414225941422</v>
      </c>
      <c r="H50" s="521">
        <f t="shared" si="6"/>
        <v>0</v>
      </c>
      <c r="I50" s="521">
        <f t="shared" si="6"/>
        <v>0</v>
      </c>
      <c r="J50" s="521">
        <f>IFERROR(J51/$F$35, "")</f>
        <v>0</v>
      </c>
      <c r="K50" s="417"/>
    </row>
    <row r="51" spans="4:11" x14ac:dyDescent="0.25">
      <c r="D51" s="415"/>
      <c r="E51" s="518" t="s">
        <v>293</v>
      </c>
      <c r="F51" s="520">
        <f>IFERROR(F49*$F$33*$F$35, "")</f>
        <v>3381.2184100418403</v>
      </c>
      <c r="G51" s="520">
        <f t="shared" ref="G51:J51" si="7">IFERROR(G49*$F$33*$F$35, "")</f>
        <v>3043.0965690376565</v>
      </c>
      <c r="H51" s="520">
        <f t="shared" si="7"/>
        <v>0</v>
      </c>
      <c r="I51" s="520">
        <f t="shared" si="7"/>
        <v>0</v>
      </c>
      <c r="J51" s="520">
        <f t="shared" si="7"/>
        <v>0</v>
      </c>
      <c r="K51" s="417"/>
    </row>
    <row r="52" spans="4:11" x14ac:dyDescent="0.25">
      <c r="D52" s="415"/>
      <c r="E52" s="516" t="s">
        <v>326</v>
      </c>
      <c r="F52" s="522">
        <v>700</v>
      </c>
      <c r="G52" s="522">
        <v>700</v>
      </c>
      <c r="H52" s="522">
        <f t="shared" ref="H52:J52" si="8">IF(H40&gt;0, 500, 0)</f>
        <v>0</v>
      </c>
      <c r="I52" s="522">
        <f t="shared" si="8"/>
        <v>0</v>
      </c>
      <c r="J52" s="522">
        <f t="shared" si="8"/>
        <v>0</v>
      </c>
      <c r="K52" s="417"/>
    </row>
    <row r="53" spans="4:11" x14ac:dyDescent="0.25">
      <c r="D53" s="415"/>
      <c r="E53" s="523" t="s">
        <v>72</v>
      </c>
      <c r="F53" s="524">
        <f>F52*F40</f>
        <v>700</v>
      </c>
      <c r="G53" s="524">
        <f>G52*G40</f>
        <v>2100</v>
      </c>
      <c r="H53" s="524">
        <f>H52*H40</f>
        <v>0</v>
      </c>
      <c r="I53" s="524">
        <f>I52*I40</f>
        <v>0</v>
      </c>
      <c r="J53" s="524">
        <f>J52*J40</f>
        <v>0</v>
      </c>
      <c r="K53" s="417"/>
    </row>
    <row r="54" spans="4:11" x14ac:dyDescent="0.25">
      <c r="D54" s="415"/>
      <c r="E54" s="416"/>
      <c r="F54" s="416"/>
      <c r="G54" s="416"/>
      <c r="H54" s="416"/>
      <c r="I54" s="416"/>
      <c r="J54" s="416"/>
      <c r="K54" s="417"/>
    </row>
    <row r="55" spans="4:11" x14ac:dyDescent="0.25">
      <c r="D55" s="415"/>
      <c r="E55" s="470" t="s">
        <v>295</v>
      </c>
      <c r="F55" s="709" t="s">
        <v>332</v>
      </c>
      <c r="G55" s="710"/>
      <c r="H55" s="710"/>
      <c r="I55" s="710"/>
      <c r="J55" s="711"/>
      <c r="K55" s="417"/>
    </row>
    <row r="56" spans="4:11" x14ac:dyDescent="0.25">
      <c r="D56" s="415"/>
      <c r="E56" s="416"/>
      <c r="F56" s="712"/>
      <c r="G56" s="713"/>
      <c r="H56" s="713"/>
      <c r="I56" s="713"/>
      <c r="J56" s="714"/>
      <c r="K56" s="417"/>
    </row>
    <row r="57" spans="4:11" x14ac:dyDescent="0.25">
      <c r="D57" s="415"/>
      <c r="E57" s="416"/>
      <c r="F57" s="715"/>
      <c r="G57" s="716"/>
      <c r="H57" s="716"/>
      <c r="I57" s="716"/>
      <c r="J57" s="717"/>
      <c r="K57" s="417"/>
    </row>
    <row r="58" spans="4:11" x14ac:dyDescent="0.25">
      <c r="D58" s="415"/>
      <c r="E58" s="471" t="s">
        <v>67</v>
      </c>
      <c r="F58" s="416"/>
      <c r="G58" s="698" t="s">
        <v>218</v>
      </c>
      <c r="H58" s="698"/>
      <c r="I58" s="698"/>
      <c r="J58" s="698"/>
      <c r="K58" s="417"/>
    </row>
    <row r="59" spans="4:11" x14ac:dyDescent="0.25">
      <c r="D59" s="415"/>
      <c r="E59" s="416" t="s">
        <v>296</v>
      </c>
      <c r="F59" s="472">
        <f>SUM(F51:J51)</f>
        <v>6424.3149790794969</v>
      </c>
      <c r="G59" s="685"/>
      <c r="H59" s="685"/>
      <c r="I59" s="685"/>
      <c r="J59" s="685"/>
      <c r="K59" s="417"/>
    </row>
    <row r="60" spans="4:11" x14ac:dyDescent="0.25">
      <c r="D60" s="415"/>
      <c r="E60" s="416" t="s">
        <v>297</v>
      </c>
      <c r="F60" s="473">
        <f>SUM(F50:J50)</f>
        <v>1.0469874476987446</v>
      </c>
      <c r="G60" s="685"/>
      <c r="H60" s="685"/>
      <c r="I60" s="685"/>
      <c r="J60" s="685"/>
      <c r="K60" s="417"/>
    </row>
    <row r="61" spans="4:11" x14ac:dyDescent="0.25">
      <c r="D61" s="415"/>
      <c r="E61" s="416" t="s">
        <v>71</v>
      </c>
      <c r="F61" s="474">
        <f>F59*0.08</f>
        <v>513.94519832635979</v>
      </c>
      <c r="G61" s="685"/>
      <c r="H61" s="685"/>
      <c r="I61" s="685"/>
      <c r="J61" s="685"/>
      <c r="K61" s="417"/>
    </row>
    <row r="62" spans="4:11" x14ac:dyDescent="0.25">
      <c r="D62" s="415"/>
      <c r="E62" s="416" t="s">
        <v>72</v>
      </c>
      <c r="F62" s="475">
        <f>SUM(F53:J53)</f>
        <v>2800</v>
      </c>
      <c r="G62" s="685"/>
      <c r="H62" s="685"/>
      <c r="I62" s="685"/>
      <c r="J62" s="685"/>
      <c r="K62" s="417"/>
    </row>
    <row r="63" spans="4:11" x14ac:dyDescent="0.25">
      <c r="D63" s="415"/>
      <c r="E63" s="416" t="s">
        <v>73</v>
      </c>
      <c r="F63" s="476">
        <f>F62/F61</f>
        <v>5.44805167772377</v>
      </c>
      <c r="G63" s="685"/>
      <c r="H63" s="685"/>
      <c r="I63" s="685"/>
      <c r="J63" s="685"/>
      <c r="K63" s="417"/>
    </row>
    <row r="64" spans="4:11" ht="15.75" thickBot="1" x14ac:dyDescent="0.3">
      <c r="D64" s="477"/>
      <c r="E64" s="478"/>
      <c r="F64" s="478"/>
      <c r="G64" s="478"/>
      <c r="H64" s="478"/>
      <c r="I64" s="478"/>
      <c r="J64" s="478"/>
      <c r="K64" s="479"/>
    </row>
    <row r="66" spans="5:10" s="199" customFormat="1" x14ac:dyDescent="0.25">
      <c r="E66" s="181" t="s">
        <v>330</v>
      </c>
      <c r="F66" s="182">
        <f>ROUND(F59/SUM(F40:G40), -1)</f>
        <v>1610</v>
      </c>
    </row>
    <row r="67" spans="5:10" s="199" customFormat="1" x14ac:dyDescent="0.25">
      <c r="E67" s="181" t="s">
        <v>331</v>
      </c>
      <c r="F67" s="183">
        <f>ROUND(F60/SUM(F40:G40), 2)</f>
        <v>0.26</v>
      </c>
    </row>
    <row r="68" spans="5:10" s="199" customFormat="1" x14ac:dyDescent="0.25">
      <c r="E68" s="181" t="s">
        <v>103</v>
      </c>
      <c r="F68" s="184">
        <f>F62/SUM(F40:G40)</f>
        <v>700</v>
      </c>
    </row>
    <row r="69" spans="5:10" s="199" customFormat="1" x14ac:dyDescent="0.25">
      <c r="E69" s="181" t="s">
        <v>104</v>
      </c>
      <c r="F69" s="185" t="s">
        <v>128</v>
      </c>
    </row>
    <row r="73" spans="5:10" x14ac:dyDescent="0.25">
      <c r="E73" s="480" t="s">
        <v>75</v>
      </c>
      <c r="F73" s="480"/>
      <c r="G73" s="391"/>
      <c r="H73" s="392"/>
      <c r="I73" s="392"/>
      <c r="J73" s="392"/>
    </row>
    <row r="74" spans="5:10" x14ac:dyDescent="0.25">
      <c r="E74" s="481" t="s">
        <v>76</v>
      </c>
      <c r="F74" s="481" t="s">
        <v>77</v>
      </c>
      <c r="G74" s="481" t="s">
        <v>39</v>
      </c>
      <c r="H74" s="482" t="s">
        <v>298</v>
      </c>
      <c r="I74" s="392"/>
      <c r="J74" s="392"/>
    </row>
    <row r="75" spans="5:10" x14ac:dyDescent="0.25">
      <c r="E75" s="483" t="s">
        <v>81</v>
      </c>
      <c r="F75" s="484"/>
      <c r="G75" s="485"/>
      <c r="H75" s="486"/>
      <c r="I75" s="392"/>
      <c r="J75" s="392"/>
    </row>
    <row r="76" spans="5:10" x14ac:dyDescent="0.25">
      <c r="E76" s="483" t="s">
        <v>82</v>
      </c>
      <c r="F76" s="484"/>
      <c r="G76" s="485"/>
      <c r="H76" s="486"/>
      <c r="I76" s="392"/>
      <c r="J76" s="392"/>
    </row>
    <row r="77" spans="5:10" x14ac:dyDescent="0.25">
      <c r="E77" s="483" t="s">
        <v>83</v>
      </c>
      <c r="F77" s="484"/>
      <c r="G77" s="485"/>
      <c r="H77" s="486"/>
      <c r="I77" s="392"/>
      <c r="J77" s="392"/>
    </row>
    <row r="78" spans="5:10" x14ac:dyDescent="0.25">
      <c r="E78" s="483" t="s">
        <v>84</v>
      </c>
      <c r="F78" s="484"/>
      <c r="G78" s="485"/>
      <c r="H78" s="486"/>
      <c r="I78" s="392"/>
      <c r="J78" s="392"/>
    </row>
    <row r="79" spans="5:10" x14ac:dyDescent="0.25">
      <c r="E79" s="483" t="s">
        <v>85</v>
      </c>
      <c r="F79" s="484"/>
      <c r="G79" s="485"/>
      <c r="H79" s="486"/>
      <c r="I79" s="392"/>
      <c r="J79" s="392"/>
    </row>
    <row r="80" spans="5:10" x14ac:dyDescent="0.25">
      <c r="E80" s="483" t="s">
        <v>86</v>
      </c>
      <c r="F80" s="484"/>
      <c r="G80" s="485"/>
      <c r="H80" s="486"/>
      <c r="I80" s="392"/>
      <c r="J80" s="392"/>
    </row>
    <row r="81" spans="5:10" x14ac:dyDescent="0.25">
      <c r="E81" s="483" t="s">
        <v>87</v>
      </c>
      <c r="F81" s="484"/>
      <c r="G81" s="485"/>
      <c r="H81" s="486"/>
      <c r="I81" s="392"/>
      <c r="J81" s="392"/>
    </row>
    <row r="82" spans="5:10" x14ac:dyDescent="0.25">
      <c r="E82" s="483" t="s">
        <v>88</v>
      </c>
      <c r="F82" s="484"/>
      <c r="G82" s="485"/>
      <c r="H82" s="486"/>
      <c r="I82" s="392"/>
      <c r="J82" s="392"/>
    </row>
    <row r="83" spans="5:10" x14ac:dyDescent="0.25">
      <c r="E83" s="483" t="s">
        <v>89</v>
      </c>
      <c r="F83" s="484"/>
      <c r="G83" s="485"/>
      <c r="H83" s="486"/>
      <c r="I83" s="392"/>
      <c r="J83" s="392"/>
    </row>
    <row r="84" spans="5:10" x14ac:dyDescent="0.25">
      <c r="E84" s="483" t="s">
        <v>90</v>
      </c>
      <c r="F84" s="484"/>
      <c r="G84" s="485"/>
      <c r="H84" s="486"/>
      <c r="I84" s="392"/>
      <c r="J84" s="392"/>
    </row>
    <row r="85" spans="5:10" x14ac:dyDescent="0.25">
      <c r="E85" s="483" t="s">
        <v>91</v>
      </c>
      <c r="F85" s="484"/>
      <c r="G85" s="485"/>
      <c r="H85" s="486"/>
      <c r="I85" s="392"/>
      <c r="J85" s="392"/>
    </row>
    <row r="86" spans="5:10" x14ac:dyDescent="0.25">
      <c r="E86" s="483" t="s">
        <v>92</v>
      </c>
      <c r="F86" s="484"/>
      <c r="G86" s="485"/>
      <c r="H86" s="486"/>
      <c r="I86" s="392"/>
      <c r="J86" s="392"/>
    </row>
    <row r="87" spans="5:10" x14ac:dyDescent="0.25">
      <c r="E87" s="391"/>
      <c r="F87" s="487">
        <f>SUM(F75:F86)</f>
        <v>0</v>
      </c>
      <c r="G87" s="391"/>
      <c r="H87" s="391"/>
      <c r="I87" s="392"/>
      <c r="J87" s="392"/>
    </row>
    <row r="88" spans="5:10" x14ac:dyDescent="0.25">
      <c r="E88" s="391"/>
      <c r="F88" s="391"/>
      <c r="G88" s="391"/>
      <c r="H88" s="391"/>
      <c r="I88" s="392"/>
      <c r="J88" s="392"/>
    </row>
    <row r="89" spans="5:10" x14ac:dyDescent="0.25">
      <c r="E89" s="391"/>
      <c r="F89" s="391"/>
      <c r="G89" s="391"/>
      <c r="H89" s="391"/>
      <c r="I89" s="392"/>
      <c r="J89" s="392"/>
    </row>
    <row r="90" spans="5:10" ht="216" customHeight="1" x14ac:dyDescent="0.25">
      <c r="E90" s="402" t="s">
        <v>93</v>
      </c>
      <c r="F90" s="392"/>
      <c r="G90" s="392"/>
      <c r="H90" s="392"/>
      <c r="I90" s="392"/>
      <c r="J90" s="392"/>
    </row>
    <row r="91" spans="5:10" x14ac:dyDescent="0.25">
      <c r="E91" s="686"/>
      <c r="F91" s="687"/>
      <c r="G91" s="687"/>
      <c r="H91" s="687"/>
      <c r="I91" s="687"/>
      <c r="J91" s="687"/>
    </row>
  </sheetData>
  <mergeCells count="37">
    <mergeCell ref="G61:J61"/>
    <mergeCell ref="G62:J62"/>
    <mergeCell ref="G63:J63"/>
    <mergeCell ref="E91:J91"/>
    <mergeCell ref="G16:J16"/>
    <mergeCell ref="G17:J17"/>
    <mergeCell ref="G18:J18"/>
    <mergeCell ref="G20:J21"/>
    <mergeCell ref="G22:J22"/>
    <mergeCell ref="G59:J59"/>
    <mergeCell ref="G27:J27"/>
    <mergeCell ref="G28:J28"/>
    <mergeCell ref="G29:J29"/>
    <mergeCell ref="G35:J35"/>
    <mergeCell ref="G60:J60"/>
    <mergeCell ref="A35:B39"/>
    <mergeCell ref="A40:B40"/>
    <mergeCell ref="A46:B46"/>
    <mergeCell ref="F55:J57"/>
    <mergeCell ref="G58:J58"/>
    <mergeCell ref="A21:B25"/>
    <mergeCell ref="A27:B33"/>
    <mergeCell ref="G32:J32"/>
    <mergeCell ref="G33:J33"/>
    <mergeCell ref="P33:U33"/>
    <mergeCell ref="P34:U34"/>
    <mergeCell ref="G23:J23"/>
    <mergeCell ref="G24:J24"/>
    <mergeCell ref="G25:J25"/>
    <mergeCell ref="G26:J26"/>
    <mergeCell ref="U18:AG18"/>
    <mergeCell ref="G19:J19"/>
    <mergeCell ref="A1:B1"/>
    <mergeCell ref="G14:J14"/>
    <mergeCell ref="A15:B19"/>
    <mergeCell ref="G15:J15"/>
    <mergeCell ref="N18:R18"/>
  </mergeCells>
  <dataValidations count="14">
    <dataValidation type="list" allowBlank="1" showInputMessage="1" showErrorMessage="1" promptTitle="VFD Efficiency" prompt="Select VFD efficiency or select &quot;No VFD&quot; if a non-VFD compressor is selected." sqref="F25">
      <formula1>".95, .97, No VFD"</formula1>
    </dataValidation>
    <dataValidation allowBlank="1" showInputMessage="1" showErrorMessage="1" promptTitle="Pressure at Rated Flow" prompt="Enter the pressure corresponding with the rated flow conditions.  This is not the system operating pressure.  The performance of the compressor is adjusted from the rated conditions by the calcualtor." sqref="F23"/>
    <dataValidation allowBlank="1" showInputMessage="1" showErrorMessage="1" promptTitle="System Pressure" prompt="Actual system pressure should be entered here.  These cells adjust compressor performance from rated conditions.  " sqref="F29"/>
    <dataValidation allowBlank="1" showInputMessage="1" showErrorMessage="1" promptTitle="System Storage " prompt="Enter the system storage volume in gallons.  This is only required if screw compressors with load/unload control are selected above." sqref="F28"/>
    <dataValidation allowBlank="1" showInputMessage="1" showErrorMessage="1" promptTitle="Package Input Power" prompt="The package input power is calculated based on data entered above.  If the manufacturer provides the package input power, simply enter it here." sqref="F27"/>
    <dataValidation allowBlank="1" showInputMessage="1" showErrorMessage="1" promptTitle="Compressor Shaft bhp" prompt="Enter the brake horsepower if available.  If not, leave the cell blank." sqref="F22"/>
    <dataValidation allowBlank="1" showInputMessage="1" showErrorMessage="1" promptTitle="Rated Flow" prompt="Enter the compressor rated flow in CFM.  This should be at the compressor's rated operating condition." sqref="F21"/>
    <dataValidation allowBlank="1" showInputMessage="1" showErrorMessage="1" promptTitle="Nominal Compressor hp" prompt="Enter compressor drive motor hp" sqref="F20"/>
    <dataValidation type="list" allowBlank="1" showInputMessage="1" showErrorMessage="1" sqref="F18">
      <formula1>$N$21:$N$27</formula1>
    </dataValidation>
    <dataValidation allowBlank="1" showInputMessage="1" showErrorMessage="1" promptTitle="Motor Load Factor" prompt="If shaft bhp is not available, then power is calculated based on the motor and load factor.  In general, most compressor motors have a load factor of over 95%, and sometimes as high as 125%." sqref="F26"/>
    <dataValidation type="list" allowBlank="1" showInputMessage="1" showErrorMessage="1" sqref="F39:J39">
      <formula1>"Timer Drain, Continuous"</formula1>
    </dataValidation>
    <dataValidation allowBlank="1" showInputMessage="1" showErrorMessage="1" prompt="As a point of reference - a general rule of thumb is 3 cfm savings per timer drain valve.  This varies depending on the valve settings, but is a good &quot;order of magnitude&quot; test of savings." sqref="F44:J44"/>
    <dataValidation type="whole" allowBlank="1" showInputMessage="1" showErrorMessage="1" sqref="F40:J40">
      <formula1>0</formula1>
      <formula2>10000000</formula2>
    </dataValidation>
    <dataValidation allowBlank="1" showInputMessage="1" showErrorMessage="1" prompt="Installation cost is usually $400-600, depending on the installation.  It can be higher or lower depending on specific installations, but this is a good guideline." sqref="E52"/>
  </dataValidations>
  <hyperlinks>
    <hyperlink ref="A40" r:id="rId1"/>
  </hyperlinks>
  <pageMargins left="0.7" right="0.7" top="0.75" bottom="0.75" header="0.3" footer="0.3"/>
  <pageSetup orientation="portrait"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87"/>
  <sheetViews>
    <sheetView topLeftCell="A16" zoomScale="70" zoomScaleNormal="70" workbookViewId="0">
      <selection activeCell="J46" sqref="J46"/>
    </sheetView>
  </sheetViews>
  <sheetFormatPr defaultRowHeight="15" x14ac:dyDescent="0.25"/>
  <cols>
    <col min="1" max="1" width="17.85546875" style="407" customWidth="1"/>
    <col min="2" max="2" width="32.85546875" style="407" customWidth="1"/>
    <col min="3" max="3" width="4.5703125" style="407" customWidth="1"/>
    <col min="4" max="4" width="4.28515625" style="407" customWidth="1"/>
    <col min="5" max="5" width="39.85546875" style="407" customWidth="1"/>
    <col min="6" max="9" width="19.42578125" style="407" customWidth="1"/>
    <col min="10" max="10" width="57" style="407" customWidth="1"/>
    <col min="11" max="11" width="5" style="407" customWidth="1"/>
    <col min="12" max="12" width="9.140625" style="407"/>
    <col min="13" max="13" width="3.28515625" style="408" customWidth="1"/>
    <col min="14" max="14" width="37.42578125" style="410" customWidth="1"/>
    <col min="15" max="15" width="16.28515625" style="410" customWidth="1"/>
    <col min="16" max="16" width="13.7109375" style="410" customWidth="1"/>
    <col min="17" max="21" width="9.140625" style="410"/>
    <col min="22" max="22" width="7" style="410" customWidth="1"/>
    <col min="23" max="32" width="6.140625" style="410" customWidth="1"/>
    <col min="33" max="34" width="9.140625" style="410"/>
    <col min="35" max="16384" width="9.140625" style="407"/>
  </cols>
  <sheetData>
    <row r="1" spans="1:34" s="392" customFormat="1" ht="12.75" x14ac:dyDescent="0.2">
      <c r="A1" s="703" t="s">
        <v>0</v>
      </c>
      <c r="B1" s="703"/>
      <c r="C1" s="390"/>
      <c r="D1" s="391"/>
      <c r="E1" s="391"/>
      <c r="F1" s="391"/>
      <c r="G1" s="391"/>
      <c r="H1" s="391"/>
      <c r="I1" s="391"/>
      <c r="J1" s="391"/>
      <c r="M1" s="393"/>
      <c r="N1" s="394"/>
      <c r="O1" s="394"/>
      <c r="P1" s="394"/>
      <c r="Q1" s="394"/>
      <c r="R1" s="394"/>
      <c r="S1" s="394"/>
      <c r="T1" s="394"/>
      <c r="U1" s="394"/>
      <c r="V1" s="394"/>
      <c r="W1" s="394"/>
      <c r="X1" s="394"/>
      <c r="Y1" s="394"/>
      <c r="Z1" s="394"/>
      <c r="AA1" s="394"/>
      <c r="AB1" s="394"/>
      <c r="AC1" s="394"/>
      <c r="AD1" s="394"/>
      <c r="AE1" s="394"/>
      <c r="AF1" s="394"/>
      <c r="AG1" s="394"/>
      <c r="AH1" s="394"/>
    </row>
    <row r="2" spans="1:34" s="392" customFormat="1" ht="25.5" x14ac:dyDescent="0.2">
      <c r="A2" s="489" t="s">
        <v>1</v>
      </c>
      <c r="B2" s="490" t="str">
        <f>F12</f>
        <v>Reduce Compressed Air System Pressure</v>
      </c>
      <c r="C2" s="397"/>
      <c r="D2" s="391"/>
      <c r="E2" s="391"/>
      <c r="F2" s="391"/>
      <c r="G2" s="391"/>
      <c r="H2" s="391"/>
      <c r="I2" s="391"/>
      <c r="J2" s="391"/>
      <c r="M2" s="393"/>
      <c r="N2" s="394"/>
      <c r="O2" s="394"/>
      <c r="P2" s="394"/>
      <c r="Q2" s="394"/>
      <c r="R2" s="394"/>
      <c r="S2" s="394"/>
      <c r="T2" s="394"/>
      <c r="U2" s="394"/>
      <c r="V2" s="394"/>
      <c r="W2" s="394"/>
      <c r="X2" s="394"/>
      <c r="Y2" s="394"/>
      <c r="Z2" s="394"/>
      <c r="AA2" s="394"/>
      <c r="AB2" s="394"/>
      <c r="AC2" s="394"/>
      <c r="AD2" s="394"/>
      <c r="AE2" s="394"/>
      <c r="AF2" s="394"/>
      <c r="AG2" s="394"/>
      <c r="AH2" s="394"/>
    </row>
    <row r="3" spans="1:34" s="392" customFormat="1" ht="12.75" x14ac:dyDescent="0.2">
      <c r="A3" s="489" t="s">
        <v>2</v>
      </c>
      <c r="B3" s="491">
        <f>F56</f>
        <v>0.82532000000000494</v>
      </c>
      <c r="C3" s="399"/>
      <c r="D3" s="391"/>
      <c r="E3" s="391"/>
      <c r="F3" s="391"/>
      <c r="G3" s="391"/>
      <c r="H3" s="391"/>
      <c r="I3" s="391"/>
      <c r="J3" s="391"/>
      <c r="M3" s="393"/>
      <c r="N3" s="394"/>
      <c r="O3" s="394"/>
      <c r="P3" s="394"/>
      <c r="Q3" s="394"/>
      <c r="R3" s="394"/>
      <c r="S3" s="394"/>
      <c r="T3" s="394"/>
      <c r="U3" s="394"/>
      <c r="V3" s="394"/>
      <c r="W3" s="394"/>
      <c r="X3" s="394"/>
      <c r="Y3" s="394"/>
      <c r="Z3" s="394"/>
      <c r="AA3" s="394"/>
      <c r="AB3" s="394"/>
      <c r="AC3" s="394"/>
      <c r="AD3" s="394"/>
      <c r="AE3" s="394"/>
      <c r="AF3" s="394"/>
      <c r="AG3" s="394"/>
      <c r="AH3" s="394"/>
    </row>
    <row r="4" spans="1:34" s="392" customFormat="1" ht="12.75" x14ac:dyDescent="0.2">
      <c r="A4" s="489" t="s">
        <v>3</v>
      </c>
      <c r="B4" s="492">
        <f>F54</f>
        <v>5064.1635200000019</v>
      </c>
      <c r="C4" s="401"/>
      <c r="D4" s="402"/>
      <c r="E4" s="391"/>
      <c r="F4" s="391"/>
      <c r="G4" s="391"/>
      <c r="H4" s="391"/>
      <c r="I4" s="391"/>
      <c r="J4" s="391"/>
      <c r="M4" s="393"/>
      <c r="N4" s="394"/>
      <c r="O4" s="394"/>
      <c r="P4" s="394"/>
      <c r="Q4" s="394"/>
      <c r="R4" s="394"/>
      <c r="S4" s="394"/>
      <c r="T4" s="394"/>
      <c r="U4" s="394"/>
      <c r="V4" s="394"/>
      <c r="W4" s="394"/>
      <c r="X4" s="394"/>
      <c r="Y4" s="394"/>
      <c r="Z4" s="394"/>
      <c r="AA4" s="394"/>
      <c r="AB4" s="394"/>
      <c r="AC4" s="394"/>
      <c r="AD4" s="394"/>
      <c r="AE4" s="394"/>
      <c r="AF4" s="394"/>
      <c r="AG4" s="394"/>
      <c r="AH4" s="394"/>
    </row>
    <row r="5" spans="1:34" s="392" customFormat="1" ht="12.75" x14ac:dyDescent="0.2">
      <c r="A5" s="489" t="s">
        <v>4</v>
      </c>
      <c r="B5" s="492">
        <f>0</f>
        <v>0</v>
      </c>
      <c r="C5" s="401"/>
      <c r="D5" s="391"/>
      <c r="E5" s="391"/>
      <c r="F5" s="391"/>
      <c r="G5" s="391"/>
      <c r="H5" s="391"/>
      <c r="I5" s="391"/>
      <c r="J5" s="391"/>
      <c r="M5" s="393"/>
      <c r="N5" s="394"/>
      <c r="O5" s="394"/>
      <c r="P5" s="394"/>
      <c r="Q5" s="394"/>
      <c r="R5" s="394"/>
      <c r="S5" s="394"/>
      <c r="T5" s="394"/>
      <c r="U5" s="394"/>
      <c r="V5" s="394"/>
      <c r="W5" s="394"/>
      <c r="X5" s="394"/>
      <c r="Y5" s="394"/>
      <c r="Z5" s="394"/>
      <c r="AA5" s="394"/>
      <c r="AB5" s="394"/>
      <c r="AC5" s="394"/>
      <c r="AD5" s="394"/>
      <c r="AE5" s="394"/>
      <c r="AF5" s="394"/>
      <c r="AG5" s="394"/>
      <c r="AH5" s="394"/>
    </row>
    <row r="6" spans="1:34" s="392" customFormat="1" ht="12.75" x14ac:dyDescent="0.2">
      <c r="A6" s="489" t="s">
        <v>5</v>
      </c>
      <c r="B6" s="493">
        <f>F57</f>
        <v>405.13308160000014</v>
      </c>
      <c r="C6" s="404"/>
      <c r="D6" s="391"/>
      <c r="E6" s="391"/>
      <c r="F6" s="391"/>
      <c r="G6" s="391"/>
      <c r="H6" s="391"/>
      <c r="I6" s="391"/>
      <c r="J6" s="391"/>
      <c r="M6" s="393"/>
      <c r="N6" s="394"/>
      <c r="O6" s="394"/>
      <c r="P6" s="394"/>
      <c r="Q6" s="394"/>
      <c r="R6" s="394"/>
      <c r="S6" s="394"/>
      <c r="T6" s="394"/>
      <c r="U6" s="394"/>
      <c r="V6" s="394"/>
      <c r="W6" s="394"/>
      <c r="X6" s="394"/>
      <c r="Y6" s="394"/>
      <c r="Z6" s="394"/>
      <c r="AA6" s="394"/>
      <c r="AB6" s="394"/>
      <c r="AC6" s="394"/>
      <c r="AD6" s="394"/>
      <c r="AE6" s="394"/>
      <c r="AF6" s="394"/>
      <c r="AG6" s="394"/>
      <c r="AH6" s="394"/>
    </row>
    <row r="7" spans="1:34" s="392" customFormat="1" ht="12.75" x14ac:dyDescent="0.2">
      <c r="A7" s="489" t="s">
        <v>6</v>
      </c>
      <c r="B7" s="493">
        <v>0</v>
      </c>
      <c r="C7" s="404"/>
      <c r="D7" s="391"/>
      <c r="E7" s="391"/>
      <c r="F7" s="391"/>
      <c r="G7" s="391"/>
      <c r="H7" s="391"/>
      <c r="I7" s="391"/>
      <c r="J7" s="391"/>
      <c r="M7" s="393"/>
      <c r="N7" s="394"/>
      <c r="O7" s="394"/>
      <c r="P7" s="394"/>
      <c r="Q7" s="394"/>
      <c r="R7" s="394"/>
      <c r="S7" s="394"/>
      <c r="T7" s="394"/>
      <c r="U7" s="394"/>
      <c r="V7" s="394"/>
      <c r="W7" s="394"/>
      <c r="X7" s="394"/>
      <c r="Y7" s="394"/>
      <c r="Z7" s="394"/>
      <c r="AA7" s="394"/>
      <c r="AB7" s="394"/>
      <c r="AC7" s="394"/>
      <c r="AD7" s="394"/>
      <c r="AE7" s="394"/>
      <c r="AF7" s="394"/>
      <c r="AG7" s="394"/>
      <c r="AH7" s="394"/>
    </row>
    <row r="8" spans="1:34" s="392" customFormat="1" ht="22.5" x14ac:dyDescent="0.2">
      <c r="A8" s="489" t="s">
        <v>7</v>
      </c>
      <c r="B8" s="493">
        <f>F58</f>
        <v>1000</v>
      </c>
      <c r="C8" s="404"/>
      <c r="D8" s="391"/>
      <c r="E8" s="391"/>
      <c r="F8" s="391"/>
      <c r="G8" s="391"/>
      <c r="H8" s="391"/>
      <c r="I8" s="391"/>
      <c r="J8" s="391"/>
      <c r="M8" s="393"/>
      <c r="N8" s="394"/>
      <c r="O8" s="394"/>
      <c r="P8" s="394"/>
      <c r="Q8" s="394"/>
      <c r="R8" s="394"/>
      <c r="S8" s="394"/>
      <c r="T8" s="394"/>
      <c r="U8" s="394"/>
      <c r="V8" s="394"/>
      <c r="W8" s="394"/>
      <c r="X8" s="394"/>
      <c r="Y8" s="394"/>
      <c r="Z8" s="394"/>
      <c r="AA8" s="394"/>
      <c r="AB8" s="394"/>
      <c r="AC8" s="394"/>
      <c r="AD8" s="394"/>
      <c r="AE8" s="394"/>
      <c r="AF8" s="394"/>
      <c r="AG8" s="394"/>
      <c r="AH8" s="394"/>
    </row>
    <row r="9" spans="1:34" s="392" customFormat="1" ht="23.25" x14ac:dyDescent="0.25">
      <c r="A9" s="489" t="s">
        <v>8</v>
      </c>
      <c r="B9" s="494">
        <v>0</v>
      </c>
      <c r="C9" s="406"/>
      <c r="D9" s="391"/>
      <c r="E9" s="391"/>
      <c r="F9" s="391"/>
      <c r="G9" s="391"/>
      <c r="H9" s="391"/>
      <c r="I9" s="391"/>
      <c r="J9" s="391"/>
      <c r="M9" s="393"/>
      <c r="N9" s="394"/>
      <c r="O9" s="394"/>
      <c r="P9" s="394"/>
      <c r="Q9" s="394"/>
      <c r="R9" s="394"/>
      <c r="S9" s="394"/>
      <c r="T9" s="394"/>
      <c r="U9" s="394"/>
      <c r="V9" s="394"/>
      <c r="W9" s="394"/>
      <c r="X9" s="394"/>
      <c r="Y9" s="394"/>
      <c r="Z9" s="394"/>
      <c r="AA9" s="394"/>
      <c r="AB9" s="394"/>
      <c r="AC9" s="394"/>
      <c r="AD9" s="394"/>
      <c r="AE9" s="394"/>
      <c r="AF9" s="394"/>
      <c r="AG9" s="394"/>
      <c r="AH9" s="394"/>
    </row>
    <row r="10" spans="1:34" x14ac:dyDescent="0.25">
      <c r="N10" s="409"/>
      <c r="O10" s="409"/>
    </row>
    <row r="11" spans="1:34" ht="15.75" thickBot="1" x14ac:dyDescent="0.3">
      <c r="N11" s="409"/>
      <c r="O11" s="409"/>
    </row>
    <row r="12" spans="1:34" x14ac:dyDescent="0.25">
      <c r="D12" s="411"/>
      <c r="E12" s="412" t="s">
        <v>12</v>
      </c>
      <c r="F12" s="528" t="s">
        <v>334</v>
      </c>
      <c r="G12" s="528"/>
      <c r="H12" s="528"/>
      <c r="I12" s="528"/>
      <c r="J12" s="412"/>
      <c r="K12" s="414"/>
      <c r="N12" s="409"/>
      <c r="O12" s="409"/>
    </row>
    <row r="13" spans="1:34" x14ac:dyDescent="0.25">
      <c r="D13" s="415"/>
      <c r="E13" s="416"/>
      <c r="F13" s="416"/>
      <c r="G13" s="416"/>
      <c r="H13" s="416"/>
      <c r="I13" s="416"/>
      <c r="J13" s="416"/>
      <c r="K13" s="417"/>
      <c r="N13" s="409"/>
      <c r="O13" s="409"/>
    </row>
    <row r="14" spans="1:34" x14ac:dyDescent="0.25">
      <c r="D14" s="415"/>
      <c r="E14" s="416"/>
      <c r="F14" s="718" t="s">
        <v>217</v>
      </c>
      <c r="G14" s="718"/>
      <c r="H14" s="718"/>
      <c r="I14" s="718"/>
      <c r="J14" s="525" t="s">
        <v>218</v>
      </c>
      <c r="K14" s="417"/>
      <c r="N14" s="409"/>
      <c r="O14" s="409"/>
    </row>
    <row r="15" spans="1:34" ht="15" customHeight="1" x14ac:dyDescent="0.25">
      <c r="A15" s="662"/>
      <c r="B15" s="662"/>
      <c r="D15" s="415"/>
      <c r="E15" s="419" t="s">
        <v>220</v>
      </c>
      <c r="F15" s="450" t="s">
        <v>299</v>
      </c>
      <c r="G15" s="495"/>
      <c r="H15" s="495"/>
      <c r="I15" s="495"/>
      <c r="J15" s="529" t="s">
        <v>302</v>
      </c>
      <c r="K15" s="417"/>
      <c r="N15" s="409"/>
      <c r="O15" s="409"/>
      <c r="P15" s="410" t="s">
        <v>221</v>
      </c>
    </row>
    <row r="16" spans="1:34" x14ac:dyDescent="0.25">
      <c r="A16" s="662"/>
      <c r="B16" s="662"/>
      <c r="D16" s="415"/>
      <c r="E16" s="416" t="s">
        <v>222</v>
      </c>
      <c r="F16" s="450" t="s">
        <v>299</v>
      </c>
      <c r="G16" s="496"/>
      <c r="H16" s="496"/>
      <c r="I16" s="496"/>
      <c r="J16" s="530"/>
      <c r="K16" s="417"/>
      <c r="N16" s="409"/>
      <c r="O16" s="409"/>
    </row>
    <row r="17" spans="1:33" x14ac:dyDescent="0.25">
      <c r="A17" s="662"/>
      <c r="B17" s="662"/>
      <c r="D17" s="415"/>
      <c r="E17" s="416" t="s">
        <v>109</v>
      </c>
      <c r="F17" s="450" t="s">
        <v>301</v>
      </c>
      <c r="G17" s="496"/>
      <c r="H17" s="496"/>
      <c r="I17" s="496"/>
      <c r="J17" s="530"/>
      <c r="K17" s="417"/>
      <c r="N17" s="409"/>
      <c r="O17" s="409"/>
    </row>
    <row r="18" spans="1:33" ht="45" x14ac:dyDescent="0.25">
      <c r="A18" s="662"/>
      <c r="B18" s="662"/>
      <c r="D18" s="415"/>
      <c r="E18" s="420" t="s">
        <v>223</v>
      </c>
      <c r="F18" s="421" t="s">
        <v>247</v>
      </c>
      <c r="G18" s="497"/>
      <c r="H18" s="497"/>
      <c r="I18" s="497"/>
      <c r="J18" s="667" t="s">
        <v>300</v>
      </c>
      <c r="K18" s="666"/>
      <c r="L18" s="666"/>
      <c r="M18" s="666"/>
      <c r="N18" s="704" t="s">
        <v>224</v>
      </c>
      <c r="O18" s="704"/>
      <c r="P18" s="704"/>
      <c r="Q18" s="704"/>
      <c r="R18" s="704"/>
      <c r="U18" s="700" t="s">
        <v>225</v>
      </c>
      <c r="V18" s="701"/>
      <c r="W18" s="701"/>
      <c r="X18" s="701"/>
      <c r="Y18" s="701"/>
      <c r="Z18" s="701"/>
      <c r="AA18" s="701"/>
      <c r="AB18" s="701"/>
      <c r="AC18" s="701"/>
      <c r="AD18" s="701"/>
      <c r="AE18" s="701"/>
      <c r="AF18" s="701"/>
      <c r="AG18" s="702"/>
    </row>
    <row r="19" spans="1:33" x14ac:dyDescent="0.25">
      <c r="A19" s="662"/>
      <c r="B19" s="662"/>
      <c r="D19" s="415"/>
      <c r="E19" s="416"/>
      <c r="F19" s="416"/>
      <c r="G19" s="416"/>
      <c r="H19" s="416"/>
      <c r="I19" s="416"/>
      <c r="J19" s="531"/>
      <c r="K19" s="417"/>
      <c r="N19" s="498"/>
      <c r="O19" s="498" t="s">
        <v>226</v>
      </c>
      <c r="P19" s="498"/>
      <c r="Q19" s="498" t="s">
        <v>227</v>
      </c>
      <c r="R19" s="498"/>
      <c r="U19" s="498" t="s">
        <v>228</v>
      </c>
      <c r="V19" s="499">
        <v>0</v>
      </c>
      <c r="W19" s="499">
        <v>0.1</v>
      </c>
      <c r="X19" s="499">
        <v>0.2</v>
      </c>
      <c r="Y19" s="499">
        <v>0.3</v>
      </c>
      <c r="Z19" s="499">
        <v>0.4</v>
      </c>
      <c r="AA19" s="499">
        <v>0.5</v>
      </c>
      <c r="AB19" s="499">
        <v>0.6</v>
      </c>
      <c r="AC19" s="499">
        <v>0.7</v>
      </c>
      <c r="AD19" s="499">
        <v>0.8</v>
      </c>
      <c r="AE19" s="499">
        <v>0.9</v>
      </c>
      <c r="AF19" s="499">
        <v>1</v>
      </c>
      <c r="AG19" s="498"/>
    </row>
    <row r="20" spans="1:33" ht="15" customHeight="1" x14ac:dyDescent="0.25">
      <c r="D20" s="415"/>
      <c r="E20" s="416" t="s">
        <v>229</v>
      </c>
      <c r="F20" s="424">
        <v>100</v>
      </c>
      <c r="G20" s="500"/>
      <c r="H20" s="500"/>
      <c r="I20" s="500"/>
      <c r="J20" s="663" t="s">
        <v>303</v>
      </c>
      <c r="K20" s="688"/>
      <c r="L20" s="688"/>
      <c r="M20" s="688"/>
      <c r="N20" s="498"/>
      <c r="O20" s="498" t="s">
        <v>230</v>
      </c>
      <c r="P20" s="498" t="s">
        <v>231</v>
      </c>
      <c r="Q20" s="498" t="s">
        <v>232</v>
      </c>
      <c r="R20" s="498" t="s">
        <v>231</v>
      </c>
      <c r="U20" s="498" t="s">
        <v>233</v>
      </c>
      <c r="V20" s="498">
        <v>2</v>
      </c>
      <c r="W20" s="498">
        <v>3</v>
      </c>
      <c r="X20" s="498">
        <v>4</v>
      </c>
      <c r="Y20" s="498">
        <v>5</v>
      </c>
      <c r="Z20" s="498">
        <v>6</v>
      </c>
      <c r="AA20" s="498">
        <v>7</v>
      </c>
      <c r="AB20" s="498">
        <v>8</v>
      </c>
      <c r="AC20" s="498">
        <v>9</v>
      </c>
      <c r="AD20" s="498">
        <v>10</v>
      </c>
      <c r="AE20" s="498">
        <v>11</v>
      </c>
      <c r="AF20" s="498">
        <v>12</v>
      </c>
      <c r="AG20" s="498"/>
    </row>
    <row r="21" spans="1:33" ht="15" customHeight="1" x14ac:dyDescent="0.25">
      <c r="A21" s="672"/>
      <c r="B21" s="672"/>
      <c r="D21" s="415"/>
      <c r="E21" s="416" t="s">
        <v>235</v>
      </c>
      <c r="F21" s="424">
        <v>478</v>
      </c>
      <c r="G21" s="500"/>
      <c r="H21" s="500"/>
      <c r="I21" s="500"/>
      <c r="J21" s="674"/>
      <c r="K21" s="689"/>
      <c r="L21" s="689"/>
      <c r="M21" s="689"/>
      <c r="N21" s="498" t="s">
        <v>236</v>
      </c>
      <c r="O21" s="501">
        <v>1</v>
      </c>
      <c r="P21" s="501">
        <v>0</v>
      </c>
      <c r="Q21" s="501">
        <v>1</v>
      </c>
      <c r="R21" s="501">
        <v>0</v>
      </c>
      <c r="U21" s="498" t="s">
        <v>237</v>
      </c>
      <c r="V21" s="498"/>
      <c r="W21" s="498"/>
      <c r="X21" s="498"/>
      <c r="Y21" s="498"/>
      <c r="Z21" s="498"/>
      <c r="AA21" s="498"/>
      <c r="AB21" s="498"/>
      <c r="AC21" s="498"/>
      <c r="AD21" s="498"/>
      <c r="AE21" s="498"/>
      <c r="AF21" s="498"/>
      <c r="AG21" s="498"/>
    </row>
    <row r="22" spans="1:33" x14ac:dyDescent="0.25">
      <c r="A22" s="672"/>
      <c r="B22" s="672"/>
      <c r="D22" s="415"/>
      <c r="E22" s="416" t="s">
        <v>238</v>
      </c>
      <c r="F22" s="424"/>
      <c r="G22" s="500"/>
      <c r="H22" s="500"/>
      <c r="I22" s="500"/>
      <c r="J22" s="530"/>
      <c r="K22" s="417"/>
      <c r="N22" s="498" t="s">
        <v>239</v>
      </c>
      <c r="O22" s="501">
        <v>0.74</v>
      </c>
      <c r="P22" s="501">
        <v>0.26</v>
      </c>
      <c r="Q22" s="501">
        <v>0.74</v>
      </c>
      <c r="R22" s="501">
        <v>0.26</v>
      </c>
      <c r="U22" s="502">
        <v>0</v>
      </c>
      <c r="V22" s="503">
        <f>V23</f>
        <v>0</v>
      </c>
      <c r="W22" s="503">
        <f t="shared" ref="W22:AF22" si="0">W23</f>
        <v>0.11</v>
      </c>
      <c r="X22" s="503">
        <f t="shared" si="0"/>
        <v>0.2</v>
      </c>
      <c r="Y22" s="503">
        <f t="shared" si="0"/>
        <v>0.22</v>
      </c>
      <c r="Z22" s="503">
        <f t="shared" si="0"/>
        <v>0.22</v>
      </c>
      <c r="AA22" s="503">
        <f t="shared" si="0"/>
        <v>0.2</v>
      </c>
      <c r="AB22" s="503">
        <f t="shared" si="0"/>
        <v>0.16</v>
      </c>
      <c r="AC22" s="503">
        <f t="shared" si="0"/>
        <v>0.11</v>
      </c>
      <c r="AD22" s="503">
        <f t="shared" si="0"/>
        <v>0.08</v>
      </c>
      <c r="AE22" s="503">
        <f t="shared" si="0"/>
        <v>0.03</v>
      </c>
      <c r="AF22" s="503">
        <f t="shared" si="0"/>
        <v>0</v>
      </c>
      <c r="AG22" s="498" t="s">
        <v>240</v>
      </c>
    </row>
    <row r="23" spans="1:33" x14ac:dyDescent="0.25">
      <c r="A23" s="672"/>
      <c r="B23" s="672"/>
      <c r="D23" s="415"/>
      <c r="E23" s="416" t="s">
        <v>241</v>
      </c>
      <c r="F23" s="424">
        <v>100</v>
      </c>
      <c r="G23" s="500"/>
      <c r="H23" s="500"/>
      <c r="I23" s="500"/>
      <c r="J23" s="530"/>
      <c r="K23" s="417"/>
      <c r="N23" s="498" t="s">
        <v>242</v>
      </c>
      <c r="O23" s="501">
        <v>0.74</v>
      </c>
      <c r="P23" s="501">
        <v>0.26</v>
      </c>
      <c r="Q23" s="501">
        <v>0.74</v>
      </c>
      <c r="R23" s="501">
        <v>0.26</v>
      </c>
      <c r="S23" s="410" t="s">
        <v>243</v>
      </c>
      <c r="U23" s="502">
        <v>1</v>
      </c>
      <c r="V23" s="503">
        <v>0</v>
      </c>
      <c r="W23" s="503">
        <v>0.11</v>
      </c>
      <c r="X23" s="503">
        <v>0.2</v>
      </c>
      <c r="Y23" s="503">
        <v>0.22</v>
      </c>
      <c r="Z23" s="503">
        <v>0.22</v>
      </c>
      <c r="AA23" s="503">
        <v>0.2</v>
      </c>
      <c r="AB23" s="503">
        <v>0.16</v>
      </c>
      <c r="AC23" s="503">
        <v>0.11</v>
      </c>
      <c r="AD23" s="503">
        <v>0.08</v>
      </c>
      <c r="AE23" s="503">
        <v>0.03</v>
      </c>
      <c r="AF23" s="503">
        <v>0</v>
      </c>
      <c r="AG23" s="498"/>
    </row>
    <row r="24" spans="1:33" x14ac:dyDescent="0.25">
      <c r="A24" s="672"/>
      <c r="B24" s="672"/>
      <c r="D24" s="415"/>
      <c r="E24" s="416" t="s">
        <v>152</v>
      </c>
      <c r="F24" s="428">
        <v>0.95399999999999996</v>
      </c>
      <c r="G24" s="504"/>
      <c r="H24" s="504"/>
      <c r="I24" s="504"/>
      <c r="J24" s="530"/>
      <c r="K24" s="417"/>
      <c r="N24" s="498" t="s">
        <v>244</v>
      </c>
      <c r="O24" s="501">
        <v>0.3</v>
      </c>
      <c r="P24" s="501">
        <v>0.7</v>
      </c>
      <c r="Q24" s="501">
        <v>0.3</v>
      </c>
      <c r="R24" s="501">
        <v>0.7</v>
      </c>
      <c r="U24" s="502">
        <v>2</v>
      </c>
      <c r="V24" s="503">
        <f t="shared" ref="V24:AF24" si="1">(V22+V25)/2</f>
        <v>0</v>
      </c>
      <c r="W24" s="503">
        <f t="shared" si="1"/>
        <v>7.0000000000000007E-2</v>
      </c>
      <c r="X24" s="503">
        <f t="shared" si="1"/>
        <v>0.125</v>
      </c>
      <c r="Y24" s="503">
        <f t="shared" si="1"/>
        <v>0.14500000000000002</v>
      </c>
      <c r="Z24" s="503">
        <f t="shared" si="1"/>
        <v>0.15</v>
      </c>
      <c r="AA24" s="503">
        <f t="shared" si="1"/>
        <v>0.14000000000000001</v>
      </c>
      <c r="AB24" s="503">
        <f t="shared" si="1"/>
        <v>0.115</v>
      </c>
      <c r="AC24" s="503">
        <f t="shared" si="1"/>
        <v>8.4999999999999992E-2</v>
      </c>
      <c r="AD24" s="503">
        <f t="shared" si="1"/>
        <v>0.06</v>
      </c>
      <c r="AE24" s="503">
        <f t="shared" si="1"/>
        <v>2.5000000000000001E-2</v>
      </c>
      <c r="AF24" s="503">
        <f t="shared" si="1"/>
        <v>0</v>
      </c>
      <c r="AG24" s="498" t="s">
        <v>245</v>
      </c>
    </row>
    <row r="25" spans="1:33" ht="15" customHeight="1" x14ac:dyDescent="0.25">
      <c r="A25" s="672"/>
      <c r="B25" s="672"/>
      <c r="C25" s="429"/>
      <c r="D25" s="415"/>
      <c r="E25" s="416" t="s">
        <v>246</v>
      </c>
      <c r="F25" s="430"/>
      <c r="G25" s="505"/>
      <c r="H25" s="505"/>
      <c r="I25" s="505"/>
      <c r="J25" s="530"/>
      <c r="K25" s="417"/>
      <c r="N25" s="498" t="s">
        <v>247</v>
      </c>
      <c r="O25" s="501">
        <f>(0.82-0.26)/(0.4-0)</f>
        <v>1.3999999999999997</v>
      </c>
      <c r="P25" s="501">
        <v>0.26</v>
      </c>
      <c r="Q25" s="501">
        <v>0.3</v>
      </c>
      <c r="R25" s="501">
        <v>0.7</v>
      </c>
      <c r="U25" s="502">
        <v>3</v>
      </c>
      <c r="V25" s="503">
        <v>0</v>
      </c>
      <c r="W25" s="503">
        <v>0.03</v>
      </c>
      <c r="X25" s="503">
        <v>0.05</v>
      </c>
      <c r="Y25" s="503">
        <v>7.0000000000000007E-2</v>
      </c>
      <c r="Z25" s="503">
        <v>0.08</v>
      </c>
      <c r="AA25" s="503">
        <v>0.08</v>
      </c>
      <c r="AB25" s="503">
        <v>7.0000000000000007E-2</v>
      </c>
      <c r="AC25" s="503">
        <v>0.06</v>
      </c>
      <c r="AD25" s="503">
        <v>0.04</v>
      </c>
      <c r="AE25" s="503">
        <v>0.02</v>
      </c>
      <c r="AF25" s="503">
        <v>0</v>
      </c>
      <c r="AG25" s="498"/>
    </row>
    <row r="26" spans="1:33" x14ac:dyDescent="0.25">
      <c r="A26" s="431"/>
      <c r="B26" s="431"/>
      <c r="D26" s="415"/>
      <c r="E26" s="416" t="s">
        <v>248</v>
      </c>
      <c r="F26" s="432"/>
      <c r="G26" s="506"/>
      <c r="H26" s="506"/>
      <c r="I26" s="506"/>
      <c r="J26" s="530"/>
      <c r="K26" s="417"/>
      <c r="N26" s="498" t="s">
        <v>249</v>
      </c>
      <c r="O26" s="501">
        <f>(0.5-0.26)/(0.4-0)</f>
        <v>0.6</v>
      </c>
      <c r="P26" s="501">
        <v>0.26</v>
      </c>
      <c r="Q26" s="501">
        <f>(1-0.5)/(1-0.4)</f>
        <v>0.83333333333333337</v>
      </c>
      <c r="R26" s="501">
        <f>0.5-Q26*0.4</f>
        <v>0.16666666666666663</v>
      </c>
      <c r="U26" s="502">
        <v>4</v>
      </c>
      <c r="V26" s="503">
        <f>(V25+V27)/2</f>
        <v>0</v>
      </c>
      <c r="W26" s="503">
        <f t="shared" ref="W26:AF26" si="2">(W25+W27)/2</f>
        <v>0.02</v>
      </c>
      <c r="X26" s="503">
        <f t="shared" si="2"/>
        <v>3.5000000000000003E-2</v>
      </c>
      <c r="Y26" s="503">
        <f t="shared" si="2"/>
        <v>0.05</v>
      </c>
      <c r="Z26" s="503">
        <f t="shared" si="2"/>
        <v>5.5E-2</v>
      </c>
      <c r="AA26" s="503">
        <f t="shared" si="2"/>
        <v>5.5E-2</v>
      </c>
      <c r="AB26" s="503">
        <f t="shared" si="2"/>
        <v>0.05</v>
      </c>
      <c r="AC26" s="503">
        <f t="shared" si="2"/>
        <v>4.4999999999999998E-2</v>
      </c>
      <c r="AD26" s="503">
        <f t="shared" si="2"/>
        <v>0.03</v>
      </c>
      <c r="AE26" s="503">
        <f t="shared" si="2"/>
        <v>1.4999999999999999E-2</v>
      </c>
      <c r="AF26" s="503">
        <f t="shared" si="2"/>
        <v>0</v>
      </c>
      <c r="AG26" s="498" t="s">
        <v>245</v>
      </c>
    </row>
    <row r="27" spans="1:33" ht="15" customHeight="1" x14ac:dyDescent="0.25">
      <c r="A27" s="662" t="s">
        <v>250</v>
      </c>
      <c r="B27" s="662"/>
      <c r="D27" s="415"/>
      <c r="E27" s="416" t="s">
        <v>251</v>
      </c>
      <c r="F27" s="433">
        <v>87.8</v>
      </c>
      <c r="G27" s="507">
        <f>IFERROR(IF(G22&gt;0, G22*0.746/(G24*IF(G25="No VFD", 1, G25)), G20*G26*0.746/(G24*IF(G25="No VFD", 1, G25))), 0)</f>
        <v>0</v>
      </c>
      <c r="H27" s="507">
        <f t="shared" ref="H27:I27" si="3">IFERROR(IF(H22&gt;0, H22*0.746/(H24*IF(H25="No VFD", 1, H25)), H20*H26*0.746/(H24*IF(H25="No VFD", 1, H25))), 0)</f>
        <v>0</v>
      </c>
      <c r="I27" s="507">
        <f t="shared" si="3"/>
        <v>0</v>
      </c>
      <c r="J27" s="530"/>
      <c r="K27" s="417"/>
      <c r="N27" s="498" t="s">
        <v>252</v>
      </c>
      <c r="O27" s="498">
        <f>(0.42-0.1)/(0.4-0)</f>
        <v>0.79999999999999982</v>
      </c>
      <c r="P27" s="501">
        <v>0.1</v>
      </c>
      <c r="Q27" s="501">
        <f>(1-0.42)/(1-0.4)</f>
        <v>0.96666666666666679</v>
      </c>
      <c r="R27" s="501">
        <f>0.42-(Q27*0.4)</f>
        <v>3.333333333333327E-2</v>
      </c>
      <c r="U27" s="502">
        <v>5</v>
      </c>
      <c r="V27" s="503">
        <v>0</v>
      </c>
      <c r="W27" s="503">
        <v>0.01</v>
      </c>
      <c r="X27" s="503">
        <v>0.02</v>
      </c>
      <c r="Y27" s="503">
        <v>0.03</v>
      </c>
      <c r="Z27" s="503">
        <v>0.03</v>
      </c>
      <c r="AA27" s="503">
        <v>0.03</v>
      </c>
      <c r="AB27" s="503">
        <v>0.03</v>
      </c>
      <c r="AC27" s="503">
        <v>0.03</v>
      </c>
      <c r="AD27" s="503">
        <v>0.02</v>
      </c>
      <c r="AE27" s="503">
        <v>0.01</v>
      </c>
      <c r="AF27" s="503">
        <v>0</v>
      </c>
      <c r="AG27" s="498"/>
    </row>
    <row r="28" spans="1:33" x14ac:dyDescent="0.25">
      <c r="A28" s="662"/>
      <c r="B28" s="662"/>
      <c r="D28" s="415"/>
      <c r="E28" s="416" t="s">
        <v>253</v>
      </c>
      <c r="F28" s="488">
        <f>F21*2</f>
        <v>956</v>
      </c>
      <c r="G28" s="508" t="s">
        <v>124</v>
      </c>
      <c r="H28" s="508" t="s">
        <v>124</v>
      </c>
      <c r="I28" s="508" t="s">
        <v>124</v>
      </c>
      <c r="J28" s="667" t="s">
        <v>304</v>
      </c>
      <c r="K28" s="666"/>
      <c r="L28" s="666"/>
      <c r="M28" s="666"/>
      <c r="U28" s="502">
        <v>7.5</v>
      </c>
      <c r="V28" s="503">
        <f>(V27+V29)/2</f>
        <v>0</v>
      </c>
      <c r="W28" s="503">
        <f t="shared" ref="W28:AF28" si="4">(W27+W29)/2</f>
        <v>5.0000000000000001E-3</v>
      </c>
      <c r="X28" s="503">
        <f t="shared" si="4"/>
        <v>0.01</v>
      </c>
      <c r="Y28" s="503">
        <f t="shared" si="4"/>
        <v>1.4999999999999999E-2</v>
      </c>
      <c r="Z28" s="503">
        <f t="shared" si="4"/>
        <v>1.4999999999999999E-2</v>
      </c>
      <c r="AA28" s="503">
        <f t="shared" si="4"/>
        <v>1.4999999999999999E-2</v>
      </c>
      <c r="AB28" s="503">
        <f t="shared" si="4"/>
        <v>1.4999999999999999E-2</v>
      </c>
      <c r="AC28" s="503">
        <f t="shared" si="4"/>
        <v>1.4999999999999999E-2</v>
      </c>
      <c r="AD28" s="503">
        <f t="shared" si="4"/>
        <v>0.01</v>
      </c>
      <c r="AE28" s="503">
        <f t="shared" si="4"/>
        <v>5.0000000000000001E-3</v>
      </c>
      <c r="AF28" s="503">
        <f t="shared" si="4"/>
        <v>0</v>
      </c>
      <c r="AG28" s="498" t="s">
        <v>245</v>
      </c>
    </row>
    <row r="29" spans="1:33" ht="15" customHeight="1" x14ac:dyDescent="0.25">
      <c r="A29" s="662"/>
      <c r="B29" s="662"/>
      <c r="D29" s="415"/>
      <c r="E29" s="416" t="s">
        <v>254</v>
      </c>
      <c r="F29" s="424">
        <v>100</v>
      </c>
      <c r="G29" s="500"/>
      <c r="H29" s="500"/>
      <c r="I29" s="500"/>
      <c r="J29" s="674" t="s">
        <v>305</v>
      </c>
      <c r="K29" s="675"/>
      <c r="L29" s="675"/>
      <c r="M29" s="675"/>
      <c r="N29" s="410" t="s">
        <v>255</v>
      </c>
      <c r="U29" s="502">
        <v>10</v>
      </c>
      <c r="V29" s="503">
        <v>0</v>
      </c>
      <c r="W29" s="503">
        <v>0</v>
      </c>
      <c r="X29" s="503">
        <v>0</v>
      </c>
      <c r="Y29" s="503">
        <v>0</v>
      </c>
      <c r="Z29" s="503">
        <v>0</v>
      </c>
      <c r="AA29" s="503">
        <v>0</v>
      </c>
      <c r="AB29" s="503">
        <v>0</v>
      </c>
      <c r="AC29" s="503">
        <v>0</v>
      </c>
      <c r="AD29" s="503">
        <v>0</v>
      </c>
      <c r="AE29" s="503">
        <v>0</v>
      </c>
      <c r="AF29" s="503">
        <v>0</v>
      </c>
      <c r="AG29" s="498"/>
    </row>
    <row r="30" spans="1:33" x14ac:dyDescent="0.25">
      <c r="A30" s="662"/>
      <c r="B30" s="662"/>
      <c r="D30" s="415"/>
      <c r="E30" s="416"/>
      <c r="F30" s="416"/>
      <c r="G30" s="416"/>
      <c r="H30" s="416"/>
      <c r="I30" s="416"/>
      <c r="J30" s="416"/>
      <c r="K30" s="434"/>
      <c r="U30" s="435"/>
      <c r="V30" s="436"/>
      <c r="W30" s="436"/>
    </row>
    <row r="31" spans="1:33" x14ac:dyDescent="0.25">
      <c r="A31" s="662"/>
      <c r="B31" s="662"/>
      <c r="D31" s="415"/>
      <c r="E31" s="419" t="s">
        <v>335</v>
      </c>
      <c r="F31" s="443">
        <v>6136</v>
      </c>
      <c r="G31" s="511"/>
      <c r="H31" s="511"/>
      <c r="I31" s="511"/>
      <c r="J31" s="667" t="s">
        <v>407</v>
      </c>
      <c r="K31" s="666"/>
      <c r="L31" s="666"/>
      <c r="M31" s="666"/>
      <c r="U31" s="435"/>
      <c r="V31" s="436"/>
      <c r="W31" s="436"/>
    </row>
    <row r="32" spans="1:33" x14ac:dyDescent="0.25">
      <c r="A32" s="662"/>
      <c r="B32" s="662"/>
      <c r="D32" s="415"/>
      <c r="E32" s="419" t="s">
        <v>336</v>
      </c>
      <c r="F32" s="532" t="s">
        <v>353</v>
      </c>
      <c r="G32" s="532"/>
      <c r="H32" s="532"/>
      <c r="I32" s="532"/>
      <c r="J32" s="530"/>
      <c r="K32" s="434"/>
      <c r="W32" s="439"/>
      <c r="Z32" s="440"/>
    </row>
    <row r="33" spans="1:26" x14ac:dyDescent="0.25">
      <c r="A33" s="662"/>
      <c r="B33" s="662"/>
      <c r="D33" s="415"/>
      <c r="E33" s="533" t="s">
        <v>337</v>
      </c>
      <c r="F33" s="534">
        <v>0.8</v>
      </c>
      <c r="G33" s="534"/>
      <c r="H33" s="534"/>
      <c r="I33" s="534"/>
      <c r="J33" s="549" t="s">
        <v>354</v>
      </c>
      <c r="K33" s="434"/>
      <c r="N33" s="498" t="s">
        <v>262</v>
      </c>
      <c r="O33" s="502">
        <f>F21*(1+0.0004*(F23-F29))</f>
        <v>478</v>
      </c>
      <c r="P33" s="705" t="s">
        <v>263</v>
      </c>
      <c r="Q33" s="706"/>
      <c r="R33" s="706"/>
      <c r="S33" s="706"/>
      <c r="T33" s="706"/>
      <c r="U33" s="707"/>
      <c r="Y33" s="442" t="s">
        <v>237</v>
      </c>
      <c r="Z33" s="502">
        <f>IFERROR(F28/F21, 0)</f>
        <v>2</v>
      </c>
    </row>
    <row r="34" spans="1:26" ht="15" customHeight="1" x14ac:dyDescent="0.25">
      <c r="D34" s="415"/>
      <c r="E34" s="535" t="s">
        <v>338</v>
      </c>
      <c r="F34" s="519">
        <f>IFERROR((IF(F33&lt;0.4, VLOOKUP(F18, $N$21:$R$27, 2, FALSE)*F33+VLOOKUP(F18, $N$21:$R$27, 3, FALSE), VLOOKUP(F18, $N$21:$R$27, 4, FALSE)*F33+VLOOKUP(F18, $N$21:$R$27, 5, FALSE))+$Z$34)*(1-0.005*(F23-F29))*F27, 0)</f>
        <v>82.531999999999996</v>
      </c>
      <c r="G34" s="519">
        <f t="shared" ref="G34:I34" si="5">IFERROR((IF(G33&lt;0.4, VLOOKUP(G18, $N$21:$R$27, 2, FALSE)*G33+VLOOKUP(G18, $N$21:$R$27, 3, FALSE), VLOOKUP(G18, $N$21:$R$27, 4, FALSE)*G33+VLOOKUP(G18, $N$21:$R$27, 5, FALSE))+$Z$34)*(1-0.005*(G23-G29))*G27, 0)</f>
        <v>0</v>
      </c>
      <c r="H34" s="519">
        <f t="shared" si="5"/>
        <v>0</v>
      </c>
      <c r="I34" s="519">
        <f t="shared" si="5"/>
        <v>0</v>
      </c>
      <c r="J34" s="536" t="s">
        <v>339</v>
      </c>
      <c r="K34" s="434"/>
      <c r="N34" s="498" t="s">
        <v>264</v>
      </c>
      <c r="O34" s="502">
        <f>F27*(1-0.005*(F23-F29))</f>
        <v>87.8</v>
      </c>
      <c r="P34" s="705" t="s">
        <v>265</v>
      </c>
      <c r="Q34" s="706"/>
      <c r="R34" s="706"/>
      <c r="S34" s="706"/>
      <c r="T34" s="706"/>
      <c r="U34" s="707"/>
      <c r="Y34" s="442" t="s">
        <v>266</v>
      </c>
      <c r="Z34" s="503">
        <f>IF($F$18=$N$23, VLOOKUP($Z$33, $U$22:$AF$29, 9, TRUE), 0)</f>
        <v>0</v>
      </c>
    </row>
    <row r="35" spans="1:26" x14ac:dyDescent="0.25">
      <c r="A35" s="683" t="s">
        <v>267</v>
      </c>
      <c r="B35" s="683"/>
      <c r="D35" s="415"/>
      <c r="E35" s="419" t="s">
        <v>340</v>
      </c>
      <c r="F35" s="520">
        <f>F31*F34</f>
        <v>506416.35199999996</v>
      </c>
      <c r="G35" s="520">
        <f>G31*G34</f>
        <v>0</v>
      </c>
      <c r="H35" s="520">
        <f>H31*H34</f>
        <v>0</v>
      </c>
      <c r="I35" s="520">
        <f>I31*I34</f>
        <v>0</v>
      </c>
      <c r="J35" s="419" t="s">
        <v>341</v>
      </c>
      <c r="K35" s="434"/>
    </row>
    <row r="36" spans="1:26" x14ac:dyDescent="0.25">
      <c r="A36" s="683"/>
      <c r="B36" s="683"/>
      <c r="D36" s="415"/>
      <c r="E36" s="416"/>
      <c r="F36" s="416"/>
      <c r="G36" s="537"/>
      <c r="H36" s="537"/>
      <c r="I36" s="537"/>
      <c r="J36" s="416"/>
      <c r="K36" s="417"/>
      <c r="X36" s="436"/>
    </row>
    <row r="37" spans="1:26" x14ac:dyDescent="0.25">
      <c r="A37" s="683"/>
      <c r="B37" s="683"/>
      <c r="D37" s="415"/>
      <c r="E37" s="419" t="s">
        <v>342</v>
      </c>
      <c r="F37" s="538"/>
      <c r="G37" s="538"/>
      <c r="H37" s="538"/>
      <c r="I37" s="538"/>
      <c r="J37" s="538"/>
      <c r="K37" s="539"/>
    </row>
    <row r="38" spans="1:26" x14ac:dyDescent="0.25">
      <c r="A38" s="683"/>
      <c r="B38" s="683"/>
      <c r="D38" s="415"/>
      <c r="E38" s="419" t="s">
        <v>343</v>
      </c>
      <c r="F38" s="514">
        <v>100</v>
      </c>
      <c r="G38" s="719" t="s">
        <v>355</v>
      </c>
      <c r="H38" s="720"/>
      <c r="I38" s="720"/>
      <c r="J38" s="720"/>
      <c r="K38" s="539"/>
    </row>
    <row r="39" spans="1:26" x14ac:dyDescent="0.25">
      <c r="A39" s="683"/>
      <c r="B39" s="683"/>
      <c r="D39" s="415"/>
      <c r="E39" s="540" t="s">
        <v>344</v>
      </c>
      <c r="F39" s="541">
        <f>SUMIF(F32:I32, "Operates On-peak", F34:I34)</f>
        <v>82.531999999999996</v>
      </c>
      <c r="G39" s="540" t="s">
        <v>345</v>
      </c>
      <c r="H39" s="538"/>
      <c r="I39" s="538"/>
      <c r="J39" s="538"/>
      <c r="K39" s="539"/>
    </row>
    <row r="40" spans="1:26" x14ac:dyDescent="0.25">
      <c r="A40" s="673" t="s">
        <v>280</v>
      </c>
      <c r="B40" s="673"/>
      <c r="D40" s="415"/>
      <c r="E40" s="540" t="s">
        <v>346</v>
      </c>
      <c r="F40" s="542">
        <f>SUM(F35:I35)</f>
        <v>506416.35199999996</v>
      </c>
      <c r="G40" s="540" t="s">
        <v>345</v>
      </c>
      <c r="H40" s="538"/>
      <c r="I40" s="538"/>
      <c r="J40" s="538"/>
      <c r="K40" s="539"/>
    </row>
    <row r="41" spans="1:26" ht="15" customHeight="1" x14ac:dyDescent="0.25">
      <c r="A41" s="431"/>
      <c r="B41" s="431"/>
      <c r="D41" s="415"/>
      <c r="E41" s="538"/>
      <c r="F41" s="538"/>
      <c r="G41" s="538"/>
      <c r="H41" s="538"/>
      <c r="I41" s="538"/>
      <c r="J41" s="538"/>
      <c r="K41" s="539"/>
    </row>
    <row r="42" spans="1:26" x14ac:dyDescent="0.25">
      <c r="B42" s="431"/>
      <c r="D42" s="415"/>
      <c r="E42" s="419" t="s">
        <v>347</v>
      </c>
      <c r="F42" s="538"/>
      <c r="G42" s="538"/>
      <c r="H42" s="538"/>
      <c r="I42" s="538"/>
      <c r="J42" s="538"/>
      <c r="K42" s="539"/>
    </row>
    <row r="43" spans="1:26" x14ac:dyDescent="0.25">
      <c r="D43" s="415"/>
      <c r="E43" s="540" t="s">
        <v>356</v>
      </c>
      <c r="F43" s="543">
        <v>2</v>
      </c>
      <c r="G43" s="724" t="s">
        <v>358</v>
      </c>
      <c r="H43" s="725"/>
      <c r="I43" s="725"/>
      <c r="J43" s="725"/>
      <c r="K43" s="539"/>
    </row>
    <row r="44" spans="1:26" ht="29.25" customHeight="1" x14ac:dyDescent="0.25">
      <c r="D44" s="415"/>
      <c r="E44" s="540" t="s">
        <v>357</v>
      </c>
      <c r="F44" s="550">
        <f>F38-F43</f>
        <v>98</v>
      </c>
      <c r="G44" s="719" t="s">
        <v>359</v>
      </c>
      <c r="H44" s="720"/>
      <c r="I44" s="720"/>
      <c r="J44" s="720"/>
      <c r="K44" s="539"/>
    </row>
    <row r="45" spans="1:26" x14ac:dyDescent="0.25">
      <c r="A45" s="459" t="s">
        <v>286</v>
      </c>
      <c r="D45" s="415"/>
      <c r="E45" s="540" t="s">
        <v>344</v>
      </c>
      <c r="F45" s="541">
        <f>(1-0.005*(F38-F44))*F39</f>
        <v>81.706679999999992</v>
      </c>
      <c r="G45" s="540" t="s">
        <v>348</v>
      </c>
      <c r="H45" s="538"/>
      <c r="I45" s="538"/>
      <c r="J45" s="538"/>
      <c r="K45" s="539"/>
    </row>
    <row r="46" spans="1:26" x14ac:dyDescent="0.25">
      <c r="A46" s="673" t="s">
        <v>288</v>
      </c>
      <c r="B46" s="673"/>
      <c r="D46" s="415"/>
      <c r="E46" s="540" t="s">
        <v>346</v>
      </c>
      <c r="F46" s="542">
        <f>(1-0.005*(F38-F44))*F40</f>
        <v>501352.18847999995</v>
      </c>
      <c r="G46" s="540" t="s">
        <v>349</v>
      </c>
      <c r="H46" s="538"/>
      <c r="I46" s="538"/>
      <c r="J46" s="538"/>
      <c r="K46" s="539"/>
    </row>
    <row r="47" spans="1:26" x14ac:dyDescent="0.25">
      <c r="D47" s="415"/>
      <c r="E47" s="538"/>
      <c r="F47" s="416"/>
      <c r="G47" s="538"/>
      <c r="H47" s="538"/>
      <c r="I47" s="538"/>
      <c r="J47" s="538"/>
      <c r="K47" s="539"/>
    </row>
    <row r="48" spans="1:26" x14ac:dyDescent="0.25">
      <c r="D48" s="415"/>
      <c r="E48" s="470" t="s">
        <v>295</v>
      </c>
      <c r="F48" s="721"/>
      <c r="G48" s="721"/>
      <c r="H48" s="721"/>
      <c r="I48" s="721"/>
      <c r="J48" s="722"/>
      <c r="K48" s="417"/>
    </row>
    <row r="49" spans="4:11" x14ac:dyDescent="0.25">
      <c r="D49" s="415"/>
      <c r="E49" s="416"/>
      <c r="F49" s="722"/>
      <c r="G49" s="722"/>
      <c r="H49" s="722"/>
      <c r="I49" s="722"/>
      <c r="J49" s="722"/>
      <c r="K49" s="417"/>
    </row>
    <row r="50" spans="4:11" x14ac:dyDescent="0.25">
      <c r="D50" s="415"/>
      <c r="E50" s="416"/>
      <c r="F50" s="722"/>
      <c r="G50" s="722"/>
      <c r="H50" s="722"/>
      <c r="I50" s="722"/>
      <c r="J50" s="722"/>
      <c r="K50" s="417"/>
    </row>
    <row r="51" spans="4:11" x14ac:dyDescent="0.25">
      <c r="D51" s="415"/>
      <c r="E51" s="471" t="s">
        <v>67</v>
      </c>
      <c r="F51" s="416"/>
      <c r="G51" s="723" t="s">
        <v>218</v>
      </c>
      <c r="H51" s="723"/>
      <c r="I51" s="723"/>
      <c r="J51" s="723"/>
      <c r="K51" s="417"/>
    </row>
    <row r="52" spans="4:11" x14ac:dyDescent="0.25">
      <c r="D52" s="415"/>
      <c r="E52" s="544" t="s">
        <v>350</v>
      </c>
      <c r="F52" s="545">
        <f>F40</f>
        <v>506416.35199999996</v>
      </c>
      <c r="G52" s="665"/>
      <c r="H52" s="666"/>
      <c r="I52" s="666"/>
      <c r="J52" s="666"/>
      <c r="K52" s="417"/>
    </row>
    <row r="53" spans="4:11" x14ac:dyDescent="0.25">
      <c r="D53" s="415"/>
      <c r="E53" s="544" t="s">
        <v>351</v>
      </c>
      <c r="F53" s="545">
        <f>F46</f>
        <v>501352.18847999995</v>
      </c>
      <c r="G53" s="665"/>
      <c r="H53" s="666"/>
      <c r="I53" s="666"/>
      <c r="J53" s="666"/>
      <c r="K53" s="417"/>
    </row>
    <row r="54" spans="4:11" x14ac:dyDescent="0.25">
      <c r="D54" s="415"/>
      <c r="E54" s="416" t="s">
        <v>296</v>
      </c>
      <c r="F54" s="472">
        <f>F52-F53</f>
        <v>5064.1635200000019</v>
      </c>
      <c r="G54" s="665"/>
      <c r="H54" s="666"/>
      <c r="I54" s="666"/>
      <c r="J54" s="666"/>
      <c r="K54" s="417"/>
    </row>
    <row r="55" spans="4:11" x14ac:dyDescent="0.25">
      <c r="D55" s="415"/>
      <c r="E55" s="544" t="s">
        <v>352</v>
      </c>
      <c r="F55" s="546">
        <f>F54/F52</f>
        <v>1.0000000000000005E-2</v>
      </c>
      <c r="G55" s="665"/>
      <c r="H55" s="666"/>
      <c r="I55" s="666"/>
      <c r="J55" s="666"/>
      <c r="K55" s="417"/>
    </row>
    <row r="56" spans="4:11" x14ac:dyDescent="0.25">
      <c r="D56" s="415"/>
      <c r="E56" s="416" t="s">
        <v>297</v>
      </c>
      <c r="F56" s="547">
        <f>F39-F45</f>
        <v>0.82532000000000494</v>
      </c>
      <c r="G56" s="665"/>
      <c r="H56" s="666"/>
      <c r="I56" s="666"/>
      <c r="J56" s="666"/>
      <c r="K56" s="417"/>
    </row>
    <row r="57" spans="4:11" x14ac:dyDescent="0.25">
      <c r="D57" s="415"/>
      <c r="E57" s="416" t="s">
        <v>71</v>
      </c>
      <c r="F57" s="474">
        <f>F54*0.08</f>
        <v>405.13308160000014</v>
      </c>
      <c r="G57" s="665"/>
      <c r="H57" s="666"/>
      <c r="I57" s="666"/>
      <c r="J57" s="666"/>
      <c r="K57" s="417"/>
    </row>
    <row r="58" spans="4:11" x14ac:dyDescent="0.25">
      <c r="D58" s="415"/>
      <c r="E58" s="416" t="s">
        <v>72</v>
      </c>
      <c r="F58" s="475">
        <v>1000</v>
      </c>
      <c r="G58" s="667" t="s">
        <v>360</v>
      </c>
      <c r="H58" s="666"/>
      <c r="I58" s="666"/>
      <c r="J58" s="666"/>
      <c r="K58" s="417"/>
    </row>
    <row r="59" spans="4:11" x14ac:dyDescent="0.25">
      <c r="D59" s="415"/>
      <c r="E59" s="416" t="s">
        <v>73</v>
      </c>
      <c r="F59" s="476">
        <f>F58/F57</f>
        <v>2.4683247194987881</v>
      </c>
      <c r="G59" s="665"/>
      <c r="H59" s="666"/>
      <c r="I59" s="666"/>
      <c r="J59" s="666"/>
      <c r="K59" s="417"/>
    </row>
    <row r="60" spans="4:11" ht="15.75" thickBot="1" x14ac:dyDescent="0.3">
      <c r="D60" s="477"/>
      <c r="E60" s="478"/>
      <c r="F60" s="478"/>
      <c r="G60" s="478"/>
      <c r="H60" s="478"/>
      <c r="I60" s="478"/>
      <c r="J60" s="478"/>
      <c r="K60" s="479"/>
    </row>
    <row r="62" spans="4:11" s="199" customFormat="1" x14ac:dyDescent="0.25">
      <c r="E62" s="181" t="s">
        <v>363</v>
      </c>
      <c r="F62" s="182">
        <f>ROUND(F54/F20, -1)</f>
        <v>50</v>
      </c>
    </row>
    <row r="63" spans="4:11" s="199" customFormat="1" x14ac:dyDescent="0.25">
      <c r="E63" s="181" t="s">
        <v>364</v>
      </c>
      <c r="F63" s="183">
        <f>ROUND(F56/F20, 2)</f>
        <v>0.01</v>
      </c>
    </row>
    <row r="64" spans="4:11" s="199" customFormat="1" x14ac:dyDescent="0.25">
      <c r="E64" s="181" t="s">
        <v>103</v>
      </c>
      <c r="F64" s="184">
        <f>F58</f>
        <v>1000</v>
      </c>
    </row>
    <row r="65" spans="5:10" s="199" customFormat="1" x14ac:dyDescent="0.25">
      <c r="E65" s="181" t="s">
        <v>104</v>
      </c>
      <c r="F65" s="185" t="s">
        <v>362</v>
      </c>
    </row>
    <row r="66" spans="5:10" x14ac:dyDescent="0.25">
      <c r="F66" s="551" t="s">
        <v>361</v>
      </c>
    </row>
    <row r="69" spans="5:10" x14ac:dyDescent="0.25">
      <c r="E69" s="480" t="s">
        <v>75</v>
      </c>
      <c r="F69" s="480"/>
      <c r="G69" s="480"/>
      <c r="H69" s="480"/>
      <c r="I69" s="548"/>
      <c r="J69" s="548"/>
    </row>
    <row r="70" spans="5:10" x14ac:dyDescent="0.25">
      <c r="E70" s="481" t="s">
        <v>76</v>
      </c>
      <c r="F70" s="481" t="s">
        <v>77</v>
      </c>
      <c r="G70" s="481" t="s">
        <v>39</v>
      </c>
      <c r="H70" s="482" t="s">
        <v>298</v>
      </c>
      <c r="I70" s="548"/>
      <c r="J70" s="548"/>
    </row>
    <row r="71" spans="5:10" x14ac:dyDescent="0.25">
      <c r="E71" s="483" t="s">
        <v>81</v>
      </c>
      <c r="F71" s="484"/>
      <c r="G71" s="485"/>
      <c r="H71" s="486"/>
      <c r="I71" s="548"/>
      <c r="J71" s="548"/>
    </row>
    <row r="72" spans="5:10" x14ac:dyDescent="0.25">
      <c r="E72" s="483" t="s">
        <v>82</v>
      </c>
      <c r="F72" s="484"/>
      <c r="G72" s="485"/>
      <c r="H72" s="486"/>
      <c r="I72" s="548"/>
      <c r="J72" s="548"/>
    </row>
    <row r="73" spans="5:10" x14ac:dyDescent="0.25">
      <c r="E73" s="483" t="s">
        <v>83</v>
      </c>
      <c r="F73" s="484"/>
      <c r="G73" s="485"/>
      <c r="H73" s="486"/>
      <c r="I73" s="548"/>
      <c r="J73" s="548"/>
    </row>
    <row r="74" spans="5:10" x14ac:dyDescent="0.25">
      <c r="E74" s="483" t="s">
        <v>84</v>
      </c>
      <c r="F74" s="484"/>
      <c r="G74" s="485"/>
      <c r="H74" s="486"/>
      <c r="I74" s="548"/>
      <c r="J74" s="548"/>
    </row>
    <row r="75" spans="5:10" x14ac:dyDescent="0.25">
      <c r="E75" s="483" t="s">
        <v>85</v>
      </c>
      <c r="F75" s="484"/>
      <c r="G75" s="485"/>
      <c r="H75" s="486"/>
      <c r="I75" s="548"/>
      <c r="J75" s="548"/>
    </row>
    <row r="76" spans="5:10" x14ac:dyDescent="0.25">
      <c r="E76" s="483" t="s">
        <v>86</v>
      </c>
      <c r="F76" s="484"/>
      <c r="G76" s="485"/>
      <c r="H76" s="486"/>
      <c r="I76" s="548"/>
      <c r="J76" s="548"/>
    </row>
    <row r="77" spans="5:10" x14ac:dyDescent="0.25">
      <c r="E77" s="483" t="s">
        <v>87</v>
      </c>
      <c r="F77" s="484"/>
      <c r="G77" s="485"/>
      <c r="H77" s="486"/>
      <c r="I77" s="548"/>
      <c r="J77" s="548"/>
    </row>
    <row r="78" spans="5:10" x14ac:dyDescent="0.25">
      <c r="E78" s="483" t="s">
        <v>88</v>
      </c>
      <c r="F78" s="484"/>
      <c r="G78" s="485"/>
      <c r="H78" s="486"/>
      <c r="I78" s="548"/>
      <c r="J78" s="548"/>
    </row>
    <row r="79" spans="5:10" x14ac:dyDescent="0.25">
      <c r="E79" s="483" t="s">
        <v>89</v>
      </c>
      <c r="F79" s="484"/>
      <c r="G79" s="485"/>
      <c r="H79" s="486"/>
      <c r="I79" s="548"/>
      <c r="J79" s="548"/>
    </row>
    <row r="80" spans="5:10" x14ac:dyDescent="0.25">
      <c r="E80" s="483" t="s">
        <v>90</v>
      </c>
      <c r="F80" s="484"/>
      <c r="G80" s="485"/>
      <c r="H80" s="486"/>
      <c r="I80" s="548"/>
      <c r="J80" s="548"/>
    </row>
    <row r="81" spans="5:10" x14ac:dyDescent="0.25">
      <c r="E81" s="483" t="s">
        <v>91</v>
      </c>
      <c r="F81" s="484"/>
      <c r="G81" s="485"/>
      <c r="H81" s="486"/>
      <c r="I81" s="548"/>
      <c r="J81" s="548"/>
    </row>
    <row r="82" spans="5:10" x14ac:dyDescent="0.25">
      <c r="E82" s="483" t="s">
        <v>92</v>
      </c>
      <c r="F82" s="484"/>
      <c r="G82" s="485"/>
      <c r="H82" s="486"/>
      <c r="I82" s="548"/>
      <c r="J82" s="548"/>
    </row>
    <row r="83" spans="5:10" x14ac:dyDescent="0.25">
      <c r="E83" s="391"/>
      <c r="F83" s="487"/>
      <c r="G83" s="487"/>
      <c r="H83" s="487"/>
      <c r="I83" s="548"/>
      <c r="J83" s="548"/>
    </row>
    <row r="84" spans="5:10" x14ac:dyDescent="0.25">
      <c r="E84" s="391"/>
      <c r="F84" s="391"/>
      <c r="G84" s="391"/>
      <c r="H84" s="391"/>
      <c r="I84" s="391"/>
      <c r="J84" s="391"/>
    </row>
    <row r="85" spans="5:10" x14ac:dyDescent="0.25">
      <c r="E85" s="391"/>
      <c r="F85" s="391"/>
      <c r="G85" s="391"/>
      <c r="H85" s="391"/>
      <c r="I85" s="391"/>
      <c r="J85" s="391"/>
    </row>
    <row r="86" spans="5:10" x14ac:dyDescent="0.25">
      <c r="E86" s="402" t="s">
        <v>93</v>
      </c>
      <c r="F86" s="392"/>
      <c r="G86" s="392"/>
      <c r="H86" s="392"/>
      <c r="I86" s="392"/>
      <c r="J86" s="392"/>
    </row>
    <row r="87" spans="5:10" ht="165" customHeight="1" x14ac:dyDescent="0.25">
      <c r="E87" s="686"/>
      <c r="F87" s="687"/>
      <c r="G87" s="687"/>
      <c r="H87" s="687"/>
      <c r="I87" s="687"/>
      <c r="J87" s="687"/>
    </row>
  </sheetData>
  <mergeCells count="31">
    <mergeCell ref="G59:J59"/>
    <mergeCell ref="E87:J87"/>
    <mergeCell ref="G56:J56"/>
    <mergeCell ref="G57:J57"/>
    <mergeCell ref="G58:J58"/>
    <mergeCell ref="G53:J53"/>
    <mergeCell ref="G54:J54"/>
    <mergeCell ref="G55:J55"/>
    <mergeCell ref="G43:J43"/>
    <mergeCell ref="G44:J44"/>
    <mergeCell ref="A40:B40"/>
    <mergeCell ref="A46:B46"/>
    <mergeCell ref="F48:J50"/>
    <mergeCell ref="G51:J51"/>
    <mergeCell ref="G52:J52"/>
    <mergeCell ref="J20:M21"/>
    <mergeCell ref="J28:M28"/>
    <mergeCell ref="J29:M29"/>
    <mergeCell ref="J31:M31"/>
    <mergeCell ref="A21:B25"/>
    <mergeCell ref="P33:U33"/>
    <mergeCell ref="P34:U34"/>
    <mergeCell ref="A35:B39"/>
    <mergeCell ref="G38:J38"/>
    <mergeCell ref="A27:B33"/>
    <mergeCell ref="A1:B1"/>
    <mergeCell ref="F14:I14"/>
    <mergeCell ref="A15:B19"/>
    <mergeCell ref="N18:R18"/>
    <mergeCell ref="U18:AG18"/>
    <mergeCell ref="J18:M18"/>
  </mergeCells>
  <dataValidations count="11">
    <dataValidation allowBlank="1" showInputMessage="1" showErrorMessage="1" promptTitle="Motor Load Factor" prompt="If shaft bhp is not available, then power is calculated based on the motor and load factor.  In general, most compressor motors have a load factor of over 95%, and sometimes as high as 125%." sqref="F26:I26"/>
    <dataValidation type="list" allowBlank="1" showInputMessage="1" showErrorMessage="1" sqref="F18:I18">
      <formula1>$N$21:$N$27</formula1>
    </dataValidation>
    <dataValidation allowBlank="1" showInputMessage="1" showErrorMessage="1" promptTitle="Nominal Compressor hp" prompt="Enter compressor drive motor hp" sqref="F20:I20"/>
    <dataValidation allowBlank="1" showInputMessage="1" showErrorMessage="1" promptTitle="Rated Flow" prompt="Enter the compressor rated flow in CFM.  This should be at the compressor's rated operating condition." sqref="F21:I21"/>
    <dataValidation allowBlank="1" showInputMessage="1" showErrorMessage="1" promptTitle="Compressor Shaft bhp" prompt="Enter the brake horsepower if available.  If not, leave the cell blank." sqref="F22:I22"/>
    <dataValidation allowBlank="1" showInputMessage="1" showErrorMessage="1" promptTitle="Package Input Power" prompt="The package input power is calculated based on data entered above.  If the manufacturer provides the package input power, simply enter it here." sqref="F27:I27"/>
    <dataValidation allowBlank="1" showInputMessage="1" showErrorMessage="1" promptTitle="System Storage " prompt="Enter the system storage volume in gallons.  This is only required if screw compressors with load/unload control are selected above." sqref="F28:I28"/>
    <dataValidation allowBlank="1" showInputMessage="1" showErrorMessage="1" promptTitle="System Pressure" prompt="Actual system pressure should be entered here.  These cells adjust compressor performance from rated conditions.  " sqref="F29:I29"/>
    <dataValidation allowBlank="1" showInputMessage="1" showErrorMessage="1" promptTitle="Pressure at Rated Flow" prompt="Enter the pressure corresponding with the rated flow conditions.  This is not the system operating pressure.  The performance of the compressor is adjusted from the rated conditions by the calcualtor." sqref="F23:I23"/>
    <dataValidation type="list" allowBlank="1" showInputMessage="1" showErrorMessage="1" promptTitle="VFD Efficiency" prompt="Select VFD efficiency or select &quot;No VFD&quot; if a non-VFD compressor is selected." sqref="F25:I25">
      <formula1>".95, .97, No VFD"</formula1>
    </dataValidation>
    <dataValidation type="list" allowBlank="1" showInputMessage="1" showErrorMessage="1" sqref="F32:I32">
      <formula1>"Operates On-peak, Standby/Weekend Operation"</formula1>
    </dataValidation>
  </dataValidations>
  <hyperlinks>
    <hyperlink ref="A40" r:id="rId1"/>
  </hyperlinks>
  <pageMargins left="0.7" right="0.7" top="0.75" bottom="0.75" header="0.3" footer="0.3"/>
  <pageSetup orientation="portrait"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G46"/>
  <sheetViews>
    <sheetView topLeftCell="A34" workbookViewId="0">
      <selection activeCell="E50" sqref="E50"/>
    </sheetView>
  </sheetViews>
  <sheetFormatPr defaultRowHeight="15" x14ac:dyDescent="0.25"/>
  <cols>
    <col min="3" max="3" width="39.140625" customWidth="1"/>
    <col min="4" max="4" width="11.5703125" bestFit="1" customWidth="1"/>
    <col min="5" max="5" width="48.85546875" customWidth="1"/>
  </cols>
  <sheetData>
    <row r="3" spans="3:5" x14ac:dyDescent="0.25">
      <c r="C3" t="s">
        <v>369</v>
      </c>
    </row>
    <row r="4" spans="3:5" x14ac:dyDescent="0.25">
      <c r="C4" t="s">
        <v>370</v>
      </c>
    </row>
    <row r="6" spans="3:5" x14ac:dyDescent="0.25">
      <c r="C6" t="s">
        <v>373</v>
      </c>
    </row>
    <row r="7" spans="3:5" x14ac:dyDescent="0.25">
      <c r="C7" t="s">
        <v>378</v>
      </c>
    </row>
    <row r="9" spans="3:5" x14ac:dyDescent="0.25">
      <c r="C9" s="559" t="s">
        <v>381</v>
      </c>
      <c r="D9" s="559"/>
      <c r="E9" s="559"/>
    </row>
    <row r="10" spans="3:5" x14ac:dyDescent="0.25">
      <c r="C10" s="552" t="s">
        <v>382</v>
      </c>
      <c r="D10" s="552">
        <v>6136</v>
      </c>
      <c r="E10" s="553" t="s">
        <v>407</v>
      </c>
    </row>
    <row r="11" spans="3:5" ht="30" x14ac:dyDescent="0.25">
      <c r="C11" s="552" t="s">
        <v>383</v>
      </c>
      <c r="D11" s="554">
        <v>0.7</v>
      </c>
      <c r="E11" s="553" t="s">
        <v>384</v>
      </c>
    </row>
    <row r="12" spans="3:5" ht="15" customHeight="1" x14ac:dyDescent="0.25">
      <c r="C12" s="552" t="s">
        <v>391</v>
      </c>
      <c r="D12" s="552">
        <v>100</v>
      </c>
      <c r="E12" s="553" t="s">
        <v>305</v>
      </c>
    </row>
    <row r="13" spans="3:5" x14ac:dyDescent="0.25">
      <c r="C13" s="552"/>
      <c r="D13" s="552"/>
      <c r="E13" s="553"/>
    </row>
    <row r="14" spans="3:5" x14ac:dyDescent="0.25">
      <c r="C14" s="559" t="s">
        <v>372</v>
      </c>
      <c r="D14" s="559"/>
      <c r="E14" s="560"/>
    </row>
    <row r="15" spans="3:5" x14ac:dyDescent="0.25">
      <c r="C15" s="552" t="s">
        <v>399</v>
      </c>
      <c r="D15" s="578">
        <v>1000</v>
      </c>
      <c r="E15" s="553"/>
    </row>
    <row r="16" spans="3:5" x14ac:dyDescent="0.25">
      <c r="C16" s="552" t="s">
        <v>371</v>
      </c>
      <c r="D16" s="555">
        <v>6.5</v>
      </c>
      <c r="E16" s="553" t="s">
        <v>374</v>
      </c>
    </row>
    <row r="17" spans="3:5" x14ac:dyDescent="0.25">
      <c r="C17" s="552" t="s">
        <v>376</v>
      </c>
      <c r="D17" s="527">
        <v>8760</v>
      </c>
      <c r="E17" s="553" t="s">
        <v>377</v>
      </c>
    </row>
    <row r="18" spans="3:5" x14ac:dyDescent="0.25">
      <c r="C18" s="552" t="s">
        <v>344</v>
      </c>
      <c r="D18" s="555">
        <f>D16</f>
        <v>6.5</v>
      </c>
      <c r="E18" s="553"/>
    </row>
    <row r="19" spans="3:5" x14ac:dyDescent="0.25">
      <c r="C19" s="552" t="s">
        <v>379</v>
      </c>
      <c r="D19" s="527">
        <f>D16*D17</f>
        <v>56940</v>
      </c>
      <c r="E19" s="553"/>
    </row>
    <row r="20" spans="3:5" x14ac:dyDescent="0.25">
      <c r="C20" s="552"/>
      <c r="D20" s="552"/>
      <c r="E20" s="553"/>
    </row>
    <row r="21" spans="3:5" x14ac:dyDescent="0.25">
      <c r="C21" s="559" t="s">
        <v>380</v>
      </c>
      <c r="D21" s="559"/>
      <c r="E21" s="560"/>
    </row>
    <row r="22" spans="3:5" x14ac:dyDescent="0.25">
      <c r="C22" s="552" t="s">
        <v>399</v>
      </c>
      <c r="D22" s="527">
        <v>1000</v>
      </c>
      <c r="E22" s="553"/>
    </row>
    <row r="23" spans="3:5" x14ac:dyDescent="0.25">
      <c r="C23" s="552" t="s">
        <v>371</v>
      </c>
      <c r="D23" s="552">
        <v>8.9</v>
      </c>
      <c r="E23" s="553" t="s">
        <v>375</v>
      </c>
    </row>
    <row r="24" spans="3:5" x14ac:dyDescent="0.25">
      <c r="C24" s="552" t="s">
        <v>376</v>
      </c>
      <c r="D24" s="527">
        <v>8760</v>
      </c>
      <c r="E24" s="553" t="s">
        <v>377</v>
      </c>
    </row>
    <row r="25" spans="3:5" x14ac:dyDescent="0.25">
      <c r="C25" s="552" t="s">
        <v>385</v>
      </c>
      <c r="D25" s="556">
        <f>D11</f>
        <v>0.7</v>
      </c>
      <c r="E25" s="553" t="s">
        <v>388</v>
      </c>
    </row>
    <row r="26" spans="3:5" ht="30" x14ac:dyDescent="0.25">
      <c r="C26" s="552" t="s">
        <v>386</v>
      </c>
      <c r="D26" s="556">
        <f>D10/D17</f>
        <v>0.70045662100456618</v>
      </c>
      <c r="E26" s="553" t="s">
        <v>389</v>
      </c>
    </row>
    <row r="27" spans="3:5" ht="105" x14ac:dyDescent="0.25">
      <c r="C27" s="552" t="s">
        <v>387</v>
      </c>
      <c r="D27" s="556">
        <v>0.5</v>
      </c>
      <c r="E27" s="569" t="s">
        <v>398</v>
      </c>
    </row>
    <row r="28" spans="3:5" x14ac:dyDescent="0.25">
      <c r="C28" s="552" t="s">
        <v>390</v>
      </c>
      <c r="D28" s="556">
        <f>D25*D26*D27</f>
        <v>0.24515981735159814</v>
      </c>
      <c r="E28" s="553"/>
    </row>
    <row r="29" spans="3:5" x14ac:dyDescent="0.25">
      <c r="C29" s="552" t="s">
        <v>392</v>
      </c>
      <c r="D29" s="557">
        <f>D23*D28</f>
        <v>2.1819223744292238</v>
      </c>
      <c r="E29" s="553"/>
    </row>
    <row r="30" spans="3:5" x14ac:dyDescent="0.25">
      <c r="C30" s="552" t="s">
        <v>379</v>
      </c>
      <c r="D30" s="527">
        <f>D29*D24</f>
        <v>19113.64</v>
      </c>
      <c r="E30" s="553"/>
    </row>
    <row r="31" spans="3:5" x14ac:dyDescent="0.25">
      <c r="C31" s="552"/>
      <c r="D31" s="552"/>
      <c r="E31" s="553"/>
    </row>
    <row r="32" spans="3:5" x14ac:dyDescent="0.25">
      <c r="C32" s="559" t="s">
        <v>67</v>
      </c>
      <c r="D32" s="559"/>
      <c r="E32" s="560"/>
    </row>
    <row r="33" spans="3:7" x14ac:dyDescent="0.25">
      <c r="C33" s="552" t="s">
        <v>396</v>
      </c>
      <c r="D33" s="557">
        <f>D18-D29</f>
        <v>4.3180776255707762</v>
      </c>
      <c r="E33" s="553" t="s">
        <v>395</v>
      </c>
    </row>
    <row r="34" spans="3:7" ht="45" x14ac:dyDescent="0.25">
      <c r="C34" s="552" t="s">
        <v>394</v>
      </c>
      <c r="D34" s="557">
        <f>D18-D23*D25</f>
        <v>0.27000000000000046</v>
      </c>
      <c r="E34" s="553" t="s">
        <v>397</v>
      </c>
    </row>
    <row r="35" spans="3:7" x14ac:dyDescent="0.25">
      <c r="C35" s="552" t="s">
        <v>393</v>
      </c>
      <c r="D35" s="558">
        <f>D19-D30</f>
        <v>37826.36</v>
      </c>
      <c r="E35" s="553"/>
    </row>
    <row r="36" spans="3:7" x14ac:dyDescent="0.25">
      <c r="C36" s="561" t="s">
        <v>402</v>
      </c>
      <c r="D36" s="562">
        <v>15000</v>
      </c>
      <c r="E36" s="553" t="s">
        <v>403</v>
      </c>
    </row>
    <row r="37" spans="3:7" x14ac:dyDescent="0.25">
      <c r="C37" s="561" t="s">
        <v>404</v>
      </c>
      <c r="D37" s="562">
        <v>13603</v>
      </c>
      <c r="E37" s="553" t="s">
        <v>403</v>
      </c>
    </row>
    <row r="38" spans="3:7" x14ac:dyDescent="0.25">
      <c r="C38" s="561" t="s">
        <v>72</v>
      </c>
      <c r="D38" s="570">
        <f>D37+D36</f>
        <v>28603</v>
      </c>
      <c r="E38" s="553"/>
    </row>
    <row r="40" spans="3:7" x14ac:dyDescent="0.25">
      <c r="C40" s="181" t="s">
        <v>400</v>
      </c>
      <c r="D40" s="182">
        <f>ROUND(D35/D22, -1)</f>
        <v>40</v>
      </c>
      <c r="E40" s="199"/>
    </row>
    <row r="41" spans="3:7" x14ac:dyDescent="0.25">
      <c r="C41" s="181" t="s">
        <v>401</v>
      </c>
      <c r="D41" s="581">
        <f>ROUND(D34/D15, 4)</f>
        <v>2.9999999999999997E-4</v>
      </c>
      <c r="E41" s="199"/>
    </row>
    <row r="42" spans="3:7" x14ac:dyDescent="0.25">
      <c r="C42" s="181" t="s">
        <v>103</v>
      </c>
      <c r="D42" s="184">
        <f>D38/D15</f>
        <v>28.603000000000002</v>
      </c>
      <c r="E42" s="199"/>
    </row>
    <row r="43" spans="3:7" x14ac:dyDescent="0.25">
      <c r="C43" s="181" t="s">
        <v>104</v>
      </c>
      <c r="D43" s="185" t="s">
        <v>128</v>
      </c>
      <c r="E43" s="199"/>
    </row>
    <row r="44" spans="3:7" x14ac:dyDescent="0.25">
      <c r="C44" s="407"/>
      <c r="D44" s="551"/>
      <c r="E44" s="407"/>
    </row>
    <row r="46" spans="3:7" x14ac:dyDescent="0.25">
      <c r="G46" s="179"/>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D57B319AB822E4A9207DC7F31971FB9" ma:contentTypeVersion="0" ma:contentTypeDescription="Create a new document." ma:contentTypeScope="" ma:versionID="b0fef99e30053e2e7706bd2fa2d9213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D352651-B938-4968-BB7C-41957BCCD9A3}"/>
</file>

<file path=customXml/itemProps2.xml><?xml version="1.0" encoding="utf-8"?>
<ds:datastoreItem xmlns:ds="http://schemas.openxmlformats.org/officeDocument/2006/customXml" ds:itemID="{0D1489CC-0842-430A-8526-04EE1B078624}"/>
</file>

<file path=customXml/itemProps3.xml><?xml version="1.0" encoding="utf-8"?>
<ds:datastoreItem xmlns:ds="http://schemas.openxmlformats.org/officeDocument/2006/customXml" ds:itemID="{86C9E6E6-2AD0-42F0-81E5-40FA1E56E4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Summary</vt:lpstr>
      <vt:lpstr>VFD Evap Condenser</vt:lpstr>
      <vt:lpstr>VFD Cooling Tower</vt:lpstr>
      <vt:lpstr>VFD Process Pumps</vt:lpstr>
      <vt:lpstr>VFD Evaporator Fans</vt:lpstr>
      <vt:lpstr>Install High Efficiency Nozzles</vt:lpstr>
      <vt:lpstr>Install NoLoss CondDrainValves</vt:lpstr>
      <vt:lpstr>Install Low P Filter</vt:lpstr>
      <vt:lpstr>Install Cycling Dryer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Bartels, Jeff</dc:creator>
  <cp:lastModifiedBy>Peet, Lonny</cp:lastModifiedBy>
  <dcterms:created xsi:type="dcterms:W3CDTF">2012-04-18T14:00:09Z</dcterms:created>
  <dcterms:modified xsi:type="dcterms:W3CDTF">2013-01-08T23:06:53Z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0x010100AD57B319AB822E4A9207DC7F31971FB9</vt:lpwstr>
  </property>
</Properties>
</file>