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portal.veic.org/projects/illinoistrm/Shared Documents/TRM Reference Documents/Commercial and Industrial/4.5 Lighting End Use/4.5.4 LED Bulbs and Fixtures/"/>
    </mc:Choice>
  </mc:AlternateContent>
  <bookViews>
    <workbookView xWindow="840" yWindow="420" windowWidth="8940" windowHeight="6915"/>
  </bookViews>
  <sheets>
    <sheet name="2016 calc" sheetId="4" r:id="rId1"/>
    <sheet name="MF common" sheetId="2" r:id="rId2"/>
    <sheet name="Sheet3" sheetId="3" r:id="rId3"/>
  </sheets>
  <externalReferences>
    <externalReference r:id="rId4"/>
  </externalReferences>
  <definedNames>
    <definedName name="RDR" localSheetId="0">'[1]Interior and in unit'!$C$6</definedName>
    <definedName name="RDR">#REF!</definedName>
  </definedNames>
  <calcPr calcId="152511"/>
</workbook>
</file>

<file path=xl/calcChain.xml><?xml version="1.0" encoding="utf-8"?>
<calcChain xmlns="http://schemas.openxmlformats.org/spreadsheetml/2006/main">
  <c r="O24" i="2" l="1"/>
  <c r="N24" i="2"/>
  <c r="J24" i="2"/>
  <c r="I24" i="2"/>
  <c r="E24" i="2"/>
  <c r="D24" i="2"/>
  <c r="H23" i="2"/>
  <c r="H24" i="2" s="1"/>
  <c r="H25" i="2" s="1"/>
  <c r="H26" i="2" s="1"/>
  <c r="H27" i="2" s="1"/>
  <c r="M22" i="2"/>
  <c r="M23" i="2" s="1"/>
  <c r="M24" i="2" s="1"/>
  <c r="M25" i="2" s="1"/>
  <c r="M26" i="2" s="1"/>
  <c r="M27" i="2" s="1"/>
  <c r="H22" i="2"/>
  <c r="C22" i="2"/>
  <c r="C23" i="2" s="1"/>
  <c r="C24" i="2" s="1"/>
  <c r="C25" i="2" s="1"/>
  <c r="C26" i="2" s="1"/>
  <c r="C27" i="2" s="1"/>
  <c r="N19" i="2"/>
  <c r="D19" i="2"/>
  <c r="G4" i="2"/>
  <c r="F4" i="2"/>
  <c r="E4" i="2"/>
  <c r="O19" i="2" s="1"/>
  <c r="O25" i="4"/>
  <c r="O24" i="4"/>
  <c r="O23" i="4"/>
  <c r="O22" i="4"/>
  <c r="N25" i="4"/>
  <c r="N24" i="4"/>
  <c r="N23" i="4"/>
  <c r="N22" i="4"/>
  <c r="J25" i="4"/>
  <c r="J24" i="4"/>
  <c r="J23" i="4"/>
  <c r="J22" i="4"/>
  <c r="I25" i="4"/>
  <c r="I24" i="4"/>
  <c r="I23" i="4"/>
  <c r="I22" i="4"/>
  <c r="E25" i="4"/>
  <c r="E24" i="4"/>
  <c r="E28" i="4"/>
  <c r="E29" i="4" s="1"/>
  <c r="E23" i="4"/>
  <c r="E22" i="4"/>
  <c r="D25" i="4"/>
  <c r="D24" i="4"/>
  <c r="D23" i="4"/>
  <c r="D22" i="4"/>
  <c r="C22" i="4"/>
  <c r="E4" i="4"/>
  <c r="I19" i="2" l="1"/>
  <c r="E22" i="2"/>
  <c r="I22" i="2"/>
  <c r="O22" i="2"/>
  <c r="D23" i="2"/>
  <c r="J23" i="2"/>
  <c r="N23" i="2"/>
  <c r="E19" i="2"/>
  <c r="J19" i="2"/>
  <c r="D22" i="2"/>
  <c r="J22" i="2"/>
  <c r="J28" i="2" s="1"/>
  <c r="E14" i="2" s="1"/>
  <c r="N22" i="2"/>
  <c r="N28" i="2" s="1"/>
  <c r="F13" i="2" s="1"/>
  <c r="E23" i="2"/>
  <c r="I23" i="2"/>
  <c r="O23" i="2"/>
  <c r="D28" i="4"/>
  <c r="D29" i="4" s="1"/>
  <c r="J29" i="2" l="1"/>
  <c r="H14" i="2" s="1"/>
  <c r="O28" i="2"/>
  <c r="E28" i="2"/>
  <c r="D14" i="2" s="1"/>
  <c r="D28" i="2"/>
  <c r="I28" i="2"/>
  <c r="N29" i="2"/>
  <c r="I13" i="2" s="1"/>
  <c r="H22" i="4"/>
  <c r="C23" i="4"/>
  <c r="H23" i="4"/>
  <c r="C24" i="4"/>
  <c r="H24" i="4"/>
  <c r="C25" i="4"/>
  <c r="H25" i="4"/>
  <c r="C26" i="4"/>
  <c r="H26" i="4"/>
  <c r="C27" i="4"/>
  <c r="H27" i="4"/>
  <c r="E29" i="2" l="1"/>
  <c r="G14" i="2" s="1"/>
  <c r="E13" i="2"/>
  <c r="I29" i="2"/>
  <c r="H13" i="2" s="1"/>
  <c r="D13" i="2"/>
  <c r="D29" i="2"/>
  <c r="G13" i="2" s="1"/>
  <c r="F14" i="2"/>
  <c r="O29" i="2"/>
  <c r="I14" i="2" s="1"/>
  <c r="G4" i="4"/>
  <c r="O19" i="4"/>
  <c r="M22" i="4"/>
  <c r="M23" i="4" s="1"/>
  <c r="M24" i="4" s="1"/>
  <c r="M25" i="4" s="1"/>
  <c r="M26" i="4" s="1"/>
  <c r="M27" i="4" s="1"/>
  <c r="F4" i="4"/>
  <c r="D19" i="4" l="1"/>
  <c r="I19" i="4"/>
  <c r="E19" i="4"/>
  <c r="J19" i="4"/>
  <c r="N19" i="4"/>
  <c r="O28" i="4" l="1"/>
  <c r="J28" i="4"/>
  <c r="J29" i="4" s="1"/>
  <c r="H14" i="4" s="1"/>
  <c r="I28" i="4"/>
  <c r="I29" i="4" s="1"/>
  <c r="H13" i="4" s="1"/>
  <c r="N28" i="4"/>
  <c r="N29" i="4" s="1"/>
  <c r="I13" i="4" s="1"/>
  <c r="G13" i="4" l="1"/>
  <c r="D13" i="4"/>
  <c r="G14" i="4"/>
  <c r="D14" i="4"/>
  <c r="E14" i="4"/>
  <c r="E13" i="4"/>
  <c r="F13" i="4"/>
  <c r="F14" i="4"/>
  <c r="O29" i="4"/>
  <c r="I14" i="4" s="1"/>
</calcChain>
</file>

<file path=xl/sharedStrings.xml><?xml version="1.0" encoding="utf-8"?>
<sst xmlns="http://schemas.openxmlformats.org/spreadsheetml/2006/main" count="128" uniqueCount="35">
  <si>
    <t>CFL</t>
  </si>
  <si>
    <t>Year</t>
  </si>
  <si>
    <t>Measure Life</t>
  </si>
  <si>
    <t>Data tables are provided at the top of this sheet with the calculations lower down. The values in the TRM table are referenced cells.</t>
  </si>
  <si>
    <t>Std Inc.</t>
  </si>
  <si>
    <t>EISA Compliant Halogen</t>
  </si>
  <si>
    <t>LED-A</t>
  </si>
  <si>
    <t>Installation Location</t>
  </si>
  <si>
    <t>Hours of Use per year</t>
  </si>
  <si>
    <t xml:space="preserve">Measure Life in Years </t>
  </si>
  <si>
    <t>Commercial</t>
  </si>
  <si>
    <t>2020 &amp; after</t>
  </si>
  <si>
    <t>N/A</t>
  </si>
  <si>
    <t>The annual levelized baseline replacement costs using the statewide real discount rate of 5.23% are presented below: (table for TRM)</t>
  </si>
  <si>
    <t>Location</t>
  </si>
  <si>
    <t>Lumen Level</t>
  </si>
  <si>
    <t>NPV of replacement costs for period</t>
  </si>
  <si>
    <t>Levelized annual replacement cost savings</t>
  </si>
  <si>
    <t>Lumens &lt;310 or &gt;2600 (non-EISA compliant)</t>
  </si>
  <si>
    <t>Lumens ≥ 310 and ≤ 2600 (EISA compliant)</t>
  </si>
  <si>
    <t>Discount Rate</t>
  </si>
  <si>
    <t>Hours before needing new bulb</t>
  </si>
  <si>
    <t>(both incandescent and halogen)</t>
  </si>
  <si>
    <t>Installation year:</t>
  </si>
  <si>
    <t>Non EISA compliant</t>
  </si>
  <si>
    <t>EISA Compliant</t>
  </si>
  <si>
    <t>NPV of all baseline replacement costs:</t>
  </si>
  <si>
    <t>Levelized annual cost:</t>
  </si>
  <si>
    <t>Baseline halogen lamps used per year</t>
  </si>
  <si>
    <t>Baseline CFL lamps used per year</t>
  </si>
  <si>
    <t>June 2017 - May 2018</t>
  </si>
  <si>
    <t>June 2018 - May 2019</t>
  </si>
  <si>
    <t>(Misc)</t>
  </si>
  <si>
    <t>MF common</t>
  </si>
  <si>
    <t>June 2019- May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</si>
</sst>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FFFF"/>
      <name val="Calibri"/>
      <family val="2"/>
      <scheme val="minor"/>
    </font>
    <font>
      <sz val="10"/>
      <color rgb="FFFF0000"/>
      <name val="Times New Roman"/>
      <family val="1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4" fillId="0" borderId="4" xfId="0" applyFont="1" applyBorder="1" applyAlignment="1">
      <alignment horizontal="justify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8" fontId="4" fillId="0" borderId="6" xfId="0" applyNumberFormat="1" applyFont="1" applyBorder="1" applyAlignment="1">
      <alignment horizontal="center" vertical="center"/>
    </xf>
    <xf numFmtId="8" fontId="8" fillId="0" borderId="6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10" fillId="0" borderId="9" xfId="4" applyBorder="1" applyAlignment="1">
      <alignment vertical="center" wrapText="1"/>
    </xf>
    <xf numFmtId="164" fontId="9" fillId="0" borderId="9" xfId="0" applyNumberFormat="1" applyFont="1" applyBorder="1" applyAlignment="1">
      <alignment vertical="center" wrapText="1"/>
    </xf>
    <xf numFmtId="2" fontId="0" fillId="0" borderId="7" xfId="0" applyNumberFormat="1" applyBorder="1"/>
    <xf numFmtId="0" fontId="4" fillId="0" borderId="8" xfId="0" applyFont="1" applyBorder="1" applyAlignment="1">
      <alignment horizontal="justify" vertical="center"/>
    </xf>
    <xf numFmtId="8" fontId="4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vertical="center" wrapText="1"/>
    </xf>
    <xf numFmtId="8" fontId="9" fillId="3" borderId="12" xfId="0" applyNumberFormat="1" applyFont="1" applyFill="1" applyBorder="1" applyAlignment="1">
      <alignment vertical="center"/>
    </xf>
    <xf numFmtId="8" fontId="9" fillId="3" borderId="11" xfId="0" applyNumberFormat="1" applyFont="1" applyFill="1" applyBorder="1" applyAlignment="1">
      <alignment vertical="center"/>
    </xf>
    <xf numFmtId="8" fontId="9" fillId="3" borderId="10" xfId="0" applyNumberFormat="1" applyFont="1" applyFill="1" applyBorder="1" applyAlignment="1">
      <alignment vertical="center"/>
    </xf>
    <xf numFmtId="8" fontId="9" fillId="3" borderId="13" xfId="0" applyNumberFormat="1" applyFont="1" applyFill="1" applyBorder="1" applyAlignment="1">
      <alignment vertical="center"/>
    </xf>
    <xf numFmtId="0" fontId="9" fillId="3" borderId="17" xfId="0" applyFont="1" applyFill="1" applyBorder="1" applyAlignment="1">
      <alignment vertical="center" wrapText="1"/>
    </xf>
    <xf numFmtId="8" fontId="9" fillId="3" borderId="18" xfId="0" applyNumberFormat="1" applyFont="1" applyFill="1" applyBorder="1" applyAlignment="1">
      <alignment vertical="center"/>
    </xf>
    <xf numFmtId="8" fontId="9" fillId="3" borderId="19" xfId="0" applyNumberFormat="1" applyFont="1" applyFill="1" applyBorder="1" applyAlignment="1">
      <alignment vertical="center"/>
    </xf>
    <xf numFmtId="8" fontId="9" fillId="3" borderId="16" xfId="0" applyNumberFormat="1" applyFont="1" applyFill="1" applyBorder="1" applyAlignment="1">
      <alignment vertical="center"/>
    </xf>
    <xf numFmtId="8" fontId="9" fillId="3" borderId="17" xfId="0" applyNumberFormat="1" applyFont="1" applyFill="1" applyBorder="1" applyAlignment="1">
      <alignment vertical="center"/>
    </xf>
    <xf numFmtId="0" fontId="9" fillId="0" borderId="0" xfId="0" applyFont="1" applyAlignment="1">
      <alignment horizontal="justify" vertical="center"/>
    </xf>
    <xf numFmtId="0" fontId="0" fillId="4" borderId="5" xfId="0" applyFill="1" applyBorder="1"/>
    <xf numFmtId="10" fontId="0" fillId="4" borderId="6" xfId="3" applyNumberFormat="1" applyFont="1" applyFill="1" applyBorder="1"/>
    <xf numFmtId="0" fontId="12" fillId="0" borderId="0" xfId="0" applyFont="1"/>
    <xf numFmtId="0" fontId="12" fillId="4" borderId="5" xfId="0" applyFont="1" applyFill="1" applyBorder="1"/>
    <xf numFmtId="0" fontId="12" fillId="4" borderId="6" xfId="0" applyFont="1" applyFill="1" applyBorder="1"/>
    <xf numFmtId="164" fontId="12" fillId="0" borderId="0" xfId="0" applyNumberFormat="1" applyFont="1"/>
    <xf numFmtId="0" fontId="13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3" xfId="0" applyFont="1" applyBorder="1"/>
    <xf numFmtId="8" fontId="12" fillId="0" borderId="3" xfId="0" applyNumberFormat="1" applyFont="1" applyBorder="1"/>
    <xf numFmtId="8" fontId="12" fillId="0" borderId="0" xfId="0" applyNumberFormat="1" applyFont="1" applyBorder="1"/>
    <xf numFmtId="0" fontId="12" fillId="0" borderId="0" xfId="0" applyFont="1" applyBorder="1"/>
    <xf numFmtId="8" fontId="12" fillId="0" borderId="0" xfId="0" applyNumberFormat="1" applyFont="1"/>
    <xf numFmtId="8" fontId="0" fillId="0" borderId="0" xfId="0" applyNumberFormat="1"/>
    <xf numFmtId="0" fontId="7" fillId="2" borderId="20" xfId="0" applyFont="1" applyFill="1" applyBorder="1" applyAlignment="1">
      <alignment horizontal="center" vertical="center" wrapText="1"/>
    </xf>
    <xf numFmtId="0" fontId="12" fillId="4" borderId="0" xfId="0" applyFont="1" applyFill="1" applyBorder="1"/>
    <xf numFmtId="2" fontId="0" fillId="0" borderId="0" xfId="0" applyNumberFormat="1"/>
    <xf numFmtId="0" fontId="7" fillId="2" borderId="1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</cellXfs>
  <cellStyles count="5">
    <cellStyle name="Currency 2" xfId="2"/>
    <cellStyle name="Hyperlink" xfId="4" builtinId="8"/>
    <cellStyle name="Normal" xfId="0" builtinId="0"/>
    <cellStyle name="Normal 2" xfId="1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ulting/2013%20Projects/Illinois_TRM/TRM%20Reference%20Documents/RES%20References/RES%20Lighting%20References/RES%20Standard%20CFL%20OM%20calc_1202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ior and in unit"/>
      <sheetName val="MF common area"/>
      <sheetName val="Exterior"/>
      <sheetName val="2014 calc"/>
    </sheetNames>
    <sheetDataSet>
      <sheetData sheetId="0">
        <row r="6">
          <cell r="C6">
            <v>5.2299999999999999E-2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C1" workbookViewId="0">
      <selection activeCell="C8" sqref="C8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4" ht="15.75" thickBot="1" x14ac:dyDescent="0.3">
      <c r="A1" s="1" t="s">
        <v>3</v>
      </c>
    </row>
    <row r="2" spans="1:14" ht="39" thickBot="1" x14ac:dyDescent="0.3">
      <c r="I2" s="2"/>
      <c r="J2" s="3" t="s">
        <v>4</v>
      </c>
      <c r="K2" s="3" t="s">
        <v>5</v>
      </c>
      <c r="L2" s="4" t="s">
        <v>0</v>
      </c>
      <c r="M2" s="5" t="s">
        <v>6</v>
      </c>
    </row>
    <row r="3" spans="1:14" ht="39" thickBot="1" x14ac:dyDescent="0.3">
      <c r="C3" s="6" t="s">
        <v>7</v>
      </c>
      <c r="D3" s="7" t="s">
        <v>8</v>
      </c>
      <c r="E3" s="7" t="s">
        <v>9</v>
      </c>
      <c r="F3" s="8" t="s">
        <v>28</v>
      </c>
      <c r="G3" s="47" t="s">
        <v>29</v>
      </c>
      <c r="I3" s="2">
        <v>2014</v>
      </c>
      <c r="J3" s="9">
        <v>0.43</v>
      </c>
      <c r="K3" s="9">
        <v>1.5</v>
      </c>
      <c r="L3" s="10">
        <v>2.4500000000000002</v>
      </c>
      <c r="M3" s="9">
        <v>10.86</v>
      </c>
    </row>
    <row r="4" spans="1:14" ht="15.75" thickBot="1" x14ac:dyDescent="0.3">
      <c r="C4" s="11" t="s">
        <v>10</v>
      </c>
      <c r="D4" s="12">
        <v>4683</v>
      </c>
      <c r="E4" s="13">
        <f>15000/D4</f>
        <v>3.2030749519538757</v>
      </c>
      <c r="F4" s="14">
        <f>D4/$D$17</f>
        <v>4.6829999999999998</v>
      </c>
      <c r="G4" s="49">
        <f>D4/D18</f>
        <v>0.46829999999999999</v>
      </c>
      <c r="I4" s="15">
        <v>2015</v>
      </c>
      <c r="J4" s="9">
        <v>0.43</v>
      </c>
      <c r="K4" s="16">
        <v>1.25</v>
      </c>
      <c r="L4" s="10">
        <v>2.4500000000000002</v>
      </c>
      <c r="M4" s="16">
        <v>6.92</v>
      </c>
    </row>
    <row r="5" spans="1:14" ht="15.75" thickBot="1" x14ac:dyDescent="0.3">
      <c r="D5" t="s">
        <v>32</v>
      </c>
      <c r="I5" s="15">
        <v>2016</v>
      </c>
      <c r="J5" s="9">
        <v>0.43</v>
      </c>
      <c r="K5" s="16">
        <v>1.25</v>
      </c>
      <c r="L5" s="10">
        <v>2.4500000000000002</v>
      </c>
      <c r="M5" s="16">
        <v>4.2930000000000001</v>
      </c>
    </row>
    <row r="6" spans="1:14" ht="15.75" thickBot="1" x14ac:dyDescent="0.3">
      <c r="I6" s="15">
        <v>2017</v>
      </c>
      <c r="J6" s="9">
        <v>0.43</v>
      </c>
      <c r="K6" s="16">
        <v>1.25</v>
      </c>
      <c r="L6" s="10">
        <v>2.4500000000000002</v>
      </c>
      <c r="M6" s="16">
        <v>3.21</v>
      </c>
    </row>
    <row r="7" spans="1:14" ht="15.75" thickBot="1" x14ac:dyDescent="0.3">
      <c r="I7" s="15">
        <v>2018</v>
      </c>
      <c r="J7" s="9">
        <v>0.43</v>
      </c>
      <c r="K7" s="16">
        <v>1.25</v>
      </c>
      <c r="L7" s="10">
        <v>2.4500000000000002</v>
      </c>
      <c r="M7" s="16">
        <v>3.21</v>
      </c>
    </row>
    <row r="8" spans="1:14" ht="15.75" thickBot="1" x14ac:dyDescent="0.3">
      <c r="I8" s="15">
        <v>2019</v>
      </c>
      <c r="J8" s="9">
        <v>0.43</v>
      </c>
      <c r="K8" s="16">
        <v>1.25</v>
      </c>
      <c r="L8" s="10">
        <v>2.4500000000000002</v>
      </c>
      <c r="M8" s="16">
        <v>3.1100000000000003</v>
      </c>
    </row>
    <row r="9" spans="1:14" ht="26.25" thickBot="1" x14ac:dyDescent="0.3">
      <c r="D9" s="17"/>
      <c r="E9" s="17"/>
      <c r="F9" s="17"/>
      <c r="G9" s="17"/>
      <c r="H9" s="17"/>
      <c r="I9" s="2" t="s">
        <v>11</v>
      </c>
      <c r="J9" s="9">
        <v>0.43</v>
      </c>
      <c r="K9" s="18" t="s">
        <v>12</v>
      </c>
      <c r="L9" s="10">
        <v>2.4500000000000002</v>
      </c>
      <c r="M9" s="16">
        <v>2.7</v>
      </c>
    </row>
    <row r="10" spans="1:14" ht="15.75" thickBot="1" x14ac:dyDescent="0.3">
      <c r="B10" s="19" t="s">
        <v>13</v>
      </c>
    </row>
    <row r="11" spans="1:14" x14ac:dyDescent="0.25">
      <c r="B11" s="53" t="s">
        <v>14</v>
      </c>
      <c r="C11" s="55" t="s">
        <v>15</v>
      </c>
      <c r="D11" s="53" t="s">
        <v>16</v>
      </c>
      <c r="E11" s="57"/>
      <c r="F11" s="55"/>
      <c r="G11" s="53" t="s">
        <v>17</v>
      </c>
      <c r="H11" s="57"/>
      <c r="I11" s="58"/>
    </row>
    <row r="12" spans="1:14" ht="26.25" thickBot="1" x14ac:dyDescent="0.3">
      <c r="B12" s="54"/>
      <c r="C12" s="56"/>
      <c r="D12" s="50" t="s">
        <v>30</v>
      </c>
      <c r="E12" s="50" t="s">
        <v>31</v>
      </c>
      <c r="F12" s="20" t="s">
        <v>34</v>
      </c>
      <c r="G12" s="50" t="s">
        <v>30</v>
      </c>
      <c r="H12" s="50" t="s">
        <v>31</v>
      </c>
      <c r="I12" s="50" t="s">
        <v>34</v>
      </c>
    </row>
    <row r="13" spans="1:14" ht="16.5" customHeight="1" x14ac:dyDescent="0.25">
      <c r="B13" s="59" t="s">
        <v>10</v>
      </c>
      <c r="C13" s="21" t="s">
        <v>18</v>
      </c>
      <c r="D13" s="22">
        <f>D28</f>
        <v>5.3800465562786641</v>
      </c>
      <c r="E13" s="22">
        <f>I$28</f>
        <v>5.3800465562786641</v>
      </c>
      <c r="F13" s="23">
        <f>N$28</f>
        <v>5.3800465562786641</v>
      </c>
      <c r="G13" s="24">
        <f>D29</f>
        <v>1.8677155073140448</v>
      </c>
      <c r="H13" s="22">
        <f>I$29</f>
        <v>1.8677155073140448</v>
      </c>
      <c r="I13" s="25">
        <f>N$29</f>
        <v>1.8677155073140448</v>
      </c>
    </row>
    <row r="14" spans="1:14" ht="15.75" thickBot="1" x14ac:dyDescent="0.3">
      <c r="B14" s="60"/>
      <c r="C14" s="26" t="s">
        <v>19</v>
      </c>
      <c r="D14" s="27">
        <f>E28</f>
        <v>14.872022556085902</v>
      </c>
      <c r="E14" s="27">
        <f>J$28</f>
        <v>10.833044363245259</v>
      </c>
      <c r="F14" s="28">
        <f>O$28</f>
        <v>6.5828276109190478</v>
      </c>
      <c r="G14" s="29">
        <f>E29</f>
        <v>5.1629120422219588</v>
      </c>
      <c r="H14" s="27">
        <f>J$29</f>
        <v>3.7607564798935882</v>
      </c>
      <c r="I14" s="30">
        <f>O$29</f>
        <v>2.2852681816554425</v>
      </c>
    </row>
    <row r="15" spans="1:14" ht="15.75" thickBot="1" x14ac:dyDescent="0.3">
      <c r="C15" s="31"/>
    </row>
    <row r="16" spans="1:14" ht="15.75" thickBot="1" x14ac:dyDescent="0.3">
      <c r="C16" s="32" t="s">
        <v>20</v>
      </c>
      <c r="D16" s="33">
        <v>5.2299999999999999E-2</v>
      </c>
      <c r="H16" s="32" t="s">
        <v>20</v>
      </c>
      <c r="I16" s="33">
        <v>5.2299999999999999E-2</v>
      </c>
      <c r="M16" s="32" t="s">
        <v>20</v>
      </c>
      <c r="N16" s="33">
        <v>5.2299999999999999E-2</v>
      </c>
    </row>
    <row r="17" spans="2:15" s="34" customFormat="1" ht="15.75" thickBot="1" x14ac:dyDescent="0.3">
      <c r="C17" s="35" t="s">
        <v>21</v>
      </c>
      <c r="D17" s="36">
        <v>1000</v>
      </c>
      <c r="E17" s="34" t="s">
        <v>22</v>
      </c>
      <c r="H17" s="35" t="s">
        <v>21</v>
      </c>
      <c r="I17" s="36">
        <v>1000</v>
      </c>
      <c r="J17" s="34" t="s">
        <v>22</v>
      </c>
      <c r="M17" s="35" t="s">
        <v>21</v>
      </c>
      <c r="N17" s="36">
        <v>1000</v>
      </c>
      <c r="O17" s="34" t="s">
        <v>22</v>
      </c>
    </row>
    <row r="18" spans="2:15" s="34" customFormat="1" x14ac:dyDescent="0.25">
      <c r="C18" s="48"/>
      <c r="D18" s="48">
        <v>10000</v>
      </c>
      <c r="E18" s="34" t="s">
        <v>0</v>
      </c>
      <c r="H18" s="48"/>
      <c r="I18" s="48">
        <v>10000</v>
      </c>
      <c r="J18" s="34" t="s">
        <v>0</v>
      </c>
      <c r="M18" s="48"/>
      <c r="N18" s="48">
        <v>10000</v>
      </c>
      <c r="O18" s="34" t="s">
        <v>0</v>
      </c>
    </row>
    <row r="19" spans="2:15" s="34" customFormat="1" x14ac:dyDescent="0.25">
      <c r="C19" s="34" t="s">
        <v>2</v>
      </c>
      <c r="D19" s="37">
        <f>$E$4</f>
        <v>3.2030749519538757</v>
      </c>
      <c r="E19" s="37">
        <f>$E$4</f>
        <v>3.2030749519538757</v>
      </c>
      <c r="H19" s="34" t="s">
        <v>2</v>
      </c>
      <c r="I19" s="37">
        <f>$E$4</f>
        <v>3.2030749519538757</v>
      </c>
      <c r="J19" s="37">
        <f>$E$4</f>
        <v>3.2030749519538757</v>
      </c>
      <c r="M19" s="34" t="s">
        <v>2</v>
      </c>
      <c r="N19" s="37">
        <f>$E$4</f>
        <v>3.2030749519538757</v>
      </c>
      <c r="O19" s="37">
        <f>$E$4</f>
        <v>3.2030749519538757</v>
      </c>
    </row>
    <row r="20" spans="2:15" s="34" customFormat="1" ht="15" customHeight="1" x14ac:dyDescent="0.25">
      <c r="B20" s="34" t="s">
        <v>23</v>
      </c>
      <c r="C20" s="61" t="s">
        <v>1</v>
      </c>
      <c r="D20" s="63" t="s">
        <v>10</v>
      </c>
      <c r="E20" s="64"/>
      <c r="F20" s="38"/>
      <c r="G20" s="34" t="s">
        <v>23</v>
      </c>
      <c r="H20" s="61" t="s">
        <v>1</v>
      </c>
      <c r="I20" s="63" t="s">
        <v>10</v>
      </c>
      <c r="J20" s="64"/>
      <c r="L20" s="34" t="s">
        <v>23</v>
      </c>
      <c r="M20" s="51" t="s">
        <v>1</v>
      </c>
      <c r="N20" s="52" t="s">
        <v>10</v>
      </c>
      <c r="O20" s="52"/>
    </row>
    <row r="21" spans="2:15" s="34" customFormat="1" ht="29.25" customHeight="1" x14ac:dyDescent="0.25">
      <c r="B21" s="34">
        <v>2017</v>
      </c>
      <c r="C21" s="62"/>
      <c r="D21" s="39" t="s">
        <v>24</v>
      </c>
      <c r="E21" s="39" t="s">
        <v>25</v>
      </c>
      <c r="F21" s="40"/>
      <c r="G21" s="34">
        <v>2018</v>
      </c>
      <c r="H21" s="62"/>
      <c r="I21" s="39" t="s">
        <v>24</v>
      </c>
      <c r="J21" s="39" t="s">
        <v>25</v>
      </c>
      <c r="L21" s="34">
        <v>2019</v>
      </c>
      <c r="M21" s="51"/>
      <c r="N21" s="39" t="s">
        <v>24</v>
      </c>
      <c r="O21" s="39" t="s">
        <v>25</v>
      </c>
    </row>
    <row r="22" spans="2:15" s="34" customFormat="1" x14ac:dyDescent="0.25">
      <c r="C22" s="41">
        <f>B21</f>
        <v>2017</v>
      </c>
      <c r="D22" s="42">
        <f>($J6*$F$4)-J6</f>
        <v>1.58369</v>
      </c>
      <c r="E22" s="42">
        <f>($K6*$F$4)-K6</f>
        <v>4.6037499999999998</v>
      </c>
      <c r="F22" s="43"/>
      <c r="H22" s="41">
        <f>G21</f>
        <v>2018</v>
      </c>
      <c r="I22" s="42">
        <f>($J7*$F$4)-J7</f>
        <v>1.58369</v>
      </c>
      <c r="J22" s="42">
        <f>($K7*$F$4)-K7</f>
        <v>4.6037499999999998</v>
      </c>
      <c r="M22" s="41">
        <f>L21</f>
        <v>2019</v>
      </c>
      <c r="N22" s="42">
        <f>($J8*$F$4)-J8</f>
        <v>1.58369</v>
      </c>
      <c r="O22" s="42">
        <f>($K8*$F$4)-K8</f>
        <v>4.6037499999999998</v>
      </c>
    </row>
    <row r="23" spans="2:15" s="34" customFormat="1" x14ac:dyDescent="0.25">
      <c r="C23" s="41">
        <f>C22+1</f>
        <v>2018</v>
      </c>
      <c r="D23" s="42">
        <f>$J7*$F$4</f>
        <v>2.01369</v>
      </c>
      <c r="E23" s="42">
        <f>$K7*$F$4</f>
        <v>5.8537499999999998</v>
      </c>
      <c r="F23" s="43"/>
      <c r="H23" s="41">
        <f>H22+1</f>
        <v>2019</v>
      </c>
      <c r="I23" s="42">
        <f>$J8*$F$4</f>
        <v>2.01369</v>
      </c>
      <c r="J23" s="42">
        <f>$K8*$F$4</f>
        <v>5.8537499999999998</v>
      </c>
      <c r="M23" s="41">
        <f>M22+1</f>
        <v>2020</v>
      </c>
      <c r="N23" s="42">
        <f>$J9*$F$4</f>
        <v>2.01369</v>
      </c>
      <c r="O23" s="42">
        <f>$L9*$G$4</f>
        <v>1.147335</v>
      </c>
    </row>
    <row r="24" spans="2:15" s="34" customFormat="1" x14ac:dyDescent="0.25">
      <c r="C24" s="41">
        <f t="shared" ref="C24:C27" si="0">C23+1</f>
        <v>2019</v>
      </c>
      <c r="D24" s="42">
        <f t="shared" ref="D24:D25" si="1">$J8*$F$4</f>
        <v>2.01369</v>
      </c>
      <c r="E24" s="42">
        <f>$K8*$F$4</f>
        <v>5.8537499999999998</v>
      </c>
      <c r="F24" s="43"/>
      <c r="H24" s="41">
        <f t="shared" ref="H24:H27" si="2">H23+1</f>
        <v>2020</v>
      </c>
      <c r="I24" s="42">
        <f>$J9*$F$4</f>
        <v>2.01369</v>
      </c>
      <c r="J24" s="42">
        <f>$L9*$G$4</f>
        <v>1.147335</v>
      </c>
      <c r="M24" s="41">
        <f t="shared" ref="M24:M27" si="3">M23+1</f>
        <v>2021</v>
      </c>
      <c r="N24" s="42">
        <f>N23</f>
        <v>2.01369</v>
      </c>
      <c r="O24" s="42">
        <f>$L9*$G$4</f>
        <v>1.147335</v>
      </c>
    </row>
    <row r="25" spans="2:15" s="34" customFormat="1" x14ac:dyDescent="0.25">
      <c r="C25" s="41">
        <f t="shared" si="0"/>
        <v>2020</v>
      </c>
      <c r="D25" s="42">
        <f>$J9*$F$4*0.2</f>
        <v>0.40273800000000004</v>
      </c>
      <c r="E25" s="42">
        <f>$L9*$G$4*0.2</f>
        <v>0.229467</v>
      </c>
      <c r="F25" s="43"/>
      <c r="H25" s="41">
        <f t="shared" si="2"/>
        <v>2021</v>
      </c>
      <c r="I25" s="42">
        <f>I24*0.2</f>
        <v>0.40273800000000004</v>
      </c>
      <c r="J25" s="42">
        <f>J24*0.2</f>
        <v>0.229467</v>
      </c>
      <c r="M25" s="41">
        <f t="shared" si="3"/>
        <v>2022</v>
      </c>
      <c r="N25" s="42">
        <f>N24*0.2</f>
        <v>0.40273800000000004</v>
      </c>
      <c r="O25" s="42">
        <f>O24*0.2</f>
        <v>0.229467</v>
      </c>
    </row>
    <row r="26" spans="2:15" s="34" customFormat="1" x14ac:dyDescent="0.25">
      <c r="C26" s="41">
        <f t="shared" si="0"/>
        <v>2021</v>
      </c>
      <c r="D26" s="42"/>
      <c r="E26" s="42"/>
      <c r="F26" s="43"/>
      <c r="H26" s="41">
        <f t="shared" si="2"/>
        <v>2022</v>
      </c>
      <c r="I26" s="42"/>
      <c r="J26" s="42"/>
      <c r="M26" s="41">
        <f t="shared" si="3"/>
        <v>2023</v>
      </c>
      <c r="N26" s="42"/>
      <c r="O26" s="42"/>
    </row>
    <row r="27" spans="2:15" s="34" customFormat="1" x14ac:dyDescent="0.25">
      <c r="C27" s="41">
        <f t="shared" si="0"/>
        <v>2022</v>
      </c>
      <c r="D27" s="42"/>
      <c r="E27" s="42"/>
      <c r="F27" s="43"/>
      <c r="H27" s="41">
        <f t="shared" si="2"/>
        <v>2023</v>
      </c>
      <c r="I27" s="42"/>
      <c r="J27" s="42"/>
      <c r="M27" s="41">
        <f t="shared" si="3"/>
        <v>2024</v>
      </c>
      <c r="N27" s="42"/>
      <c r="O27" s="42"/>
    </row>
    <row r="28" spans="2:15" s="34" customFormat="1" x14ac:dyDescent="0.25">
      <c r="C28" s="44" t="s">
        <v>26</v>
      </c>
      <c r="D28" s="43">
        <f>NPV($D$16,D22:D27)</f>
        <v>5.3800465562786641</v>
      </c>
      <c r="E28" s="43">
        <f>NPV($D$16,E22:E27)</f>
        <v>14.872022556085902</v>
      </c>
      <c r="F28" s="43"/>
      <c r="H28" s="44" t="s">
        <v>26</v>
      </c>
      <c r="I28" s="43">
        <f t="shared" ref="I28:J28" si="4">NPV($D$16,I22:I27)</f>
        <v>5.3800465562786641</v>
      </c>
      <c r="J28" s="43">
        <f t="shared" si="4"/>
        <v>10.833044363245259</v>
      </c>
      <c r="M28" s="44" t="s">
        <v>26</v>
      </c>
      <c r="N28" s="43">
        <f>NPV($D$16,N22:N27)</f>
        <v>5.3800465562786641</v>
      </c>
      <c r="O28" s="43">
        <f>NPV($D$16,O22:O27)</f>
        <v>6.5828276109190478</v>
      </c>
    </row>
    <row r="29" spans="2:15" s="34" customFormat="1" x14ac:dyDescent="0.25">
      <c r="C29" s="44" t="s">
        <v>27</v>
      </c>
      <c r="D29" s="43">
        <f>-PMT($D$16,D$19,D28,,)</f>
        <v>1.8677155073140448</v>
      </c>
      <c r="E29" s="43">
        <f t="shared" ref="E29" si="5">-PMT($D$16,E$19,E28,,)</f>
        <v>5.1629120422219588</v>
      </c>
      <c r="F29" s="43"/>
      <c r="H29" s="44" t="s">
        <v>27</v>
      </c>
      <c r="I29" s="43">
        <f t="shared" ref="I29:J29" si="6">-PMT($D$16,I$19,I28,,)</f>
        <v>1.8677155073140448</v>
      </c>
      <c r="J29" s="43">
        <f t="shared" si="6"/>
        <v>3.7607564798935882</v>
      </c>
      <c r="M29" s="44" t="s">
        <v>27</v>
      </c>
      <c r="N29" s="43">
        <f t="shared" ref="N29" si="7">-PMT($D$16,N$19,N28,,)</f>
        <v>1.8677155073140448</v>
      </c>
      <c r="O29" s="43">
        <f>-PMT($D$16,O$19,O28,,)</f>
        <v>2.2852681816554425</v>
      </c>
    </row>
    <row r="30" spans="2:15" s="34" customFormat="1" x14ac:dyDescent="0.25">
      <c r="C30" s="44"/>
      <c r="D30" s="43"/>
      <c r="E30" s="43"/>
      <c r="F30" s="43"/>
      <c r="G30" s="43"/>
      <c r="H30" s="43"/>
      <c r="I30" s="43"/>
      <c r="J30" s="43"/>
      <c r="K30" s="43"/>
      <c r="L30" s="43"/>
    </row>
    <row r="31" spans="2:15" s="34" customFormat="1" x14ac:dyDescent="0.25"/>
    <row r="32" spans="2:15" s="34" customFormat="1" x14ac:dyDescent="0.25">
      <c r="D32" s="45"/>
      <c r="E32" s="45"/>
      <c r="F32" s="45"/>
      <c r="G32" s="45"/>
      <c r="H32" s="45"/>
      <c r="I32" s="45"/>
      <c r="J32" s="45"/>
      <c r="K32" s="45"/>
      <c r="L32" s="45"/>
    </row>
    <row r="33" spans="4:12" s="34" customFormat="1" x14ac:dyDescent="0.25">
      <c r="D33" s="45"/>
      <c r="E33" s="45"/>
      <c r="F33" s="45"/>
      <c r="G33" s="45"/>
      <c r="H33" s="45"/>
      <c r="I33" s="45"/>
      <c r="J33" s="45"/>
      <c r="K33" s="45"/>
      <c r="L33" s="45"/>
    </row>
    <row r="34" spans="4:12" s="34" customFormat="1" x14ac:dyDescent="0.25"/>
    <row r="45" spans="4:12" x14ac:dyDescent="0.25">
      <c r="D45" s="46"/>
      <c r="E45" s="46"/>
      <c r="F45" s="46"/>
    </row>
    <row r="46" spans="4:12" x14ac:dyDescent="0.25">
      <c r="D46" s="46"/>
      <c r="E46" s="46"/>
      <c r="F46" s="46"/>
    </row>
    <row r="48" spans="4:12" x14ac:dyDescent="0.25">
      <c r="D48" s="46"/>
    </row>
    <row r="50" spans="4:4" x14ac:dyDescent="0.25">
      <c r="D50" s="46"/>
    </row>
  </sheetData>
  <mergeCells count="11">
    <mergeCell ref="M20:M21"/>
    <mergeCell ref="N20:O20"/>
    <mergeCell ref="B11:B12"/>
    <mergeCell ref="C11:C12"/>
    <mergeCell ref="D11:F11"/>
    <mergeCell ref="G11:I11"/>
    <mergeCell ref="B13:B14"/>
    <mergeCell ref="C20:C21"/>
    <mergeCell ref="D20:E20"/>
    <mergeCell ref="H20:H21"/>
    <mergeCell ref="I20:J20"/>
  </mergeCells>
  <hyperlinks>
    <hyperlink ref="D4" location="_ftn1" display="_ftn1"/>
    <hyperlink ref="D5" location="_ftn2" display="_ftn2"/>
    <hyperlink ref="D6" location="_ftn3" display="_ftn3"/>
    <hyperlink ref="D7" location="_ftn4" display="_ftn4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C1" workbookViewId="0">
      <selection activeCell="I14" sqref="D13:I14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4" ht="15.75" thickBot="1" x14ac:dyDescent="0.3">
      <c r="A1" s="1" t="s">
        <v>3</v>
      </c>
    </row>
    <row r="2" spans="1:14" ht="39" thickBot="1" x14ac:dyDescent="0.3">
      <c r="I2" s="2"/>
      <c r="J2" s="3" t="s">
        <v>4</v>
      </c>
      <c r="K2" s="3" t="s">
        <v>5</v>
      </c>
      <c r="L2" s="4" t="s">
        <v>0</v>
      </c>
      <c r="M2" s="5" t="s">
        <v>6</v>
      </c>
    </row>
    <row r="3" spans="1:14" ht="39" thickBot="1" x14ac:dyDescent="0.3">
      <c r="C3" s="6" t="s">
        <v>7</v>
      </c>
      <c r="D3" s="7" t="s">
        <v>8</v>
      </c>
      <c r="E3" s="7" t="s">
        <v>9</v>
      </c>
      <c r="F3" s="8" t="s">
        <v>28</v>
      </c>
      <c r="G3" s="47" t="s">
        <v>29</v>
      </c>
      <c r="I3" s="2">
        <v>2014</v>
      </c>
      <c r="J3" s="9">
        <v>0.43</v>
      </c>
      <c r="K3" s="9">
        <v>1.5</v>
      </c>
      <c r="L3" s="10">
        <v>2.4500000000000002</v>
      </c>
      <c r="M3" s="9">
        <v>10.86</v>
      </c>
    </row>
    <row r="4" spans="1:14" ht="15.75" thickBot="1" x14ac:dyDescent="0.3">
      <c r="C4" s="11" t="s">
        <v>10</v>
      </c>
      <c r="D4" s="12">
        <v>5311</v>
      </c>
      <c r="E4" s="13">
        <f>15000/D4</f>
        <v>2.8243268687629448</v>
      </c>
      <c r="F4" s="14">
        <f>D4/$D$17</f>
        <v>5.3109999999999999</v>
      </c>
      <c r="G4" s="49">
        <f>D4/D18</f>
        <v>0.53110000000000002</v>
      </c>
      <c r="I4" s="15">
        <v>2015</v>
      </c>
      <c r="J4" s="9">
        <v>0.43</v>
      </c>
      <c r="K4" s="16">
        <v>1.25</v>
      </c>
      <c r="L4" s="10">
        <v>2.4500000000000002</v>
      </c>
      <c r="M4" s="16">
        <v>6.92</v>
      </c>
    </row>
    <row r="5" spans="1:14" ht="15.75" thickBot="1" x14ac:dyDescent="0.3">
      <c r="D5" t="s">
        <v>33</v>
      </c>
      <c r="I5" s="15">
        <v>2016</v>
      </c>
      <c r="J5" s="9">
        <v>0.43</v>
      </c>
      <c r="K5" s="16">
        <v>1.25</v>
      </c>
      <c r="L5" s="10">
        <v>2.4500000000000002</v>
      </c>
      <c r="M5" s="16">
        <v>4.2930000000000001</v>
      </c>
    </row>
    <row r="6" spans="1:14" ht="15.75" thickBot="1" x14ac:dyDescent="0.3">
      <c r="I6" s="15">
        <v>2017</v>
      </c>
      <c r="J6" s="9">
        <v>0.43</v>
      </c>
      <c r="K6" s="16">
        <v>1.25</v>
      </c>
      <c r="L6" s="10">
        <v>2.4500000000000002</v>
      </c>
      <c r="M6" s="16">
        <v>3.21</v>
      </c>
    </row>
    <row r="7" spans="1:14" ht="15.75" thickBot="1" x14ac:dyDescent="0.3">
      <c r="I7" s="15">
        <v>2018</v>
      </c>
      <c r="J7" s="9">
        <v>0.43</v>
      </c>
      <c r="K7" s="16">
        <v>1.25</v>
      </c>
      <c r="L7" s="10">
        <v>2.4500000000000002</v>
      </c>
      <c r="M7" s="16">
        <v>3.21</v>
      </c>
    </row>
    <row r="8" spans="1:14" ht="15.75" thickBot="1" x14ac:dyDescent="0.3">
      <c r="I8" s="15">
        <v>2019</v>
      </c>
      <c r="J8" s="9">
        <v>0.43</v>
      </c>
      <c r="K8" s="16">
        <v>1.25</v>
      </c>
      <c r="L8" s="10">
        <v>2.4500000000000002</v>
      </c>
      <c r="M8" s="16">
        <v>3.1100000000000003</v>
      </c>
    </row>
    <row r="9" spans="1:14" ht="26.25" thickBot="1" x14ac:dyDescent="0.3">
      <c r="D9" s="17"/>
      <c r="E9" s="17"/>
      <c r="F9" s="17"/>
      <c r="G9" s="17"/>
      <c r="H9" s="17"/>
      <c r="I9" s="2" t="s">
        <v>11</v>
      </c>
      <c r="J9" s="9">
        <v>0.43</v>
      </c>
      <c r="K9" s="18" t="s">
        <v>12</v>
      </c>
      <c r="L9" s="10">
        <v>2.4500000000000002</v>
      </c>
      <c r="M9" s="16">
        <v>2.7</v>
      </c>
    </row>
    <row r="10" spans="1:14" ht="15.75" thickBot="1" x14ac:dyDescent="0.3">
      <c r="B10" s="19" t="s">
        <v>13</v>
      </c>
    </row>
    <row r="11" spans="1:14" x14ac:dyDescent="0.25">
      <c r="B11" s="53" t="s">
        <v>14</v>
      </c>
      <c r="C11" s="55" t="s">
        <v>15</v>
      </c>
      <c r="D11" s="53" t="s">
        <v>16</v>
      </c>
      <c r="E11" s="57"/>
      <c r="F11" s="55"/>
      <c r="G11" s="53" t="s">
        <v>17</v>
      </c>
      <c r="H11" s="57"/>
      <c r="I11" s="58"/>
    </row>
    <row r="12" spans="1:14" ht="26.25" thickBot="1" x14ac:dyDescent="0.3">
      <c r="B12" s="54"/>
      <c r="C12" s="56"/>
      <c r="D12" s="50" t="s">
        <v>30</v>
      </c>
      <c r="E12" s="50" t="s">
        <v>31</v>
      </c>
      <c r="F12" s="50" t="s">
        <v>34</v>
      </c>
      <c r="G12" s="50" t="s">
        <v>30</v>
      </c>
      <c r="H12" s="50" t="s">
        <v>31</v>
      </c>
      <c r="I12" s="50" t="s">
        <v>34</v>
      </c>
    </row>
    <row r="13" spans="1:14" ht="16.5" customHeight="1" x14ac:dyDescent="0.25">
      <c r="B13" s="59" t="s">
        <v>10</v>
      </c>
      <c r="C13" s="21" t="s">
        <v>18</v>
      </c>
      <c r="D13" s="22">
        <f>D28</f>
        <v>5.3918554119544302</v>
      </c>
      <c r="E13" s="22">
        <f>I$28</f>
        <v>5.3918554119544302</v>
      </c>
      <c r="F13" s="23">
        <f>N$28</f>
        <v>5.3918554119544302</v>
      </c>
      <c r="G13" s="24">
        <f>D29</f>
        <v>2.1029537677557766</v>
      </c>
      <c r="H13" s="22">
        <f>I$29</f>
        <v>2.1029537677557766</v>
      </c>
      <c r="I13" s="25">
        <f>N$29</f>
        <v>2.1029537677557766</v>
      </c>
    </row>
    <row r="14" spans="1:14" ht="15.75" thickBot="1" x14ac:dyDescent="0.3">
      <c r="B14" s="60"/>
      <c r="C14" s="26" t="s">
        <v>19</v>
      </c>
      <c r="D14" s="27">
        <f>E28</f>
        <v>15.673998290565207</v>
      </c>
      <c r="E14" s="27">
        <f>J$28</f>
        <v>12.009507462945876</v>
      </c>
      <c r="F14" s="28">
        <f>O$28</f>
        <v>7.189327840566099</v>
      </c>
      <c r="G14" s="29">
        <f>E29</f>
        <v>6.1132376969644691</v>
      </c>
      <c r="H14" s="27">
        <f>J$29</f>
        <v>4.6839978149448562</v>
      </c>
      <c r="I14" s="30">
        <f>O$29</f>
        <v>2.8040114051333096</v>
      </c>
    </row>
    <row r="15" spans="1:14" ht="15.75" thickBot="1" x14ac:dyDescent="0.3">
      <c r="C15" s="31"/>
    </row>
    <row r="16" spans="1:14" ht="15.75" thickBot="1" x14ac:dyDescent="0.3">
      <c r="C16" s="32" t="s">
        <v>20</v>
      </c>
      <c r="D16" s="33">
        <v>5.2299999999999999E-2</v>
      </c>
      <c r="H16" s="32" t="s">
        <v>20</v>
      </c>
      <c r="I16" s="33">
        <v>5.2299999999999999E-2</v>
      </c>
      <c r="M16" s="32" t="s">
        <v>20</v>
      </c>
      <c r="N16" s="33">
        <v>5.2299999999999999E-2</v>
      </c>
    </row>
    <row r="17" spans="2:15" s="34" customFormat="1" ht="15.75" thickBot="1" x14ac:dyDescent="0.3">
      <c r="C17" s="35" t="s">
        <v>21</v>
      </c>
      <c r="D17" s="36">
        <v>1000</v>
      </c>
      <c r="E17" s="34" t="s">
        <v>22</v>
      </c>
      <c r="H17" s="35" t="s">
        <v>21</v>
      </c>
      <c r="I17" s="36">
        <v>1000</v>
      </c>
      <c r="J17" s="34" t="s">
        <v>22</v>
      </c>
      <c r="M17" s="35" t="s">
        <v>21</v>
      </c>
      <c r="N17" s="36">
        <v>1000</v>
      </c>
      <c r="O17" s="34" t="s">
        <v>22</v>
      </c>
    </row>
    <row r="18" spans="2:15" s="34" customFormat="1" x14ac:dyDescent="0.25">
      <c r="C18" s="48"/>
      <c r="D18" s="48">
        <v>10000</v>
      </c>
      <c r="E18" s="34" t="s">
        <v>0</v>
      </c>
      <c r="H18" s="48"/>
      <c r="I18" s="48">
        <v>10000</v>
      </c>
      <c r="J18" s="34" t="s">
        <v>0</v>
      </c>
      <c r="M18" s="48"/>
      <c r="N18" s="48">
        <v>10000</v>
      </c>
      <c r="O18" s="34" t="s">
        <v>0</v>
      </c>
    </row>
    <row r="19" spans="2:15" s="34" customFormat="1" x14ac:dyDescent="0.25">
      <c r="C19" s="34" t="s">
        <v>2</v>
      </c>
      <c r="D19" s="37">
        <f>$E$4</f>
        <v>2.8243268687629448</v>
      </c>
      <c r="E19" s="37">
        <f>$E$4</f>
        <v>2.8243268687629448</v>
      </c>
      <c r="H19" s="34" t="s">
        <v>2</v>
      </c>
      <c r="I19" s="37">
        <f>$E$4</f>
        <v>2.8243268687629448</v>
      </c>
      <c r="J19" s="37">
        <f>$E$4</f>
        <v>2.8243268687629448</v>
      </c>
      <c r="M19" s="34" t="s">
        <v>2</v>
      </c>
      <c r="N19" s="37">
        <f>$E$4</f>
        <v>2.8243268687629448</v>
      </c>
      <c r="O19" s="37">
        <f>$E$4</f>
        <v>2.8243268687629448</v>
      </c>
    </row>
    <row r="20" spans="2:15" s="34" customFormat="1" ht="15" customHeight="1" x14ac:dyDescent="0.25">
      <c r="B20" s="34" t="s">
        <v>23</v>
      </c>
      <c r="C20" s="61" t="s">
        <v>1</v>
      </c>
      <c r="D20" s="63" t="s">
        <v>10</v>
      </c>
      <c r="E20" s="64"/>
      <c r="F20" s="38"/>
      <c r="G20" s="34" t="s">
        <v>23</v>
      </c>
      <c r="H20" s="61" t="s">
        <v>1</v>
      </c>
      <c r="I20" s="63" t="s">
        <v>10</v>
      </c>
      <c r="J20" s="64"/>
      <c r="L20" s="34" t="s">
        <v>23</v>
      </c>
      <c r="M20" s="51" t="s">
        <v>1</v>
      </c>
      <c r="N20" s="52" t="s">
        <v>10</v>
      </c>
      <c r="O20" s="52"/>
    </row>
    <row r="21" spans="2:15" s="34" customFormat="1" ht="29.25" customHeight="1" x14ac:dyDescent="0.25">
      <c r="B21" s="34">
        <v>2017</v>
      </c>
      <c r="C21" s="62"/>
      <c r="D21" s="39" t="s">
        <v>24</v>
      </c>
      <c r="E21" s="39" t="s">
        <v>25</v>
      </c>
      <c r="F21" s="40"/>
      <c r="G21" s="34">
        <v>2018</v>
      </c>
      <c r="H21" s="62"/>
      <c r="I21" s="39" t="s">
        <v>24</v>
      </c>
      <c r="J21" s="39" t="s">
        <v>25</v>
      </c>
      <c r="L21" s="34">
        <v>2019</v>
      </c>
      <c r="M21" s="51"/>
      <c r="N21" s="39" t="s">
        <v>24</v>
      </c>
      <c r="O21" s="39" t="s">
        <v>25</v>
      </c>
    </row>
    <row r="22" spans="2:15" s="34" customFormat="1" x14ac:dyDescent="0.25">
      <c r="C22" s="41">
        <f>B21</f>
        <v>2017</v>
      </c>
      <c r="D22" s="42">
        <f>($J6*$F$4)-J6</f>
        <v>1.8537299999999999</v>
      </c>
      <c r="E22" s="42">
        <f>($K6*$F$4)-K6</f>
        <v>5.3887499999999999</v>
      </c>
      <c r="F22" s="43"/>
      <c r="H22" s="41">
        <f>G21</f>
        <v>2018</v>
      </c>
      <c r="I22" s="42">
        <f>($J7*$F$4)-J7</f>
        <v>1.8537299999999999</v>
      </c>
      <c r="J22" s="42">
        <f>($K7*$F$4)-K7</f>
        <v>5.3887499999999999</v>
      </c>
      <c r="M22" s="41">
        <f>L21</f>
        <v>2019</v>
      </c>
      <c r="N22" s="42">
        <f>($J8*$F$4)-J8</f>
        <v>1.8537299999999999</v>
      </c>
      <c r="O22" s="42">
        <f>($K8*$F$4)-K8</f>
        <v>5.3887499999999999</v>
      </c>
    </row>
    <row r="23" spans="2:15" s="34" customFormat="1" x14ac:dyDescent="0.25">
      <c r="C23" s="41">
        <f>C22+1</f>
        <v>2018</v>
      </c>
      <c r="D23" s="42">
        <f>$J7*$F$4</f>
        <v>2.2837299999999998</v>
      </c>
      <c r="E23" s="42">
        <f>$K7*$F$4</f>
        <v>6.6387499999999999</v>
      </c>
      <c r="F23" s="43"/>
      <c r="H23" s="41">
        <f>H22+1</f>
        <v>2019</v>
      </c>
      <c r="I23" s="42">
        <f>$J8*$F$4</f>
        <v>2.2837299999999998</v>
      </c>
      <c r="J23" s="42">
        <f>$K8*$F$4</f>
        <v>6.6387499999999999</v>
      </c>
      <c r="M23" s="41">
        <f>M22+1</f>
        <v>2020</v>
      </c>
      <c r="N23" s="42">
        <f>$J9*$F$4</f>
        <v>2.2837299999999998</v>
      </c>
      <c r="O23" s="42">
        <f>$L9*$G$4</f>
        <v>1.3011950000000001</v>
      </c>
    </row>
    <row r="24" spans="2:15" s="34" customFormat="1" x14ac:dyDescent="0.25">
      <c r="C24" s="41">
        <f t="shared" ref="C24:C27" si="0">C23+1</f>
        <v>2019</v>
      </c>
      <c r="D24" s="42">
        <f>$J8*$F$4*0.8</f>
        <v>1.8269839999999999</v>
      </c>
      <c r="E24" s="42">
        <f>$K8*$F$4*0.8</f>
        <v>5.3109999999999999</v>
      </c>
      <c r="F24" s="43"/>
      <c r="H24" s="41">
        <f t="shared" ref="H24:H27" si="1">H23+1</f>
        <v>2020</v>
      </c>
      <c r="I24" s="42">
        <f>$J9*$F$4*0.8</f>
        <v>1.8269839999999999</v>
      </c>
      <c r="J24" s="42">
        <f>$L9*$G$4*0.8</f>
        <v>1.0409560000000002</v>
      </c>
      <c r="M24" s="41">
        <f t="shared" ref="M24:M27" si="2">M23+1</f>
        <v>2021</v>
      </c>
      <c r="N24" s="42">
        <f>N23*0.8</f>
        <v>1.8269839999999999</v>
      </c>
      <c r="O24" s="42">
        <f>$L9*$G$4*0.8</f>
        <v>1.0409560000000002</v>
      </c>
    </row>
    <row r="25" spans="2:15" s="34" customFormat="1" x14ac:dyDescent="0.25">
      <c r="C25" s="41">
        <f t="shared" si="0"/>
        <v>2020</v>
      </c>
      <c r="D25" s="42"/>
      <c r="E25" s="42"/>
      <c r="F25" s="43"/>
      <c r="H25" s="41">
        <f t="shared" si="1"/>
        <v>2021</v>
      </c>
      <c r="I25" s="42"/>
      <c r="J25" s="42"/>
      <c r="M25" s="41">
        <f t="shared" si="2"/>
        <v>2022</v>
      </c>
      <c r="N25" s="42"/>
      <c r="O25" s="42"/>
    </row>
    <row r="26" spans="2:15" s="34" customFormat="1" x14ac:dyDescent="0.25">
      <c r="C26" s="41">
        <f t="shared" si="0"/>
        <v>2021</v>
      </c>
      <c r="D26" s="42"/>
      <c r="E26" s="42"/>
      <c r="F26" s="43"/>
      <c r="H26" s="41">
        <f t="shared" si="1"/>
        <v>2022</v>
      </c>
      <c r="I26" s="42"/>
      <c r="J26" s="42"/>
      <c r="M26" s="41">
        <f t="shared" si="2"/>
        <v>2023</v>
      </c>
      <c r="N26" s="42"/>
      <c r="O26" s="42"/>
    </row>
    <row r="27" spans="2:15" s="34" customFormat="1" x14ac:dyDescent="0.25">
      <c r="C27" s="41">
        <f t="shared" si="0"/>
        <v>2022</v>
      </c>
      <c r="D27" s="42"/>
      <c r="E27" s="42"/>
      <c r="F27" s="43"/>
      <c r="H27" s="41">
        <f t="shared" si="1"/>
        <v>2023</v>
      </c>
      <c r="I27" s="42"/>
      <c r="J27" s="42"/>
      <c r="M27" s="41">
        <f t="shared" si="2"/>
        <v>2024</v>
      </c>
      <c r="N27" s="42"/>
      <c r="O27" s="42"/>
    </row>
    <row r="28" spans="2:15" s="34" customFormat="1" x14ac:dyDescent="0.25">
      <c r="C28" s="44" t="s">
        <v>26</v>
      </c>
      <c r="D28" s="43">
        <f>NPV($D$16,D22:D27)</f>
        <v>5.3918554119544302</v>
      </c>
      <c r="E28" s="43">
        <f>NPV($D$16,E22:E27)</f>
        <v>15.673998290565207</v>
      </c>
      <c r="F28" s="43"/>
      <c r="H28" s="44" t="s">
        <v>26</v>
      </c>
      <c r="I28" s="43">
        <f t="shared" ref="I28:J28" si="3">NPV($D$16,I22:I27)</f>
        <v>5.3918554119544302</v>
      </c>
      <c r="J28" s="43">
        <f t="shared" si="3"/>
        <v>12.009507462945876</v>
      </c>
      <c r="M28" s="44" t="s">
        <v>26</v>
      </c>
      <c r="N28" s="43">
        <f>NPV($D$16,N22:N27)</f>
        <v>5.3918554119544302</v>
      </c>
      <c r="O28" s="43">
        <f>NPV($D$16,O22:O27)</f>
        <v>7.189327840566099</v>
      </c>
    </row>
    <row r="29" spans="2:15" s="34" customFormat="1" x14ac:dyDescent="0.25">
      <c r="C29" s="44" t="s">
        <v>27</v>
      </c>
      <c r="D29" s="43">
        <f>-PMT($D$16,D$19,D28,,)</f>
        <v>2.1029537677557766</v>
      </c>
      <c r="E29" s="43">
        <f t="shared" ref="E29" si="4">-PMT($D$16,E$19,E28,,)</f>
        <v>6.1132376969644691</v>
      </c>
      <c r="F29" s="43"/>
      <c r="H29" s="44" t="s">
        <v>27</v>
      </c>
      <c r="I29" s="43">
        <f t="shared" ref="I29:J29" si="5">-PMT($D$16,I$19,I28,,)</f>
        <v>2.1029537677557766</v>
      </c>
      <c r="J29" s="43">
        <f t="shared" si="5"/>
        <v>4.6839978149448562</v>
      </c>
      <c r="M29" s="44" t="s">
        <v>27</v>
      </c>
      <c r="N29" s="43">
        <f t="shared" ref="N29" si="6">-PMT($D$16,N$19,N28,,)</f>
        <v>2.1029537677557766</v>
      </c>
      <c r="O29" s="43">
        <f>-PMT($D$16,O$19,O28,,)</f>
        <v>2.8040114051333096</v>
      </c>
    </row>
    <row r="30" spans="2:15" s="34" customFormat="1" x14ac:dyDescent="0.25">
      <c r="C30" s="44"/>
      <c r="D30" s="43"/>
      <c r="E30" s="43"/>
      <c r="F30" s="43"/>
      <c r="G30" s="43"/>
      <c r="H30" s="43"/>
      <c r="I30" s="43"/>
      <c r="J30" s="43"/>
      <c r="K30" s="43"/>
      <c r="L30" s="43"/>
    </row>
    <row r="31" spans="2:15" s="34" customFormat="1" x14ac:dyDescent="0.25"/>
    <row r="32" spans="2:15" s="34" customFormat="1" x14ac:dyDescent="0.25">
      <c r="D32" s="45"/>
      <c r="E32" s="45"/>
      <c r="F32" s="45"/>
      <c r="G32" s="45"/>
      <c r="H32" s="45"/>
      <c r="I32" s="45"/>
      <c r="J32" s="45"/>
      <c r="K32" s="45"/>
      <c r="L32" s="45"/>
    </row>
    <row r="33" spans="4:12" s="34" customFormat="1" x14ac:dyDescent="0.25">
      <c r="D33" s="45"/>
      <c r="E33" s="45"/>
      <c r="F33" s="45"/>
      <c r="G33" s="45"/>
      <c r="H33" s="45"/>
      <c r="I33" s="45"/>
      <c r="J33" s="45"/>
      <c r="K33" s="45"/>
      <c r="L33" s="45"/>
    </row>
    <row r="34" spans="4:12" s="34" customFormat="1" x14ac:dyDescent="0.25"/>
    <row r="45" spans="4:12" x14ac:dyDescent="0.25">
      <c r="D45" s="46"/>
      <c r="E45" s="46"/>
      <c r="F45" s="46"/>
    </row>
    <row r="46" spans="4:12" x14ac:dyDescent="0.25">
      <c r="D46" s="46"/>
      <c r="E46" s="46"/>
      <c r="F46" s="46"/>
    </row>
    <row r="48" spans="4:12" x14ac:dyDescent="0.25">
      <c r="D48" s="46"/>
    </row>
    <row r="50" spans="4:4" x14ac:dyDescent="0.25">
      <c r="D50" s="46"/>
    </row>
  </sheetData>
  <mergeCells count="11">
    <mergeCell ref="M20:M21"/>
    <mergeCell ref="N20:O20"/>
    <mergeCell ref="B11:B12"/>
    <mergeCell ref="C11:C12"/>
    <mergeCell ref="D11:F11"/>
    <mergeCell ref="G11:I11"/>
    <mergeCell ref="B13:B14"/>
    <mergeCell ref="C20:C21"/>
    <mergeCell ref="D20:E20"/>
    <mergeCell ref="H20:H21"/>
    <mergeCell ref="I20:J20"/>
  </mergeCells>
  <hyperlinks>
    <hyperlink ref="D4" location="_ftn1" display="_ftn1"/>
    <hyperlink ref="D6" location="_ftn3" display="_ftn3"/>
    <hyperlink ref="D7" location="_ftn4" display="_ftn4"/>
    <hyperlink ref="D5" location="_ftn2" display="_ftn2"/>
  </hyperlink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76EC93-9931-466C-ABA4-C5A45312FF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C8FF39-FBD9-4E3A-B558-852A4406CE8C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21A0FED-F5A8-4446-A663-DADF140CA9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2016 calc</vt:lpstr>
      <vt:lpstr>MF common</vt:lpstr>
      <vt:lpstr>Sheet3</vt:lpstr>
    </vt:vector>
  </TitlesOfParts>
  <Company>VEIC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 Dent</cp:lastModifiedBy>
  <dcterms:created xsi:type="dcterms:W3CDTF">2012-01-19T14:26:05Z</dcterms:created>
  <dcterms:modified xsi:type="dcterms:W3CDTF">2016-11-04T14:42:24Z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