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15480" windowHeight="7305"/>
  </bookViews>
  <sheets>
    <sheet name="Sheet1" sheetId="1" r:id="rId1"/>
    <sheet name="Sheet2" sheetId="2" r:id="rId2"/>
    <sheet name="Sheet3" sheetId="3" r:id="rId3"/>
  </sheets>
  <definedNames>
    <definedName name="_ftn1" localSheetId="0">Sheet1!#REF!</definedName>
    <definedName name="_ftn2" localSheetId="0">Sheet1!#REF!</definedName>
    <definedName name="_ftnref1" localSheetId="0">Sheet1!$D$6</definedName>
    <definedName name="_ftnref2" localSheetId="0">Sheet1!#REF!</definedName>
  </definedNames>
  <calcPr calcId="145621"/>
</workbook>
</file>

<file path=xl/calcChain.xml><?xml version="1.0" encoding="utf-8"?>
<calcChain xmlns="http://schemas.openxmlformats.org/spreadsheetml/2006/main">
  <c r="Q12" i="1" l="1"/>
  <c r="S12" i="1"/>
  <c r="U12" i="1"/>
  <c r="W12" i="1"/>
  <c r="O12" i="1"/>
  <c r="M12" i="1"/>
  <c r="K12" i="1"/>
  <c r="I12" i="1"/>
  <c r="C12" i="1"/>
  <c r="Y8" i="1" l="1"/>
  <c r="Z8" i="1"/>
  <c r="AA8" i="1"/>
  <c r="AB8" i="1"/>
  <c r="AC8" i="1"/>
  <c r="AD8" i="1"/>
  <c r="AE8" i="1"/>
  <c r="AF8" i="1"/>
  <c r="Y9" i="1"/>
  <c r="Z9" i="1"/>
  <c r="AA9" i="1"/>
  <c r="AB9" i="1"/>
  <c r="AC9" i="1"/>
  <c r="AD9" i="1"/>
  <c r="AE9" i="1"/>
  <c r="AF9" i="1"/>
  <c r="Y10" i="1"/>
  <c r="Z10" i="1"/>
  <c r="AA10" i="1"/>
  <c r="AB10" i="1"/>
  <c r="AC10" i="1"/>
  <c r="AD10" i="1"/>
  <c r="AE10" i="1"/>
  <c r="AF10" i="1"/>
  <c r="Y11" i="1"/>
  <c r="Z11" i="1"/>
  <c r="AA11" i="1"/>
  <c r="AB11" i="1"/>
  <c r="AC11" i="1"/>
  <c r="AD11" i="1"/>
  <c r="AE11" i="1"/>
  <c r="AF11" i="1"/>
  <c r="Y13" i="1"/>
  <c r="Z13" i="1"/>
  <c r="AA13" i="1"/>
  <c r="AB13" i="1"/>
  <c r="AC13" i="1"/>
  <c r="AD13" i="1"/>
  <c r="AE13" i="1"/>
  <c r="AF13" i="1"/>
  <c r="Y14" i="1"/>
  <c r="Z14" i="1"/>
  <c r="AA14" i="1"/>
  <c r="AB14" i="1"/>
  <c r="AC14" i="1"/>
  <c r="AD14" i="1"/>
  <c r="AE14" i="1"/>
  <c r="AF14" i="1"/>
  <c r="AF7" i="1"/>
  <c r="AE7" i="1"/>
  <c r="AD7" i="1"/>
  <c r="AC7" i="1"/>
  <c r="Z7" i="1"/>
  <c r="Y7" i="1"/>
  <c r="AA7" i="1"/>
  <c r="AB7" i="1"/>
  <c r="C9" i="1"/>
  <c r="C10" i="1"/>
  <c r="C11" i="1"/>
  <c r="C13" i="1"/>
  <c r="C14" i="1"/>
  <c r="C8" i="1"/>
  <c r="C7" i="1"/>
  <c r="G6" i="2" l="1"/>
  <c r="H6" i="2"/>
  <c r="G7" i="2"/>
  <c r="H7" i="2"/>
  <c r="G8" i="2"/>
  <c r="H8" i="2"/>
  <c r="G9" i="2"/>
  <c r="H9" i="2"/>
  <c r="G10" i="2"/>
  <c r="H10" i="2"/>
  <c r="G11" i="2"/>
  <c r="H11" i="2"/>
  <c r="H5" i="2"/>
  <c r="G5" i="2"/>
  <c r="F3" i="1" l="1"/>
  <c r="I14" i="1" l="1"/>
  <c r="I13" i="1"/>
  <c r="I11" i="1"/>
  <c r="I10" i="1"/>
  <c r="I9" i="1"/>
  <c r="I8" i="1"/>
  <c r="I7" i="1"/>
  <c r="M7" i="1" l="1"/>
  <c r="Q7" i="1" s="1"/>
  <c r="K7" i="1"/>
  <c r="L7" i="1"/>
  <c r="P7" i="1" s="1"/>
  <c r="J7" i="1"/>
  <c r="M8" i="1"/>
  <c r="Q8" i="1" s="1"/>
  <c r="K8" i="1"/>
  <c r="L8" i="1"/>
  <c r="P8" i="1" s="1"/>
  <c r="J8" i="1"/>
  <c r="M9" i="1"/>
  <c r="Q9" i="1" s="1"/>
  <c r="K9" i="1"/>
  <c r="L9" i="1"/>
  <c r="P9" i="1" s="1"/>
  <c r="J9" i="1"/>
  <c r="M10" i="1"/>
  <c r="Q10" i="1" s="1"/>
  <c r="K10" i="1"/>
  <c r="L10" i="1"/>
  <c r="P10" i="1" s="1"/>
  <c r="J10" i="1"/>
  <c r="M11" i="1"/>
  <c r="Q11" i="1" s="1"/>
  <c r="K11" i="1"/>
  <c r="L11" i="1"/>
  <c r="P11" i="1" s="1"/>
  <c r="J11" i="1"/>
  <c r="M13" i="1"/>
  <c r="Q13" i="1" s="1"/>
  <c r="K13" i="1"/>
  <c r="L13" i="1"/>
  <c r="P13" i="1" s="1"/>
  <c r="J13" i="1"/>
  <c r="M14" i="1"/>
  <c r="Q14" i="1" s="1"/>
  <c r="K14" i="1"/>
  <c r="L14" i="1"/>
  <c r="P14" i="1" s="1"/>
  <c r="J14" i="1"/>
  <c r="T14" i="1" l="1"/>
  <c r="V14" i="1"/>
  <c r="N14" i="1"/>
  <c r="R14" i="1" s="1"/>
  <c r="U14" i="1"/>
  <c r="O14" i="1"/>
  <c r="S14" i="1" s="1"/>
  <c r="T13" i="1"/>
  <c r="V13" i="1"/>
  <c r="N13" i="1"/>
  <c r="R13" i="1" s="1"/>
  <c r="U13" i="1"/>
  <c r="O13" i="1"/>
  <c r="S13" i="1" s="1"/>
  <c r="T11" i="1"/>
  <c r="V11" i="1"/>
  <c r="N11" i="1"/>
  <c r="R11" i="1" s="1"/>
  <c r="U11" i="1"/>
  <c r="O11" i="1"/>
  <c r="S11" i="1" s="1"/>
  <c r="T10" i="1"/>
  <c r="V10" i="1"/>
  <c r="N10" i="1"/>
  <c r="R10" i="1" s="1"/>
  <c r="U10" i="1"/>
  <c r="O10" i="1"/>
  <c r="S10" i="1" s="1"/>
  <c r="T9" i="1"/>
  <c r="V9" i="1"/>
  <c r="N9" i="1"/>
  <c r="R9" i="1" s="1"/>
  <c r="U9" i="1"/>
  <c r="O9" i="1"/>
  <c r="S9" i="1" s="1"/>
  <c r="T8" i="1"/>
  <c r="V8" i="1"/>
  <c r="N8" i="1"/>
  <c r="R8" i="1" s="1"/>
  <c r="U8" i="1"/>
  <c r="O8" i="1"/>
  <c r="S8" i="1" s="1"/>
  <c r="T7" i="1"/>
  <c r="N7" i="1"/>
  <c r="R7" i="1" s="1"/>
  <c r="V7" i="1"/>
  <c r="U7" i="1"/>
  <c r="O7" i="1"/>
  <c r="S7" i="1" s="1"/>
  <c r="W7" i="1" l="1"/>
  <c r="W8" i="1"/>
  <c r="W9" i="1"/>
  <c r="W10" i="1"/>
  <c r="W11" i="1"/>
  <c r="W13" i="1"/>
  <c r="W14" i="1"/>
</calcChain>
</file>

<file path=xl/sharedStrings.xml><?xml version="1.0" encoding="utf-8"?>
<sst xmlns="http://schemas.openxmlformats.org/spreadsheetml/2006/main" count="115" uniqueCount="80">
  <si>
    <t>Freezer Volume</t>
  </si>
  <si>
    <t>AV</t>
  </si>
  <si>
    <t>Product Category</t>
  </si>
  <si>
    <t>Volume (cubic feet)</t>
  </si>
  <si>
    <t>7.75 or greater</t>
  </si>
  <si>
    <t>Volume Used</t>
  </si>
  <si>
    <t>From ESTAR calc</t>
  </si>
  <si>
    <t>NAECA as of July 1, 2001 
Maximum Energy Usage in kWh/year</t>
  </si>
  <si>
    <t>1.  Refrigerators and Refrigerator-freezers with manual defrost</t>
  </si>
  <si>
    <t>8.82*AV+248.4</t>
  </si>
  <si>
    <t>7.056*AV+198.72</t>
  </si>
  <si>
    <t>2.  Refrigerator-Freezer--partial automatic defrost</t>
  </si>
  <si>
    <t>3.  Refrigerator-Freezers--automatic defrost with top-mounted freezer without through-the-door ice service and all-refrigerators--automatic defrost</t>
  </si>
  <si>
    <t>9.80*AV+276</t>
  </si>
  <si>
    <t>7.84*AV+220.8</t>
  </si>
  <si>
    <t>4.  Refrigerator-Freezers--automatic defrost with side-mounted freezer without through-the-door ice service</t>
  </si>
  <si>
    <t>4.91*AV+507.5</t>
  </si>
  <si>
    <t>3.928*AV+406</t>
  </si>
  <si>
    <t>5.  Refrigerator-Freezers--automatic defrost with bottom-mounted freezer without through-the-door ice service</t>
  </si>
  <si>
    <t>4.60*AV+459</t>
  </si>
  <si>
    <t>3.68*AV+367.2</t>
  </si>
  <si>
    <t>6.  Refrigerator-Freezers--automatic defrost with top-mounted freezer with through-the-door ice service</t>
  </si>
  <si>
    <t>10.20*AV+356</t>
  </si>
  <si>
    <t>8.16*AV+284.8</t>
  </si>
  <si>
    <t>7.  Refrigerator-Freezers--automatic defrost with side-mounted freezer with through-the-door ice service</t>
  </si>
  <si>
    <t>10.10*AV+406</t>
  </si>
  <si>
    <t>8.08*AV+324.8</t>
  </si>
  <si>
    <t>Fresh Volume</t>
  </si>
  <si>
    <t>UECbase</t>
  </si>
  <si>
    <t>Energy Star UECEE</t>
  </si>
  <si>
    <t>ENERGY STAR kWh savings</t>
  </si>
  <si>
    <t>CEE T2 UECEE</t>
  </si>
  <si>
    <t>CEE T2 kWh savings</t>
  </si>
  <si>
    <t>6.79AV + 193.6</t>
  </si>
  <si>
    <t>7.99AV + 225.0</t>
  </si>
  <si>
    <t>8.07AV + 233.7</t>
  </si>
  <si>
    <t>8.51AV + 297.8</t>
  </si>
  <si>
    <t>8.85AV + 317.0</t>
  </si>
  <si>
    <t>8.40AV + 385.4</t>
  </si>
  <si>
    <t>8.54AV + 432.8</t>
  </si>
  <si>
    <t>NAECA as of September 1, 2014
Maximum Energy Usage in kWh/year</t>
  </si>
  <si>
    <t>New Baseline</t>
  </si>
  <si>
    <t>ESTAR</t>
  </si>
  <si>
    <t>Existing Unit</t>
  </si>
  <si>
    <t>ENERGY STAR level Maximum Energy Usage in kWh/year (up to September 2014)</t>
  </si>
  <si>
    <t>ENERGY STAR level Maximum Energy Usage in kWh/year (after September 2014)</t>
  </si>
  <si>
    <t>7.19 * AV + 202.5</t>
  </si>
  <si>
    <t>7.26 * AV + 210.3</t>
  </si>
  <si>
    <t>7.66 * AV + 268.0</t>
  </si>
  <si>
    <t>7.97 * AV + 285.3</t>
  </si>
  <si>
    <t>7.56 * AV + 355.3</t>
  </si>
  <si>
    <t>7.69 * AV + 397.9</t>
  </si>
  <si>
    <t xml:space="preserve">6.11 * AV + 174.2 </t>
  </si>
  <si>
    <t>CEE T2 usage (until Sept 2014)</t>
  </si>
  <si>
    <t>CEE T2 usage (after Sept 2014)</t>
  </si>
  <si>
    <t xml:space="preserve">ENERGY STAR (until Sept 2014)
</t>
  </si>
  <si>
    <t xml:space="preserve">ENERGY STAR (after Sept 2014)
</t>
  </si>
  <si>
    <t xml:space="preserve">CEE T2 (until Sept 2014)
</t>
  </si>
  <si>
    <t xml:space="preserve">CEE T2 (after Sept 2014)
</t>
  </si>
  <si>
    <t>Early replacement 1st 4 years savings</t>
  </si>
  <si>
    <t>Time of Sale and remaining 8 yrs Early Replacment</t>
  </si>
  <si>
    <t>Baseline Usage (until Sept 2014)</t>
  </si>
  <si>
    <t>ESTAR Usage (until Sept 2014)</t>
  </si>
  <si>
    <t>ESTAR Savings (until Sept 2014)</t>
  </si>
  <si>
    <t>CEE T2 Savings (until Sept 2014)</t>
  </si>
  <si>
    <t>Baseline Usage (after Sept 2014)</t>
  </si>
  <si>
    <t>ESTAR Usage (after Sept 2014)</t>
  </si>
  <si>
    <t>ESTAR Savings (after Sept 2014)</t>
  </si>
  <si>
    <t>CEE T2 Savings after Sept 2014)</t>
  </si>
  <si>
    <t>Assumptions prior to September 2014 standard change</t>
  </si>
  <si>
    <t>ΔkW</t>
  </si>
  <si>
    <t>Assumptions after September 2014 standard change</t>
  </si>
  <si>
    <t>Time of Sale and Early Replacement (last 8 years)</t>
  </si>
  <si>
    <t xml:space="preserve">ENERGY STAR </t>
  </si>
  <si>
    <t xml:space="preserve">CEE T2 </t>
  </si>
  <si>
    <r>
      <t>Early Replacement (1</t>
    </r>
    <r>
      <rPr>
        <vertAlign val="superscript"/>
        <sz val="10"/>
        <rFont val="Calibri"/>
        <family val="2"/>
        <scheme val="minor"/>
      </rPr>
      <t>st</t>
    </r>
    <r>
      <rPr>
        <sz val="10"/>
        <rFont val="Calibri"/>
        <family val="2"/>
        <scheme val="minor"/>
      </rPr>
      <t xml:space="preserve"> 4 years)</t>
    </r>
  </si>
  <si>
    <t>5A Refrigerator-freezer—automatic defrost with bottom-mounted freezer with through-the-door ice service</t>
  </si>
  <si>
    <t>9.25AV + 475.4</t>
  </si>
  <si>
    <t>8.33 * AV * 436.3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</si>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</sst>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6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1" xfId="0" applyBorder="1" applyAlignment="1">
      <alignment wrapText="1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 wrapText="1"/>
    </xf>
    <xf numFmtId="164" fontId="0" fillId="0" borderId="1" xfId="0" applyNumberForma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F14"/>
  <sheetViews>
    <sheetView tabSelected="1" topLeftCell="O5" workbookViewId="0">
      <selection activeCell="G12" sqref="A12:XFD12"/>
    </sheetView>
  </sheetViews>
  <sheetFormatPr defaultRowHeight="15" x14ac:dyDescent="0.25"/>
  <cols>
    <col min="1" max="1" width="9.140625" style="9"/>
    <col min="2" max="2" width="34.85546875" style="9" customWidth="1"/>
    <col min="3" max="3" width="16.5703125" style="9" customWidth="1"/>
    <col min="4" max="7" width="20" style="9" customWidth="1"/>
    <col min="8" max="8" width="17.5703125" style="9" customWidth="1"/>
    <col min="9" max="9" width="9.140625" style="9"/>
    <col min="10" max="10" width="10.5703125" style="9" bestFit="1" customWidth="1"/>
    <col min="11" max="11" width="10.5703125" style="9" customWidth="1"/>
    <col min="12" max="20" width="9.140625" style="9"/>
    <col min="21" max="21" width="9.5703125" style="9" bestFit="1" customWidth="1"/>
    <col min="22" max="22" width="9.140625" style="9"/>
    <col min="23" max="23" width="9.5703125" style="9" bestFit="1" customWidth="1"/>
    <col min="24" max="24" width="9.5703125" style="9" customWidth="1"/>
    <col min="27" max="16384" width="9.140625" style="9"/>
  </cols>
  <sheetData>
    <row r="1" spans="2:32" x14ac:dyDescent="0.25">
      <c r="D1" s="9" t="s">
        <v>27</v>
      </c>
      <c r="F1" s="9">
        <v>14.75</v>
      </c>
      <c r="H1" s="9" t="s">
        <v>6</v>
      </c>
    </row>
    <row r="2" spans="2:32" x14ac:dyDescent="0.25">
      <c r="D2" s="9" t="s">
        <v>0</v>
      </c>
      <c r="F2" s="9">
        <v>6.76</v>
      </c>
    </row>
    <row r="3" spans="2:32" ht="25.5" customHeight="1" x14ac:dyDescent="0.25">
      <c r="D3" s="9" t="s">
        <v>1</v>
      </c>
      <c r="F3" s="9">
        <f>F1+(1.63*F2)</f>
        <v>25.768799999999999</v>
      </c>
      <c r="Y3" s="31" t="s">
        <v>69</v>
      </c>
      <c r="Z3" s="31"/>
      <c r="AA3" s="31"/>
      <c r="AB3" s="31"/>
      <c r="AC3" s="31" t="s">
        <v>71</v>
      </c>
      <c r="AD3" s="31"/>
      <c r="AE3" s="31"/>
      <c r="AF3" s="31"/>
    </row>
    <row r="4" spans="2:32" ht="12.75" customHeight="1" x14ac:dyDescent="0.25">
      <c r="Y4" s="31" t="s">
        <v>70</v>
      </c>
      <c r="Z4" s="31"/>
      <c r="AA4" s="31"/>
      <c r="AB4" s="31"/>
      <c r="AC4" s="31" t="s">
        <v>70</v>
      </c>
      <c r="AD4" s="31"/>
      <c r="AE4" s="31"/>
      <c r="AF4" s="31"/>
    </row>
    <row r="5" spans="2:32" ht="38.25" customHeight="1" x14ac:dyDescent="0.25">
      <c r="D5" s="29" t="s">
        <v>41</v>
      </c>
      <c r="E5" s="29"/>
      <c r="F5" s="29" t="s">
        <v>42</v>
      </c>
      <c r="G5" s="29"/>
      <c r="P5" s="30" t="s">
        <v>59</v>
      </c>
      <c r="Q5" s="30"/>
      <c r="R5" s="30"/>
      <c r="S5" s="30"/>
      <c r="T5" s="30" t="s">
        <v>60</v>
      </c>
      <c r="U5" s="30"/>
      <c r="V5" s="30"/>
      <c r="W5" s="30"/>
      <c r="X5" s="24"/>
      <c r="Y5" s="31" t="s">
        <v>75</v>
      </c>
      <c r="Z5" s="31"/>
      <c r="AA5" s="31" t="s">
        <v>72</v>
      </c>
      <c r="AB5" s="31"/>
      <c r="AC5" s="31" t="s">
        <v>75</v>
      </c>
      <c r="AD5" s="31"/>
      <c r="AE5" s="31" t="s">
        <v>72</v>
      </c>
      <c r="AF5" s="31"/>
    </row>
    <row r="6" spans="2:32" ht="64.5" customHeight="1" x14ac:dyDescent="0.25">
      <c r="B6" s="10" t="s">
        <v>2</v>
      </c>
      <c r="C6" s="10" t="s">
        <v>43</v>
      </c>
      <c r="D6" s="10" t="s">
        <v>7</v>
      </c>
      <c r="E6" s="10" t="s">
        <v>40</v>
      </c>
      <c r="F6" s="10" t="s">
        <v>44</v>
      </c>
      <c r="G6" s="10" t="s">
        <v>45</v>
      </c>
      <c r="H6" s="11" t="s">
        <v>3</v>
      </c>
      <c r="I6" s="12" t="s">
        <v>5</v>
      </c>
      <c r="J6" s="12" t="s">
        <v>61</v>
      </c>
      <c r="K6" s="12" t="s">
        <v>65</v>
      </c>
      <c r="L6" s="12" t="s">
        <v>62</v>
      </c>
      <c r="M6" s="12" t="s">
        <v>66</v>
      </c>
      <c r="N6" s="12" t="s">
        <v>53</v>
      </c>
      <c r="O6" s="12" t="s">
        <v>54</v>
      </c>
      <c r="P6" s="12" t="s">
        <v>55</v>
      </c>
      <c r="Q6" s="12" t="s">
        <v>56</v>
      </c>
      <c r="R6" s="12" t="s">
        <v>57</v>
      </c>
      <c r="S6" s="12" t="s">
        <v>58</v>
      </c>
      <c r="T6" s="12" t="s">
        <v>63</v>
      </c>
      <c r="U6" s="12" t="s">
        <v>67</v>
      </c>
      <c r="V6" s="13" t="s">
        <v>64</v>
      </c>
      <c r="W6" s="13" t="s">
        <v>68</v>
      </c>
      <c r="X6" s="14"/>
      <c r="Y6" s="13" t="s">
        <v>73</v>
      </c>
      <c r="Z6" s="13" t="s">
        <v>74</v>
      </c>
      <c r="AA6" s="13" t="s">
        <v>73</v>
      </c>
      <c r="AB6" s="13" t="s">
        <v>74</v>
      </c>
      <c r="AC6" s="13" t="s">
        <v>73</v>
      </c>
      <c r="AD6" s="13" t="s">
        <v>74</v>
      </c>
      <c r="AE6" s="13" t="s">
        <v>73</v>
      </c>
      <c r="AF6" s="13" t="s">
        <v>74</v>
      </c>
    </row>
    <row r="7" spans="2:32" ht="25.5" x14ac:dyDescent="0.25">
      <c r="B7" s="15" t="s">
        <v>8</v>
      </c>
      <c r="C7" s="16">
        <f xml:space="preserve"> (116.84 + (10* 10.9) +  (($F$1 +$F$2) * 19.42) + (0.5 * 426.41) + (1 * 170.98))</f>
        <v>1027.7492</v>
      </c>
      <c r="D7" s="15" t="s">
        <v>9</v>
      </c>
      <c r="E7" s="15" t="s">
        <v>33</v>
      </c>
      <c r="F7" s="17" t="s">
        <v>10</v>
      </c>
      <c r="G7" s="9" t="s">
        <v>52</v>
      </c>
      <c r="H7" s="18" t="s">
        <v>4</v>
      </c>
      <c r="I7" s="19">
        <f>$F$3</f>
        <v>25.768799999999999</v>
      </c>
      <c r="J7" s="20">
        <f>8.82*I7+248.4</f>
        <v>475.68081599999999</v>
      </c>
      <c r="K7" s="20">
        <f>6.79*I7 + 193.6</f>
        <v>368.57015200000001</v>
      </c>
      <c r="L7" s="21">
        <f>7.056*I7+198.72</f>
        <v>380.54465279999999</v>
      </c>
      <c r="M7" s="21">
        <f>6.11 * I7 + 174.2</f>
        <v>331.64736800000003</v>
      </c>
      <c r="N7" s="21">
        <f>J7*0.75</f>
        <v>356.76061199999998</v>
      </c>
      <c r="O7" s="21">
        <f>K7*0.75</f>
        <v>276.42761400000001</v>
      </c>
      <c r="P7" s="21">
        <f>C7-L7</f>
        <v>647.20454719999998</v>
      </c>
      <c r="Q7" s="21">
        <f>C7-M7</f>
        <v>696.10183199999994</v>
      </c>
      <c r="R7" s="21">
        <f>$C7-N7</f>
        <v>670.98858799999994</v>
      </c>
      <c r="S7" s="21">
        <f>$C7-O7</f>
        <v>751.32158600000002</v>
      </c>
      <c r="T7" s="19">
        <f>J7-L7</f>
        <v>95.136163199999999</v>
      </c>
      <c r="U7" s="19">
        <f>K7-M7</f>
        <v>36.922783999999979</v>
      </c>
      <c r="V7" s="19">
        <f>J7-(J7*0.75)</f>
        <v>118.92020400000001</v>
      </c>
      <c r="W7" s="19">
        <f>K7-O7</f>
        <v>92.142538000000002</v>
      </c>
      <c r="X7" s="25"/>
      <c r="Y7" s="26">
        <f>(P7/8766)*1.25*1.057</f>
        <v>9.7549510379648638E-2</v>
      </c>
      <c r="Z7" s="26">
        <f>(R7/8766)*1.25*1.057</f>
        <v>0.10113434541352953</v>
      </c>
      <c r="AA7" s="26">
        <f>(T7/8766)*1.25*1.057</f>
        <v>1.433934013552361E-2</v>
      </c>
      <c r="AB7" s="26">
        <f>(V7/8766)*1.25*1.057</f>
        <v>1.7924175169404522E-2</v>
      </c>
      <c r="AC7" s="26">
        <f>(Q7/8766)*1.25*1.057</f>
        <v>0.10491952378850102</v>
      </c>
      <c r="AD7" s="26">
        <f>(S7/8766)*1.25*1.057</f>
        <v>0.11324248750884096</v>
      </c>
      <c r="AE7" s="26">
        <f>(U7/8766)*1.25*1.057</f>
        <v>5.5651640839607542E-3</v>
      </c>
      <c r="AF7" s="26">
        <f>(W7/8766)*1.25*1.057</f>
        <v>1.3888127804300708E-2</v>
      </c>
    </row>
    <row r="8" spans="2:32" ht="25.5" x14ac:dyDescent="0.25">
      <c r="B8" s="22" t="s">
        <v>11</v>
      </c>
      <c r="C8" s="16">
        <f t="shared" ref="C8" si="0" xml:space="preserve"> (116.84 + (10* 10.9) +  (($F$1 +$F$2) * 19.42) + (0.5 * 426.41) + (1 * 170.98))</f>
        <v>1027.7492</v>
      </c>
      <c r="D8" s="22" t="s">
        <v>9</v>
      </c>
      <c r="E8" s="22" t="s">
        <v>34</v>
      </c>
      <c r="F8" s="17" t="s">
        <v>10</v>
      </c>
      <c r="G8" s="8" t="s">
        <v>46</v>
      </c>
      <c r="H8" s="18" t="s">
        <v>4</v>
      </c>
      <c r="I8" s="19">
        <f t="shared" ref="I8:I14" si="1">$F$3</f>
        <v>25.768799999999999</v>
      </c>
      <c r="J8" s="20">
        <f>8.82*I8+248.4</f>
        <v>475.68081599999999</v>
      </c>
      <c r="K8" s="20">
        <f>7.99*I8 + 225</f>
        <v>430.89271199999996</v>
      </c>
      <c r="L8" s="21">
        <f>7.056*I8+198.72</f>
        <v>380.54465279999999</v>
      </c>
      <c r="M8" s="21">
        <f>7.19 * I8 + 202.5</f>
        <v>387.777672</v>
      </c>
      <c r="N8" s="21">
        <f t="shared" ref="N8:N14" si="2">J8*0.75</f>
        <v>356.76061199999998</v>
      </c>
      <c r="O8" s="21">
        <f t="shared" ref="O8:O14" si="3">K8*0.75</f>
        <v>323.169534</v>
      </c>
      <c r="P8" s="21">
        <f t="shared" ref="P8:P14" si="4">C8-L8</f>
        <v>647.20454719999998</v>
      </c>
      <c r="Q8" s="21">
        <f t="shared" ref="Q8:Q14" si="5">C8-M8</f>
        <v>639.97152800000003</v>
      </c>
      <c r="R8" s="21">
        <f t="shared" ref="R8:R14" si="6">$C8-N8</f>
        <v>670.98858799999994</v>
      </c>
      <c r="S8" s="21">
        <f t="shared" ref="S8:S14" si="7">$C8-O8</f>
        <v>704.57966599999997</v>
      </c>
      <c r="T8" s="19">
        <f t="shared" ref="T8:T14" si="8">J8-L8</f>
        <v>95.136163199999999</v>
      </c>
      <c r="U8" s="19">
        <f t="shared" ref="U8:U14" si="9">K8-M8</f>
        <v>43.115039999999965</v>
      </c>
      <c r="V8" s="19">
        <f t="shared" ref="V8:V14" si="10">J8-(J8*0.75)</f>
        <v>118.92020400000001</v>
      </c>
      <c r="W8" s="19">
        <f t="shared" ref="W8:W14" si="11">K8-O8</f>
        <v>107.72317799999996</v>
      </c>
      <c r="X8" s="25"/>
      <c r="Y8" s="26">
        <f t="shared" ref="Y8:Y14" si="12">(P8/8766)*1.25*1.057</f>
        <v>9.7549510379648638E-2</v>
      </c>
      <c r="Z8" s="26">
        <f t="shared" ref="Z8:Z14" si="13">(R8/8766)*1.25*1.057</f>
        <v>0.10113434541352953</v>
      </c>
      <c r="AA8" s="26">
        <f t="shared" ref="AA8:AA14" si="14">(T8/8766)*1.25*1.057</f>
        <v>1.433934013552361E-2</v>
      </c>
      <c r="AB8" s="26">
        <f t="shared" ref="AB8:AB14" si="15">(V8/8766)*1.25*1.057</f>
        <v>1.7924175169404522E-2</v>
      </c>
      <c r="AC8" s="26">
        <f t="shared" ref="AC8:AC14" si="16">(Q8/8766)*1.25*1.057</f>
        <v>9.6459317975131201E-2</v>
      </c>
      <c r="AD8" s="26">
        <f t="shared" ref="AD8:AD14" si="17">(S8/8766)*1.25*1.057</f>
        <v>0.10619734014402235</v>
      </c>
      <c r="AE8" s="26">
        <f t="shared" ref="AE8:AE14" si="18">(U8/8766)*1.25*1.057</f>
        <v>6.4984880903490704E-3</v>
      </c>
      <c r="AF8" s="26">
        <f t="shared" ref="AF8:AF14" si="19">(W8/8766)*1.25*1.057</f>
        <v>1.623651025924024E-2</v>
      </c>
    </row>
    <row r="9" spans="2:32" ht="51" x14ac:dyDescent="0.25">
      <c r="B9" s="22" t="s">
        <v>12</v>
      </c>
      <c r="C9" s="16">
        <f xml:space="preserve"> (116.84 + (10* 10.9) +  (($F$1 +$F$2) * 19.42) + (0 * 426.41) + (1 * 170.98))</f>
        <v>814.54420000000005</v>
      </c>
      <c r="D9" s="22" t="s">
        <v>13</v>
      </c>
      <c r="E9" s="22" t="s">
        <v>35</v>
      </c>
      <c r="F9" s="23" t="s">
        <v>14</v>
      </c>
      <c r="G9" s="8" t="s">
        <v>47</v>
      </c>
      <c r="H9" s="18" t="s">
        <v>4</v>
      </c>
      <c r="I9" s="19">
        <f t="shared" si="1"/>
        <v>25.768799999999999</v>
      </c>
      <c r="J9" s="20">
        <f>9.8*I9+276</f>
        <v>528.53423999999995</v>
      </c>
      <c r="K9" s="20">
        <f>8.07*I9 + 233.7</f>
        <v>441.65421600000002</v>
      </c>
      <c r="L9" s="21">
        <f>7.84*I9+220.8</f>
        <v>422.82739200000003</v>
      </c>
      <c r="M9" s="21">
        <f>7.26 * I9 + 210.3</f>
        <v>397.38148799999999</v>
      </c>
      <c r="N9" s="21">
        <f t="shared" si="2"/>
        <v>396.40067999999997</v>
      </c>
      <c r="O9" s="21">
        <f t="shared" si="3"/>
        <v>331.24066200000004</v>
      </c>
      <c r="P9" s="21">
        <f t="shared" si="4"/>
        <v>391.71680800000001</v>
      </c>
      <c r="Q9" s="21">
        <f t="shared" si="5"/>
        <v>417.16271200000006</v>
      </c>
      <c r="R9" s="21">
        <f t="shared" si="6"/>
        <v>418.14352000000008</v>
      </c>
      <c r="S9" s="21">
        <f t="shared" si="7"/>
        <v>483.303538</v>
      </c>
      <c r="T9" s="19">
        <f t="shared" si="8"/>
        <v>105.70684799999992</v>
      </c>
      <c r="U9" s="19">
        <f t="shared" si="9"/>
        <v>44.272728000000029</v>
      </c>
      <c r="V9" s="19">
        <f t="shared" si="10"/>
        <v>132.13355999999999</v>
      </c>
      <c r="W9" s="19">
        <f t="shared" si="11"/>
        <v>110.41355399999998</v>
      </c>
      <c r="X9" s="25"/>
      <c r="Y9" s="26">
        <f t="shared" si="12"/>
        <v>5.9041276816107685E-2</v>
      </c>
      <c r="Z9" s="26">
        <f t="shared" si="13"/>
        <v>6.3024426853753146E-2</v>
      </c>
      <c r="AA9" s="26">
        <f t="shared" si="14"/>
        <v>1.5932600150581781E-2</v>
      </c>
      <c r="AB9" s="26">
        <f t="shared" si="15"/>
        <v>1.9915750188227239E-2</v>
      </c>
      <c r="AC9" s="26">
        <f t="shared" si="16"/>
        <v>6.2876595166552585E-2</v>
      </c>
      <c r="AD9" s="26">
        <f t="shared" si="17"/>
        <v>7.2845630798825001E-2</v>
      </c>
      <c r="AE9" s="26">
        <f t="shared" si="18"/>
        <v>6.6729799075975395E-3</v>
      </c>
      <c r="AF9" s="26">
        <f t="shared" si="19"/>
        <v>1.6642015539869947E-2</v>
      </c>
    </row>
    <row r="10" spans="2:32" ht="38.25" x14ac:dyDescent="0.25">
      <c r="B10" s="22" t="s">
        <v>15</v>
      </c>
      <c r="C10" s="16">
        <f xml:space="preserve"> (116.84 + (10* 10.9) +  (($F$1 +$F$2) * 19.42) + (1 * 426.41) + (1 * 170.98))</f>
        <v>1240.9542000000001</v>
      </c>
      <c r="D10" s="22" t="s">
        <v>16</v>
      </c>
      <c r="E10" s="22" t="s">
        <v>36</v>
      </c>
      <c r="F10" s="23" t="s">
        <v>17</v>
      </c>
      <c r="G10" s="8" t="s">
        <v>48</v>
      </c>
      <c r="H10" s="18" t="s">
        <v>4</v>
      </c>
      <c r="I10" s="19">
        <f t="shared" si="1"/>
        <v>25.768799999999999</v>
      </c>
      <c r="J10" s="20">
        <f>4.91*I10+507.5</f>
        <v>634.02480800000001</v>
      </c>
      <c r="K10" s="20">
        <f>8.51*I10 + 297.8</f>
        <v>517.092488</v>
      </c>
      <c r="L10" s="21">
        <f>3.928*I10+406</f>
        <v>507.21984639999999</v>
      </c>
      <c r="M10" s="21">
        <f>7.66 * I10 + 268</f>
        <v>465.38900799999999</v>
      </c>
      <c r="N10" s="21">
        <f t="shared" si="2"/>
        <v>475.51860599999998</v>
      </c>
      <c r="O10" s="21">
        <f t="shared" si="3"/>
        <v>387.819366</v>
      </c>
      <c r="P10" s="21">
        <f t="shared" si="4"/>
        <v>733.73435360000008</v>
      </c>
      <c r="Q10" s="21">
        <f t="shared" si="5"/>
        <v>775.56519200000014</v>
      </c>
      <c r="R10" s="21">
        <f t="shared" si="6"/>
        <v>765.43559400000015</v>
      </c>
      <c r="S10" s="21">
        <f t="shared" si="7"/>
        <v>853.13483400000018</v>
      </c>
      <c r="T10" s="19">
        <f t="shared" si="8"/>
        <v>126.80496160000001</v>
      </c>
      <c r="U10" s="19">
        <f t="shared" si="9"/>
        <v>51.703480000000013</v>
      </c>
      <c r="V10" s="19">
        <f t="shared" si="10"/>
        <v>158.50620200000003</v>
      </c>
      <c r="W10" s="19">
        <f t="shared" si="11"/>
        <v>129.273122</v>
      </c>
      <c r="X10" s="25"/>
      <c r="Y10" s="26">
        <f t="shared" si="12"/>
        <v>0.11059166263906001</v>
      </c>
      <c r="Z10" s="26">
        <f t="shared" si="13"/>
        <v>0.11536981275068449</v>
      </c>
      <c r="AA10" s="26">
        <f t="shared" si="14"/>
        <v>1.9112600446497836E-2</v>
      </c>
      <c r="AB10" s="26">
        <f t="shared" si="15"/>
        <v>2.3890750558122294E-2</v>
      </c>
      <c r="AC10" s="26">
        <f t="shared" si="16"/>
        <v>0.11689659022701347</v>
      </c>
      <c r="AD10" s="26">
        <f t="shared" si="17"/>
        <v>0.12858822717573581</v>
      </c>
      <c r="AE10" s="26">
        <f t="shared" si="18"/>
        <v>7.792975467716178E-3</v>
      </c>
      <c r="AF10" s="26">
        <f t="shared" si="19"/>
        <v>1.9484612416438511E-2</v>
      </c>
    </row>
    <row r="11" spans="2:32" ht="39" thickBot="1" x14ac:dyDescent="0.3">
      <c r="B11" s="22" t="s">
        <v>18</v>
      </c>
      <c r="C11" s="16">
        <f xml:space="preserve"> (116.84 + (10* 10.9) +  (($F$1 +$F$2) * 19.42) + (0 * 426.41) + (1 * 170.98))</f>
        <v>814.54420000000005</v>
      </c>
      <c r="D11" s="22" t="s">
        <v>19</v>
      </c>
      <c r="E11" s="22" t="s">
        <v>37</v>
      </c>
      <c r="F11" s="23" t="s">
        <v>20</v>
      </c>
      <c r="G11" s="8" t="s">
        <v>49</v>
      </c>
      <c r="H11" s="18" t="s">
        <v>4</v>
      </c>
      <c r="I11" s="19">
        <f t="shared" si="1"/>
        <v>25.768799999999999</v>
      </c>
      <c r="J11" s="20">
        <f>4.6*I11+459</f>
        <v>577.53647999999998</v>
      </c>
      <c r="K11" s="20">
        <f>8.85*I11 + 317</f>
        <v>545.05387999999994</v>
      </c>
      <c r="L11" s="21">
        <f>3.68*I11+367.2</f>
        <v>462.02918399999999</v>
      </c>
      <c r="M11" s="21">
        <f>7.97 * I11 + 285.3</f>
        <v>490.67733599999997</v>
      </c>
      <c r="N11" s="21">
        <f t="shared" si="2"/>
        <v>433.15235999999999</v>
      </c>
      <c r="O11" s="21">
        <f t="shared" si="3"/>
        <v>408.79040999999995</v>
      </c>
      <c r="P11" s="21">
        <f t="shared" si="4"/>
        <v>352.51501600000006</v>
      </c>
      <c r="Q11" s="21">
        <f t="shared" si="5"/>
        <v>323.86686400000008</v>
      </c>
      <c r="R11" s="21">
        <f t="shared" si="6"/>
        <v>381.39184000000006</v>
      </c>
      <c r="S11" s="21">
        <f t="shared" si="7"/>
        <v>405.75379000000009</v>
      </c>
      <c r="T11" s="19">
        <f t="shared" si="8"/>
        <v>115.507296</v>
      </c>
      <c r="U11" s="19">
        <f t="shared" si="9"/>
        <v>54.376543999999967</v>
      </c>
      <c r="V11" s="19">
        <f t="shared" si="10"/>
        <v>144.38412</v>
      </c>
      <c r="W11" s="19">
        <f t="shared" si="11"/>
        <v>136.26346999999998</v>
      </c>
      <c r="X11" s="25"/>
      <c r="Y11" s="26">
        <f t="shared" si="12"/>
        <v>5.313261064225417E-2</v>
      </c>
      <c r="Z11" s="26">
        <f t="shared" si="13"/>
        <v>5.7485052315765464E-2</v>
      </c>
      <c r="AA11" s="26">
        <f t="shared" si="14"/>
        <v>1.7409766694045172E-2</v>
      </c>
      <c r="AB11" s="26">
        <f t="shared" si="15"/>
        <v>2.1762208367556463E-2</v>
      </c>
      <c r="AC11" s="26">
        <f t="shared" si="16"/>
        <v>4.8814635416381487E-2</v>
      </c>
      <c r="AD11" s="26">
        <f t="shared" si="17"/>
        <v>6.115699236111112E-2</v>
      </c>
      <c r="AE11" s="26">
        <f t="shared" si="18"/>
        <v>8.1958714077116079E-3</v>
      </c>
      <c r="AF11" s="26">
        <f t="shared" si="19"/>
        <v>2.0538228352441245E-2</v>
      </c>
    </row>
    <row r="12" spans="2:32" ht="39" thickBot="1" x14ac:dyDescent="0.3">
      <c r="B12" s="22" t="s">
        <v>76</v>
      </c>
      <c r="C12" s="16">
        <f xml:space="preserve"> (116.84 + (10* 10.9) +  (($F$1 +$F$2) * 19.42) + (0 * 426.41) + (1 * 170.98))</f>
        <v>814.54420000000005</v>
      </c>
      <c r="D12" s="27" t="s">
        <v>79</v>
      </c>
      <c r="E12" s="27" t="s">
        <v>77</v>
      </c>
      <c r="F12" s="9" t="s">
        <v>79</v>
      </c>
      <c r="G12" s="28" t="s">
        <v>78</v>
      </c>
      <c r="H12" s="18" t="s">
        <v>4</v>
      </c>
      <c r="I12" s="19">
        <f t="shared" si="1"/>
        <v>25.768799999999999</v>
      </c>
      <c r="J12" s="20" t="s">
        <v>79</v>
      </c>
      <c r="K12" s="20">
        <f>9.25*I12 + 475.4</f>
        <v>713.76139999999998</v>
      </c>
      <c r="L12" s="21" t="s">
        <v>79</v>
      </c>
      <c r="M12" s="21">
        <f>8.33 * I12 + 436.3</f>
        <v>650.95410400000003</v>
      </c>
      <c r="N12" s="21" t="s">
        <v>79</v>
      </c>
      <c r="O12" s="21">
        <f t="shared" si="3"/>
        <v>535.32105000000001</v>
      </c>
      <c r="P12" s="21" t="s">
        <v>79</v>
      </c>
      <c r="Q12" s="21">
        <f t="shared" ref="Q12" si="20">C12-M12</f>
        <v>163.59009600000002</v>
      </c>
      <c r="R12" s="21" t="s">
        <v>79</v>
      </c>
      <c r="S12" s="21">
        <f t="shared" ref="S12" si="21">$C12-O12</f>
        <v>279.22315000000003</v>
      </c>
      <c r="T12" s="21" t="s">
        <v>79</v>
      </c>
      <c r="U12" s="19">
        <f t="shared" ref="U12" si="22">K12-M12</f>
        <v>62.807295999999951</v>
      </c>
      <c r="V12" s="21" t="s">
        <v>79</v>
      </c>
      <c r="W12" s="19">
        <f t="shared" ref="W12" si="23">K12-O12</f>
        <v>178.44034999999997</v>
      </c>
      <c r="X12" s="25"/>
      <c r="Y12" s="26"/>
      <c r="Z12" s="26"/>
      <c r="AA12" s="26"/>
      <c r="AB12" s="26"/>
      <c r="AC12" s="26"/>
      <c r="AD12" s="26"/>
      <c r="AE12" s="26"/>
      <c r="AF12" s="26"/>
    </row>
    <row r="13" spans="2:32" ht="38.25" x14ac:dyDescent="0.25">
      <c r="B13" s="22" t="s">
        <v>21</v>
      </c>
      <c r="C13" s="16">
        <f xml:space="preserve"> (116.84 + (10* 10.9) +  (($F$1 +$F$2) * 19.42) + (0 * 426.41) + (1 * 170.98))</f>
        <v>814.54420000000005</v>
      </c>
      <c r="D13" s="22" t="s">
        <v>22</v>
      </c>
      <c r="E13" s="22" t="s">
        <v>38</v>
      </c>
      <c r="F13" s="23" t="s">
        <v>23</v>
      </c>
      <c r="G13" s="8" t="s">
        <v>50</v>
      </c>
      <c r="H13" s="18" t="s">
        <v>4</v>
      </c>
      <c r="I13" s="19">
        <f t="shared" si="1"/>
        <v>25.768799999999999</v>
      </c>
      <c r="J13" s="20">
        <f>10.2*I13+356</f>
        <v>618.84176000000002</v>
      </c>
      <c r="K13" s="20">
        <f>8.4*I13 + 385.4</f>
        <v>601.85791999999992</v>
      </c>
      <c r="L13" s="21">
        <f>8.16*I13+284.8</f>
        <v>495.07340799999997</v>
      </c>
      <c r="M13" s="21">
        <f>7.56 * I13 + 355.3</f>
        <v>550.11212799999998</v>
      </c>
      <c r="N13" s="21">
        <f t="shared" si="2"/>
        <v>464.13132000000002</v>
      </c>
      <c r="O13" s="21">
        <f t="shared" si="3"/>
        <v>451.39343999999994</v>
      </c>
      <c r="P13" s="21">
        <f t="shared" si="4"/>
        <v>319.47079200000007</v>
      </c>
      <c r="Q13" s="21">
        <f t="shared" si="5"/>
        <v>264.43207200000006</v>
      </c>
      <c r="R13" s="21">
        <f t="shared" si="6"/>
        <v>350.41288000000003</v>
      </c>
      <c r="S13" s="21">
        <f t="shared" si="7"/>
        <v>363.1507600000001</v>
      </c>
      <c r="T13" s="19">
        <f t="shared" si="8"/>
        <v>123.76835200000005</v>
      </c>
      <c r="U13" s="19">
        <f t="shared" si="9"/>
        <v>51.745791999999938</v>
      </c>
      <c r="V13" s="19">
        <f t="shared" si="10"/>
        <v>154.71044000000001</v>
      </c>
      <c r="W13" s="19">
        <f t="shared" si="11"/>
        <v>150.46447999999998</v>
      </c>
      <c r="X13" s="25"/>
      <c r="Y13" s="26">
        <f t="shared" si="12"/>
        <v>4.8152040147159486E-2</v>
      </c>
      <c r="Z13" s="26">
        <f t="shared" si="13"/>
        <v>5.2815767476614192E-2</v>
      </c>
      <c r="AA13" s="26">
        <f t="shared" si="14"/>
        <v>1.8654909317818852E-2</v>
      </c>
      <c r="AB13" s="26">
        <f t="shared" si="15"/>
        <v>2.3318636647273554E-2</v>
      </c>
      <c r="AC13" s="26">
        <f t="shared" si="16"/>
        <v>3.9856362665982213E-2</v>
      </c>
      <c r="AD13" s="26">
        <f t="shared" si="17"/>
        <v>5.4735676665525916E-2</v>
      </c>
      <c r="AE13" s="26">
        <f t="shared" si="18"/>
        <v>7.79935291809262E-3</v>
      </c>
      <c r="AF13" s="26">
        <f t="shared" si="19"/>
        <v>2.2678666917636314E-2</v>
      </c>
    </row>
    <row r="14" spans="2:32" ht="38.25" x14ac:dyDescent="0.25">
      <c r="B14" s="22" t="s">
        <v>24</v>
      </c>
      <c r="C14" s="16">
        <f xml:space="preserve"> (116.84 + (10* 10.9) +  (($F$1 +$F$2) * 19.42) + (1 * 426.41) + (1 * 170.98))</f>
        <v>1240.9542000000001</v>
      </c>
      <c r="D14" s="22" t="s">
        <v>25</v>
      </c>
      <c r="E14" s="22" t="s">
        <v>39</v>
      </c>
      <c r="F14" s="23" t="s">
        <v>26</v>
      </c>
      <c r="G14" s="8" t="s">
        <v>51</v>
      </c>
      <c r="H14" s="18" t="s">
        <v>4</v>
      </c>
      <c r="I14" s="19">
        <f t="shared" si="1"/>
        <v>25.768799999999999</v>
      </c>
      <c r="J14" s="20">
        <f>10.1*I14+406</f>
        <v>666.26487999999995</v>
      </c>
      <c r="K14" s="20">
        <f>8.54*I14 + 432.8</f>
        <v>652.86555199999998</v>
      </c>
      <c r="L14" s="21">
        <f>8.08*I14+324.8</f>
        <v>533.01190399999996</v>
      </c>
      <c r="M14" s="21">
        <f>7.69 * I14 + 397.9</f>
        <v>596.06207199999994</v>
      </c>
      <c r="N14" s="21">
        <f t="shared" si="2"/>
        <v>499.69865999999996</v>
      </c>
      <c r="O14" s="21">
        <f t="shared" si="3"/>
        <v>489.64916399999998</v>
      </c>
      <c r="P14" s="21">
        <f t="shared" si="4"/>
        <v>707.94229600000017</v>
      </c>
      <c r="Q14" s="21">
        <f t="shared" si="5"/>
        <v>644.89212800000018</v>
      </c>
      <c r="R14" s="21">
        <f t="shared" si="6"/>
        <v>741.25554000000011</v>
      </c>
      <c r="S14" s="21">
        <f t="shared" si="7"/>
        <v>751.3050360000002</v>
      </c>
      <c r="T14" s="19">
        <f t="shared" si="8"/>
        <v>133.25297599999999</v>
      </c>
      <c r="U14" s="19">
        <f t="shared" si="9"/>
        <v>56.803480000000036</v>
      </c>
      <c r="V14" s="19">
        <f t="shared" si="10"/>
        <v>166.56621999999999</v>
      </c>
      <c r="W14" s="19">
        <f t="shared" si="11"/>
        <v>163.21638799999999</v>
      </c>
      <c r="X14" s="25"/>
      <c r="Y14" s="26">
        <f t="shared" si="12"/>
        <v>0.10670417049851702</v>
      </c>
      <c r="Z14" s="26">
        <f t="shared" si="13"/>
        <v>0.1117252888689254</v>
      </c>
      <c r="AA14" s="26">
        <f t="shared" si="14"/>
        <v>2.0084473481633582E-2</v>
      </c>
      <c r="AB14" s="26">
        <f t="shared" si="15"/>
        <v>2.5105591852041979E-2</v>
      </c>
      <c r="AC14" s="26">
        <f t="shared" si="16"/>
        <v>9.7200972407027172E-2</v>
      </c>
      <c r="AD14" s="26">
        <f t="shared" si="17"/>
        <v>0.11323999302019168</v>
      </c>
      <c r="AE14" s="26">
        <f t="shared" si="18"/>
        <v>8.5616698551220678E-3</v>
      </c>
      <c r="AF14" s="26">
        <f t="shared" si="19"/>
        <v>2.460069046828656E-2</v>
      </c>
    </row>
  </sheetData>
  <mergeCells count="12">
    <mergeCell ref="D5:E5"/>
    <mergeCell ref="F5:G5"/>
    <mergeCell ref="T5:W5"/>
    <mergeCell ref="Y5:Z5"/>
    <mergeCell ref="AC3:AF3"/>
    <mergeCell ref="AC5:AD5"/>
    <mergeCell ref="AE5:AF5"/>
    <mergeCell ref="P5:S5"/>
    <mergeCell ref="AC4:AF4"/>
    <mergeCell ref="AA5:AB5"/>
    <mergeCell ref="Y4:AB4"/>
    <mergeCell ref="Y3:AB3"/>
  </mergeCells>
  <hyperlinks>
    <hyperlink ref="D6" location="_ftn1" display="_ftn1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H11"/>
  <sheetViews>
    <sheetView workbookViewId="0">
      <selection activeCell="G5" sqref="G5:G11"/>
    </sheetView>
  </sheetViews>
  <sheetFormatPr defaultRowHeight="15" x14ac:dyDescent="0.25"/>
  <cols>
    <col min="2" max="2" width="24.140625" customWidth="1"/>
  </cols>
  <sheetData>
    <row r="4" spans="2:8" ht="60" x14ac:dyDescent="0.25">
      <c r="B4" s="7" t="s">
        <v>2</v>
      </c>
      <c r="C4" s="3" t="s">
        <v>5</v>
      </c>
      <c r="D4" s="3" t="s">
        <v>28</v>
      </c>
      <c r="E4" s="3" t="s">
        <v>29</v>
      </c>
      <c r="F4" s="3" t="s">
        <v>30</v>
      </c>
      <c r="G4" s="3" t="s">
        <v>31</v>
      </c>
      <c r="H4" s="3" t="s">
        <v>32</v>
      </c>
    </row>
    <row r="5" spans="2:8" ht="45" x14ac:dyDescent="0.25">
      <c r="B5" s="1" t="s">
        <v>8</v>
      </c>
      <c r="C5" s="4">
        <v>25.768799999999999</v>
      </c>
      <c r="D5" s="5">
        <v>475.68081599999999</v>
      </c>
      <c r="E5" s="6">
        <v>380.54465279999999</v>
      </c>
      <c r="F5" s="4">
        <v>95.136163199999999</v>
      </c>
      <c r="G5" s="6">
        <f>D5*0.75</f>
        <v>356.76061199999998</v>
      </c>
      <c r="H5" s="4">
        <f>D5-G5</f>
        <v>118.92020400000001</v>
      </c>
    </row>
    <row r="6" spans="2:8" ht="30" x14ac:dyDescent="0.25">
      <c r="B6" s="2" t="s">
        <v>11</v>
      </c>
      <c r="C6" s="4">
        <v>25.768799999999999</v>
      </c>
      <c r="D6" s="5">
        <v>475.68081599999999</v>
      </c>
      <c r="E6" s="6">
        <v>380.54465279999999</v>
      </c>
      <c r="F6" s="4">
        <v>95.136163199999999</v>
      </c>
      <c r="G6" s="6">
        <f t="shared" ref="G6:G11" si="0">D6*0.75</f>
        <v>356.76061199999998</v>
      </c>
      <c r="H6" s="4">
        <f t="shared" ref="H6:H11" si="1">D6-G6</f>
        <v>118.92020400000001</v>
      </c>
    </row>
    <row r="7" spans="2:8" ht="105" x14ac:dyDescent="0.25">
      <c r="B7" s="2" t="s">
        <v>12</v>
      </c>
      <c r="C7" s="4">
        <v>25.768799999999999</v>
      </c>
      <c r="D7" s="5">
        <v>528.53423999999995</v>
      </c>
      <c r="E7" s="6">
        <v>422.82739200000003</v>
      </c>
      <c r="F7" s="4">
        <v>105.70684799999992</v>
      </c>
      <c r="G7" s="6">
        <f t="shared" si="0"/>
        <v>396.40067999999997</v>
      </c>
      <c r="H7" s="4">
        <f t="shared" si="1"/>
        <v>132.13355999999999</v>
      </c>
    </row>
    <row r="8" spans="2:8" ht="75" x14ac:dyDescent="0.25">
      <c r="B8" s="2" t="s">
        <v>15</v>
      </c>
      <c r="C8" s="4">
        <v>25.768799999999999</v>
      </c>
      <c r="D8" s="5">
        <v>634.02480800000001</v>
      </c>
      <c r="E8" s="6">
        <v>507.21984639999999</v>
      </c>
      <c r="F8" s="4">
        <v>126.80496160000001</v>
      </c>
      <c r="G8" s="6">
        <f t="shared" si="0"/>
        <v>475.51860599999998</v>
      </c>
      <c r="H8" s="4">
        <f t="shared" si="1"/>
        <v>158.50620200000003</v>
      </c>
    </row>
    <row r="9" spans="2:8" ht="75" x14ac:dyDescent="0.25">
      <c r="B9" s="2" t="s">
        <v>18</v>
      </c>
      <c r="C9" s="4">
        <v>25.768799999999999</v>
      </c>
      <c r="D9" s="5">
        <v>577.53647999999998</v>
      </c>
      <c r="E9" s="6">
        <v>462.02918399999999</v>
      </c>
      <c r="F9" s="4">
        <v>115.507296</v>
      </c>
      <c r="G9" s="6">
        <f t="shared" si="0"/>
        <v>433.15235999999999</v>
      </c>
      <c r="H9" s="4">
        <f t="shared" si="1"/>
        <v>144.38412</v>
      </c>
    </row>
    <row r="10" spans="2:8" ht="75" x14ac:dyDescent="0.25">
      <c r="B10" s="2" t="s">
        <v>21</v>
      </c>
      <c r="C10" s="4">
        <v>25.768799999999999</v>
      </c>
      <c r="D10" s="5">
        <v>618.84176000000002</v>
      </c>
      <c r="E10" s="6">
        <v>495.07340799999997</v>
      </c>
      <c r="F10" s="4">
        <v>123.76835200000005</v>
      </c>
      <c r="G10" s="6">
        <f t="shared" si="0"/>
        <v>464.13132000000002</v>
      </c>
      <c r="H10" s="4">
        <f t="shared" si="1"/>
        <v>154.71044000000001</v>
      </c>
    </row>
    <row r="11" spans="2:8" ht="75" x14ac:dyDescent="0.25">
      <c r="B11" s="2" t="s">
        <v>24</v>
      </c>
      <c r="C11" s="4">
        <v>25.768799999999999</v>
      </c>
      <c r="D11" s="5">
        <v>666.26487999999995</v>
      </c>
      <c r="E11" s="6">
        <v>533.01190399999996</v>
      </c>
      <c r="F11" s="4">
        <v>133.25297599999999</v>
      </c>
      <c r="G11" s="6">
        <f t="shared" si="0"/>
        <v>499.69865999999996</v>
      </c>
      <c r="H11" s="4">
        <f t="shared" si="1"/>
        <v>166.56621999999999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22374AC-2017-4945-89B5-85BAE0811B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921949A-6411-412B-A8C8-B2CE13042BB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C4AB64C-E307-474F-B31A-A0D91C09518B}">
  <ds:schemaRefs>
    <ds:schemaRef ds:uri="http://schemas.openxmlformats.org/package/2006/metadata/core-properties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Sheet1!_ftnref1</vt:lpstr>
    </vt:vector>
  </TitlesOfParts>
  <Company>VEIC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Dent</dc:creator>
  <cp:lastModifiedBy>Samuel Dent</cp:lastModifiedBy>
  <dcterms:created xsi:type="dcterms:W3CDTF">2012-04-19T13:38:55Z</dcterms:created>
  <dcterms:modified xsi:type="dcterms:W3CDTF">2014-02-18T09:29:15Z</dcterms:modified>
</cp:coreProperties>
</file>