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codeName="ThisWorkbook" defaultThemeVersion="124226"/>
  <mc:AlternateContent xmlns:mc="http://schemas.openxmlformats.org/markup-compatibility/2006">
    <mc:Choice Requires="x15">
      <x15ac:absPath xmlns:x15ac="http://schemas.microsoft.com/office/spreadsheetml/2010/11/ac" url="https://d.docs.live.net/97314b2b1000012c/Documents/IL SAG 2018/July 31 Large Group SAG Meeting/"/>
    </mc:Choice>
  </mc:AlternateContent>
  <xr:revisionPtr revIDLastSave="0" documentId="8_{980D20F9-9668-4061-ADCE-7045C95C9C7B}" xr6:coauthVersionLast="34" xr6:coauthVersionMax="34" xr10:uidLastSave="{00000000-0000-0000-0000-000000000000}"/>
  <bookViews>
    <workbookView xWindow="0" yWindow="0" windowWidth="14380" windowHeight="4100" xr2:uid="{00000000-000D-0000-FFFF-FFFF00000000}"/>
  </bookViews>
  <sheets>
    <sheet name="1- Ex Ante Results" sheetId="1" r:id="rId1"/>
    <sheet name="2- Costs" sheetId="2" r:id="rId2"/>
    <sheet name="3- Energy" sheetId="3" r:id="rId3"/>
    <sheet name="4- Other" sheetId="4" r:id="rId4"/>
    <sheet name="5- CPAS" sheetId="7" r:id="rId5"/>
  </sheets>
  <calcPr calcId="179017"/>
</workbook>
</file>

<file path=xl/calcChain.xml><?xml version="1.0" encoding="utf-8"?>
<calcChain xmlns="http://schemas.openxmlformats.org/spreadsheetml/2006/main">
  <c r="J60" i="1" l="1"/>
  <c r="J41" i="1"/>
  <c r="I60" i="1"/>
  <c r="I41" i="1"/>
  <c r="L18" i="4" l="1"/>
  <c r="K18" i="4" l="1"/>
  <c r="K12" i="4" l="1"/>
  <c r="J12" i="4"/>
  <c r="I12" i="4"/>
  <c r="H12" i="4"/>
  <c r="G12" i="4"/>
  <c r="F12" i="4"/>
  <c r="E12" i="4"/>
  <c r="D12" i="4"/>
  <c r="C12" i="4"/>
  <c r="E30" i="3"/>
  <c r="F23" i="3"/>
  <c r="G23" i="3" s="1"/>
  <c r="F24" i="3"/>
  <c r="F22" i="3"/>
  <c r="E25" i="3"/>
  <c r="E21" i="3"/>
  <c r="F27" i="3"/>
  <c r="G27" i="3" s="1"/>
  <c r="F28" i="3"/>
  <c r="G28" i="3" s="1"/>
  <c r="F26" i="3"/>
  <c r="F19" i="3"/>
  <c r="F20" i="3"/>
  <c r="G20" i="3" s="1"/>
  <c r="F18" i="3"/>
  <c r="F21" i="3" s="1"/>
  <c r="G21" i="3" s="1"/>
  <c r="F15" i="3"/>
  <c r="G15" i="3" s="1"/>
  <c r="F16" i="3"/>
  <c r="F14" i="3"/>
  <c r="G16" i="3"/>
  <c r="G19" i="3"/>
  <c r="G24" i="3"/>
  <c r="G14" i="3"/>
  <c r="E17" i="3"/>
  <c r="F17" i="3"/>
  <c r="G17" i="3" s="1"/>
  <c r="D25" i="3"/>
  <c r="D21" i="3"/>
  <c r="D17" i="3"/>
  <c r="M69" i="1"/>
  <c r="M70" i="1"/>
  <c r="M71" i="1"/>
  <c r="M72" i="1"/>
  <c r="M73" i="1"/>
  <c r="M74" i="1"/>
  <c r="M75" i="1"/>
  <c r="H23" i="1"/>
  <c r="H24" i="1"/>
  <c r="H25" i="1"/>
  <c r="L23" i="1"/>
  <c r="L24" i="1"/>
  <c r="L25" i="1"/>
  <c r="M58" i="1"/>
  <c r="I13" i="4" l="1"/>
  <c r="I16" i="4"/>
  <c r="I14" i="4"/>
  <c r="I15" i="4"/>
  <c r="E13" i="4"/>
  <c r="E16" i="4"/>
  <c r="E14" i="4"/>
  <c r="E15" i="4"/>
  <c r="F15" i="4"/>
  <c r="F13" i="4"/>
  <c r="F16" i="4"/>
  <c r="F14" i="4"/>
  <c r="J15" i="4"/>
  <c r="J13" i="4"/>
  <c r="J16" i="4"/>
  <c r="J14" i="4"/>
  <c r="K14" i="4"/>
  <c r="K15" i="4"/>
  <c r="K13" i="4"/>
  <c r="K16" i="4"/>
  <c r="C16" i="4"/>
  <c r="C14" i="4"/>
  <c r="C15" i="4"/>
  <c r="C13" i="4"/>
  <c r="G14" i="4"/>
  <c r="G15" i="4"/>
  <c r="G13" i="4"/>
  <c r="G16" i="4"/>
  <c r="G18" i="3"/>
  <c r="D16" i="4"/>
  <c r="D14" i="4"/>
  <c r="D15" i="4"/>
  <c r="D13" i="4"/>
  <c r="H16" i="4"/>
  <c r="H14" i="4"/>
  <c r="H15" i="4"/>
  <c r="H13" i="4"/>
  <c r="F29" i="3"/>
  <c r="F25" i="3"/>
  <c r="G25" i="3" s="1"/>
  <c r="G22" i="3"/>
  <c r="G29" i="3" l="1"/>
  <c r="F30" i="3"/>
  <c r="C21" i="2" l="1"/>
  <c r="C25" i="2" s="1"/>
  <c r="K76" i="1"/>
  <c r="I76" i="1"/>
  <c r="D76" i="1"/>
  <c r="E75" i="1"/>
  <c r="E58" i="1"/>
  <c r="K59" i="1"/>
  <c r="D59" i="1"/>
  <c r="L99" i="1"/>
  <c r="K99" i="1"/>
  <c r="H99" i="1"/>
  <c r="F99" i="1"/>
  <c r="D99" i="1"/>
  <c r="C99" i="1"/>
  <c r="E98" i="1"/>
  <c r="G105" i="1" l="1"/>
  <c r="G72" i="1"/>
  <c r="E105" i="1" l="1"/>
  <c r="F23" i="1"/>
  <c r="F24" i="1"/>
  <c r="F25" i="1"/>
  <c r="F38" i="1"/>
  <c r="F37" i="1"/>
  <c r="F36" i="1"/>
  <c r="F35" i="1"/>
  <c r="F34" i="1"/>
  <c r="F33" i="1"/>
  <c r="F32" i="1"/>
  <c r="F31" i="1"/>
  <c r="F30" i="1"/>
  <c r="F29" i="1"/>
  <c r="F28" i="1"/>
  <c r="F27" i="1"/>
  <c r="F26" i="1"/>
  <c r="D35" i="1"/>
  <c r="H35" i="1"/>
  <c r="K35" i="1"/>
  <c r="L35" i="1"/>
  <c r="C35" i="1"/>
  <c r="L106" i="1"/>
  <c r="K106" i="1"/>
  <c r="H106" i="1"/>
  <c r="F106" i="1"/>
  <c r="D106" i="1"/>
  <c r="E106" i="1" s="1"/>
  <c r="C106" i="1"/>
  <c r="G106" i="1" s="1"/>
  <c r="E56" i="1"/>
  <c r="D26" i="1"/>
  <c r="D27" i="1"/>
  <c r="E27" i="1" s="1"/>
  <c r="D28" i="1"/>
  <c r="E28" i="1" s="1"/>
  <c r="D29" i="1"/>
  <c r="E29" i="1" s="1"/>
  <c r="D30" i="1"/>
  <c r="D31" i="1"/>
  <c r="E31" i="1" s="1"/>
  <c r="D32" i="1"/>
  <c r="E32" i="1" s="1"/>
  <c r="D33" i="1"/>
  <c r="E33" i="1" s="1"/>
  <c r="D34" i="1"/>
  <c r="D36" i="1"/>
  <c r="E36" i="1" s="1"/>
  <c r="D37" i="1"/>
  <c r="E37" i="1" s="1"/>
  <c r="D38" i="1"/>
  <c r="E38" i="1" s="1"/>
  <c r="E104" i="1"/>
  <c r="E92" i="1"/>
  <c r="E93" i="1"/>
  <c r="E94" i="1"/>
  <c r="E95" i="1"/>
  <c r="E96" i="1"/>
  <c r="E97" i="1"/>
  <c r="E91" i="1"/>
  <c r="E23" i="1"/>
  <c r="E24" i="1"/>
  <c r="E25" i="1"/>
  <c r="E26" i="1"/>
  <c r="E30" i="1"/>
  <c r="E34" i="1"/>
  <c r="E39" i="1"/>
  <c r="E41" i="1"/>
  <c r="E42" i="1"/>
  <c r="E43" i="1"/>
  <c r="E44" i="1"/>
  <c r="E45" i="1"/>
  <c r="E46" i="1"/>
  <c r="E47" i="1"/>
  <c r="E48" i="1"/>
  <c r="E49" i="1"/>
  <c r="E50" i="1"/>
  <c r="E51" i="1"/>
  <c r="E52" i="1"/>
  <c r="E53" i="1"/>
  <c r="E54" i="1"/>
  <c r="E55" i="1"/>
  <c r="E57" i="1"/>
  <c r="E61" i="1"/>
  <c r="E62" i="1"/>
  <c r="E63" i="1"/>
  <c r="E64" i="1"/>
  <c r="E65" i="1"/>
  <c r="E66" i="1"/>
  <c r="E67" i="1"/>
  <c r="E68" i="1"/>
  <c r="E69" i="1"/>
  <c r="E70" i="1"/>
  <c r="E71" i="1"/>
  <c r="E72" i="1"/>
  <c r="E73" i="1"/>
  <c r="E35" i="1" s="1"/>
  <c r="E74" i="1"/>
  <c r="E77" i="1"/>
  <c r="E78" i="1"/>
  <c r="E79" i="1"/>
  <c r="E80" i="1"/>
  <c r="E81" i="1"/>
  <c r="E82" i="1"/>
  <c r="E83" i="1"/>
  <c r="E84" i="1"/>
  <c r="E85" i="1"/>
  <c r="E86" i="1"/>
  <c r="E87" i="1"/>
  <c r="E88" i="1"/>
  <c r="E59" i="1" l="1"/>
  <c r="E99" i="1"/>
  <c r="J36" i="1"/>
  <c r="I37" i="1"/>
  <c r="J38" i="1"/>
  <c r="K89" i="1"/>
  <c r="L89" i="1"/>
  <c r="H89" i="1"/>
  <c r="C15" i="2" s="1"/>
  <c r="C16" i="2"/>
  <c r="M87" i="1"/>
  <c r="G87" i="1"/>
  <c r="G86" i="1"/>
  <c r="M86" i="1"/>
  <c r="M96" i="1"/>
  <c r="G96" i="1"/>
  <c r="L26" i="1"/>
  <c r="L27" i="1"/>
  <c r="L28" i="1"/>
  <c r="L29" i="1"/>
  <c r="L30" i="1"/>
  <c r="L31" i="1"/>
  <c r="L32" i="1"/>
  <c r="L33" i="1"/>
  <c r="L34" i="1"/>
  <c r="L36" i="1"/>
  <c r="L37" i="1"/>
  <c r="L38" i="1"/>
  <c r="L39" i="1"/>
  <c r="H26" i="1"/>
  <c r="H27" i="1"/>
  <c r="H28" i="1"/>
  <c r="H29" i="1"/>
  <c r="H30" i="1"/>
  <c r="H31" i="1"/>
  <c r="H32" i="1"/>
  <c r="H33" i="1"/>
  <c r="H34" i="1"/>
  <c r="H36" i="1"/>
  <c r="H37" i="1"/>
  <c r="H38" i="1"/>
  <c r="H39" i="1"/>
  <c r="K38" i="1"/>
  <c r="K39" i="1"/>
  <c r="K36" i="1"/>
  <c r="C38" i="1"/>
  <c r="G38" i="1" s="1"/>
  <c r="K37" i="1"/>
  <c r="K34" i="1"/>
  <c r="K33" i="1"/>
  <c r="K32" i="1"/>
  <c r="K31" i="1"/>
  <c r="K30" i="1"/>
  <c r="K29" i="1"/>
  <c r="K28" i="1"/>
  <c r="K27" i="1"/>
  <c r="K26" i="1"/>
  <c r="K22" i="1"/>
  <c r="M56" i="1"/>
  <c r="G56" i="1"/>
  <c r="M35" i="1"/>
  <c r="G73" i="1"/>
  <c r="G35" i="1" s="1"/>
  <c r="M39" i="1" l="1"/>
  <c r="I59" i="1"/>
  <c r="I99" i="1"/>
  <c r="J106" i="1"/>
  <c r="I106" i="1"/>
  <c r="J37" i="1"/>
  <c r="J35" i="1"/>
  <c r="I35" i="1"/>
  <c r="I27" i="1"/>
  <c r="M38" i="1"/>
  <c r="I29" i="1"/>
  <c r="J33" i="1"/>
  <c r="I38" i="1"/>
  <c r="I36" i="1"/>
  <c r="I31" i="1"/>
  <c r="I33" i="1"/>
  <c r="J29" i="1"/>
  <c r="J31" i="1"/>
  <c r="J27" i="1"/>
  <c r="J28" i="1"/>
  <c r="I32" i="1"/>
  <c r="I89" i="1"/>
  <c r="J89" i="1"/>
  <c r="I39" i="1"/>
  <c r="I28" i="1"/>
  <c r="I34" i="1"/>
  <c r="I30" i="1"/>
  <c r="I26" i="1"/>
  <c r="J32" i="1"/>
  <c r="J39" i="1"/>
  <c r="J34" i="1"/>
  <c r="J30" i="1"/>
  <c r="J26" i="1"/>
  <c r="K40" i="1"/>
  <c r="J99" i="1" l="1"/>
  <c r="M104" i="1" l="1"/>
  <c r="C37" i="1"/>
  <c r="G37" i="1" s="1"/>
  <c r="C36" i="1"/>
  <c r="G36" i="1" s="1"/>
  <c r="C24" i="1"/>
  <c r="G24" i="1" s="1"/>
  <c r="C25" i="1"/>
  <c r="G25" i="1" s="1"/>
  <c r="C26" i="1"/>
  <c r="G26" i="1" s="1"/>
  <c r="C27" i="1"/>
  <c r="G27" i="1" s="1"/>
  <c r="C28" i="1"/>
  <c r="G28" i="1" s="1"/>
  <c r="C29" i="1"/>
  <c r="G29" i="1" s="1"/>
  <c r="C30" i="1"/>
  <c r="G30" i="1" s="1"/>
  <c r="C31" i="1"/>
  <c r="G31" i="1" s="1"/>
  <c r="C32" i="1"/>
  <c r="G32" i="1" s="1"/>
  <c r="C33" i="1"/>
  <c r="G33" i="1" s="1"/>
  <c r="C34" i="1"/>
  <c r="G34" i="1" s="1"/>
  <c r="C23" i="1"/>
  <c r="G23" i="1" s="1"/>
  <c r="L41" i="1"/>
  <c r="L59" i="1" s="1"/>
  <c r="H41" i="1"/>
  <c r="H59" i="1" s="1"/>
  <c r="F41" i="1"/>
  <c r="F59" i="1" s="1"/>
  <c r="L60" i="1"/>
  <c r="L76" i="1" s="1"/>
  <c r="K107" i="1"/>
  <c r="H60" i="1"/>
  <c r="H76" i="1" s="1"/>
  <c r="F60" i="1"/>
  <c r="F76" i="1" s="1"/>
  <c r="C60" i="1"/>
  <c r="C76" i="1" s="1"/>
  <c r="G92" i="1"/>
  <c r="G93" i="1"/>
  <c r="G94" i="1"/>
  <c r="G95" i="1"/>
  <c r="G91" i="1"/>
  <c r="G79" i="1"/>
  <c r="G80" i="1"/>
  <c r="G81" i="1"/>
  <c r="G82" i="1"/>
  <c r="G83" i="1"/>
  <c r="G85" i="1"/>
  <c r="G78" i="1"/>
  <c r="G42" i="1"/>
  <c r="G43" i="1"/>
  <c r="G44" i="1"/>
  <c r="G45" i="1"/>
  <c r="G46" i="1"/>
  <c r="G47" i="1"/>
  <c r="G48" i="1"/>
  <c r="G49" i="1"/>
  <c r="G50" i="1"/>
  <c r="G51" i="1"/>
  <c r="G52" i="1"/>
  <c r="G53" i="1"/>
  <c r="G54" i="1"/>
  <c r="G55" i="1"/>
  <c r="G61" i="1"/>
  <c r="G62" i="1"/>
  <c r="G63" i="1"/>
  <c r="G64" i="1"/>
  <c r="G65" i="1"/>
  <c r="G66" i="1"/>
  <c r="G67" i="1"/>
  <c r="G68" i="1"/>
  <c r="G69" i="1"/>
  <c r="G70" i="1"/>
  <c r="G71" i="1"/>
  <c r="C41" i="1"/>
  <c r="C59" i="1" s="1"/>
  <c r="M92" i="1"/>
  <c r="M93" i="1"/>
  <c r="M94" i="1"/>
  <c r="M95" i="1"/>
  <c r="M97" i="1"/>
  <c r="M99" i="1"/>
  <c r="M91" i="1"/>
  <c r="M79" i="1"/>
  <c r="M80" i="1"/>
  <c r="M81" i="1"/>
  <c r="M82" i="1"/>
  <c r="M83" i="1"/>
  <c r="M84" i="1"/>
  <c r="M85" i="1"/>
  <c r="M88" i="1"/>
  <c r="M89" i="1"/>
  <c r="M78" i="1"/>
  <c r="M61" i="1"/>
  <c r="M62" i="1"/>
  <c r="M63" i="1"/>
  <c r="M64" i="1"/>
  <c r="M65" i="1"/>
  <c r="M66" i="1"/>
  <c r="M67" i="1"/>
  <c r="M68" i="1"/>
  <c r="M42" i="1"/>
  <c r="M43" i="1"/>
  <c r="M44" i="1"/>
  <c r="M45" i="1"/>
  <c r="M46" i="1"/>
  <c r="M47" i="1"/>
  <c r="M48" i="1"/>
  <c r="M49" i="1"/>
  <c r="M50" i="1"/>
  <c r="M51" i="1"/>
  <c r="M52" i="1"/>
  <c r="M53" i="1"/>
  <c r="M54" i="1"/>
  <c r="M55" i="1"/>
  <c r="M57" i="1"/>
  <c r="M23" i="1"/>
  <c r="M24" i="1"/>
  <c r="M25" i="1"/>
  <c r="M26" i="1"/>
  <c r="M27" i="1"/>
  <c r="M28" i="1"/>
  <c r="M29" i="1"/>
  <c r="M30" i="1"/>
  <c r="M31" i="1"/>
  <c r="M32" i="1"/>
  <c r="M33" i="1"/>
  <c r="M34" i="1"/>
  <c r="M36" i="1"/>
  <c r="M37" i="1"/>
  <c r="D89" i="1"/>
  <c r="E89" i="1" s="1"/>
  <c r="F89" i="1"/>
  <c r="M60" i="1" l="1"/>
  <c r="F22" i="1"/>
  <c r="F40" i="1" s="1"/>
  <c r="F107" i="1" s="1"/>
  <c r="G99" i="1"/>
  <c r="L22" i="1"/>
  <c r="L40" i="1" s="1"/>
  <c r="L107" i="1" s="1"/>
  <c r="M106" i="1"/>
  <c r="H22" i="1"/>
  <c r="H40" i="1" s="1"/>
  <c r="H107" i="1" s="1"/>
  <c r="E60" i="1"/>
  <c r="E76" i="1" s="1"/>
  <c r="G41" i="1"/>
  <c r="C22" i="1"/>
  <c r="G60" i="1"/>
  <c r="G76" i="1"/>
  <c r="D22" i="1"/>
  <c r="M41" i="1"/>
  <c r="G22" i="1" l="1"/>
  <c r="G59" i="1"/>
  <c r="I22" i="1"/>
  <c r="I40" i="1" s="1"/>
  <c r="I107" i="1" s="1"/>
  <c r="J76" i="1"/>
  <c r="C14" i="2"/>
  <c r="M76" i="1"/>
  <c r="M59" i="1"/>
  <c r="C13" i="2"/>
  <c r="C19" i="2" s="1"/>
  <c r="C26" i="2" s="1"/>
  <c r="C31" i="2" s="1"/>
  <c r="J59" i="1"/>
  <c r="D40" i="1"/>
  <c r="E22" i="1"/>
  <c r="M40" i="1"/>
  <c r="M22" i="1"/>
  <c r="M107" i="1"/>
  <c r="C40" i="1"/>
  <c r="D107" i="1" l="1"/>
  <c r="E107" i="1" s="1"/>
  <c r="E40" i="1"/>
  <c r="J22" i="1"/>
  <c r="J40" i="1" s="1"/>
  <c r="J107" i="1" s="1"/>
  <c r="G40" i="1"/>
  <c r="E33" i="7" l="1"/>
  <c r="E23" i="7"/>
  <c r="E24" i="7" s="1"/>
  <c r="E26" i="7" s="1"/>
  <c r="E18" i="7"/>
  <c r="E27" i="7" l="1"/>
  <c r="E37" i="7"/>
  <c r="E34" i="7"/>
  <c r="C84" i="1"/>
  <c r="G84" i="1" s="1"/>
  <c r="C89" i="1" l="1"/>
  <c r="C107" i="1" s="1"/>
  <c r="G107" i="1" l="1"/>
  <c r="L12" i="4"/>
  <c r="E28" i="7"/>
  <c r="D26" i="3"/>
  <c r="E29" i="7"/>
  <c r="E30" i="7" s="1"/>
  <c r="G89" i="1"/>
  <c r="E35" i="7"/>
  <c r="L16" i="4" l="1"/>
  <c r="L14" i="4"/>
  <c r="L15" i="4"/>
  <c r="L13" i="4"/>
  <c r="D30" i="3"/>
  <c r="G30" i="3" s="1"/>
  <c r="G26" i="3"/>
  <c r="E36" i="7"/>
  <c r="E38" i="7" s="1"/>
  <c r="E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Mcnish, Rebecca K:(ComEd)</author>
  </authors>
  <commentList>
    <comment ref="D107" authorId="0" shapeId="0" xr:uid="{00000000-0006-0000-0000-000001000000}">
      <text>
        <r>
          <rPr>
            <b/>
            <sz val="9"/>
            <color indexed="81"/>
            <rFont val="Tahoma"/>
            <family val="2"/>
          </rPr>
          <t>Mcnish, Rebecca K:(ComEd):</t>
        </r>
        <r>
          <rPr>
            <sz val="9"/>
            <color indexed="81"/>
            <rFont val="Tahoma"/>
            <family val="2"/>
          </rPr>
          <t xml:space="preserve">
Includes Therm Conversion Limit of 94,423 net MWh</t>
        </r>
      </text>
    </comment>
    <comment ref="E107" authorId="0" shapeId="0" xr:uid="{00000000-0006-0000-0000-000002000000}">
      <text>
        <r>
          <rPr>
            <b/>
            <sz val="9"/>
            <color indexed="81"/>
            <rFont val="Tahoma"/>
            <family val="2"/>
          </rPr>
          <t>Mcnish, Rebecca K:(ComEd):</t>
        </r>
        <r>
          <rPr>
            <sz val="9"/>
            <color indexed="81"/>
            <rFont val="Tahoma"/>
            <family val="2"/>
          </rPr>
          <t xml:space="preserve">
Includes Therm Conversion Limit of 94,423 net MWh</t>
        </r>
      </text>
    </comment>
    <comment ref="F107" authorId="0" shapeId="0" xr:uid="{00000000-0006-0000-0000-000003000000}">
      <text>
        <r>
          <rPr>
            <b/>
            <sz val="9"/>
            <color indexed="81"/>
            <rFont val="Tahoma"/>
            <family val="2"/>
          </rPr>
          <t>Mcnish, Rebecca K:(ComEd):</t>
        </r>
        <r>
          <rPr>
            <sz val="9"/>
            <color indexed="81"/>
            <rFont val="Tahoma"/>
            <family val="2"/>
          </rPr>
          <t xml:space="preserve">
Includes Therm Conversion Limit of 94,423 net MWh</t>
        </r>
      </text>
    </comment>
  </commentList>
</comments>
</file>

<file path=xl/sharedStrings.xml><?xml version="1.0" encoding="utf-8"?>
<sst xmlns="http://schemas.openxmlformats.org/spreadsheetml/2006/main" count="406" uniqueCount="271">
  <si>
    <t>Statewide Quarterly Report Template</t>
  </si>
  <si>
    <t>Residential Programs</t>
  </si>
  <si>
    <t>Program Year</t>
  </si>
  <si>
    <t>Carbon reduction (tons)</t>
  </si>
  <si>
    <t>Cars removed from the road</t>
  </si>
  <si>
    <t>Acres of trees planted</t>
  </si>
  <si>
    <t>Number of homes powered for 1 year</t>
  </si>
  <si>
    <t>EPY1</t>
  </si>
  <si>
    <t>EPY2</t>
  </si>
  <si>
    <t>EPY3</t>
  </si>
  <si>
    <t>EPY4/
GPY1</t>
  </si>
  <si>
    <t>EPY5/
GPY2</t>
  </si>
  <si>
    <t>EPY6/
GPY3</t>
  </si>
  <si>
    <t>EPY7/
GPY4</t>
  </si>
  <si>
    <t>EPY8/
GPY5</t>
  </si>
  <si>
    <t>Tab 1: Ex Ante Results</t>
  </si>
  <si>
    <t>Tab 3: Historical Energy Saved</t>
  </si>
  <si>
    <t>Tab 4: Historical Other - Environmental and Economic Impacts</t>
  </si>
  <si>
    <t>Commercial &amp; Industrial Programs</t>
  </si>
  <si>
    <t>Footnotes:</t>
  </si>
  <si>
    <t>Program Costs YTD</t>
  </si>
  <si>
    <t>Incentive Costs YTD</t>
  </si>
  <si>
    <t>Non-Incentive Costs YTD</t>
  </si>
  <si>
    <t>% of Costs YTD Compared to Approved Budget</t>
  </si>
  <si>
    <t>Electric Plan 1 Total</t>
  </si>
  <si>
    <t>Electric Plan 2/Gas Plan 1 Total</t>
  </si>
  <si>
    <t>Electric Plan 3/Gas Plan 2 Total</t>
  </si>
  <si>
    <t>% of Net Energy Savings Goal Achieved</t>
  </si>
  <si>
    <t>Direct Portfolio Jobs</t>
  </si>
  <si>
    <t>Evaluation Costs</t>
  </si>
  <si>
    <t>Department</t>
  </si>
  <si>
    <t>Performance Metrics (Equivalents)*</t>
  </si>
  <si>
    <t>*Unless otherwise noted, performance metrics for carbon reduction, cars removed from the road, and acres of trees planted are derived from the U.S. EPA Greenhouse Gas Equivalencies Calculator: https://www.epa.gov/energy/greenhouse-gas-equivalencies-calculator</t>
  </si>
  <si>
    <t>% Savings Achieved Compared to Implementation Plan Savings Goal</t>
  </si>
  <si>
    <t>Market Transformation Programs</t>
  </si>
  <si>
    <t>**Approved Budget refers to the Program Administrator's current budget for this Program Year, that may have been modified in light of the flexibility policy. This may also be the Implementation Plan Budget.</t>
  </si>
  <si>
    <t xml:space="preserve"> Section 8-103B/8-104
(EEPS) Program</t>
  </si>
  <si>
    <t>C&amp;I Programs Subtotal</t>
  </si>
  <si>
    <t>Residential Programs Subtotal</t>
  </si>
  <si>
    <t>*Original Plan Budget refers to the budget contained in the approved EE Plan, which could be the original filed EE Plan or a compliance EE Plan.</t>
  </si>
  <si>
    <t>Income Qualified Programs</t>
  </si>
  <si>
    <t>Income Qualified Programs Subtotal</t>
  </si>
  <si>
    <t>Third Party Programs (Section 8-103B - Beginning in 2019)</t>
  </si>
  <si>
    <t>Third Party Programs (Section 8-103B - Beginning in 2019) Subtotal</t>
  </si>
  <si>
    <t xml:space="preserve">Public Sector Programs </t>
  </si>
  <si>
    <t xml:space="preserve">Demonstration of Breakthrough
Equipment and Devices Costs </t>
  </si>
  <si>
    <t xml:space="preserve">Portfolio Administrative Costs </t>
  </si>
  <si>
    <t>Third Party Programs (Beginning in 2019)</t>
  </si>
  <si>
    <t>2018
Actual Costs YTD</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</si>
  <si>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</si>
  <si>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EPY9/
GPY6****</t>
  </si>
  <si>
    <t>2018 Q1</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</si>
  <si>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</si>
  <si>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</si>
  <si>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</si>
  <si>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Income qualified homes served***</t>
  </si>
  <si>
    <t>2018-2021 Plan Total</t>
  </si>
  <si>
    <t>C&amp;I Programs - Private Sector Total</t>
  </si>
  <si>
    <t>C&amp;I Programs - Public Sector Total</t>
  </si>
  <si>
    <t>2018 Original Plan 
Budget*</t>
  </si>
  <si>
    <t>2018
Approved Budget**</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</si>
  <si>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</si>
  <si>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</si>
  <si>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</si>
  <si>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Demonstration of Breakthrough Equipment and Devices</t>
  </si>
  <si>
    <t>Demonstration of Breakthrough Equipment and Devices Subtotal</t>
  </si>
  <si>
    <t>= u / q</t>
  </si>
  <si>
    <t>v</t>
  </si>
  <si>
    <t>= s - t</t>
  </si>
  <si>
    <t>u</t>
  </si>
  <si>
    <t>= j</t>
  </si>
  <si>
    <t>Expiring savings that have to be offset before counting progress towards AAIG (MWh)</t>
  </si>
  <si>
    <t>t</t>
  </si>
  <si>
    <t>same as "m"</t>
  </si>
  <si>
    <t>s</t>
  </si>
  <si>
    <t>= q + j</t>
  </si>
  <si>
    <t>New Savings Required to Meet AAIG (MWh)</t>
  </si>
  <si>
    <t>r</t>
  </si>
  <si>
    <t>= c - p</t>
  </si>
  <si>
    <t>Current Year Applicable Annual Incremental Goal (MWh)</t>
  </si>
  <si>
    <t>q</t>
  </si>
  <si>
    <t>= o * b</t>
  </si>
  <si>
    <t>Previous Year's CPAS Goal (MWh)</t>
  </si>
  <si>
    <t>p</t>
  </si>
  <si>
    <t>Previous Year's CPAS Goal (% of Sales)</t>
  </si>
  <si>
    <t>o</t>
  </si>
  <si>
    <t>Applicable Annual Incremental Goal (AAIG) Progress</t>
  </si>
  <si>
    <t>n</t>
  </si>
  <si>
    <t>sum of utility reports for all quarters to date</t>
  </si>
  <si>
    <t>m</t>
  </si>
  <si>
    <t>utility report</t>
  </si>
  <si>
    <t>New Annual Savings this Quarter (MWh)</t>
  </si>
  <si>
    <t>l</t>
  </si>
  <si>
    <t>= c - d + j</t>
  </si>
  <si>
    <t>New Annual Savings Needed to Meet Current Year CPAS Goal (MWh)</t>
  </si>
  <si>
    <t>k</t>
  </si>
  <si>
    <t>= h + i</t>
  </si>
  <si>
    <t>Total Savings Expiring in Current Year (MWh)</t>
  </si>
  <si>
    <t>j</t>
  </si>
  <si>
    <t>Savings from Measures Installed post-2017 Expiring in Current Year (MWh)</t>
  </si>
  <si>
    <t>i</t>
  </si>
  <si>
    <t>= g * b</t>
  </si>
  <si>
    <t>2012-2017 Legacy Savings Expiring in Current Year (MWh)</t>
  </si>
  <si>
    <t>h</t>
  </si>
  <si>
    <t>= f - e</t>
  </si>
  <si>
    <t>2012-2017 Legacy Savings Expiring in Current Year (% of Sales)</t>
  </si>
  <si>
    <t>g</t>
  </si>
  <si>
    <t>statute</t>
  </si>
  <si>
    <t>2012-2017 Legacy Savings Persisting in Previous Year (% of Sales)</t>
  </si>
  <si>
    <t>f</t>
  </si>
  <si>
    <t>2012-2017 Legacy Savings Persisting in Current Year (% of Sales)</t>
  </si>
  <si>
    <t>e</t>
  </si>
  <si>
    <t>Savings Expiring in Current Year</t>
  </si>
  <si>
    <t>CPAS Achieved at End of Previous Year (MWh)</t>
  </si>
  <si>
    <t>d</t>
  </si>
  <si>
    <t>= a * b</t>
  </si>
  <si>
    <t>Current Year CPAS Goal (MWh)</t>
  </si>
  <si>
    <t>c</t>
  </si>
  <si>
    <t>b</t>
  </si>
  <si>
    <t>Current Year CPAS Goal (% of Eligible 2014-2016 Average Annual Sales)</t>
  </si>
  <si>
    <t>a</t>
  </si>
  <si>
    <t>Tab 5: CPAS Progress</t>
  </si>
  <si>
    <t>Reported items</t>
  </si>
  <si>
    <t>Color Coded Key:</t>
  </si>
  <si>
    <t>Statutory and/or approved plan inputs</t>
  </si>
  <si>
    <t>Calculations</t>
  </si>
  <si>
    <t>verification report for previous year</t>
  </si>
  <si>
    <r>
      <rPr>
        <b/>
        <sz val="10"/>
        <color rgb="FFFF0000"/>
        <rFont val="Century Gothic"/>
        <family val="2"/>
      </rPr>
      <t xml:space="preserve"> </t>
    </r>
    <r>
      <rPr>
        <b/>
        <sz val="10"/>
        <color theme="0"/>
        <rFont val="Century Gothic"/>
        <family val="2"/>
      </rPr>
      <t>2018
Actual Costs YTD</t>
    </r>
  </si>
  <si>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</si>
  <si>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</si>
  <si>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t>EPY1- 6/1/08-5/31/09</t>
  </si>
  <si>
    <t>EPY2- 6/1/09-5/31/10</t>
  </si>
  <si>
    <t>EPY3- 6/1/10-5/31/11</t>
  </si>
  <si>
    <t>EPY4/GPY1- 6/1/11-5/31/12</t>
  </si>
  <si>
    <t>EPY5/GPY2- 6/1/12-5/31/13</t>
  </si>
  <si>
    <t>EPY6/GPY3- 6/1/13-5/31/14</t>
  </si>
  <si>
    <t>EPY7/GPY4- 6/1/14-5/31/15</t>
  </si>
  <si>
    <t>EPY8/GPY5- 6/1/15-5/31/16</t>
  </si>
  <si>
    <t>EPY9/
GPY6*</t>
  </si>
  <si>
    <t>*Electric Program Year 9 (EPY9) and Gas Program Year 6 (GPY6) covers energy efficiency programs offered from June 1, 2016 to May 31, 2017.</t>
  </si>
  <si>
    <t>Evaluation Status (Ex Ante, Verified**, or ICC Approved)</t>
  </si>
  <si>
    <t>EPY9/GPY6- 6/1/16-12/31/17</t>
  </si>
  <si>
    <t>Evaluation Status
(Ex Ante, Verified***, or ICC Approved)</t>
  </si>
  <si>
    <t>Source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</si>
  <si>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</si>
  <si>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</si>
  <si>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m / k</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</si>
  <si>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</si>
  <si>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New Annual Savings this YTD (MWh)</t>
  </si>
  <si>
    <t>New Savings Achieved YTD (MWh)</t>
  </si>
  <si>
    <t>ICC approved plan compliance filing</t>
  </si>
  <si>
    <t>New Annual Savings YTD as % Needed to Meet Current Year CPAS Goal</t>
  </si>
  <si>
    <t>Progress towards AAIG (after offsetting expiring savings) - MWh YTD</t>
  </si>
  <si>
    <t>Progress towards AAIG (after offsetting expiring savings) - % YTD</t>
  </si>
  <si>
    <t>Baseline - 2014-2016 Average Annual Sales Less Exempt Customers (MWh)</t>
  </si>
  <si>
    <t>C&amp;I Programs (Private Sector)</t>
  </si>
  <si>
    <t>Marketing Costs (including Education and Outreach)</t>
  </si>
  <si>
    <t>Final Draft (updated 4-26-18)</t>
  </si>
  <si>
    <t>Tab 2: Costs</t>
  </si>
  <si>
    <t>Net Energy Savings Achieved
(MWh or therms)</t>
  </si>
  <si>
    <t>2018 Original Plan 
Savings Goal
(MWh or therms)****</t>
  </si>
  <si>
    <t>Approved Net Energy Savings Goal (MWh or therms)***</t>
  </si>
  <si>
    <t>Implementation Plan Savings Goal
(MWh or therms)</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</si>
  <si>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</si>
  <si>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 xml:space="preserve">IL Department of Commerce and Economic Opportunity Energy Saved (MWh and/or therms) </t>
  </si>
  <si>
    <t>Original Plan Savings Goal** (MWh or therms)</t>
  </si>
  <si>
    <t>Net Energy Savings Goal* (MWh or therms)</t>
  </si>
  <si>
    <t>Net Savings Achieved (MWh or therms)</t>
  </si>
  <si>
    <t>Net Energy Savings Achieved (MWh or therms)**</t>
  </si>
  <si>
    <t>Section 8-103B/8-104 (EEPS) Cost Category</t>
  </si>
  <si>
    <t>Program Costs by Sector</t>
  </si>
  <si>
    <t>Portfolio-Level Costs by Portfolio Cost Category (Section 8-103B/8-104 EEPS)</t>
  </si>
  <si>
    <t>Overall Total Costs</t>
  </si>
  <si>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</si>
  <si>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</si>
  <si>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Incentives</t>
  </si>
  <si>
    <t>Small Business</t>
  </si>
  <si>
    <t>Business Instant Discounts</t>
  </si>
  <si>
    <t>Industrial Systems</t>
  </si>
  <si>
    <t>Strategic Energy Management</t>
  </si>
  <si>
    <t>LED Streetlighting</t>
  </si>
  <si>
    <t>Public Housing Retrofits</t>
  </si>
  <si>
    <t>Rural Small Business Kits</t>
  </si>
  <si>
    <t>Power TakeOff</t>
  </si>
  <si>
    <t>Business Energy Analyzer</t>
  </si>
  <si>
    <t>Standard</t>
  </si>
  <si>
    <t>Custom</t>
  </si>
  <si>
    <t>Data Center</t>
  </si>
  <si>
    <t>Operational Savings</t>
  </si>
  <si>
    <t>Retro-commissioning</t>
  </si>
  <si>
    <t>New Construction</t>
  </si>
  <si>
    <t>AirCare Plus</t>
  </si>
  <si>
    <t>Residential Behavior</t>
  </si>
  <si>
    <t>Appliance Rebates</t>
  </si>
  <si>
    <t>Fridge &amp; Freezer Recycling</t>
  </si>
  <si>
    <t>Multi-Family Assessments</t>
  </si>
  <si>
    <t>Residential HVAC &amp; Weatherization</t>
  </si>
  <si>
    <t>Residential New Construction</t>
  </si>
  <si>
    <t>NTC Middle School Kits</t>
  </si>
  <si>
    <t>Affordable Housing New Construction</t>
  </si>
  <si>
    <t>ICC Approved</t>
  </si>
  <si>
    <t>Verified</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</si>
  <si>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</si>
  <si>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</si>
  <si>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</si>
  <si>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</si>
  <si>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</si>
  <si>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</si>
  <si>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</si>
  <si>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N/A</t>
  </si>
  <si>
    <t>Emerging Technology</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</si>
  <si>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CY2018 Q1</t>
    </r>
  </si>
  <si>
    <r>
      <t xml:space="preserve">Cumulative Persisting Annual Savings (CPAS) Goal Progress </t>
    </r>
    <r>
      <rPr>
        <b/>
        <sz val="11"/>
        <color rgb="FFFF0000"/>
        <rFont val="Century Gothic"/>
        <family val="2"/>
      </rPr>
      <t>CY2018 Q1</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</si>
  <si>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CY2018 Q1</t>
    </r>
  </si>
  <si>
    <r>
      <rPr>
        <b/>
        <sz val="11"/>
        <color rgb="FFFF0000"/>
        <rFont val="Century Gothic"/>
        <family val="2"/>
      </rPr>
      <t>ComEd</t>
    </r>
    <r>
      <rPr>
        <b/>
        <sz val="11"/>
        <rFont val="Century Gothic"/>
        <family val="2"/>
      </rPr>
      <t xml:space="preserve"> Section 8-103B/8-104 (EEPS) Energy Saved (MWh or therms) as of </t>
    </r>
    <r>
      <rPr>
        <b/>
        <sz val="11"/>
        <color rgb="FFFF0000"/>
        <rFont val="Century Gothic"/>
        <family val="2"/>
      </rPr>
      <t>CY2018 Q1</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</si>
  <si>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CY2018 Q1</t>
    </r>
  </si>
  <si>
    <r>
      <t xml:space="preserve">Total </t>
    </r>
    <r>
      <rPr>
        <b/>
        <sz val="10"/>
        <color rgb="FFFF0000"/>
        <rFont val="Century Gothic"/>
        <family val="2"/>
      </rPr>
      <t xml:space="preserve">ComEd </t>
    </r>
    <r>
      <rPr>
        <b/>
        <sz val="10"/>
        <color theme="1"/>
        <rFont val="Century Gothic"/>
        <family val="2"/>
      </rPr>
      <t>Program Costs</t>
    </r>
  </si>
  <si>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</si>
  <si>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</si>
  <si>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CY2018 Q1</t>
    </r>
  </si>
  <si>
    <t xml:space="preserve">Strategic Energy Management - Private </t>
  </si>
  <si>
    <t>LED Streetlighting - Private</t>
  </si>
  <si>
    <t>Operational Savings - Private</t>
  </si>
  <si>
    <t>Rural Small Business Kits - Private</t>
  </si>
  <si>
    <t>Power TakeOff - Private</t>
  </si>
  <si>
    <t>Business Energy Analyzer - Private</t>
  </si>
  <si>
    <t>Incentives - Private</t>
  </si>
  <si>
    <t>Standard - Private</t>
  </si>
  <si>
    <t>Custom - Private</t>
  </si>
  <si>
    <t>Data Center - Private</t>
  </si>
  <si>
    <t>Small Business - Private</t>
  </si>
  <si>
    <t>Business Instant Discounts - Private</t>
  </si>
  <si>
    <t>AC Tuneup - Private</t>
  </si>
  <si>
    <t>New Construction - Private</t>
  </si>
  <si>
    <t>Industrial Systems - Private</t>
  </si>
  <si>
    <t>Retro-commissioning - Private</t>
  </si>
  <si>
    <t>Incentives - Public</t>
  </si>
  <si>
    <t>Standard - Public</t>
  </si>
  <si>
    <t>Business Instant Discounts - Public</t>
  </si>
  <si>
    <t>Small Facilities - Public</t>
  </si>
  <si>
    <t>Data Center - Public</t>
  </si>
  <si>
    <t>Custom - Public</t>
  </si>
  <si>
    <t>Industrial Systems - Public</t>
  </si>
  <si>
    <t>New Construction - Public</t>
  </si>
  <si>
    <t>AirCare Plus - Public</t>
  </si>
  <si>
    <t>Strategic Energy Management - Public</t>
  </si>
  <si>
    <t>Retro-commissioning - Public</t>
  </si>
  <si>
    <t>Operational Savings - Public</t>
  </si>
  <si>
    <t>LED Streetlighting - Public</t>
  </si>
  <si>
    <t>Private Sector Outreach</t>
  </si>
  <si>
    <t>Public Sector Outreach</t>
  </si>
  <si>
    <t>Business Outreach</t>
  </si>
  <si>
    <t>Income Eligible Outreach</t>
  </si>
  <si>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CY2018 Q1</t>
    </r>
  </si>
  <si>
    <t>Voltage Optimization</t>
  </si>
  <si>
    <t>Income Eligible General</t>
  </si>
  <si>
    <t>Residential General</t>
  </si>
  <si>
    <t>Private Sector General</t>
  </si>
  <si>
    <t>Public Sector General</t>
  </si>
  <si>
    <t>Verfied</t>
  </si>
  <si>
    <t>Ex Ante</t>
  </si>
  <si>
    <r>
      <t>Overall Total</t>
    </r>
    <r>
      <rPr>
        <b/>
        <sz val="10"/>
        <color rgb="FFFF0000"/>
        <rFont val="Century Gothic"/>
        <family val="2"/>
      </rPr>
      <t xml:space="preserve"> ComEd</t>
    </r>
    <r>
      <rPr>
        <b/>
        <sz val="10"/>
        <rFont val="Century Gothic"/>
        <family val="2"/>
      </rPr>
      <t xml:space="preserve"> Section 8-103B/8-104 (EEPS) Programs*****</t>
    </r>
  </si>
  <si>
    <t>Residential Lighting Discounts</t>
  </si>
  <si>
    <t>Home Energy Assessment</t>
  </si>
  <si>
    <t>Elementary Energy Education</t>
  </si>
  <si>
    <t>Income Eligible Kits</t>
  </si>
  <si>
    <t>Food Bank LED Distribution</t>
  </si>
  <si>
    <t>Single-Family Retrofits</t>
  </si>
  <si>
    <t>Mutli-Family Retrofits</t>
  </si>
  <si>
    <t>Income Eligible Lighting Discounts</t>
  </si>
  <si>
    <t xml:space="preserve">*****Original Plan Savings Goals and Implementation Plan Savings Goals above exclude therm converted net MWh goals for the following programs: Multi-Family Retrofits, Single-Family Retrofits, Appliance Rebates, Home Energy Assessment, Weatherization, and Elementary Energy Education Kits. If included, these goals surpass the portoflio-level therm conversion limit of 94,423 net MWh. Instead, the therm conversion limit of 94,423 net MWh has been applied to the overall total savings goals on line 107.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</si>
</sst>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31"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cellStyleXfs>
  <cellXfs count="233">
    <xf numFmtId="0" fontId="0" fillId="0" borderId="0" xfId="0"/>
    <xf numFmtId="0" fontId="2" fillId="0" borderId="1" xfId="0" applyFont="1" applyBorder="1" applyAlignment="1">
      <alignment horizontal="left" wrapText="1"/>
    </xf>
    <xf numFmtId="0" fontId="3" fillId="4"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applyFill="1" applyBorder="1" applyAlignment="1"/>
    <xf numFmtId="0" fontId="8" fillId="0" borderId="0" xfId="0" applyFont="1" applyAlignment="1">
      <alignment horizontal="justify" vertical="center"/>
    </xf>
    <xf numFmtId="0" fontId="11" fillId="0" borderId="1" xfId="0" applyFont="1" applyFill="1" applyBorder="1" applyAlignment="1">
      <alignment horizontal="center"/>
    </xf>
    <xf numFmtId="3" fontId="5" fillId="0" borderId="1" xfId="0" applyNumberFormat="1"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applyBorder="1" applyAlignment="1">
      <alignment horizontal="center"/>
    </xf>
    <xf numFmtId="3" fontId="5" fillId="0" borderId="0" xfId="0" applyNumberFormat="1" applyFont="1" applyFill="1" applyBorder="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8" fillId="0" borderId="0" xfId="0" applyFont="1" applyFill="1" applyBorder="1" applyAlignment="1"/>
    <xf numFmtId="0" fontId="4" fillId="0" borderId="0" xfId="0" applyFont="1" applyFill="1" applyBorder="1" applyAlignment="1"/>
    <xf numFmtId="3" fontId="7" fillId="0" borderId="1" xfId="0" applyNumberFormat="1" applyFont="1" applyFill="1" applyBorder="1" applyAlignment="1">
      <alignment horizontal="center"/>
    </xf>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1" xfId="0" applyFont="1" applyBorder="1" applyAlignment="1">
      <alignment horizontal="center"/>
    </xf>
    <xf numFmtId="0" fontId="7" fillId="0" borderId="0" xfId="0" applyFont="1" applyBorder="1"/>
    <xf numFmtId="0" fontId="10" fillId="0" borderId="0" xfId="0" applyFont="1" applyBorder="1"/>
    <xf numFmtId="3" fontId="10"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Border="1" applyAlignment="1">
      <alignment horizontal="center"/>
    </xf>
    <xf numFmtId="0" fontId="15" fillId="0" borderId="0" xfId="3" applyFont="1" applyAlignment="1" applyProtection="1"/>
    <xf numFmtId="0" fontId="16" fillId="0" borderId="0" xfId="3" applyFont="1" applyAlignment="1" applyProtection="1"/>
    <xf numFmtId="0" fontId="12" fillId="0" borderId="0" xfId="0" applyFont="1" applyFill="1" applyBorder="1" applyAlignment="1"/>
    <xf numFmtId="0" fontId="9" fillId="2" borderId="1"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xf numFmtId="37" fontId="4" fillId="0" borderId="0" xfId="1" applyNumberFormat="1" applyFont="1" applyFill="1" applyBorder="1" applyAlignment="1">
      <alignment horizontal="center"/>
    </xf>
    <xf numFmtId="9" fontId="4" fillId="0" borderId="0" xfId="0" applyNumberFormat="1" applyFont="1" applyFill="1" applyBorder="1" applyAlignment="1">
      <alignment horizontal="center"/>
    </xf>
    <xf numFmtId="164" fontId="4" fillId="0" borderId="0" xfId="0" applyNumberFormat="1" applyFont="1" applyFill="1" applyBorder="1" applyAlignment="1"/>
    <xf numFmtId="0" fontId="0" fillId="0" borderId="0" xfId="0" applyFill="1" applyBorder="1"/>
    <xf numFmtId="0" fontId="7" fillId="0" borderId="0" xfId="0" applyFont="1" applyBorder="1" applyAlignment="1">
      <alignment horizontal="left" vertical="center" wrapText="1"/>
    </xf>
    <xf numFmtId="0" fontId="12" fillId="0" borderId="0" xfId="0" applyFont="1" applyAlignment="1">
      <alignment vertical="center"/>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Fill="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0" fontId="0" fillId="0" borderId="0" xfId="0"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Fill="1" applyBorder="1" applyAlignment="1">
      <alignment horizontal="left" vertical="center" wrapText="1"/>
    </xf>
    <xf numFmtId="0" fontId="7" fillId="0" borderId="1" xfId="0" applyFont="1" applyFill="1" applyBorder="1"/>
    <xf numFmtId="164" fontId="7" fillId="0" borderId="1" xfId="2" applyNumberFormat="1" applyFont="1" applyFill="1" applyBorder="1"/>
    <xf numFmtId="0" fontId="7" fillId="0" borderId="0" xfId="0" applyFont="1" applyBorder="1" applyAlignment="1">
      <alignment horizontal="left" vertical="center" wrapText="1"/>
    </xf>
    <xf numFmtId="0" fontId="0" fillId="0" borderId="0" xfId="0" applyFill="1"/>
    <xf numFmtId="0" fontId="10" fillId="0" borderId="0" xfId="0" applyFont="1" applyFill="1" applyBorder="1" applyAlignment="1"/>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Fill="1" applyBorder="1" applyAlignment="1">
      <alignment horizontal="center"/>
    </xf>
    <xf numFmtId="0" fontId="5" fillId="0" borderId="1" xfId="0" applyFont="1" applyBorder="1" applyAlignment="1">
      <alignment wrapText="1"/>
    </xf>
    <xf numFmtId="0" fontId="11" fillId="0"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Fill="1" applyBorder="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Fill="1" applyBorder="1" applyAlignment="1">
      <alignment horizontal="left" vertical="center" wrapText="1"/>
    </xf>
    <xf numFmtId="3"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xf>
    <xf numFmtId="0" fontId="12" fillId="5"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Fill="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1" fillId="3" borderId="1" xfId="0" applyFont="1" applyFill="1" applyBorder="1" applyAlignment="1">
      <alignment horizontal="right" wrapText="1"/>
    </xf>
    <xf numFmtId="0" fontId="0" fillId="0" borderId="0" xfId="0" applyBorder="1"/>
    <xf numFmtId="0" fontId="2" fillId="0" borderId="1" xfId="0" applyFont="1" applyBorder="1" applyAlignment="1">
      <alignment horizontal="left" vertical="center" wrapText="1"/>
    </xf>
    <xf numFmtId="0" fontId="22" fillId="0" borderId="0" xfId="0" applyFont="1"/>
    <xf numFmtId="0" fontId="24" fillId="0" borderId="0" xfId="0" applyFont="1"/>
    <xf numFmtId="0" fontId="7" fillId="0" borderId="0" xfId="0" applyFont="1" applyBorder="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applyFill="1" applyBorder="1" applyAlignment="1"/>
    <xf numFmtId="0" fontId="25" fillId="0" borderId="0" xfId="0" applyFont="1" applyFill="1" applyBorder="1" applyAlignment="1">
      <alignment horizontal="center"/>
    </xf>
    <xf numFmtId="0" fontId="23" fillId="0" borderId="0" xfId="0" applyFont="1" applyFill="1" applyBorder="1" applyAlignme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3" fontId="2" fillId="0" borderId="1" xfId="0" applyNumberFormat="1" applyFont="1" applyBorder="1" applyAlignment="1">
      <alignment horizontal="right" wrapText="1"/>
    </xf>
    <xf numFmtId="3" fontId="3" fillId="4" borderId="1" xfId="0" applyNumberFormat="1" applyFont="1" applyFill="1" applyBorder="1" applyAlignment="1">
      <alignment horizontal="right"/>
    </xf>
    <xf numFmtId="3" fontId="2" fillId="0" borderId="1" xfId="0" applyNumberFormat="1" applyFont="1" applyFill="1" applyBorder="1" applyAlignment="1">
      <alignment horizontal="right" wrapText="1"/>
    </xf>
    <xf numFmtId="0" fontId="21" fillId="0" borderId="1" xfId="0" applyFont="1" applyBorder="1" applyAlignment="1">
      <alignment horizontal="left" wrapText="1" indent="2"/>
    </xf>
    <xf numFmtId="165" fontId="16" fillId="0" borderId="1" xfId="3" applyNumberFormat="1" applyFont="1" applyBorder="1" applyAlignment="1" applyProtection="1">
      <alignment horizontal="left" vertical="center"/>
    </xf>
    <xf numFmtId="165" fontId="5" fillId="0" borderId="1" xfId="1"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164" fontId="2" fillId="0" borderId="1" xfId="2" applyNumberFormat="1" applyFont="1" applyBorder="1" applyAlignment="1"/>
    <xf numFmtId="164" fontId="3" fillId="4" borderId="1" xfId="2" applyNumberFormat="1" applyFont="1" applyFill="1" applyBorder="1" applyAlignment="1"/>
    <xf numFmtId="164" fontId="2" fillId="0" borderId="1" xfId="2" applyNumberFormat="1" applyFont="1" applyFill="1" applyBorder="1" applyAlignment="1"/>
    <xf numFmtId="3" fontId="2" fillId="0" borderId="1" xfId="0" applyNumberFormat="1" applyFont="1" applyFill="1" applyBorder="1" applyAlignment="1">
      <alignment horizontal="right"/>
    </xf>
    <xf numFmtId="3" fontId="21" fillId="0" borderId="1" xfId="0" applyNumberFormat="1" applyFont="1" applyFill="1" applyBorder="1" applyAlignment="1">
      <alignment horizontal="right"/>
    </xf>
    <xf numFmtId="9" fontId="2" fillId="0" borderId="1" xfId="4" applyFont="1" applyFill="1" applyBorder="1" applyAlignment="1">
      <alignment horizontal="center" wrapText="1"/>
    </xf>
    <xf numFmtId="9" fontId="2" fillId="0" borderId="1" xfId="4" applyFont="1" applyBorder="1" applyAlignment="1">
      <alignment horizontal="center"/>
    </xf>
    <xf numFmtId="9" fontId="3" fillId="4" borderId="1" xfId="4" applyFont="1" applyFill="1" applyBorder="1" applyAlignment="1">
      <alignment horizontal="center"/>
    </xf>
    <xf numFmtId="9" fontId="2" fillId="0" borderId="1" xfId="4" applyFont="1" applyFill="1" applyBorder="1" applyAlignment="1">
      <alignment horizontal="center"/>
    </xf>
    <xf numFmtId="9" fontId="3" fillId="8" borderId="1" xfId="4" applyFont="1" applyFill="1" applyBorder="1" applyAlignment="1">
      <alignment horizontal="center"/>
    </xf>
    <xf numFmtId="9" fontId="3" fillId="7" borderId="1" xfId="4" applyFont="1" applyFill="1" applyBorder="1" applyAlignment="1">
      <alignment horizontal="center"/>
    </xf>
    <xf numFmtId="3" fontId="2" fillId="0" borderId="1" xfId="1" applyNumberFormat="1" applyFont="1" applyFill="1" applyBorder="1" applyAlignment="1">
      <alignment horizontal="right"/>
    </xf>
    <xf numFmtId="3" fontId="3" fillId="4" borderId="1" xfId="1" applyNumberFormat="1" applyFont="1" applyFill="1" applyBorder="1" applyAlignment="1">
      <alignment horizontal="right"/>
    </xf>
    <xf numFmtId="0" fontId="2" fillId="0" borderId="1" xfId="0" applyFont="1" applyBorder="1" applyAlignment="1">
      <alignment horizontal="right" wrapText="1"/>
    </xf>
    <xf numFmtId="0" fontId="3" fillId="4" borderId="1" xfId="0" applyFont="1" applyFill="1" applyBorder="1" applyAlignment="1">
      <alignment horizontal="right"/>
    </xf>
    <xf numFmtId="164" fontId="3" fillId="4" borderId="1" xfId="2" applyNumberFormat="1" applyFont="1" applyFill="1" applyBorder="1" applyAlignment="1">
      <alignment horizontal="right"/>
    </xf>
    <xf numFmtId="3" fontId="21" fillId="0" borderId="1" xfId="0" applyNumberFormat="1" applyFont="1" applyBorder="1" applyAlignment="1">
      <alignment horizontal="right" wrapText="1"/>
    </xf>
    <xf numFmtId="3" fontId="21" fillId="0" borderId="1" xfId="0" applyNumberFormat="1" applyFont="1" applyFill="1" applyBorder="1" applyAlignment="1">
      <alignment horizontal="right" wrapText="1"/>
    </xf>
    <xf numFmtId="9" fontId="21" fillId="0" borderId="1" xfId="4" applyFont="1" applyFill="1" applyBorder="1" applyAlignment="1">
      <alignment horizontal="center"/>
    </xf>
    <xf numFmtId="164" fontId="21" fillId="0" borderId="1" xfId="2" applyNumberFormat="1" applyFont="1" applyFill="1" applyBorder="1" applyAlignment="1"/>
    <xf numFmtId="3" fontId="21" fillId="0" borderId="1" xfId="1" applyNumberFormat="1" applyFont="1" applyFill="1" applyBorder="1" applyAlignment="1">
      <alignment horizontal="right"/>
    </xf>
    <xf numFmtId="9" fontId="21" fillId="0" borderId="1" xfId="4" applyFont="1" applyFill="1" applyBorder="1" applyAlignment="1">
      <alignment horizontal="center" wrapText="1"/>
    </xf>
    <xf numFmtId="9" fontId="21" fillId="0" borderId="1" xfId="4" applyFont="1" applyBorder="1" applyAlignment="1">
      <alignment horizontal="center"/>
    </xf>
    <xf numFmtId="164" fontId="21" fillId="0" borderId="1" xfId="2" applyNumberFormat="1" applyFont="1" applyFill="1" applyBorder="1" applyAlignment="1">
      <alignment horizontal="right"/>
    </xf>
    <xf numFmtId="3" fontId="2" fillId="0" borderId="1" xfId="0" applyNumberFormat="1" applyFont="1" applyFill="1" applyBorder="1" applyAlignment="1">
      <alignment horizontal="center"/>
    </xf>
    <xf numFmtId="164" fontId="2" fillId="0" borderId="1" xfId="2" applyNumberFormat="1" applyFont="1" applyFill="1" applyBorder="1" applyAlignment="1">
      <alignment horizontal="center"/>
    </xf>
    <xf numFmtId="164" fontId="2" fillId="0" borderId="1" xfId="2" applyNumberFormat="1" applyFont="1" applyBorder="1" applyAlignment="1">
      <alignment horizontal="right"/>
    </xf>
    <xf numFmtId="37" fontId="20" fillId="0" borderId="0" xfId="1" applyNumberFormat="1" applyFont="1" applyFill="1" applyBorder="1" applyAlignment="1">
      <alignment horizontal="center"/>
    </xf>
    <xf numFmtId="37" fontId="0" fillId="0" borderId="0" xfId="0" applyNumberFormat="1"/>
    <xf numFmtId="164" fontId="7" fillId="0" borderId="1" xfId="2" applyNumberFormat="1" applyFont="1" applyFill="1" applyBorder="1" applyAlignment="1">
      <alignment horizontal="left"/>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Fill="1" applyBorder="1" applyAlignment="1">
      <alignment vertical="center"/>
    </xf>
    <xf numFmtId="3" fontId="19" fillId="3" borderId="1" xfId="0" applyNumberFormat="1" applyFont="1" applyFill="1" applyBorder="1" applyAlignment="1">
      <alignment vertical="center" wrapText="1"/>
    </xf>
    <xf numFmtId="3" fontId="21" fillId="3" borderId="1" xfId="0" applyNumberFormat="1" applyFont="1" applyFill="1" applyBorder="1" applyAlignment="1">
      <alignment horizontal="right" wrapText="1"/>
    </xf>
    <xf numFmtId="9" fontId="21" fillId="3" borderId="1" xfId="4" applyFont="1" applyFill="1" applyBorder="1" applyAlignment="1">
      <alignment horizontal="center"/>
    </xf>
    <xf numFmtId="164" fontId="21" fillId="3" borderId="1" xfId="2" applyNumberFormat="1" applyFont="1" applyFill="1" applyBorder="1" applyAlignment="1"/>
    <xf numFmtId="0" fontId="2" fillId="0" borderId="1" xfId="0" applyFont="1" applyFill="1" applyBorder="1" applyAlignment="1">
      <alignment horizontal="left" wrapText="1" indent="1"/>
    </xf>
    <xf numFmtId="0" fontId="2" fillId="0" borderId="1" xfId="0" applyFont="1" applyBorder="1" applyAlignment="1">
      <alignment horizontal="left" wrapText="1" indent="1"/>
    </xf>
    <xf numFmtId="0" fontId="21" fillId="0" borderId="1" xfId="0" applyFont="1" applyBorder="1" applyAlignment="1">
      <alignment horizontal="left" wrapText="1" inden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Fill="1" applyBorder="1" applyAlignment="1">
      <alignment horizontal="left" vertical="center"/>
    </xf>
    <xf numFmtId="0" fontId="9" fillId="13" borderId="1" xfId="0" applyFont="1" applyFill="1" applyBorder="1" applyAlignment="1">
      <alignment horizontal="left"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116"/>
  <sheetViews>
    <sheetView tabSelected="1" topLeftCell="A21" zoomScaleNormal="100" workbookViewId="0">
      <selection activeCell="J109" sqref="J109"/>
    </sheetView>
  </sheetViews>
  <sheetFormatPr defaultRowHeight="14.5" x14ac:dyDescent="0.35"/>
  <cols>
    <col min="1" max="1" width="2.7265625" customWidth="1"/>
    <col min="2" max="2" width="39.7265625" customWidth="1"/>
    <col min="3" max="3" width="15" customWidth="1"/>
    <col min="4" max="4" width="17.453125" customWidth="1"/>
    <col min="5" max="6" width="16" customWidth="1"/>
    <col min="7" max="7" width="19.54296875" customWidth="1"/>
    <col min="8" max="8" width="13.54296875" bestFit="1" customWidth="1"/>
    <col min="9" max="9" width="13.26953125" bestFit="1" customWidth="1"/>
    <col min="10" max="10" width="14" customWidth="1"/>
    <col min="11" max="12" width="14.7265625" bestFit="1" customWidth="1"/>
    <col min="13" max="13" width="13.54296875" customWidth="1"/>
  </cols>
  <sheetData>
    <row r="1" spans="2:13" x14ac:dyDescent="0.35">
      <c r="B1" s="5" t="s">
        <v>0</v>
      </c>
      <c r="C1" s="5"/>
    </row>
    <row r="2" spans="2:13" x14ac:dyDescent="0.35">
      <c r="B2" s="5" t="s">
        <v>15</v>
      </c>
      <c r="C2" s="5"/>
    </row>
    <row r="3" spans="2:13" x14ac:dyDescent="0.35">
      <c r="B3" s="5" t="s">
        <v>157</v>
      </c>
      <c r="C3" s="5"/>
    </row>
    <row r="4" spans="2:13" x14ac:dyDescent="0.35">
      <c r="B4" s="5"/>
      <c r="C4" s="5"/>
    </row>
    <row r="5" spans="2:13" ht="42" customHeight="1" x14ac:dyDescent="0.35">
      <c r="B5" s="180" t="s">
        <v>129</v>
      </c>
      <c r="C5" s="181"/>
      <c r="D5" s="181"/>
      <c r="E5" s="181"/>
      <c r="F5" s="181"/>
      <c r="G5" s="181"/>
      <c r="H5" s="181"/>
      <c r="I5" s="181"/>
      <c r="J5" s="181"/>
      <c r="K5" s="181"/>
      <c r="L5" s="181"/>
      <c r="M5" s="182"/>
    </row>
    <row r="6" spans="2:13" ht="23.15" customHeight="1" x14ac:dyDescent="0.35">
      <c r="B6" s="183"/>
      <c r="C6" s="184"/>
      <c r="D6" s="184"/>
      <c r="E6" s="184"/>
      <c r="F6" s="184"/>
      <c r="G6" s="184"/>
      <c r="H6" s="184"/>
      <c r="I6" s="184"/>
      <c r="J6" s="184"/>
      <c r="K6" s="184"/>
      <c r="L6" s="184"/>
      <c r="M6" s="185"/>
    </row>
    <row r="7" spans="2:13" x14ac:dyDescent="0.35">
      <c r="B7" s="81"/>
      <c r="C7" s="5"/>
    </row>
    <row r="8" spans="2:13" ht="14.65" customHeight="1" x14ac:dyDescent="0.35">
      <c r="B8" s="186" t="s">
        <v>173</v>
      </c>
      <c r="C8" s="186"/>
      <c r="D8" s="186"/>
      <c r="E8" s="186"/>
      <c r="F8" s="186"/>
      <c r="G8" s="186"/>
      <c r="H8" s="186"/>
      <c r="I8" s="186"/>
      <c r="J8" s="186"/>
      <c r="K8" s="186"/>
      <c r="L8" s="186"/>
      <c r="M8" s="186"/>
    </row>
    <row r="9" spans="2:13" ht="15" customHeight="1" x14ac:dyDescent="0.35">
      <c r="B9" s="186"/>
      <c r="C9" s="186"/>
      <c r="D9" s="186"/>
      <c r="E9" s="186"/>
      <c r="F9" s="186"/>
      <c r="G9" s="186"/>
      <c r="H9" s="186"/>
      <c r="I9" s="186"/>
      <c r="J9" s="186"/>
      <c r="K9" s="186"/>
      <c r="L9" s="186"/>
      <c r="M9" s="186"/>
    </row>
    <row r="10" spans="2:13" ht="15" customHeight="1" x14ac:dyDescent="0.35">
      <c r="B10" s="186"/>
      <c r="C10" s="186"/>
      <c r="D10" s="186"/>
      <c r="E10" s="186"/>
      <c r="F10" s="186"/>
      <c r="G10" s="186"/>
      <c r="H10" s="186"/>
      <c r="I10" s="186"/>
      <c r="J10" s="186"/>
      <c r="K10" s="186"/>
      <c r="L10" s="186"/>
      <c r="M10" s="186"/>
    </row>
    <row r="11" spans="2:13" ht="15" customHeight="1" x14ac:dyDescent="0.35">
      <c r="B11" s="186"/>
      <c r="C11" s="186"/>
      <c r="D11" s="186"/>
      <c r="E11" s="186"/>
      <c r="F11" s="186"/>
      <c r="G11" s="186"/>
      <c r="H11" s="186"/>
      <c r="I11" s="186"/>
      <c r="J11" s="186"/>
      <c r="K11" s="186"/>
      <c r="L11" s="186"/>
      <c r="M11" s="186"/>
    </row>
    <row r="12" spans="2:13" ht="15" customHeight="1" x14ac:dyDescent="0.35">
      <c r="B12" s="186"/>
      <c r="C12" s="186"/>
      <c r="D12" s="186"/>
      <c r="E12" s="186"/>
      <c r="F12" s="186"/>
      <c r="G12" s="186"/>
      <c r="H12" s="186"/>
      <c r="I12" s="186"/>
      <c r="J12" s="186"/>
      <c r="K12" s="186"/>
      <c r="L12" s="186"/>
      <c r="M12" s="186"/>
    </row>
    <row r="13" spans="2:13" ht="15" customHeight="1" x14ac:dyDescent="0.35">
      <c r="B13" s="186"/>
      <c r="C13" s="186"/>
      <c r="D13" s="186"/>
      <c r="E13" s="186"/>
      <c r="F13" s="186"/>
      <c r="G13" s="186"/>
      <c r="H13" s="186"/>
      <c r="I13" s="186"/>
      <c r="J13" s="186"/>
      <c r="K13" s="186"/>
      <c r="L13" s="186"/>
      <c r="M13" s="186"/>
    </row>
    <row r="14" spans="2:13" ht="17.649999999999999" customHeight="1" x14ac:dyDescent="0.35">
      <c r="B14" s="186"/>
      <c r="C14" s="186"/>
      <c r="D14" s="186"/>
      <c r="E14" s="186"/>
      <c r="F14" s="186"/>
      <c r="G14" s="186"/>
      <c r="H14" s="186"/>
      <c r="I14" s="186"/>
      <c r="J14" s="186"/>
      <c r="K14" s="186"/>
      <c r="L14" s="186"/>
      <c r="M14" s="186"/>
    </row>
    <row r="15" spans="2:13" ht="17.649999999999999" customHeight="1" x14ac:dyDescent="0.35">
      <c r="B15" s="186"/>
      <c r="C15" s="186"/>
      <c r="D15" s="186"/>
      <c r="E15" s="186"/>
      <c r="F15" s="186"/>
      <c r="G15" s="186"/>
      <c r="H15" s="186"/>
      <c r="I15" s="186"/>
      <c r="J15" s="186"/>
      <c r="K15" s="186"/>
      <c r="L15" s="186"/>
      <c r="M15" s="186"/>
    </row>
    <row r="16" spans="2:13" ht="55.5" customHeight="1" x14ac:dyDescent="0.35">
      <c r="B16" s="186"/>
      <c r="C16" s="186"/>
      <c r="D16" s="186"/>
      <c r="E16" s="186"/>
      <c r="F16" s="186"/>
      <c r="G16" s="186"/>
      <c r="H16" s="186"/>
      <c r="I16" s="186"/>
      <c r="J16" s="186"/>
      <c r="K16" s="186"/>
      <c r="L16" s="186"/>
      <c r="M16" s="186"/>
    </row>
    <row r="17" spans="2:13" ht="17.649999999999999" customHeight="1" x14ac:dyDescent="0.35">
      <c r="B17" s="65"/>
      <c r="C17" s="65"/>
      <c r="D17" s="65"/>
      <c r="E17" s="65"/>
      <c r="F17" s="65"/>
      <c r="G17" s="65"/>
      <c r="H17" s="65"/>
      <c r="I17" s="65"/>
      <c r="J17" s="65"/>
      <c r="K17" s="65"/>
      <c r="L17" s="65"/>
      <c r="M17" s="65"/>
    </row>
    <row r="18" spans="2:13" ht="17.649999999999999" customHeight="1" x14ac:dyDescent="0.35">
      <c r="B18" s="122" t="s">
        <v>253</v>
      </c>
      <c r="C18" s="65"/>
      <c r="D18" s="65"/>
      <c r="E18" s="65"/>
      <c r="F18" s="65"/>
      <c r="G18" s="65"/>
      <c r="H18" s="65"/>
      <c r="I18" s="65"/>
      <c r="J18" s="65"/>
      <c r="K18" s="65"/>
      <c r="L18" s="65"/>
      <c r="M18" s="65"/>
    </row>
    <row r="19" spans="2:13" ht="16.399999999999999" customHeight="1" x14ac:dyDescent="0.35">
      <c r="B19" s="47"/>
      <c r="C19" s="47"/>
      <c r="D19" s="47"/>
      <c r="E19" s="47"/>
      <c r="F19" s="65"/>
      <c r="G19" s="47"/>
      <c r="H19" s="47"/>
      <c r="I19" s="47"/>
      <c r="J19" s="47"/>
      <c r="K19" s="47"/>
      <c r="L19" s="47"/>
      <c r="M19" s="47"/>
    </row>
    <row r="20" spans="2:13" s="50" customFormat="1" ht="67.400000000000006" customHeight="1" x14ac:dyDescent="0.3">
      <c r="B20" s="49" t="s">
        <v>36</v>
      </c>
      <c r="C20" s="49" t="s">
        <v>159</v>
      </c>
      <c r="D20" s="49" t="s">
        <v>160</v>
      </c>
      <c r="E20" s="49" t="s">
        <v>161</v>
      </c>
      <c r="F20" s="49" t="s">
        <v>162</v>
      </c>
      <c r="G20" s="49" t="s">
        <v>33</v>
      </c>
      <c r="H20" s="49" t="s">
        <v>20</v>
      </c>
      <c r="I20" s="49" t="s">
        <v>21</v>
      </c>
      <c r="J20" s="49" t="s">
        <v>22</v>
      </c>
      <c r="K20" s="49" t="s">
        <v>59</v>
      </c>
      <c r="L20" s="49" t="s">
        <v>60</v>
      </c>
      <c r="M20" s="49" t="s">
        <v>23</v>
      </c>
    </row>
    <row r="21" spans="2:13" ht="15.65" customHeight="1" x14ac:dyDescent="0.35">
      <c r="B21" s="38" t="s">
        <v>18</v>
      </c>
      <c r="C21" s="39"/>
      <c r="D21" s="39"/>
      <c r="E21" s="39"/>
      <c r="F21" s="39"/>
      <c r="G21" s="39"/>
      <c r="H21" s="39"/>
      <c r="I21" s="39"/>
      <c r="J21" s="39"/>
      <c r="K21" s="39"/>
      <c r="L21" s="39"/>
      <c r="M21" s="40"/>
    </row>
    <row r="22" spans="2:13" x14ac:dyDescent="0.35">
      <c r="B22" s="1" t="s">
        <v>175</v>
      </c>
      <c r="C22" s="123">
        <f>C41+C60</f>
        <v>42161.712702199999</v>
      </c>
      <c r="D22" s="123">
        <f>D41+D60</f>
        <v>313332.82214448386</v>
      </c>
      <c r="E22" s="123">
        <f>D22</f>
        <v>313332.82214448386</v>
      </c>
      <c r="F22" s="123">
        <f t="shared" ref="F22:F34" si="0">F41+F60</f>
        <v>323450.78298447788</v>
      </c>
      <c r="G22" s="136">
        <f t="shared" ref="G22:G92" si="1">C22/F22</f>
        <v>0.1303497005423026</v>
      </c>
      <c r="H22" s="133">
        <f t="shared" ref="H22:J22" si="2">H41+H60</f>
        <v>9710323.629999999</v>
      </c>
      <c r="I22" s="133">
        <f t="shared" si="2"/>
        <v>5631987.7053999994</v>
      </c>
      <c r="J22" s="133">
        <f t="shared" si="2"/>
        <v>4078335.9246</v>
      </c>
      <c r="K22" s="133">
        <f>K41+K60</f>
        <v>56906018.72250624</v>
      </c>
      <c r="L22" s="133">
        <f>L41+L60</f>
        <v>54617860.229824238</v>
      </c>
      <c r="M22" s="137">
        <f>H22/L22</f>
        <v>0.17778659927614024</v>
      </c>
    </row>
    <row r="23" spans="2:13" x14ac:dyDescent="0.35">
      <c r="B23" s="170" t="s">
        <v>185</v>
      </c>
      <c r="C23" s="147">
        <f t="shared" ref="C23:C34" si="3">C42+C61</f>
        <v>37233.356</v>
      </c>
      <c r="D23" s="154" t="s">
        <v>209</v>
      </c>
      <c r="E23" s="148" t="str">
        <f t="shared" ref="E23:E88" si="4">D23</f>
        <v>N/A</v>
      </c>
      <c r="F23" s="147">
        <f t="shared" si="0"/>
        <v>262415.92</v>
      </c>
      <c r="G23" s="152">
        <f t="shared" si="1"/>
        <v>0.14188680320919556</v>
      </c>
      <c r="H23" s="150">
        <f t="shared" ref="H23" si="5">H42+H61</f>
        <v>8295104.419999999</v>
      </c>
      <c r="I23" s="154" t="s">
        <v>209</v>
      </c>
      <c r="J23" s="154" t="s">
        <v>209</v>
      </c>
      <c r="K23" s="154" t="s">
        <v>209</v>
      </c>
      <c r="L23" s="150">
        <f t="shared" ref="L23:L25" si="6">L42+L61</f>
        <v>43332671.089999996</v>
      </c>
      <c r="M23" s="153">
        <f t="shared" ref="M23:M93" si="7">H23/L23</f>
        <v>0.19142841212745557</v>
      </c>
    </row>
    <row r="24" spans="2:13" x14ac:dyDescent="0.35">
      <c r="B24" s="170" t="s">
        <v>186</v>
      </c>
      <c r="C24" s="147">
        <f t="shared" si="3"/>
        <v>940.87750219999998</v>
      </c>
      <c r="D24" s="154" t="s">
        <v>209</v>
      </c>
      <c r="E24" s="148" t="str">
        <f t="shared" si="4"/>
        <v>N/A</v>
      </c>
      <c r="F24" s="147">
        <f t="shared" si="0"/>
        <v>30434.862984477899</v>
      </c>
      <c r="G24" s="152">
        <f t="shared" si="1"/>
        <v>3.0914464858273139E-2</v>
      </c>
      <c r="H24" s="150">
        <f t="shared" ref="H24" si="8">H43+H62</f>
        <v>628375.6</v>
      </c>
      <c r="I24" s="154" t="s">
        <v>209</v>
      </c>
      <c r="J24" s="154" t="s">
        <v>209</v>
      </c>
      <c r="K24" s="154" t="s">
        <v>209</v>
      </c>
      <c r="L24" s="150">
        <f t="shared" si="6"/>
        <v>6180183.1398242386</v>
      </c>
      <c r="M24" s="153">
        <f t="shared" si="7"/>
        <v>0.10167588658511351</v>
      </c>
    </row>
    <row r="25" spans="2:13" x14ac:dyDescent="0.35">
      <c r="B25" s="170" t="s">
        <v>187</v>
      </c>
      <c r="C25" s="147">
        <f t="shared" si="3"/>
        <v>3987.4792000000002</v>
      </c>
      <c r="D25" s="154" t="s">
        <v>209</v>
      </c>
      <c r="E25" s="148" t="str">
        <f t="shared" si="4"/>
        <v>N/A</v>
      </c>
      <c r="F25" s="147">
        <f t="shared" si="0"/>
        <v>30600.000000000011</v>
      </c>
      <c r="G25" s="152">
        <f t="shared" si="1"/>
        <v>0.13030977777777775</v>
      </c>
      <c r="H25" s="150">
        <f t="shared" ref="H25" si="9">H44+H63</f>
        <v>786843.61</v>
      </c>
      <c r="I25" s="154" t="s">
        <v>209</v>
      </c>
      <c r="J25" s="154" t="s">
        <v>209</v>
      </c>
      <c r="K25" s="154" t="s">
        <v>209</v>
      </c>
      <c r="L25" s="150">
        <f t="shared" si="6"/>
        <v>5105006.0000000009</v>
      </c>
      <c r="M25" s="153">
        <f t="shared" si="7"/>
        <v>0.15413176987451138</v>
      </c>
    </row>
    <row r="26" spans="2:13" x14ac:dyDescent="0.35">
      <c r="B26" s="1" t="s">
        <v>176</v>
      </c>
      <c r="C26" s="123">
        <f t="shared" si="3"/>
        <v>30579.429080199996</v>
      </c>
      <c r="D26" s="123">
        <f t="shared" ref="D26:D34" si="10">D45+D64</f>
        <v>172007.25515181813</v>
      </c>
      <c r="E26" s="125">
        <f t="shared" si="4"/>
        <v>172007.25515181813</v>
      </c>
      <c r="F26" s="123">
        <f t="shared" si="0"/>
        <v>170067.8125</v>
      </c>
      <c r="G26" s="136">
        <f t="shared" si="1"/>
        <v>0.17980726999825436</v>
      </c>
      <c r="H26" s="133">
        <f t="shared" ref="H26:J26" si="11">H45+H64</f>
        <v>8228967.6000000006</v>
      </c>
      <c r="I26" s="133">
        <f t="shared" si="11"/>
        <v>4772801.2079999996</v>
      </c>
      <c r="J26" s="133">
        <f t="shared" si="11"/>
        <v>3456166.3920000009</v>
      </c>
      <c r="K26" s="133">
        <f t="shared" ref="K26:L34" si="12">K45+K64</f>
        <v>46340923.858402602</v>
      </c>
      <c r="L26" s="133">
        <f t="shared" si="12"/>
        <v>47213531</v>
      </c>
      <c r="M26" s="137">
        <f t="shared" si="7"/>
        <v>0.17429256879770336</v>
      </c>
    </row>
    <row r="27" spans="2:13" x14ac:dyDescent="0.35">
      <c r="B27" s="1" t="s">
        <v>177</v>
      </c>
      <c r="C27" s="123">
        <f t="shared" si="3"/>
        <v>40713.933000000005</v>
      </c>
      <c r="D27" s="123">
        <f t="shared" si="10"/>
        <v>230514.45722372574</v>
      </c>
      <c r="E27" s="125">
        <f t="shared" si="4"/>
        <v>230514.45722372574</v>
      </c>
      <c r="F27" s="123">
        <f t="shared" si="0"/>
        <v>223324.27453895169</v>
      </c>
      <c r="G27" s="136">
        <f t="shared" si="1"/>
        <v>0.18230858729555069</v>
      </c>
      <c r="H27" s="133">
        <f t="shared" ref="H27:J27" si="13">H46+H65</f>
        <v>3642921.41</v>
      </c>
      <c r="I27" s="133">
        <f t="shared" si="13"/>
        <v>2112894.4177999999</v>
      </c>
      <c r="J27" s="133">
        <f t="shared" si="13"/>
        <v>1530026.9922000002</v>
      </c>
      <c r="K27" s="133">
        <f t="shared" si="12"/>
        <v>16345016.42350916</v>
      </c>
      <c r="L27" s="133">
        <f t="shared" si="12"/>
        <v>14591334.199999999</v>
      </c>
      <c r="M27" s="137">
        <f t="shared" si="7"/>
        <v>0.24966335223820726</v>
      </c>
    </row>
    <row r="28" spans="2:13" x14ac:dyDescent="0.35">
      <c r="B28" s="1" t="s">
        <v>191</v>
      </c>
      <c r="C28" s="123">
        <f t="shared" si="3"/>
        <v>2016.1480000000001</v>
      </c>
      <c r="D28" s="123">
        <f t="shared" si="10"/>
        <v>28950.175799999815</v>
      </c>
      <c r="E28" s="125">
        <f t="shared" si="4"/>
        <v>28950.175799999815</v>
      </c>
      <c r="F28" s="123">
        <f t="shared" si="0"/>
        <v>23159.86002470152</v>
      </c>
      <c r="G28" s="136">
        <f t="shared" si="1"/>
        <v>8.7053548590088417E-2</v>
      </c>
      <c r="H28" s="133">
        <f t="shared" ref="H28:J28" si="14">H47+H66</f>
        <v>645716.31999999995</v>
      </c>
      <c r="I28" s="133">
        <f t="shared" si="14"/>
        <v>374515.46559999994</v>
      </c>
      <c r="J28" s="133">
        <f t="shared" si="14"/>
        <v>271200.85440000001</v>
      </c>
      <c r="K28" s="133">
        <f t="shared" si="12"/>
        <v>4715000</v>
      </c>
      <c r="L28" s="133">
        <f t="shared" si="12"/>
        <v>3737995.1818181816</v>
      </c>
      <c r="M28" s="137">
        <f t="shared" si="7"/>
        <v>0.17274402148531393</v>
      </c>
    </row>
    <row r="29" spans="2:13" x14ac:dyDescent="0.35">
      <c r="B29" s="1" t="s">
        <v>190</v>
      </c>
      <c r="C29" s="123">
        <f t="shared" si="3"/>
        <v>3032.5560720000003</v>
      </c>
      <c r="D29" s="123">
        <f t="shared" si="10"/>
        <v>28612.500547456955</v>
      </c>
      <c r="E29" s="125">
        <f t="shared" si="4"/>
        <v>28612.500547456955</v>
      </c>
      <c r="F29" s="123">
        <f t="shared" si="0"/>
        <v>24887.664190799998</v>
      </c>
      <c r="G29" s="136">
        <f t="shared" si="1"/>
        <v>0.12184976656511697</v>
      </c>
      <c r="H29" s="133">
        <f t="shared" ref="H29:J29" si="15">H48+H67</f>
        <v>1385691.1700000002</v>
      </c>
      <c r="I29" s="133">
        <f t="shared" si="15"/>
        <v>803700.87859999994</v>
      </c>
      <c r="J29" s="133">
        <f t="shared" si="15"/>
        <v>581990.2914000001</v>
      </c>
      <c r="K29" s="133">
        <f t="shared" si="12"/>
        <v>9676737.9132527821</v>
      </c>
      <c r="L29" s="133">
        <f t="shared" si="12"/>
        <v>7477458.0650726222</v>
      </c>
      <c r="M29" s="137">
        <f t="shared" si="7"/>
        <v>0.18531580624605509</v>
      </c>
    </row>
    <row r="30" spans="2:13" x14ac:dyDescent="0.35">
      <c r="B30" s="1" t="s">
        <v>178</v>
      </c>
      <c r="C30" s="123">
        <f t="shared" si="3"/>
        <v>7400</v>
      </c>
      <c r="D30" s="123">
        <f t="shared" si="10"/>
        <v>25930.890399999989</v>
      </c>
      <c r="E30" s="125">
        <f t="shared" si="4"/>
        <v>25930.890399999989</v>
      </c>
      <c r="F30" s="123">
        <f t="shared" si="0"/>
        <v>33375.559441142854</v>
      </c>
      <c r="G30" s="136">
        <f t="shared" si="1"/>
        <v>0.22171912992349252</v>
      </c>
      <c r="H30" s="133">
        <f t="shared" ref="H30:J30" si="16">H49+H68</f>
        <v>1558920.6400000001</v>
      </c>
      <c r="I30" s="133">
        <f t="shared" si="16"/>
        <v>904173.97120000003</v>
      </c>
      <c r="J30" s="133">
        <f t="shared" si="16"/>
        <v>654746.6688000001</v>
      </c>
      <c r="K30" s="133">
        <f t="shared" si="12"/>
        <v>5483544.193</v>
      </c>
      <c r="L30" s="133">
        <f t="shared" si="12"/>
        <v>6108043</v>
      </c>
      <c r="M30" s="137">
        <f t="shared" si="7"/>
        <v>0.25522424121768628</v>
      </c>
    </row>
    <row r="31" spans="2:13" x14ac:dyDescent="0.35">
      <c r="B31" s="1" t="s">
        <v>189</v>
      </c>
      <c r="C31" s="123">
        <f t="shared" si="3"/>
        <v>5919.4543320000002</v>
      </c>
      <c r="D31" s="123">
        <f t="shared" si="10"/>
        <v>30044.321180491104</v>
      </c>
      <c r="E31" s="125">
        <f t="shared" si="4"/>
        <v>30044.321180491104</v>
      </c>
      <c r="F31" s="123">
        <f t="shared" si="0"/>
        <v>28911.049725425</v>
      </c>
      <c r="G31" s="136">
        <f t="shared" si="1"/>
        <v>0.20474712569133402</v>
      </c>
      <c r="H31" s="133">
        <f t="shared" ref="H31:J31" si="17">H50+H69</f>
        <v>1175193.47</v>
      </c>
      <c r="I31" s="133">
        <f t="shared" si="17"/>
        <v>681612.21259999985</v>
      </c>
      <c r="J31" s="133">
        <f t="shared" si="17"/>
        <v>493581.25740000006</v>
      </c>
      <c r="K31" s="133">
        <f t="shared" si="12"/>
        <v>8105642.1620048638</v>
      </c>
      <c r="L31" s="133">
        <f t="shared" si="12"/>
        <v>8405761.9400000013</v>
      </c>
      <c r="M31" s="137">
        <f t="shared" si="7"/>
        <v>0.13980808383445603</v>
      </c>
    </row>
    <row r="32" spans="2:13" x14ac:dyDescent="0.35">
      <c r="B32" s="1" t="s">
        <v>179</v>
      </c>
      <c r="C32" s="123">
        <f t="shared" si="3"/>
        <v>0</v>
      </c>
      <c r="D32" s="123">
        <f t="shared" si="10"/>
        <v>27977.5</v>
      </c>
      <c r="E32" s="125">
        <f t="shared" si="4"/>
        <v>27977.5</v>
      </c>
      <c r="F32" s="123">
        <f t="shared" si="0"/>
        <v>15000</v>
      </c>
      <c r="G32" s="136">
        <f t="shared" si="1"/>
        <v>0</v>
      </c>
      <c r="H32" s="133">
        <f t="shared" ref="H32:J32" si="18">H51+H70</f>
        <v>158627.5</v>
      </c>
      <c r="I32" s="133">
        <f t="shared" si="18"/>
        <v>92003.95</v>
      </c>
      <c r="J32" s="133">
        <f t="shared" si="18"/>
        <v>66623.55</v>
      </c>
      <c r="K32" s="133">
        <f t="shared" si="12"/>
        <v>2189000</v>
      </c>
      <c r="L32" s="133">
        <f t="shared" si="12"/>
        <v>2013000</v>
      </c>
      <c r="M32" s="137">
        <f t="shared" si="7"/>
        <v>7.8801539990064576E-2</v>
      </c>
    </row>
    <row r="33" spans="2:13" x14ac:dyDescent="0.35">
      <c r="B33" s="1" t="s">
        <v>180</v>
      </c>
      <c r="C33" s="123">
        <f t="shared" si="3"/>
        <v>17690.613000000001</v>
      </c>
      <c r="D33" s="123">
        <f t="shared" si="10"/>
        <v>95019.971678526854</v>
      </c>
      <c r="E33" s="125">
        <f t="shared" si="4"/>
        <v>95019.971678526854</v>
      </c>
      <c r="F33" s="123">
        <f t="shared" si="0"/>
        <v>110967.1180662656</v>
      </c>
      <c r="G33" s="136">
        <f t="shared" si="1"/>
        <v>0.15942211808579004</v>
      </c>
      <c r="H33" s="133">
        <f t="shared" ref="H33:J33" si="19">H52+H71</f>
        <v>6302599.0600000024</v>
      </c>
      <c r="I33" s="133">
        <f t="shared" si="19"/>
        <v>3655507.4548000009</v>
      </c>
      <c r="J33" s="133">
        <f t="shared" si="19"/>
        <v>2647091.6052000015</v>
      </c>
      <c r="K33" s="133">
        <f t="shared" si="12"/>
        <v>24212862.110474475</v>
      </c>
      <c r="L33" s="133">
        <f t="shared" si="12"/>
        <v>15167604.649627648</v>
      </c>
      <c r="M33" s="137">
        <f t="shared" si="7"/>
        <v>0.41553028349500959</v>
      </c>
    </row>
    <row r="34" spans="2:13" x14ac:dyDescent="0.35">
      <c r="B34" s="1" t="s">
        <v>188</v>
      </c>
      <c r="C34" s="123">
        <f t="shared" si="3"/>
        <v>182.35854000000006</v>
      </c>
      <c r="D34" s="123">
        <f t="shared" si="10"/>
        <v>1654.1452529411754</v>
      </c>
      <c r="E34" s="125">
        <f t="shared" si="4"/>
        <v>1654.1452529411754</v>
      </c>
      <c r="F34" s="123">
        <f t="shared" si="0"/>
        <v>1656</v>
      </c>
      <c r="G34" s="136">
        <f t="shared" si="1"/>
        <v>0.11011989130434786</v>
      </c>
      <c r="H34" s="133">
        <f t="shared" ref="H34:J34" si="20">H53+H72</f>
        <v>522974.1999999999</v>
      </c>
      <c r="I34" s="133">
        <f t="shared" si="20"/>
        <v>303325.03599999991</v>
      </c>
      <c r="J34" s="133">
        <f t="shared" si="20"/>
        <v>219649.16399999999</v>
      </c>
      <c r="K34" s="133">
        <f t="shared" si="12"/>
        <v>1887500</v>
      </c>
      <c r="L34" s="133">
        <f t="shared" si="12"/>
        <v>2300000</v>
      </c>
      <c r="M34" s="137">
        <f t="shared" si="7"/>
        <v>0.2273800869565217</v>
      </c>
    </row>
    <row r="35" spans="2:13" x14ac:dyDescent="0.35">
      <c r="B35" s="1" t="s">
        <v>181</v>
      </c>
      <c r="C35" s="123">
        <f>C73</f>
        <v>34.5</v>
      </c>
      <c r="D35" s="123">
        <f t="shared" ref="D35:M35" si="21">D73</f>
        <v>1825.5141767770206</v>
      </c>
      <c r="E35" s="125">
        <f t="shared" si="21"/>
        <v>1825.5141767770206</v>
      </c>
      <c r="F35" s="123">
        <f t="shared" ref="F35" si="22">F73</f>
        <v>1826.0000000000007</v>
      </c>
      <c r="G35" s="136">
        <f t="shared" si="21"/>
        <v>1.8893756845564068E-2</v>
      </c>
      <c r="H35" s="133">
        <f t="shared" si="21"/>
        <v>167713.46</v>
      </c>
      <c r="I35" s="133">
        <f t="shared" si="21"/>
        <v>97273.806799999991</v>
      </c>
      <c r="J35" s="133">
        <f t="shared" si="21"/>
        <v>70439.653200000001</v>
      </c>
      <c r="K35" s="133">
        <f t="shared" si="21"/>
        <v>2190127.0352339754</v>
      </c>
      <c r="L35" s="133">
        <f t="shared" si="21"/>
        <v>2146094</v>
      </c>
      <c r="M35" s="137">
        <f t="shared" si="21"/>
        <v>7.8148235818188763E-2</v>
      </c>
    </row>
    <row r="36" spans="2:13" x14ac:dyDescent="0.35">
      <c r="B36" s="1" t="s">
        <v>182</v>
      </c>
      <c r="C36" s="123">
        <f t="shared" ref="C36:D38" si="23">C54</f>
        <v>8.0741792132814414</v>
      </c>
      <c r="D36" s="123">
        <f t="shared" si="23"/>
        <v>930.88495352627581</v>
      </c>
      <c r="E36" s="125">
        <f t="shared" si="4"/>
        <v>930.88495352627581</v>
      </c>
      <c r="F36" s="123">
        <f>F54</f>
        <v>2332.8312019999994</v>
      </c>
      <c r="G36" s="137">
        <f t="shared" si="1"/>
        <v>3.4611073473122395E-3</v>
      </c>
      <c r="H36" s="131">
        <f t="shared" ref="H36:J36" si="24">H54</f>
        <v>10471.290000000001</v>
      </c>
      <c r="I36" s="131">
        <f t="shared" si="24"/>
        <v>6073.3482000000004</v>
      </c>
      <c r="J36" s="131">
        <f t="shared" si="24"/>
        <v>4397.9418000000005</v>
      </c>
      <c r="K36" s="131">
        <f t="shared" ref="K36:L38" si="25">K54</f>
        <v>867197.98082673014</v>
      </c>
      <c r="L36" s="131">
        <f t="shared" si="25"/>
        <v>837759</v>
      </c>
      <c r="M36" s="137">
        <f t="shared" si="7"/>
        <v>1.2499167421657065E-2</v>
      </c>
    </row>
    <row r="37" spans="2:13" x14ac:dyDescent="0.35">
      <c r="B37" s="1" t="s">
        <v>183</v>
      </c>
      <c r="C37" s="123">
        <f t="shared" si="23"/>
        <v>179.11259999999999</v>
      </c>
      <c r="D37" s="123">
        <f t="shared" si="23"/>
        <v>2855.3960000000002</v>
      </c>
      <c r="E37" s="125">
        <f t="shared" si="4"/>
        <v>2855.3960000000002</v>
      </c>
      <c r="F37" s="123">
        <f>F55</f>
        <v>2550.58</v>
      </c>
      <c r="G37" s="137">
        <f t="shared" si="1"/>
        <v>7.0224262716715405E-2</v>
      </c>
      <c r="H37" s="131">
        <f t="shared" ref="H37:J37" si="26">H55</f>
        <v>151874.07</v>
      </c>
      <c r="I37" s="131">
        <f t="shared" si="26"/>
        <v>88086.960599999991</v>
      </c>
      <c r="J37" s="131">
        <f t="shared" si="26"/>
        <v>63787.109400000016</v>
      </c>
      <c r="K37" s="131">
        <f t="shared" si="25"/>
        <v>1125757</v>
      </c>
      <c r="L37" s="131">
        <f t="shared" si="25"/>
        <v>844315.94578499999</v>
      </c>
      <c r="M37" s="137">
        <f t="shared" si="7"/>
        <v>0.1798782443446518</v>
      </c>
    </row>
    <row r="38" spans="2:13" x14ac:dyDescent="0.35">
      <c r="B38" s="1" t="s">
        <v>184</v>
      </c>
      <c r="C38" s="123">
        <f t="shared" si="23"/>
        <v>8570</v>
      </c>
      <c r="D38" s="123">
        <f t="shared" si="23"/>
        <v>0</v>
      </c>
      <c r="E38" s="125">
        <f t="shared" si="4"/>
        <v>0</v>
      </c>
      <c r="F38" s="123">
        <f>F56</f>
        <v>59004.000000000022</v>
      </c>
      <c r="G38" s="137">
        <f t="shared" ref="G38" si="27">C38/F38</f>
        <v>0.1452443902108331</v>
      </c>
      <c r="H38" s="131">
        <f t="shared" ref="H38:J38" si="28">H56</f>
        <v>214059.28000000003</v>
      </c>
      <c r="I38" s="131">
        <f t="shared" si="28"/>
        <v>0</v>
      </c>
      <c r="J38" s="131">
        <f t="shared" si="28"/>
        <v>214059.28000000003</v>
      </c>
      <c r="K38" s="157">
        <f t="shared" si="25"/>
        <v>0</v>
      </c>
      <c r="L38" s="131">
        <f t="shared" si="25"/>
        <v>738121.99999999977</v>
      </c>
      <c r="M38" s="137">
        <f t="shared" ref="M38:M39" si="29">H38/L38</f>
        <v>0.29000528367939188</v>
      </c>
    </row>
    <row r="39" spans="2:13" x14ac:dyDescent="0.35">
      <c r="B39" s="1" t="s">
        <v>251</v>
      </c>
      <c r="C39" s="134" t="s">
        <v>209</v>
      </c>
      <c r="D39" s="134" t="s">
        <v>209</v>
      </c>
      <c r="E39" s="134" t="str">
        <f t="shared" si="4"/>
        <v>N/A</v>
      </c>
      <c r="F39" s="134" t="s">
        <v>209</v>
      </c>
      <c r="G39" s="155" t="s">
        <v>209</v>
      </c>
      <c r="H39" s="131">
        <f t="shared" ref="H39:J39" si="30">H57+H74</f>
        <v>447157.83999999997</v>
      </c>
      <c r="I39" s="131">
        <f t="shared" si="30"/>
        <v>0</v>
      </c>
      <c r="J39" s="131">
        <f t="shared" si="30"/>
        <v>447157.83999999997</v>
      </c>
      <c r="K39" s="131">
        <f>K57+K74</f>
        <v>4650000</v>
      </c>
      <c r="L39" s="131">
        <f>L57+L74</f>
        <v>4645000</v>
      </c>
      <c r="M39" s="137">
        <f t="shared" si="29"/>
        <v>9.6266488697524216E-2</v>
      </c>
    </row>
    <row r="40" spans="2:13" x14ac:dyDescent="0.35">
      <c r="B40" s="2" t="s">
        <v>37</v>
      </c>
      <c r="C40" s="124">
        <f>SUM(C22,C26:C39)</f>
        <v>158487.89150561328</v>
      </c>
      <c r="D40" s="124">
        <f>SUM(D22,D26:D39)</f>
        <v>959655.83450974687</v>
      </c>
      <c r="E40" s="124">
        <f>D40</f>
        <v>959655.83450974687</v>
      </c>
      <c r="F40" s="124">
        <f>SUM(F22,F26:F39)</f>
        <v>1020513.5326737646</v>
      </c>
      <c r="G40" s="138">
        <f>C40/F40</f>
        <v>0.15530209686722335</v>
      </c>
      <c r="H40" s="132">
        <f>SUM(H22,H26:H39)</f>
        <v>34323210.940000005</v>
      </c>
      <c r="I40" s="132">
        <f>SUM(I22,I26:I39)</f>
        <v>19523956.415599998</v>
      </c>
      <c r="J40" s="132">
        <f>SUM(J22,J26:J39)</f>
        <v>14799254.524400005</v>
      </c>
      <c r="K40" s="132">
        <f>SUM(K22,K26:K39)</f>
        <v>184695327.39921081</v>
      </c>
      <c r="L40" s="132">
        <f>SUM(L22,L26:L39)</f>
        <v>170843879.21212772</v>
      </c>
      <c r="M40" s="138">
        <f t="shared" si="7"/>
        <v>0.20090395452436846</v>
      </c>
    </row>
    <row r="41" spans="2:13" x14ac:dyDescent="0.35">
      <c r="B41" s="169" t="s">
        <v>226</v>
      </c>
      <c r="C41" s="134">
        <f>SUM(C42:C44)</f>
        <v>39264.408046600001</v>
      </c>
      <c r="D41" s="142">
        <v>248671.9368295201</v>
      </c>
      <c r="E41" s="142">
        <f t="shared" si="4"/>
        <v>248671.9368295201</v>
      </c>
      <c r="F41" s="142">
        <f t="shared" ref="F41" si="31">SUM(F42:F44)</f>
        <v>266978.86298447789</v>
      </c>
      <c r="G41" s="136">
        <f t="shared" si="1"/>
        <v>0.14706935076310826</v>
      </c>
      <c r="H41" s="133">
        <f t="shared" ref="H41:L41" si="32">SUM(H42:H44)</f>
        <v>8229373.5799999991</v>
      </c>
      <c r="I41" s="133">
        <f t="shared" si="32"/>
        <v>4773036.6763999993</v>
      </c>
      <c r="J41" s="133">
        <f t="shared" si="32"/>
        <v>3456336.9035999998</v>
      </c>
      <c r="K41" s="133">
        <v>45234806.061061688</v>
      </c>
      <c r="L41" s="133">
        <f t="shared" si="32"/>
        <v>44494756.324841484</v>
      </c>
      <c r="M41" s="139">
        <f t="shared" si="7"/>
        <v>0.18495153720856605</v>
      </c>
    </row>
    <row r="42" spans="2:13" x14ac:dyDescent="0.35">
      <c r="B42" s="126" t="s">
        <v>227</v>
      </c>
      <c r="C42" s="135">
        <v>34493.881999999998</v>
      </c>
      <c r="D42" s="154" t="s">
        <v>209</v>
      </c>
      <c r="E42" s="151" t="str">
        <f t="shared" si="4"/>
        <v>N/A</v>
      </c>
      <c r="F42" s="151">
        <v>223834</v>
      </c>
      <c r="G42" s="149">
        <f t="shared" si="1"/>
        <v>0.15410474726806472</v>
      </c>
      <c r="H42" s="150">
        <v>7143973.9499999993</v>
      </c>
      <c r="I42" s="133">
        <v>4143504.8909999994</v>
      </c>
      <c r="J42" s="133">
        <v>3000469.0589999999</v>
      </c>
      <c r="K42" s="154" t="s">
        <v>209</v>
      </c>
      <c r="L42" s="150">
        <v>36310643.959999993</v>
      </c>
      <c r="M42" s="149">
        <f t="shared" si="7"/>
        <v>0.19674599981949756</v>
      </c>
    </row>
    <row r="43" spans="2:13" x14ac:dyDescent="0.35">
      <c r="B43" s="126" t="s">
        <v>228</v>
      </c>
      <c r="C43" s="135">
        <v>783.04684659999998</v>
      </c>
      <c r="D43" s="154" t="s">
        <v>209</v>
      </c>
      <c r="E43" s="151" t="str">
        <f t="shared" si="4"/>
        <v>N/A</v>
      </c>
      <c r="F43" s="151">
        <v>18970.862984477892</v>
      </c>
      <c r="G43" s="149">
        <f t="shared" si="1"/>
        <v>4.1276290237333695E-2</v>
      </c>
      <c r="H43" s="150">
        <v>396900.89</v>
      </c>
      <c r="I43" s="133">
        <v>230202.51619999998</v>
      </c>
      <c r="J43" s="133">
        <v>166698.37380000003</v>
      </c>
      <c r="K43" s="154" t="s">
        <v>209</v>
      </c>
      <c r="L43" s="150">
        <v>4271157.4448414864</v>
      </c>
      <c r="M43" s="149">
        <f t="shared" si="7"/>
        <v>9.2925839219380496E-2</v>
      </c>
    </row>
    <row r="44" spans="2:13" x14ac:dyDescent="0.35">
      <c r="B44" s="126" t="s">
        <v>229</v>
      </c>
      <c r="C44" s="135">
        <v>3987.4792000000002</v>
      </c>
      <c r="D44" s="154" t="s">
        <v>209</v>
      </c>
      <c r="E44" s="151" t="str">
        <f t="shared" si="4"/>
        <v>N/A</v>
      </c>
      <c r="F44" s="151">
        <v>24174.000000000007</v>
      </c>
      <c r="G44" s="149">
        <f t="shared" si="1"/>
        <v>0.16494908579465536</v>
      </c>
      <c r="H44" s="150">
        <v>688498.74</v>
      </c>
      <c r="I44" s="133">
        <v>399329.26919999998</v>
      </c>
      <c r="J44" s="133">
        <v>289169.47080000001</v>
      </c>
      <c r="K44" s="154" t="s">
        <v>209</v>
      </c>
      <c r="L44" s="150">
        <v>3912954.9200000009</v>
      </c>
      <c r="M44" s="149">
        <f t="shared" si="7"/>
        <v>0.17595366010503383</v>
      </c>
    </row>
    <row r="45" spans="2:13" x14ac:dyDescent="0.35">
      <c r="B45" s="169" t="s">
        <v>230</v>
      </c>
      <c r="C45" s="134">
        <v>30173.820258399996</v>
      </c>
      <c r="D45" s="125">
        <v>164818.38397396627</v>
      </c>
      <c r="E45" s="142">
        <f t="shared" si="4"/>
        <v>164818.38397396627</v>
      </c>
      <c r="F45" s="142">
        <v>164818</v>
      </c>
      <c r="G45" s="139">
        <f t="shared" si="1"/>
        <v>0.18307357362909388</v>
      </c>
      <c r="H45" s="133">
        <v>7475899.0500000007</v>
      </c>
      <c r="I45" s="133">
        <v>4336021.449</v>
      </c>
      <c r="J45" s="133">
        <v>3139877.6010000007</v>
      </c>
      <c r="K45" s="133">
        <v>44404151.298508771</v>
      </c>
      <c r="L45" s="133">
        <v>44738511</v>
      </c>
      <c r="M45" s="139">
        <f t="shared" si="7"/>
        <v>0.16710209801126374</v>
      </c>
    </row>
    <row r="46" spans="2:13" x14ac:dyDescent="0.35">
      <c r="B46" s="169" t="s">
        <v>231</v>
      </c>
      <c r="C46" s="134">
        <v>39645.800000000003</v>
      </c>
      <c r="D46" s="125">
        <v>217374.5885660894</v>
      </c>
      <c r="E46" s="142">
        <f t="shared" si="4"/>
        <v>217374.5885660894</v>
      </c>
      <c r="F46" s="142">
        <v>203348.21876894028</v>
      </c>
      <c r="G46" s="139">
        <f t="shared" si="1"/>
        <v>0.19496507144254152</v>
      </c>
      <c r="H46" s="133">
        <v>3400487.49</v>
      </c>
      <c r="I46" s="133">
        <v>1972282.7442000001</v>
      </c>
      <c r="J46" s="133">
        <v>1428204.7458000001</v>
      </c>
      <c r="K46" s="133">
        <v>15389943.170536552</v>
      </c>
      <c r="L46" s="133">
        <v>13175639</v>
      </c>
      <c r="M46" s="139">
        <f t="shared" si="7"/>
        <v>0.25808899970620025</v>
      </c>
    </row>
    <row r="47" spans="2:13" x14ac:dyDescent="0.35">
      <c r="B47" s="169" t="s">
        <v>232</v>
      </c>
      <c r="C47" s="134">
        <v>1848.3350000000003</v>
      </c>
      <c r="D47" s="142">
        <v>27836.707499999822</v>
      </c>
      <c r="E47" s="142">
        <f t="shared" si="4"/>
        <v>27836.707499999822</v>
      </c>
      <c r="F47" s="142">
        <v>19685.999999999996</v>
      </c>
      <c r="G47" s="139">
        <f t="shared" si="1"/>
        <v>9.3890836127197022E-2</v>
      </c>
      <c r="H47" s="133">
        <v>577899.32999999996</v>
      </c>
      <c r="I47" s="133">
        <v>335181.61139999994</v>
      </c>
      <c r="J47" s="133">
        <v>242717.71860000002</v>
      </c>
      <c r="K47" s="133">
        <v>4533653.846153846</v>
      </c>
      <c r="L47" s="133">
        <v>3424241.0259740259</v>
      </c>
      <c r="M47" s="139">
        <f t="shared" si="7"/>
        <v>0.168767129888474</v>
      </c>
    </row>
    <row r="48" spans="2:13" x14ac:dyDescent="0.35">
      <c r="B48" s="169" t="s">
        <v>233</v>
      </c>
      <c r="C48" s="134">
        <v>3032.5560720000003</v>
      </c>
      <c r="D48" s="142">
        <v>27697.244767508873</v>
      </c>
      <c r="E48" s="142">
        <f t="shared" si="4"/>
        <v>27697.244767508873</v>
      </c>
      <c r="F48" s="142">
        <v>24515.887690799998</v>
      </c>
      <c r="G48" s="139">
        <f t="shared" si="1"/>
        <v>0.12369758379738452</v>
      </c>
      <c r="H48" s="133">
        <v>1251886.8400000001</v>
      </c>
      <c r="I48" s="133">
        <v>726094.36719999998</v>
      </c>
      <c r="J48" s="133">
        <v>525792.47280000011</v>
      </c>
      <c r="K48" s="133">
        <v>9127956.5353683382</v>
      </c>
      <c r="L48" s="133">
        <v>7018268.6167388987</v>
      </c>
      <c r="M48" s="139">
        <f t="shared" si="7"/>
        <v>0.1783754524604817</v>
      </c>
    </row>
    <row r="49" spans="2:13" x14ac:dyDescent="0.35">
      <c r="B49" s="169" t="s">
        <v>234</v>
      </c>
      <c r="C49" s="134">
        <v>7400</v>
      </c>
      <c r="D49" s="142">
        <v>25650.890399999989</v>
      </c>
      <c r="E49" s="142">
        <f t="shared" si="4"/>
        <v>25650.890399999989</v>
      </c>
      <c r="F49" s="142">
        <v>33151.559441142854</v>
      </c>
      <c r="G49" s="139">
        <f t="shared" si="1"/>
        <v>0.22321725206133758</v>
      </c>
      <c r="H49" s="133">
        <v>1548802.3900000001</v>
      </c>
      <c r="I49" s="133">
        <v>898305.38620000007</v>
      </c>
      <c r="J49" s="133">
        <v>650497.00380000006</v>
      </c>
      <c r="K49" s="133">
        <v>5420594.7959567523</v>
      </c>
      <c r="L49" s="133">
        <v>6047668</v>
      </c>
      <c r="M49" s="139">
        <f t="shared" si="7"/>
        <v>0.25609910960720728</v>
      </c>
    </row>
    <row r="50" spans="2:13" x14ac:dyDescent="0.35">
      <c r="B50" s="169" t="s">
        <v>235</v>
      </c>
      <c r="C50" s="134">
        <v>5919.4543320000002</v>
      </c>
      <c r="D50" s="142">
        <v>24786.813905712384</v>
      </c>
      <c r="E50" s="142">
        <f t="shared" si="4"/>
        <v>24786.813905712384</v>
      </c>
      <c r="F50" s="142">
        <v>25225.049725425</v>
      </c>
      <c r="G50" s="139">
        <f t="shared" si="1"/>
        <v>0.23466571509009254</v>
      </c>
      <c r="H50" s="133">
        <v>1136322.43</v>
      </c>
      <c r="I50" s="133">
        <v>659067.00939999986</v>
      </c>
      <c r="J50" s="133">
        <v>477255.42060000007</v>
      </c>
      <c r="K50" s="133">
        <v>6165317.6937097721</v>
      </c>
      <c r="L50" s="133">
        <v>6432251.3799999999</v>
      </c>
      <c r="M50" s="139">
        <f t="shared" si="7"/>
        <v>0.17666014010789485</v>
      </c>
    </row>
    <row r="51" spans="2:13" ht="14.5" customHeight="1" x14ac:dyDescent="0.35">
      <c r="B51" s="169" t="s">
        <v>220</v>
      </c>
      <c r="C51" s="134">
        <v>0</v>
      </c>
      <c r="D51" s="142">
        <v>22382</v>
      </c>
      <c r="E51" s="142">
        <f t="shared" si="4"/>
        <v>22382</v>
      </c>
      <c r="F51" s="142">
        <v>10000</v>
      </c>
      <c r="G51" s="139">
        <f t="shared" si="1"/>
        <v>0</v>
      </c>
      <c r="H51" s="133">
        <v>158627.5</v>
      </c>
      <c r="I51" s="133">
        <v>92003.95</v>
      </c>
      <c r="J51" s="133">
        <v>66623.55</v>
      </c>
      <c r="K51" s="133">
        <v>1751200</v>
      </c>
      <c r="L51" s="133">
        <v>1611000</v>
      </c>
      <c r="M51" s="139">
        <f t="shared" si="7"/>
        <v>9.8465238981998757E-2</v>
      </c>
    </row>
    <row r="52" spans="2:13" x14ac:dyDescent="0.35">
      <c r="B52" s="169" t="s">
        <v>221</v>
      </c>
      <c r="C52" s="134">
        <v>0</v>
      </c>
      <c r="D52" s="142">
        <v>14926.645603053184</v>
      </c>
      <c r="E52" s="142">
        <f t="shared" si="4"/>
        <v>14926.645603053184</v>
      </c>
      <c r="F52" s="142">
        <v>14943.905030891439</v>
      </c>
      <c r="G52" s="139">
        <f t="shared" si="1"/>
        <v>0</v>
      </c>
      <c r="H52" s="133">
        <v>510</v>
      </c>
      <c r="I52" s="133">
        <v>295.79999999999995</v>
      </c>
      <c r="J52" s="133">
        <v>214.20000000000005</v>
      </c>
      <c r="K52" s="133">
        <v>9908615.1458099037</v>
      </c>
      <c r="L52" s="133">
        <v>863640</v>
      </c>
      <c r="M52" s="139">
        <f t="shared" si="7"/>
        <v>5.9052382937334997E-4</v>
      </c>
    </row>
    <row r="53" spans="2:13" x14ac:dyDescent="0.35">
      <c r="B53" s="169" t="s">
        <v>222</v>
      </c>
      <c r="C53" s="134">
        <v>154.34874000000005</v>
      </c>
      <c r="D53" s="142">
        <v>1323.3162023529403</v>
      </c>
      <c r="E53" s="142">
        <f t="shared" si="4"/>
        <v>1323.3162023529403</v>
      </c>
      <c r="F53" s="142">
        <v>1320</v>
      </c>
      <c r="G53" s="139">
        <f t="shared" si="1"/>
        <v>0.11693086363636368</v>
      </c>
      <c r="H53" s="133">
        <v>392870.4599999999</v>
      </c>
      <c r="I53" s="133">
        <v>227864.86679999993</v>
      </c>
      <c r="J53" s="133">
        <v>165005.59319999997</v>
      </c>
      <c r="K53" s="133">
        <v>1520000</v>
      </c>
      <c r="L53" s="133">
        <v>1700000</v>
      </c>
      <c r="M53" s="139">
        <f t="shared" si="7"/>
        <v>0.23110027058823523</v>
      </c>
    </row>
    <row r="54" spans="2:13" x14ac:dyDescent="0.35">
      <c r="B54" s="169" t="s">
        <v>223</v>
      </c>
      <c r="C54" s="134">
        <v>8.0741792132814414</v>
      </c>
      <c r="D54" s="142">
        <v>930.88495352627581</v>
      </c>
      <c r="E54" s="142">
        <f t="shared" si="4"/>
        <v>930.88495352627581</v>
      </c>
      <c r="F54" s="142">
        <v>2332.8312019999994</v>
      </c>
      <c r="G54" s="139">
        <f t="shared" si="1"/>
        <v>3.4611073473122395E-3</v>
      </c>
      <c r="H54" s="133">
        <v>10471.290000000001</v>
      </c>
      <c r="I54" s="133">
        <v>6073.3482000000004</v>
      </c>
      <c r="J54" s="133">
        <v>4397.9418000000005</v>
      </c>
      <c r="K54" s="133">
        <v>867197.98082673014</v>
      </c>
      <c r="L54" s="133">
        <v>837759</v>
      </c>
      <c r="M54" s="139">
        <f t="shared" si="7"/>
        <v>1.2499167421657065E-2</v>
      </c>
    </row>
    <row r="55" spans="2:13" x14ac:dyDescent="0.35">
      <c r="B55" s="169" t="s">
        <v>224</v>
      </c>
      <c r="C55" s="134">
        <v>179.11259999999999</v>
      </c>
      <c r="D55" s="142">
        <v>2855.3960000000002</v>
      </c>
      <c r="E55" s="142">
        <f t="shared" si="4"/>
        <v>2855.3960000000002</v>
      </c>
      <c r="F55" s="142">
        <v>2550.58</v>
      </c>
      <c r="G55" s="139">
        <f t="shared" si="1"/>
        <v>7.0224262716715405E-2</v>
      </c>
      <c r="H55" s="133">
        <v>151874.07</v>
      </c>
      <c r="I55" s="133">
        <v>88086.960599999991</v>
      </c>
      <c r="J55" s="133">
        <v>63787.109400000016</v>
      </c>
      <c r="K55" s="133">
        <v>1125757</v>
      </c>
      <c r="L55" s="133">
        <v>844315.94578499999</v>
      </c>
      <c r="M55" s="139">
        <f t="shared" si="7"/>
        <v>0.1798782443446518</v>
      </c>
    </row>
    <row r="56" spans="2:13" x14ac:dyDescent="0.35">
      <c r="B56" s="169" t="s">
        <v>225</v>
      </c>
      <c r="C56" s="134">
        <v>8570</v>
      </c>
      <c r="D56" s="134">
        <v>0</v>
      </c>
      <c r="E56" s="142">
        <f t="shared" si="4"/>
        <v>0</v>
      </c>
      <c r="F56" s="142">
        <v>59004.000000000022</v>
      </c>
      <c r="G56" s="139">
        <f t="shared" ref="G56" si="33">C56/F56</f>
        <v>0.1452443902108331</v>
      </c>
      <c r="H56" s="133">
        <v>214059.28000000003</v>
      </c>
      <c r="I56" s="133">
        <v>0</v>
      </c>
      <c r="J56" s="133">
        <v>214059.28000000003</v>
      </c>
      <c r="K56" s="133">
        <v>0</v>
      </c>
      <c r="L56" s="133">
        <v>738121.99999999977</v>
      </c>
      <c r="M56" s="139">
        <f t="shared" ref="M56" si="34">H56/L56</f>
        <v>0.29000528367939188</v>
      </c>
    </row>
    <row r="57" spans="2:13" x14ac:dyDescent="0.35">
      <c r="B57" s="169" t="s">
        <v>249</v>
      </c>
      <c r="C57" s="134" t="s">
        <v>209</v>
      </c>
      <c r="D57" s="134" t="s">
        <v>209</v>
      </c>
      <c r="E57" s="134" t="str">
        <f t="shared" si="4"/>
        <v>N/A</v>
      </c>
      <c r="F57" s="134" t="s">
        <v>209</v>
      </c>
      <c r="G57" s="155" t="s">
        <v>209</v>
      </c>
      <c r="H57" s="133">
        <v>180953.71</v>
      </c>
      <c r="I57" s="133">
        <v>0</v>
      </c>
      <c r="J57" s="133">
        <v>180953.71</v>
      </c>
      <c r="K57" s="133">
        <v>1650000</v>
      </c>
      <c r="L57" s="133">
        <v>1645000</v>
      </c>
      <c r="M57" s="139">
        <f t="shared" si="7"/>
        <v>0.11000225531914894</v>
      </c>
    </row>
    <row r="58" spans="2:13" x14ac:dyDescent="0.35">
      <c r="B58" s="169" t="s">
        <v>257</v>
      </c>
      <c r="C58" s="134" t="s">
        <v>209</v>
      </c>
      <c r="D58" s="134" t="s">
        <v>209</v>
      </c>
      <c r="E58" s="134" t="str">
        <f t="shared" si="4"/>
        <v>N/A</v>
      </c>
      <c r="F58" s="134" t="s">
        <v>209</v>
      </c>
      <c r="G58" s="155" t="s">
        <v>209</v>
      </c>
      <c r="H58" s="133">
        <v>617049.72</v>
      </c>
      <c r="I58" s="133">
        <v>0</v>
      </c>
      <c r="J58" s="133">
        <v>617049.72</v>
      </c>
      <c r="K58" s="133">
        <v>0</v>
      </c>
      <c r="L58" s="133">
        <v>2007988</v>
      </c>
      <c r="M58" s="139">
        <f t="shared" si="7"/>
        <v>0.30729751373016173</v>
      </c>
    </row>
    <row r="59" spans="2:13" x14ac:dyDescent="0.35">
      <c r="B59" s="93" t="s">
        <v>57</v>
      </c>
      <c r="C59" s="165">
        <f>SUM(C41,C45:C58)</f>
        <v>136195.90922821328</v>
      </c>
      <c r="D59" s="165">
        <f t="shared" ref="D59:F59" si="35">SUM(D41,D45:D58)</f>
        <v>779254.80870172917</v>
      </c>
      <c r="E59" s="165">
        <f t="shared" si="35"/>
        <v>779254.80870172917</v>
      </c>
      <c r="F59" s="165">
        <f t="shared" si="35"/>
        <v>827874.89484367741</v>
      </c>
      <c r="G59" s="166">
        <f t="shared" si="1"/>
        <v>0.16451266982063797</v>
      </c>
      <c r="H59" s="167">
        <f t="shared" ref="H59:L59" si="36">SUM(H41,H45:H58)</f>
        <v>25347087.139999997</v>
      </c>
      <c r="I59" s="167">
        <f t="shared" si="36"/>
        <v>14114314.169399999</v>
      </c>
      <c r="J59" s="167">
        <f t="shared" si="36"/>
        <v>11232772.970600005</v>
      </c>
      <c r="K59" s="167">
        <f t="shared" si="36"/>
        <v>147099193.52793235</v>
      </c>
      <c r="L59" s="167">
        <f t="shared" si="36"/>
        <v>135579160.2933394</v>
      </c>
      <c r="M59" s="166">
        <f t="shared" si="7"/>
        <v>0.18695415346399091</v>
      </c>
    </row>
    <row r="60" spans="2:13" x14ac:dyDescent="0.35">
      <c r="B60" s="168" t="s">
        <v>236</v>
      </c>
      <c r="C60" s="125">
        <f>SUM(C61:C63)</f>
        <v>2897.3046555999999</v>
      </c>
      <c r="D60" s="125">
        <v>64660.885314963736</v>
      </c>
      <c r="E60" s="125">
        <f t="shared" si="4"/>
        <v>64660.885314963736</v>
      </c>
      <c r="F60" s="125">
        <f t="shared" ref="F60" si="37">SUM(F61:F63)</f>
        <v>56471.919999999991</v>
      </c>
      <c r="G60" s="139">
        <f t="shared" si="1"/>
        <v>5.1305226661321243E-2</v>
      </c>
      <c r="H60" s="133">
        <f t="shared" ref="H60:J60" si="38">SUM(H61:H63)</f>
        <v>1480950.0499999998</v>
      </c>
      <c r="I60" s="133">
        <f t="shared" si="38"/>
        <v>858951.02899999998</v>
      </c>
      <c r="J60" s="133">
        <f t="shared" si="38"/>
        <v>621999.02100000007</v>
      </c>
      <c r="K60" s="133">
        <v>11671212.661444556</v>
      </c>
      <c r="L60" s="133">
        <f t="shared" ref="L60" si="39">SUM(L61:L63)</f>
        <v>10123103.904982753</v>
      </c>
      <c r="M60" s="139">
        <f t="shared" si="7"/>
        <v>0.14629406789661148</v>
      </c>
    </row>
    <row r="61" spans="2:13" x14ac:dyDescent="0.35">
      <c r="B61" s="126" t="s">
        <v>237</v>
      </c>
      <c r="C61" s="148">
        <v>2739.4740000000002</v>
      </c>
      <c r="D61" s="154" t="s">
        <v>209</v>
      </c>
      <c r="E61" s="148" t="str">
        <f t="shared" si="4"/>
        <v>N/A</v>
      </c>
      <c r="F61" s="148">
        <v>38581.919999999984</v>
      </c>
      <c r="G61" s="149">
        <f t="shared" si="1"/>
        <v>7.1004086888366402E-2</v>
      </c>
      <c r="H61" s="150">
        <v>1151130.47</v>
      </c>
      <c r="I61" s="133">
        <v>667655.67259999993</v>
      </c>
      <c r="J61" s="133">
        <v>483474.79740000004</v>
      </c>
      <c r="K61" s="154" t="s">
        <v>209</v>
      </c>
      <c r="L61" s="150">
        <v>7022027.1300000008</v>
      </c>
      <c r="M61" s="139">
        <f t="shared" si="7"/>
        <v>0.16393136179751555</v>
      </c>
    </row>
    <row r="62" spans="2:13" x14ac:dyDescent="0.35">
      <c r="B62" s="126" t="s">
        <v>241</v>
      </c>
      <c r="C62" s="148">
        <v>157.8306556</v>
      </c>
      <c r="D62" s="154" t="s">
        <v>209</v>
      </c>
      <c r="E62" s="148" t="str">
        <f t="shared" si="4"/>
        <v>N/A</v>
      </c>
      <c r="F62" s="148">
        <v>11464.000000000005</v>
      </c>
      <c r="G62" s="149">
        <f t="shared" si="1"/>
        <v>1.3767503105373335E-2</v>
      </c>
      <c r="H62" s="150">
        <v>231474.71</v>
      </c>
      <c r="I62" s="133">
        <v>134255.33179999999</v>
      </c>
      <c r="J62" s="133">
        <v>97219.378200000006</v>
      </c>
      <c r="K62" s="154" t="s">
        <v>209</v>
      </c>
      <c r="L62" s="150">
        <v>1909025.6949827524</v>
      </c>
      <c r="M62" s="139">
        <f t="shared" si="7"/>
        <v>0.12125279958690724</v>
      </c>
    </row>
    <row r="63" spans="2:13" x14ac:dyDescent="0.35">
      <c r="B63" s="126" t="s">
        <v>240</v>
      </c>
      <c r="C63" s="148">
        <v>0</v>
      </c>
      <c r="D63" s="154" t="s">
        <v>209</v>
      </c>
      <c r="E63" s="148" t="str">
        <f t="shared" si="4"/>
        <v>N/A</v>
      </c>
      <c r="F63" s="148">
        <v>6426.0000000000027</v>
      </c>
      <c r="G63" s="149">
        <f t="shared" si="1"/>
        <v>0</v>
      </c>
      <c r="H63" s="150">
        <v>98344.87</v>
      </c>
      <c r="I63" s="133">
        <v>57040.02459999999</v>
      </c>
      <c r="J63" s="133">
        <v>41304.845400000006</v>
      </c>
      <c r="K63" s="154" t="s">
        <v>209</v>
      </c>
      <c r="L63" s="150">
        <v>1192051.08</v>
      </c>
      <c r="M63" s="139">
        <f t="shared" si="7"/>
        <v>8.2500550228099281E-2</v>
      </c>
    </row>
    <row r="64" spans="2:13" x14ac:dyDescent="0.35">
      <c r="B64" s="168" t="s">
        <v>239</v>
      </c>
      <c r="C64" s="125">
        <v>405.60882179999999</v>
      </c>
      <c r="D64" s="125">
        <v>7188.8711778518727</v>
      </c>
      <c r="E64" s="125">
        <f t="shared" si="4"/>
        <v>7188.8711778518727</v>
      </c>
      <c r="F64" s="125">
        <v>5249.8124999999982</v>
      </c>
      <c r="G64" s="139">
        <f t="shared" si="1"/>
        <v>7.726158254223367E-2</v>
      </c>
      <c r="H64" s="133">
        <v>753068.55</v>
      </c>
      <c r="I64" s="133">
        <v>436779.75900000002</v>
      </c>
      <c r="J64" s="133">
        <v>316288.79100000003</v>
      </c>
      <c r="K64" s="133">
        <v>1936772.5598938346</v>
      </c>
      <c r="L64" s="133">
        <v>2475020</v>
      </c>
      <c r="M64" s="139">
        <f t="shared" si="7"/>
        <v>0.30426766248353548</v>
      </c>
    </row>
    <row r="65" spans="2:13" x14ac:dyDescent="0.35">
      <c r="B65" s="168" t="s">
        <v>238</v>
      </c>
      <c r="C65" s="125">
        <v>1068.133</v>
      </c>
      <c r="D65" s="125">
        <v>13139.868657636334</v>
      </c>
      <c r="E65" s="125">
        <f t="shared" si="4"/>
        <v>13139.868657636334</v>
      </c>
      <c r="F65" s="125">
        <v>19976.055770011408</v>
      </c>
      <c r="G65" s="139">
        <f t="shared" si="1"/>
        <v>5.3470665695853237E-2</v>
      </c>
      <c r="H65" s="133">
        <v>242433.91999999998</v>
      </c>
      <c r="I65" s="133">
        <v>140611.67359999998</v>
      </c>
      <c r="J65" s="133">
        <v>101822.2464</v>
      </c>
      <c r="K65" s="133">
        <v>955073.2529726082</v>
      </c>
      <c r="L65" s="133">
        <v>1415695.2000000002</v>
      </c>
      <c r="M65" s="139">
        <f t="shared" si="7"/>
        <v>0.17124725717795747</v>
      </c>
    </row>
    <row r="66" spans="2:13" x14ac:dyDescent="0.35">
      <c r="B66" s="168" t="s">
        <v>244</v>
      </c>
      <c r="C66" s="125">
        <v>167.81299999999999</v>
      </c>
      <c r="D66" s="125">
        <v>1113.468299999993</v>
      </c>
      <c r="E66" s="125">
        <f t="shared" si="4"/>
        <v>1113.468299999993</v>
      </c>
      <c r="F66" s="125">
        <v>3473.8600247015229</v>
      </c>
      <c r="G66" s="139">
        <f t="shared" si="1"/>
        <v>4.830735804169848E-2</v>
      </c>
      <c r="H66" s="133">
        <v>67816.989999999991</v>
      </c>
      <c r="I66" s="133">
        <v>39333.854199999994</v>
      </c>
      <c r="J66" s="133">
        <v>28483.135799999996</v>
      </c>
      <c r="K66" s="133">
        <v>181346.15384615384</v>
      </c>
      <c r="L66" s="133">
        <v>313754.15584415582</v>
      </c>
      <c r="M66" s="139">
        <f t="shared" si="7"/>
        <v>0.21614690590324875</v>
      </c>
    </row>
    <row r="67" spans="2:13" x14ac:dyDescent="0.35">
      <c r="B67" s="168" t="s">
        <v>243</v>
      </c>
      <c r="C67" s="125">
        <v>0</v>
      </c>
      <c r="D67" s="125">
        <v>915.25577994808157</v>
      </c>
      <c r="E67" s="125">
        <f t="shared" si="4"/>
        <v>915.25577994808157</v>
      </c>
      <c r="F67" s="125">
        <v>371.77649999999988</v>
      </c>
      <c r="G67" s="139">
        <f t="shared" si="1"/>
        <v>0</v>
      </c>
      <c r="H67" s="133">
        <v>133804.33000000002</v>
      </c>
      <c r="I67" s="133">
        <v>77606.511400000003</v>
      </c>
      <c r="J67" s="133">
        <v>56197.818600000013</v>
      </c>
      <c r="K67" s="133">
        <v>548781.37788444397</v>
      </c>
      <c r="L67" s="133">
        <v>459189.44833372306</v>
      </c>
      <c r="M67" s="139">
        <f t="shared" si="7"/>
        <v>0.29139243178505192</v>
      </c>
    </row>
    <row r="68" spans="2:13" x14ac:dyDescent="0.35">
      <c r="B68" s="168" t="s">
        <v>242</v>
      </c>
      <c r="C68" s="125">
        <v>0</v>
      </c>
      <c r="D68" s="125">
        <v>279.99999999999972</v>
      </c>
      <c r="E68" s="125">
        <f t="shared" si="4"/>
        <v>279.99999999999972</v>
      </c>
      <c r="F68" s="125">
        <v>224</v>
      </c>
      <c r="G68" s="139">
        <f t="shared" si="1"/>
        <v>0</v>
      </c>
      <c r="H68" s="133">
        <v>10118.249999999998</v>
      </c>
      <c r="I68" s="133">
        <v>5868.5849999999982</v>
      </c>
      <c r="J68" s="133">
        <v>4249.665</v>
      </c>
      <c r="K68" s="133">
        <v>62949.397043247591</v>
      </c>
      <c r="L68" s="133">
        <v>60375</v>
      </c>
      <c r="M68" s="139">
        <f t="shared" si="7"/>
        <v>0.16759006211180122</v>
      </c>
    </row>
    <row r="69" spans="2:13" x14ac:dyDescent="0.35">
      <c r="B69" s="168" t="s">
        <v>246</v>
      </c>
      <c r="C69" s="125">
        <v>0</v>
      </c>
      <c r="D69" s="125">
        <v>5257.5072747787181</v>
      </c>
      <c r="E69" s="125">
        <f t="shared" si="4"/>
        <v>5257.5072747787181</v>
      </c>
      <c r="F69" s="125">
        <v>3686.0000000000009</v>
      </c>
      <c r="G69" s="139">
        <f t="shared" si="1"/>
        <v>0</v>
      </c>
      <c r="H69" s="133">
        <v>38871.040000000037</v>
      </c>
      <c r="I69" s="133">
        <v>22545.203200000022</v>
      </c>
      <c r="J69" s="133">
        <v>16325.836800000016</v>
      </c>
      <c r="K69" s="133">
        <v>1940324.468295092</v>
      </c>
      <c r="L69" s="133">
        <v>1973510.5600000005</v>
      </c>
      <c r="M69" s="139">
        <f t="shared" si="7"/>
        <v>1.9696393213117658E-2</v>
      </c>
    </row>
    <row r="70" spans="2:13" x14ac:dyDescent="0.35">
      <c r="B70" s="168" t="s">
        <v>245</v>
      </c>
      <c r="C70" s="125">
        <v>0</v>
      </c>
      <c r="D70" s="125">
        <v>5595.5</v>
      </c>
      <c r="E70" s="125">
        <f t="shared" si="4"/>
        <v>5595.5</v>
      </c>
      <c r="F70" s="125">
        <v>5000</v>
      </c>
      <c r="G70" s="139">
        <f t="shared" si="1"/>
        <v>0</v>
      </c>
      <c r="H70" s="133">
        <v>0</v>
      </c>
      <c r="I70" s="133">
        <v>0</v>
      </c>
      <c r="J70" s="133">
        <v>0</v>
      </c>
      <c r="K70" s="133">
        <v>437800</v>
      </c>
      <c r="L70" s="133">
        <v>402000</v>
      </c>
      <c r="M70" s="139">
        <f t="shared" si="7"/>
        <v>0</v>
      </c>
    </row>
    <row r="71" spans="2:13" x14ac:dyDescent="0.35">
      <c r="B71" s="168" t="s">
        <v>248</v>
      </c>
      <c r="C71" s="125">
        <v>17690.613000000001</v>
      </c>
      <c r="D71" s="125">
        <v>80093.326075473669</v>
      </c>
      <c r="E71" s="125">
        <f t="shared" si="4"/>
        <v>80093.326075473669</v>
      </c>
      <c r="F71" s="125">
        <v>96023.213035374152</v>
      </c>
      <c r="G71" s="139">
        <f t="shared" si="1"/>
        <v>0.18423267083848702</v>
      </c>
      <c r="H71" s="133">
        <v>6302089.0600000024</v>
      </c>
      <c r="I71" s="133">
        <v>3655211.6548000011</v>
      </c>
      <c r="J71" s="133">
        <v>2646877.4052000013</v>
      </c>
      <c r="K71" s="133">
        <v>14304246.964664573</v>
      </c>
      <c r="L71" s="133">
        <v>14303964.649627648</v>
      </c>
      <c r="M71" s="139">
        <f t="shared" si="7"/>
        <v>0.44058337771158113</v>
      </c>
    </row>
    <row r="72" spans="2:13" x14ac:dyDescent="0.35">
      <c r="B72" s="168" t="s">
        <v>247</v>
      </c>
      <c r="C72" s="125">
        <v>28.009800000000002</v>
      </c>
      <c r="D72" s="125">
        <v>330.82905058823508</v>
      </c>
      <c r="E72" s="125">
        <f t="shared" si="4"/>
        <v>330.82905058823508</v>
      </c>
      <c r="F72" s="125">
        <v>336.00000000000006</v>
      </c>
      <c r="G72" s="139">
        <f t="shared" si="1"/>
        <v>8.3362499999999992E-2</v>
      </c>
      <c r="H72" s="133">
        <v>130103.73999999999</v>
      </c>
      <c r="I72" s="133">
        <v>75460.169199999989</v>
      </c>
      <c r="J72" s="133">
        <v>54643.570800000001</v>
      </c>
      <c r="K72" s="133">
        <v>367500</v>
      </c>
      <c r="L72" s="133">
        <v>600000</v>
      </c>
      <c r="M72" s="139">
        <f t="shared" si="7"/>
        <v>0.21683956666666665</v>
      </c>
    </row>
    <row r="73" spans="2:13" x14ac:dyDescent="0.35">
      <c r="B73" s="168" t="s">
        <v>181</v>
      </c>
      <c r="C73" s="125">
        <v>34.5</v>
      </c>
      <c r="D73" s="125">
        <v>1825.5141767770206</v>
      </c>
      <c r="E73" s="125">
        <f t="shared" si="4"/>
        <v>1825.5141767770206</v>
      </c>
      <c r="F73" s="125">
        <v>1826.0000000000007</v>
      </c>
      <c r="G73" s="139">
        <f t="shared" ref="G73" si="40">C73/F73</f>
        <v>1.8893756845564068E-2</v>
      </c>
      <c r="H73" s="133">
        <v>167713.46</v>
      </c>
      <c r="I73" s="133">
        <v>97273.806799999991</v>
      </c>
      <c r="J73" s="133">
        <v>70439.653200000001</v>
      </c>
      <c r="K73" s="133">
        <v>2190127.0352339754</v>
      </c>
      <c r="L73" s="133">
        <v>2146094</v>
      </c>
      <c r="M73" s="139">
        <f t="shared" si="7"/>
        <v>7.8148235818188763E-2</v>
      </c>
    </row>
    <row r="74" spans="2:13" x14ac:dyDescent="0.35">
      <c r="B74" s="168" t="s">
        <v>250</v>
      </c>
      <c r="C74" s="134" t="s">
        <v>209</v>
      </c>
      <c r="D74" s="134" t="s">
        <v>209</v>
      </c>
      <c r="E74" s="134" t="str">
        <f t="shared" si="4"/>
        <v>N/A</v>
      </c>
      <c r="F74" s="134" t="s">
        <v>209</v>
      </c>
      <c r="G74" s="155" t="s">
        <v>209</v>
      </c>
      <c r="H74" s="133">
        <v>266204.13</v>
      </c>
      <c r="I74" s="133">
        <v>0</v>
      </c>
      <c r="J74" s="133">
        <v>266204.13</v>
      </c>
      <c r="K74" s="133">
        <v>3000000</v>
      </c>
      <c r="L74" s="133">
        <v>3000000</v>
      </c>
      <c r="M74" s="139">
        <f t="shared" si="7"/>
        <v>8.8734710000000008E-2</v>
      </c>
    </row>
    <row r="75" spans="2:13" x14ac:dyDescent="0.35">
      <c r="B75" s="168" t="s">
        <v>258</v>
      </c>
      <c r="C75" s="134" t="s">
        <v>209</v>
      </c>
      <c r="D75" s="134" t="s">
        <v>209</v>
      </c>
      <c r="E75" s="134" t="str">
        <f t="shared" si="4"/>
        <v>N/A</v>
      </c>
      <c r="F75" s="134" t="s">
        <v>209</v>
      </c>
      <c r="G75" s="155" t="s">
        <v>209</v>
      </c>
      <c r="H75" s="133">
        <v>-46780.859999999993</v>
      </c>
      <c r="I75" s="133">
        <v>0</v>
      </c>
      <c r="J75" s="133">
        <v>-46780.859999999993</v>
      </c>
      <c r="K75" s="133">
        <v>0</v>
      </c>
      <c r="L75" s="133">
        <v>584830.63</v>
      </c>
      <c r="M75" s="139">
        <f t="shared" si="7"/>
        <v>-7.9990440993147019E-2</v>
      </c>
    </row>
    <row r="76" spans="2:13" x14ac:dyDescent="0.35">
      <c r="B76" s="93" t="s">
        <v>58</v>
      </c>
      <c r="C76" s="165">
        <f>SUM(C60,C64:C75)</f>
        <v>22291.982277400002</v>
      </c>
      <c r="D76" s="165">
        <f t="shared" ref="D76:F76" si="41">SUM(D60,D64:D75)</f>
        <v>180401.02580801767</v>
      </c>
      <c r="E76" s="165">
        <f t="shared" si="41"/>
        <v>180401.02580801767</v>
      </c>
      <c r="F76" s="165">
        <f t="shared" si="41"/>
        <v>192638.63783008707</v>
      </c>
      <c r="G76" s="166">
        <f t="shared" si="1"/>
        <v>0.11571916479736627</v>
      </c>
      <c r="H76" s="167">
        <f t="shared" ref="H76:L76" si="42">SUM(H60,H64:H75)</f>
        <v>9546392.6600000039</v>
      </c>
      <c r="I76" s="167">
        <f t="shared" si="42"/>
        <v>5409642.2462000018</v>
      </c>
      <c r="J76" s="167">
        <f t="shared" si="42"/>
        <v>4136750.4138000016</v>
      </c>
      <c r="K76" s="167">
        <f t="shared" si="42"/>
        <v>37596133.871278487</v>
      </c>
      <c r="L76" s="167">
        <f t="shared" si="42"/>
        <v>37857537.548788287</v>
      </c>
      <c r="M76" s="166">
        <f t="shared" si="7"/>
        <v>0.25216623367796293</v>
      </c>
    </row>
    <row r="77" spans="2:13" ht="15.65" customHeight="1" x14ac:dyDescent="0.35">
      <c r="B77" s="38" t="s">
        <v>1</v>
      </c>
      <c r="C77" s="39"/>
      <c r="D77" s="39"/>
      <c r="E77" s="39">
        <f t="shared" si="4"/>
        <v>0</v>
      </c>
      <c r="F77" s="39"/>
      <c r="G77" s="39"/>
      <c r="H77" s="39"/>
      <c r="I77" s="39"/>
      <c r="J77" s="39"/>
      <c r="K77" s="39"/>
      <c r="L77" s="39"/>
      <c r="M77" s="40"/>
    </row>
    <row r="78" spans="2:13" x14ac:dyDescent="0.35">
      <c r="B78" s="1" t="s">
        <v>192</v>
      </c>
      <c r="C78" s="123">
        <v>66385.100000000006</v>
      </c>
      <c r="D78" s="142">
        <v>275502.00000000076</v>
      </c>
      <c r="E78" s="142">
        <f t="shared" si="4"/>
        <v>275502.00000000076</v>
      </c>
      <c r="F78" s="142">
        <v>282600</v>
      </c>
      <c r="G78" s="139">
        <f t="shared" si="1"/>
        <v>0.23490835102618543</v>
      </c>
      <c r="H78" s="131">
        <v>1298480.94</v>
      </c>
      <c r="I78" s="133">
        <v>0</v>
      </c>
      <c r="J78" s="133">
        <v>1298480.94</v>
      </c>
      <c r="K78" s="131">
        <v>7276250</v>
      </c>
      <c r="L78" s="131">
        <v>5965113.9667999977</v>
      </c>
      <c r="M78" s="139">
        <f t="shared" si="7"/>
        <v>0.21767915034430999</v>
      </c>
    </row>
    <row r="79" spans="2:13" x14ac:dyDescent="0.35">
      <c r="B79" s="1" t="s">
        <v>262</v>
      </c>
      <c r="C79" s="123">
        <v>50354.079252238524</v>
      </c>
      <c r="D79" s="142">
        <v>156198.2281702777</v>
      </c>
      <c r="E79" s="142">
        <f t="shared" si="4"/>
        <v>156198.2281702777</v>
      </c>
      <c r="F79" s="142">
        <v>227070.50000000003</v>
      </c>
      <c r="G79" s="137">
        <f t="shared" si="1"/>
        <v>0.22175526654602212</v>
      </c>
      <c r="H79" s="131">
        <v>5963368.8600000003</v>
      </c>
      <c r="I79" s="133">
        <v>3458753.9388000001</v>
      </c>
      <c r="J79" s="133">
        <v>2504614.9212000002</v>
      </c>
      <c r="K79" s="131">
        <v>29628321.778639682</v>
      </c>
      <c r="L79" s="131">
        <v>29550525.07</v>
      </c>
      <c r="M79" s="137">
        <f t="shared" si="7"/>
        <v>0.2018024669908175</v>
      </c>
    </row>
    <row r="80" spans="2:13" x14ac:dyDescent="0.35">
      <c r="B80" s="1" t="s">
        <v>193</v>
      </c>
      <c r="C80" s="123">
        <v>4449.2655620599999</v>
      </c>
      <c r="D80" s="142">
        <v>28977.172765642001</v>
      </c>
      <c r="E80" s="142">
        <f t="shared" si="4"/>
        <v>28977.172765642001</v>
      </c>
      <c r="F80" s="142">
        <v>31282.799999999988</v>
      </c>
      <c r="G80" s="137">
        <f t="shared" si="1"/>
        <v>0.1422272162996919</v>
      </c>
      <c r="H80" s="131">
        <v>3054546.17</v>
      </c>
      <c r="I80" s="133">
        <v>1771636.7785999998</v>
      </c>
      <c r="J80" s="133">
        <v>1282909.3914000001</v>
      </c>
      <c r="K80" s="131">
        <v>15293698.699999999</v>
      </c>
      <c r="L80" s="133">
        <v>15820699.010000002</v>
      </c>
      <c r="M80" s="137">
        <f t="shared" si="7"/>
        <v>0.19307276929225894</v>
      </c>
    </row>
    <row r="81" spans="2:13" x14ac:dyDescent="0.35">
      <c r="B81" s="1" t="s">
        <v>194</v>
      </c>
      <c r="C81" s="123">
        <v>4747.731988399999</v>
      </c>
      <c r="D81" s="142">
        <v>21702.515446331541</v>
      </c>
      <c r="E81" s="142">
        <f t="shared" si="4"/>
        <v>21702.515446331541</v>
      </c>
      <c r="F81" s="142">
        <v>21715.022249999998</v>
      </c>
      <c r="G81" s="137">
        <f t="shared" si="1"/>
        <v>0.21863813602125134</v>
      </c>
      <c r="H81" s="131">
        <v>2163030.77</v>
      </c>
      <c r="I81" s="133">
        <v>1254557.8465999998</v>
      </c>
      <c r="J81" s="133">
        <v>908472.9234000002</v>
      </c>
      <c r="K81" s="131">
        <v>8702137.5</v>
      </c>
      <c r="L81" s="131">
        <v>8527137.5</v>
      </c>
      <c r="M81" s="137">
        <f t="shared" si="7"/>
        <v>0.25366434750231248</v>
      </c>
    </row>
    <row r="82" spans="2:13" x14ac:dyDescent="0.35">
      <c r="B82" s="1" t="s">
        <v>263</v>
      </c>
      <c r="C82" s="123">
        <v>5023</v>
      </c>
      <c r="D82" s="142">
        <v>17889.549988365143</v>
      </c>
      <c r="E82" s="142">
        <f t="shared" si="4"/>
        <v>17889.549988365143</v>
      </c>
      <c r="F82" s="142">
        <v>24612.421049999986</v>
      </c>
      <c r="G82" s="137">
        <f t="shared" si="1"/>
        <v>0.2040839456547491</v>
      </c>
      <c r="H82" s="131">
        <v>2016869.5499999998</v>
      </c>
      <c r="I82" s="133">
        <v>1169784.3389999999</v>
      </c>
      <c r="J82" s="133">
        <v>847085.21099999989</v>
      </c>
      <c r="K82" s="131">
        <v>9623742.1780000031</v>
      </c>
      <c r="L82" s="131">
        <v>9448742</v>
      </c>
      <c r="M82" s="137">
        <f t="shared" si="7"/>
        <v>0.213453764532887</v>
      </c>
    </row>
    <row r="83" spans="2:13" x14ac:dyDescent="0.35">
      <c r="B83" s="1" t="s">
        <v>195</v>
      </c>
      <c r="C83" s="123">
        <v>813</v>
      </c>
      <c r="D83" s="142">
        <v>9196.8191680638702</v>
      </c>
      <c r="E83" s="142">
        <f t="shared" si="4"/>
        <v>9196.8191680638702</v>
      </c>
      <c r="F83" s="142">
        <v>9217.047205951998</v>
      </c>
      <c r="G83" s="137">
        <f t="shared" si="1"/>
        <v>8.8206123049364149E-2</v>
      </c>
      <c r="H83" s="131">
        <v>529245.90999999992</v>
      </c>
      <c r="I83" s="133">
        <v>306962.62779999996</v>
      </c>
      <c r="J83" s="133">
        <v>222283.28219999996</v>
      </c>
      <c r="K83" s="131">
        <v>4051680.6120371409</v>
      </c>
      <c r="L83" s="131">
        <v>3887686.7499600011</v>
      </c>
      <c r="M83" s="137">
        <f t="shared" si="7"/>
        <v>0.13613388733170056</v>
      </c>
    </row>
    <row r="84" spans="2:13" x14ac:dyDescent="0.35">
      <c r="B84" s="1" t="s">
        <v>196</v>
      </c>
      <c r="C84" s="123">
        <f>1855.798+47</f>
        <v>1902.798</v>
      </c>
      <c r="D84" s="142">
        <v>9663.2252650565388</v>
      </c>
      <c r="E84" s="142">
        <f t="shared" si="4"/>
        <v>9663.2252650565388</v>
      </c>
      <c r="F84" s="142">
        <v>11042.04952216502</v>
      </c>
      <c r="G84" s="137">
        <f t="shared" si="1"/>
        <v>0.17232290039819687</v>
      </c>
      <c r="H84" s="131">
        <v>1326512.8799999999</v>
      </c>
      <c r="I84" s="133">
        <v>769377.47039999987</v>
      </c>
      <c r="J84" s="133">
        <v>557135.40960000001</v>
      </c>
      <c r="K84" s="131">
        <v>7839466.3125975495</v>
      </c>
      <c r="L84" s="131">
        <v>7303574.78785</v>
      </c>
      <c r="M84" s="137">
        <f t="shared" si="7"/>
        <v>0.18162515186491215</v>
      </c>
    </row>
    <row r="85" spans="2:13" x14ac:dyDescent="0.35">
      <c r="B85" s="1" t="s">
        <v>264</v>
      </c>
      <c r="C85" s="123">
        <v>2055.3912</v>
      </c>
      <c r="D85" s="142">
        <v>2074.2692829359548</v>
      </c>
      <c r="E85" s="142">
        <f t="shared" si="4"/>
        <v>2074.2692829359548</v>
      </c>
      <c r="F85" s="142">
        <v>3728.9999999999986</v>
      </c>
      <c r="G85" s="137">
        <f t="shared" si="1"/>
        <v>0.5511909895414322</v>
      </c>
      <c r="H85" s="131">
        <v>147525.66999999998</v>
      </c>
      <c r="I85" s="133">
        <v>85564.888599999991</v>
      </c>
      <c r="J85" s="133">
        <v>61960.781399999993</v>
      </c>
      <c r="K85" s="131">
        <v>741983.35599999991</v>
      </c>
      <c r="L85" s="131">
        <v>635959.37</v>
      </c>
      <c r="M85" s="137">
        <f t="shared" si="7"/>
        <v>0.23197341993718873</v>
      </c>
    </row>
    <row r="86" spans="2:13" x14ac:dyDescent="0.35">
      <c r="B86" s="1" t="s">
        <v>197</v>
      </c>
      <c r="C86" s="123">
        <v>77.262900000000002</v>
      </c>
      <c r="D86" s="142">
        <v>570.7407967267693</v>
      </c>
      <c r="E86" s="142">
        <f t="shared" si="4"/>
        <v>570.7407967267693</v>
      </c>
      <c r="F86" s="142">
        <v>600.90000000000009</v>
      </c>
      <c r="G86" s="139">
        <f t="shared" si="1"/>
        <v>0.1285786320519221</v>
      </c>
      <c r="H86" s="156">
        <v>86755.16</v>
      </c>
      <c r="I86" s="133">
        <v>50317.9928</v>
      </c>
      <c r="J86" s="133">
        <v>36437.167200000004</v>
      </c>
      <c r="K86" s="156">
        <v>392065.43333333335</v>
      </c>
      <c r="L86" s="133">
        <v>350040.00000000006</v>
      </c>
      <c r="M86" s="139">
        <f t="shared" si="7"/>
        <v>0.24784356073591587</v>
      </c>
    </row>
    <row r="87" spans="2:13" x14ac:dyDescent="0.35">
      <c r="B87" s="1" t="s">
        <v>198</v>
      </c>
      <c r="C87" s="123">
        <v>250.1907856</v>
      </c>
      <c r="D87" s="142">
        <v>1267.3083356329412</v>
      </c>
      <c r="E87" s="142">
        <f t="shared" si="4"/>
        <v>1267.3083356329412</v>
      </c>
      <c r="F87" s="142">
        <v>1277.0570000000012</v>
      </c>
      <c r="G87" s="139">
        <f t="shared" ref="G87" si="43">C87/F87</f>
        <v>0.19591199578405644</v>
      </c>
      <c r="H87" s="133">
        <v>134095.72</v>
      </c>
      <c r="I87" s="133">
        <v>77775.517599999992</v>
      </c>
      <c r="J87" s="133">
        <v>56320.202400000009</v>
      </c>
      <c r="K87" s="133">
        <v>664083</v>
      </c>
      <c r="L87" s="133">
        <v>664083</v>
      </c>
      <c r="M87" s="139">
        <f t="shared" ref="M87" si="44">H87/L87</f>
        <v>0.20192614477407192</v>
      </c>
    </row>
    <row r="88" spans="2:13" x14ac:dyDescent="0.35">
      <c r="B88" s="1" t="s">
        <v>256</v>
      </c>
      <c r="C88" s="134" t="s">
        <v>209</v>
      </c>
      <c r="D88" s="134" t="s">
        <v>209</v>
      </c>
      <c r="E88" s="134" t="str">
        <f t="shared" si="4"/>
        <v>N/A</v>
      </c>
      <c r="F88" s="134" t="s">
        <v>209</v>
      </c>
      <c r="G88" s="155" t="s">
        <v>209</v>
      </c>
      <c r="H88" s="133">
        <v>92590.49</v>
      </c>
      <c r="I88" s="133">
        <v>0</v>
      </c>
      <c r="J88" s="133">
        <v>92590.49</v>
      </c>
      <c r="K88" s="133">
        <v>0</v>
      </c>
      <c r="L88" s="133">
        <v>499999.59999999992</v>
      </c>
      <c r="M88" s="139">
        <f t="shared" si="7"/>
        <v>0.18518112814490256</v>
      </c>
    </row>
    <row r="89" spans="2:13" x14ac:dyDescent="0.35">
      <c r="B89" s="2" t="s">
        <v>38</v>
      </c>
      <c r="C89" s="124">
        <f>SUM(C78:C88)</f>
        <v>136057.81968829854</v>
      </c>
      <c r="D89" s="124">
        <f t="shared" ref="D89:F89" si="45">SUM(D78:D88)</f>
        <v>523041.82921903324</v>
      </c>
      <c r="E89" s="124">
        <f t="shared" ref="E89" si="46">D89</f>
        <v>523041.82921903324</v>
      </c>
      <c r="F89" s="124">
        <f t="shared" si="45"/>
        <v>613146.79702811711</v>
      </c>
      <c r="G89" s="138">
        <f t="shared" si="1"/>
        <v>0.22190088955493528</v>
      </c>
      <c r="H89" s="132">
        <f>SUM(H78:H88)</f>
        <v>16813022.119999997</v>
      </c>
      <c r="I89" s="132">
        <f t="shared" ref="I89:L89" si="47">SUM(I78:I88)</f>
        <v>8944731.4001999963</v>
      </c>
      <c r="J89" s="132">
        <f t="shared" si="47"/>
        <v>7868290.719800001</v>
      </c>
      <c r="K89" s="132">
        <f t="shared" si="47"/>
        <v>84213428.870607704</v>
      </c>
      <c r="L89" s="132">
        <f t="shared" si="47"/>
        <v>82653561.054610014</v>
      </c>
      <c r="M89" s="138">
        <f t="shared" si="7"/>
        <v>0.20341558071395702</v>
      </c>
    </row>
    <row r="90" spans="2:13" ht="15.65" customHeight="1" x14ac:dyDescent="0.35">
      <c r="B90" s="174" t="s">
        <v>40</v>
      </c>
      <c r="C90" s="175"/>
      <c r="D90" s="175"/>
      <c r="E90" s="175"/>
      <c r="F90" s="175"/>
      <c r="G90" s="175"/>
      <c r="H90" s="175"/>
      <c r="I90" s="175"/>
      <c r="J90" s="175"/>
      <c r="K90" s="175"/>
      <c r="L90" s="175"/>
      <c r="M90" s="176"/>
    </row>
    <row r="91" spans="2:13" x14ac:dyDescent="0.35">
      <c r="B91" s="1" t="s">
        <v>269</v>
      </c>
      <c r="C91" s="123">
        <v>855.58694743955937</v>
      </c>
      <c r="D91" s="142">
        <v>16493.66370527964</v>
      </c>
      <c r="E91" s="142">
        <f>D91</f>
        <v>16493.66370527964</v>
      </c>
      <c r="F91" s="142">
        <v>32178.800000000007</v>
      </c>
      <c r="G91" s="137">
        <f t="shared" si="1"/>
        <v>2.6588528703356221E-2</v>
      </c>
      <c r="H91" s="131">
        <v>134798.94</v>
      </c>
      <c r="I91" s="133">
        <v>78183.38519999999</v>
      </c>
      <c r="J91" s="133">
        <v>56615.554800000013</v>
      </c>
      <c r="K91" s="131">
        <v>4468130.271999998</v>
      </c>
      <c r="L91" s="131">
        <v>4331426.7200000007</v>
      </c>
      <c r="M91" s="137">
        <f t="shared" si="7"/>
        <v>3.112114061114717E-2</v>
      </c>
    </row>
    <row r="92" spans="2:13" x14ac:dyDescent="0.35">
      <c r="B92" s="1" t="s">
        <v>267</v>
      </c>
      <c r="C92" s="123">
        <v>272</v>
      </c>
      <c r="D92" s="142">
        <v>6984.8704552347435</v>
      </c>
      <c r="E92" s="142">
        <f t="shared" ref="E92:E98" si="48">D92</f>
        <v>6984.8704552347435</v>
      </c>
      <c r="F92" s="142">
        <v>5947.5399999999981</v>
      </c>
      <c r="G92" s="137">
        <f t="shared" si="1"/>
        <v>4.5733193891928439E-2</v>
      </c>
      <c r="H92" s="131">
        <v>1225416.7599999998</v>
      </c>
      <c r="I92" s="133">
        <v>710741.72079999978</v>
      </c>
      <c r="J92" s="133">
        <v>514675.0392</v>
      </c>
      <c r="K92" s="131">
        <v>11649080.089364935</v>
      </c>
      <c r="L92" s="131">
        <v>12007631.606104793</v>
      </c>
      <c r="M92" s="137">
        <f t="shared" si="7"/>
        <v>0.10205316087287242</v>
      </c>
    </row>
    <row r="93" spans="2:13" x14ac:dyDescent="0.35">
      <c r="B93" s="1" t="s">
        <v>268</v>
      </c>
      <c r="C93" s="123">
        <v>74</v>
      </c>
      <c r="D93" s="142">
        <v>4877.4210311681145</v>
      </c>
      <c r="E93" s="142">
        <f t="shared" si="48"/>
        <v>4877.4210311681145</v>
      </c>
      <c r="F93" s="142">
        <v>5113.2785995708446</v>
      </c>
      <c r="G93" s="137">
        <f t="shared" ref="G93:G99" si="49">C93/F93</f>
        <v>1.4472123620686499E-2</v>
      </c>
      <c r="H93" s="131">
        <v>568205.16999999993</v>
      </c>
      <c r="I93" s="133">
        <v>329558.99859999993</v>
      </c>
      <c r="J93" s="133">
        <v>238646.17139999999</v>
      </c>
      <c r="K93" s="131">
        <v>8250847.8751472393</v>
      </c>
      <c r="L93" s="131">
        <v>8393836.8055478539</v>
      </c>
      <c r="M93" s="137">
        <f t="shared" si="7"/>
        <v>6.7693139998200619E-2</v>
      </c>
    </row>
    <row r="94" spans="2:13" x14ac:dyDescent="0.35">
      <c r="B94" s="1" t="s">
        <v>199</v>
      </c>
      <c r="C94" s="123">
        <v>56.087000000000003</v>
      </c>
      <c r="D94" s="142">
        <v>1221.5451365523006</v>
      </c>
      <c r="E94" s="142">
        <f t="shared" si="48"/>
        <v>1221.5451365523006</v>
      </c>
      <c r="F94" s="142">
        <v>1656.4449600000003</v>
      </c>
      <c r="G94" s="137">
        <f t="shared" si="49"/>
        <v>3.3859863354590423E-2</v>
      </c>
      <c r="H94" s="131">
        <v>242874.94</v>
      </c>
      <c r="I94" s="133">
        <v>140867.46520000001</v>
      </c>
      <c r="J94" s="133">
        <v>102007.4748</v>
      </c>
      <c r="K94" s="131">
        <v>2662347.9055845859</v>
      </c>
      <c r="L94" s="131">
        <v>2414519.3200000003</v>
      </c>
      <c r="M94" s="137">
        <f t="shared" ref="M94:M107" si="50">H94/L94</f>
        <v>0.10058935457182425</v>
      </c>
    </row>
    <row r="95" spans="2:13" x14ac:dyDescent="0.35">
      <c r="B95" s="1" t="s">
        <v>266</v>
      </c>
      <c r="C95" s="123">
        <v>2783.6217000000001</v>
      </c>
      <c r="D95" s="142">
        <v>15241.166541600498</v>
      </c>
      <c r="E95" s="142">
        <f t="shared" si="48"/>
        <v>15241.166541600498</v>
      </c>
      <c r="F95" s="142">
        <v>30205.819999999996</v>
      </c>
      <c r="G95" s="137">
        <f t="shared" si="49"/>
        <v>9.2155144273520812E-2</v>
      </c>
      <c r="H95" s="131">
        <v>291166.87</v>
      </c>
      <c r="I95" s="133">
        <v>168876.78459999998</v>
      </c>
      <c r="J95" s="133">
        <v>122290.08540000001</v>
      </c>
      <c r="K95" s="131">
        <v>3214478.2497026115</v>
      </c>
      <c r="L95" s="131">
        <v>3214478</v>
      </c>
      <c r="M95" s="137">
        <f t="shared" si="50"/>
        <v>9.057982975773983E-2</v>
      </c>
    </row>
    <row r="96" spans="2:13" x14ac:dyDescent="0.35">
      <c r="B96" s="1" t="s">
        <v>265</v>
      </c>
      <c r="C96" s="123">
        <v>0</v>
      </c>
      <c r="D96" s="142">
        <v>9012.1255505698991</v>
      </c>
      <c r="E96" s="142">
        <f t="shared" si="48"/>
        <v>9012.1255505698991</v>
      </c>
      <c r="F96" s="142">
        <v>9052.4000000000015</v>
      </c>
      <c r="G96" s="137">
        <f t="shared" ref="G96" si="51">C96/F96</f>
        <v>0</v>
      </c>
      <c r="H96" s="131">
        <v>0</v>
      </c>
      <c r="I96" s="133">
        <v>0</v>
      </c>
      <c r="J96" s="133">
        <v>0</v>
      </c>
      <c r="K96" s="131">
        <v>3154243.9400000004</v>
      </c>
      <c r="L96" s="131">
        <v>3154244</v>
      </c>
      <c r="M96" s="137">
        <f t="shared" ref="M96" si="52">H96/L96</f>
        <v>0</v>
      </c>
    </row>
    <row r="97" spans="2:13" x14ac:dyDescent="0.35">
      <c r="B97" s="1" t="s">
        <v>252</v>
      </c>
      <c r="C97" s="134" t="s">
        <v>209</v>
      </c>
      <c r="D97" s="134" t="s">
        <v>209</v>
      </c>
      <c r="E97" s="134" t="str">
        <f t="shared" si="48"/>
        <v>N/A</v>
      </c>
      <c r="F97" s="134" t="s">
        <v>209</v>
      </c>
      <c r="G97" s="155" t="s">
        <v>209</v>
      </c>
      <c r="H97" s="131">
        <v>323695.33</v>
      </c>
      <c r="I97" s="133">
        <v>0</v>
      </c>
      <c r="J97" s="133">
        <v>323695.33</v>
      </c>
      <c r="K97" s="131">
        <v>2000000</v>
      </c>
      <c r="L97" s="131">
        <v>2000000</v>
      </c>
      <c r="M97" s="137">
        <f t="shared" si="50"/>
        <v>0.161847665</v>
      </c>
    </row>
    <row r="98" spans="2:13" x14ac:dyDescent="0.35">
      <c r="B98" s="1" t="s">
        <v>255</v>
      </c>
      <c r="C98" s="134" t="s">
        <v>209</v>
      </c>
      <c r="D98" s="134" t="s">
        <v>209</v>
      </c>
      <c r="E98" s="134" t="str">
        <f t="shared" si="48"/>
        <v>N/A</v>
      </c>
      <c r="F98" s="134" t="s">
        <v>209</v>
      </c>
      <c r="G98" s="155" t="s">
        <v>209</v>
      </c>
      <c r="H98" s="131">
        <v>15544.75</v>
      </c>
      <c r="I98" s="133">
        <v>0</v>
      </c>
      <c r="J98" s="133">
        <v>15544.75</v>
      </c>
      <c r="K98" s="133">
        <v>0</v>
      </c>
      <c r="L98" s="131">
        <v>0</v>
      </c>
      <c r="M98" s="137" t="s">
        <v>209</v>
      </c>
    </row>
    <row r="99" spans="2:13" ht="15.75" customHeight="1" x14ac:dyDescent="0.35">
      <c r="B99" s="2" t="s">
        <v>41</v>
      </c>
      <c r="C99" s="124">
        <f>SUM(C91:C98)</f>
        <v>4041.2956474395596</v>
      </c>
      <c r="D99" s="124">
        <f t="shared" ref="D99:F99" si="53">SUM(D91:D98)</f>
        <v>53830.792420405203</v>
      </c>
      <c r="E99" s="124">
        <f t="shared" si="53"/>
        <v>53830.792420405203</v>
      </c>
      <c r="F99" s="124">
        <f t="shared" si="53"/>
        <v>84154.283559570846</v>
      </c>
      <c r="G99" s="138">
        <f t="shared" si="49"/>
        <v>4.8022459184490843E-2</v>
      </c>
      <c r="H99" s="132">
        <f t="shared" ref="H99:L99" si="54">SUM(H91:H98)</f>
        <v>2801702.76</v>
      </c>
      <c r="I99" s="132">
        <f t="shared" si="54"/>
        <v>1428228.3543999996</v>
      </c>
      <c r="J99" s="132">
        <f t="shared" si="54"/>
        <v>1373474.4055999999</v>
      </c>
      <c r="K99" s="132">
        <f t="shared" si="54"/>
        <v>35399128.331799373</v>
      </c>
      <c r="L99" s="132">
        <f t="shared" si="54"/>
        <v>35516136.451652646</v>
      </c>
      <c r="M99" s="138">
        <f t="shared" si="50"/>
        <v>7.8885347335397746E-2</v>
      </c>
    </row>
    <row r="100" spans="2:13" ht="15.65" customHeight="1" x14ac:dyDescent="0.35">
      <c r="B100" s="177" t="s">
        <v>42</v>
      </c>
      <c r="C100" s="178"/>
      <c r="D100" s="178"/>
      <c r="E100" s="178"/>
      <c r="F100" s="178"/>
      <c r="G100" s="178"/>
      <c r="H100" s="178"/>
      <c r="I100" s="178"/>
      <c r="J100" s="178"/>
      <c r="K100" s="178"/>
      <c r="L100" s="178"/>
      <c r="M100" s="179"/>
    </row>
    <row r="101" spans="2:13" x14ac:dyDescent="0.35">
      <c r="B101" s="1" t="s">
        <v>209</v>
      </c>
      <c r="C101" s="144" t="s">
        <v>209</v>
      </c>
      <c r="D101" s="144" t="s">
        <v>209</v>
      </c>
      <c r="E101" s="144" t="s">
        <v>209</v>
      </c>
      <c r="F101" s="144" t="s">
        <v>209</v>
      </c>
      <c r="G101" s="137" t="s">
        <v>209</v>
      </c>
      <c r="H101" s="144" t="s">
        <v>209</v>
      </c>
      <c r="I101" s="144" t="s">
        <v>209</v>
      </c>
      <c r="J101" s="144" t="s">
        <v>209</v>
      </c>
      <c r="K101" s="144" t="s">
        <v>209</v>
      </c>
      <c r="L101" s="144" t="s">
        <v>209</v>
      </c>
      <c r="M101" s="137" t="s">
        <v>209</v>
      </c>
    </row>
    <row r="102" spans="2:13" ht="35.15" customHeight="1" x14ac:dyDescent="0.35">
      <c r="B102" s="80" t="s">
        <v>43</v>
      </c>
      <c r="C102" s="145" t="s">
        <v>209</v>
      </c>
      <c r="D102" s="143" t="s">
        <v>209</v>
      </c>
      <c r="E102" s="143" t="s">
        <v>209</v>
      </c>
      <c r="F102" s="143" t="s">
        <v>209</v>
      </c>
      <c r="G102" s="138" t="s">
        <v>209</v>
      </c>
      <c r="H102" s="146" t="s">
        <v>209</v>
      </c>
      <c r="I102" s="146" t="s">
        <v>209</v>
      </c>
      <c r="J102" s="146" t="s">
        <v>209</v>
      </c>
      <c r="K102" s="146" t="s">
        <v>209</v>
      </c>
      <c r="L102" s="146" t="s">
        <v>209</v>
      </c>
      <c r="M102" s="138" t="s">
        <v>209</v>
      </c>
    </row>
    <row r="103" spans="2:13" x14ac:dyDescent="0.35">
      <c r="B103" s="177" t="s">
        <v>64</v>
      </c>
      <c r="C103" s="178"/>
      <c r="D103" s="178"/>
      <c r="E103" s="178"/>
      <c r="F103" s="178"/>
      <c r="G103" s="178"/>
      <c r="H103" s="178"/>
      <c r="I103" s="178"/>
      <c r="J103" s="178"/>
      <c r="K103" s="178"/>
      <c r="L103" s="178"/>
      <c r="M103" s="179"/>
    </row>
    <row r="104" spans="2:13" ht="16.149999999999999" customHeight="1" x14ac:dyDescent="0.35">
      <c r="B104" s="95" t="s">
        <v>210</v>
      </c>
      <c r="C104" s="123">
        <v>0</v>
      </c>
      <c r="D104" s="123">
        <v>0</v>
      </c>
      <c r="E104" s="123">
        <f>D104</f>
        <v>0</v>
      </c>
      <c r="F104" s="123">
        <v>0</v>
      </c>
      <c r="G104" s="137" t="s">
        <v>209</v>
      </c>
      <c r="H104" s="133">
        <v>1127705.3900000001</v>
      </c>
      <c r="I104" s="133">
        <v>0</v>
      </c>
      <c r="J104" s="133">
        <v>1127705.3900000001</v>
      </c>
      <c r="K104" s="133">
        <v>13300000</v>
      </c>
      <c r="L104" s="133">
        <v>13300000</v>
      </c>
      <c r="M104" s="137">
        <f t="shared" si="50"/>
        <v>8.4789878947368433E-2</v>
      </c>
    </row>
    <row r="105" spans="2:13" ht="16.149999999999999" customHeight="1" x14ac:dyDescent="0.35">
      <c r="B105" s="95" t="s">
        <v>254</v>
      </c>
      <c r="C105" s="123">
        <v>0</v>
      </c>
      <c r="D105" s="123">
        <v>82500</v>
      </c>
      <c r="E105" s="123">
        <f>D105</f>
        <v>82500</v>
      </c>
      <c r="F105" s="123">
        <v>82500</v>
      </c>
      <c r="G105" s="137">
        <f t="shared" ref="G105" si="55">C105/F105</f>
        <v>0</v>
      </c>
      <c r="H105" s="144" t="s">
        <v>209</v>
      </c>
      <c r="I105" s="144" t="s">
        <v>209</v>
      </c>
      <c r="J105" s="144" t="s">
        <v>209</v>
      </c>
      <c r="K105" s="144" t="s">
        <v>209</v>
      </c>
      <c r="L105" s="144" t="s">
        <v>209</v>
      </c>
      <c r="M105" s="137" t="s">
        <v>209</v>
      </c>
    </row>
    <row r="106" spans="2:13" ht="31.5" customHeight="1" x14ac:dyDescent="0.35">
      <c r="B106" s="80" t="s">
        <v>65</v>
      </c>
      <c r="C106" s="124">
        <f>SUM(C104:C105)</f>
        <v>0</v>
      </c>
      <c r="D106" s="124">
        <f t="shared" ref="D106:F106" si="56">SUM(D104:D105)</f>
        <v>82500</v>
      </c>
      <c r="E106" s="124">
        <f t="shared" ref="E106:E107" si="57">D106</f>
        <v>82500</v>
      </c>
      <c r="F106" s="124">
        <f t="shared" si="56"/>
        <v>82500</v>
      </c>
      <c r="G106" s="140">
        <f>C106/F106</f>
        <v>0</v>
      </c>
      <c r="H106" s="132">
        <f t="shared" ref="H106:L106" si="58">SUM(H104:H105)</f>
        <v>1127705.3900000001</v>
      </c>
      <c r="I106" s="132">
        <f t="shared" si="58"/>
        <v>0</v>
      </c>
      <c r="J106" s="132">
        <f t="shared" si="58"/>
        <v>1127705.3900000001</v>
      </c>
      <c r="K106" s="132">
        <f t="shared" si="58"/>
        <v>13300000</v>
      </c>
      <c r="L106" s="132">
        <f t="shared" si="58"/>
        <v>13300000</v>
      </c>
      <c r="M106" s="140">
        <f t="shared" si="50"/>
        <v>8.4789878947368433E-2</v>
      </c>
    </row>
    <row r="107" spans="2:13" ht="38.65" customHeight="1" x14ac:dyDescent="0.35">
      <c r="B107" s="92" t="s">
        <v>261</v>
      </c>
      <c r="C107" s="129">
        <f>SUM(C40,C89,C99,C102,C106)</f>
        <v>298587.00684135139</v>
      </c>
      <c r="D107" s="129">
        <f>SUM(D40,D89,D99,D102,D106)+94423</f>
        <v>1713451.4561491853</v>
      </c>
      <c r="E107" s="129">
        <f t="shared" si="57"/>
        <v>1713451.4561491853</v>
      </c>
      <c r="F107" s="129">
        <f>SUM(F40,F89,F99,F102,F106)+94423</f>
        <v>1894737.6132614526</v>
      </c>
      <c r="G107" s="141">
        <f t="shared" ref="G107" si="59">C107/F107</f>
        <v>0.15758752280606661</v>
      </c>
      <c r="H107" s="130">
        <f>SUM(H40,H89,H99,H102,H106)</f>
        <v>55065641.210000001</v>
      </c>
      <c r="I107" s="130">
        <f>SUM(I40,I89,I99,I102,I106)</f>
        <v>29896916.170199998</v>
      </c>
      <c r="J107" s="130">
        <f>SUM(J40,J89,J99,J102,J106)</f>
        <v>25168725.039800007</v>
      </c>
      <c r="K107" s="130">
        <f>SUM(K40,K89,K99,K102,K106)</f>
        <v>317607884.60161793</v>
      </c>
      <c r="L107" s="130">
        <f>SUM(L40,L89,L99,L102,L106)</f>
        <v>302313576.71839035</v>
      </c>
      <c r="M107" s="141">
        <f t="shared" si="50"/>
        <v>0.18214743051812879</v>
      </c>
    </row>
    <row r="108" spans="2:13" s="66" customFormat="1" ht="18" customHeight="1" x14ac:dyDescent="0.35">
      <c r="B108" s="82"/>
      <c r="C108" s="41"/>
      <c r="D108" s="83"/>
      <c r="E108" s="84"/>
      <c r="F108" s="84"/>
      <c r="G108" s="44"/>
      <c r="H108" s="45"/>
      <c r="I108" s="45"/>
      <c r="J108" s="45"/>
      <c r="K108" s="45"/>
      <c r="L108" s="45"/>
      <c r="M108" s="44"/>
    </row>
    <row r="109" spans="2:13" s="46" customFormat="1" x14ac:dyDescent="0.35">
      <c r="B109" s="41"/>
      <c r="C109" s="41"/>
      <c r="D109" s="158"/>
      <c r="E109" s="43"/>
      <c r="F109" s="43"/>
      <c r="G109" s="44"/>
      <c r="H109" s="45"/>
      <c r="I109" s="45"/>
      <c r="J109" s="45"/>
      <c r="K109" s="45"/>
      <c r="L109" s="45"/>
      <c r="M109" s="44"/>
    </row>
    <row r="110" spans="2:13" x14ac:dyDescent="0.35">
      <c r="B110" s="42" t="s">
        <v>19</v>
      </c>
      <c r="C110" s="42"/>
      <c r="D110" s="159"/>
      <c r="L110" s="3"/>
    </row>
    <row r="111" spans="2:13" ht="14.5" customHeight="1" x14ac:dyDescent="0.35">
      <c r="B111" s="193" t="s">
        <v>39</v>
      </c>
      <c r="C111" s="194"/>
      <c r="D111" s="194"/>
      <c r="E111" s="194"/>
      <c r="F111" s="194"/>
      <c r="G111" s="194"/>
      <c r="H111" s="194"/>
      <c r="I111" s="194"/>
      <c r="J111" s="194"/>
      <c r="K111" s="194"/>
      <c r="L111" s="194"/>
      <c r="M111" s="195"/>
    </row>
    <row r="112" spans="2:13" ht="17.649999999999999" customHeight="1" x14ac:dyDescent="0.35">
      <c r="B112" s="171" t="s">
        <v>35</v>
      </c>
      <c r="C112" s="172"/>
      <c r="D112" s="172"/>
      <c r="E112" s="172"/>
      <c r="F112" s="172"/>
      <c r="G112" s="172"/>
      <c r="H112" s="172"/>
      <c r="I112" s="172"/>
      <c r="J112" s="172"/>
      <c r="K112" s="172"/>
      <c r="L112" s="172"/>
      <c r="M112" s="173"/>
    </row>
    <row r="113" spans="2:13" ht="14.5" customHeight="1" x14ac:dyDescent="0.35">
      <c r="B113" s="187" t="s">
        <v>63</v>
      </c>
      <c r="C113" s="188"/>
      <c r="D113" s="188"/>
      <c r="E113" s="188"/>
      <c r="F113" s="188"/>
      <c r="G113" s="188"/>
      <c r="H113" s="188"/>
      <c r="I113" s="188"/>
      <c r="J113" s="188"/>
      <c r="K113" s="188"/>
      <c r="L113" s="188"/>
      <c r="M113" s="189"/>
    </row>
    <row r="114" spans="2:13" x14ac:dyDescent="0.35">
      <c r="B114" s="190"/>
      <c r="C114" s="191"/>
      <c r="D114" s="191"/>
      <c r="E114" s="191"/>
      <c r="F114" s="191"/>
      <c r="G114" s="191"/>
      <c r="H114" s="191"/>
      <c r="I114" s="191"/>
      <c r="J114" s="191"/>
      <c r="K114" s="191"/>
      <c r="L114" s="191"/>
      <c r="M114" s="192"/>
    </row>
    <row r="115" spans="2:13" ht="30.65" customHeight="1" x14ac:dyDescent="0.35">
      <c r="B115" s="171" t="s">
        <v>61</v>
      </c>
      <c r="C115" s="172"/>
      <c r="D115" s="172"/>
      <c r="E115" s="172"/>
      <c r="F115" s="172"/>
      <c r="G115" s="172"/>
      <c r="H115" s="172"/>
      <c r="I115" s="172"/>
      <c r="J115" s="172"/>
      <c r="K115" s="172"/>
      <c r="L115" s="172"/>
      <c r="M115" s="173"/>
    </row>
    <row r="116" spans="2:13" ht="42" customHeight="1" x14ac:dyDescent="0.35">
      <c r="B116" s="171" t="s">
        <v>270</v>
      </c>
      <c r="C116" s="172"/>
      <c r="D116" s="172"/>
      <c r="E116" s="172"/>
      <c r="F116" s="172"/>
      <c r="G116" s="172"/>
      <c r="H116" s="172"/>
      <c r="I116" s="172"/>
      <c r="J116" s="172"/>
      <c r="K116" s="172"/>
      <c r="L116" s="172"/>
      <c r="M116" s="173"/>
    </row>
  </sheetData>
  <mergeCells count="10">
    <mergeCell ref="B116:M116"/>
    <mergeCell ref="B115:M115"/>
    <mergeCell ref="B90:M90"/>
    <mergeCell ref="B100:M100"/>
    <mergeCell ref="B5:M6"/>
    <mergeCell ref="B8:M16"/>
    <mergeCell ref="B113:M114"/>
    <mergeCell ref="B111:M111"/>
    <mergeCell ref="B112:M112"/>
    <mergeCell ref="B103:M103"/>
  </mergeCells>
  <printOptions headings="1"/>
  <pageMargins left="0.7" right="0.7" top="0.75" bottom="0.75" header="0.3" footer="0.3"/>
  <pageSetup scale="44"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1"/>
  <sheetViews>
    <sheetView topLeftCell="A7" zoomScaleNormal="100" workbookViewId="0">
      <selection activeCell="B23" sqref="B23"/>
    </sheetView>
  </sheetViews>
  <sheetFormatPr defaultRowHeight="14.5" x14ac:dyDescent="0.35"/>
  <cols>
    <col min="1" max="1" width="3.453125" customWidth="1"/>
    <col min="2" max="2" width="62.54296875" style="4" customWidth="1"/>
    <col min="3" max="3" width="21.453125" style="4" customWidth="1"/>
    <col min="4" max="4" width="13" customWidth="1"/>
  </cols>
  <sheetData>
    <row r="1" spans="2:5" x14ac:dyDescent="0.35">
      <c r="B1" s="5" t="s">
        <v>0</v>
      </c>
    </row>
    <row r="2" spans="2:5" x14ac:dyDescent="0.35">
      <c r="B2" s="5" t="s">
        <v>158</v>
      </c>
    </row>
    <row r="3" spans="2:5" x14ac:dyDescent="0.35">
      <c r="B3" s="5" t="s">
        <v>157</v>
      </c>
    </row>
    <row r="4" spans="2:5" x14ac:dyDescent="0.35">
      <c r="B4" s="5"/>
    </row>
    <row r="5" spans="2:5" ht="37.5" customHeight="1" x14ac:dyDescent="0.35">
      <c r="B5" s="199" t="s">
        <v>174</v>
      </c>
      <c r="C5" s="200"/>
      <c r="D5" s="200"/>
      <c r="E5" s="201"/>
    </row>
    <row r="6" spans="2:5" ht="37.5" customHeight="1" x14ac:dyDescent="0.35">
      <c r="B6" s="202"/>
      <c r="C6" s="203"/>
      <c r="D6" s="203"/>
      <c r="E6" s="204"/>
    </row>
    <row r="7" spans="2:5" ht="18.75" customHeight="1" x14ac:dyDescent="0.35">
      <c r="B7" s="205"/>
      <c r="C7" s="206"/>
      <c r="D7" s="206"/>
      <c r="E7" s="207"/>
    </row>
    <row r="9" spans="2:5" x14ac:dyDescent="0.35">
      <c r="B9" s="5" t="s">
        <v>215</v>
      </c>
    </row>
    <row r="10" spans="2:5" x14ac:dyDescent="0.35">
      <c r="B10" s="5"/>
    </row>
    <row r="11" spans="2:5" ht="32.65" customHeight="1" x14ac:dyDescent="0.35">
      <c r="B11" s="59" t="s">
        <v>169</v>
      </c>
      <c r="C11" s="60" t="s">
        <v>127</v>
      </c>
    </row>
    <row r="12" spans="2:5" s="58" customFormat="1" ht="21" customHeight="1" x14ac:dyDescent="0.35">
      <c r="B12" s="196" t="s">
        <v>170</v>
      </c>
      <c r="C12" s="196"/>
    </row>
    <row r="13" spans="2:5" x14ac:dyDescent="0.35">
      <c r="B13" s="8" t="s">
        <v>155</v>
      </c>
      <c r="C13" s="61">
        <f>'1- Ex Ante Results'!H59</f>
        <v>25347087.139999997</v>
      </c>
    </row>
    <row r="14" spans="2:5" x14ac:dyDescent="0.35">
      <c r="B14" s="8" t="s">
        <v>44</v>
      </c>
      <c r="C14" s="61">
        <f>'1- Ex Ante Results'!H76</f>
        <v>9546392.6600000039</v>
      </c>
    </row>
    <row r="15" spans="2:5" x14ac:dyDescent="0.35">
      <c r="B15" s="8" t="s">
        <v>1</v>
      </c>
      <c r="C15" s="61">
        <f>'1- Ex Ante Results'!H89</f>
        <v>16813022.119999997</v>
      </c>
    </row>
    <row r="16" spans="2:5" x14ac:dyDescent="0.35">
      <c r="B16" s="8" t="s">
        <v>40</v>
      </c>
      <c r="C16" s="61">
        <f>'1- Ex Ante Results'!H99</f>
        <v>2801702.76</v>
      </c>
    </row>
    <row r="17" spans="1:4" x14ac:dyDescent="0.35">
      <c r="B17" s="8" t="s">
        <v>34</v>
      </c>
      <c r="C17" s="61">
        <v>240689.96000000002</v>
      </c>
    </row>
    <row r="18" spans="1:4" x14ac:dyDescent="0.35">
      <c r="B18" s="8" t="s">
        <v>47</v>
      </c>
      <c r="C18" s="61">
        <v>0</v>
      </c>
    </row>
    <row r="19" spans="1:4" s="21" customFormat="1" ht="21" customHeight="1" x14ac:dyDescent="0.35">
      <c r="B19" s="88" t="s">
        <v>216</v>
      </c>
      <c r="C19" s="89">
        <f>SUM(C13:C18)</f>
        <v>54748894.639999993</v>
      </c>
    </row>
    <row r="20" spans="1:4" s="21" customFormat="1" ht="21" customHeight="1" x14ac:dyDescent="0.35">
      <c r="B20" s="197" t="s">
        <v>171</v>
      </c>
      <c r="C20" s="198"/>
    </row>
    <row r="21" spans="1:4" ht="29.65" customHeight="1" x14ac:dyDescent="0.35">
      <c r="B21" s="62" t="s">
        <v>45</v>
      </c>
      <c r="C21" s="160">
        <f>'1- Ex Ante Results'!H104</f>
        <v>1127705.3900000001</v>
      </c>
    </row>
    <row r="22" spans="1:4" x14ac:dyDescent="0.35">
      <c r="B22" s="63" t="s">
        <v>29</v>
      </c>
      <c r="C22" s="64">
        <v>2647187.2199999997</v>
      </c>
    </row>
    <row r="23" spans="1:4" x14ac:dyDescent="0.35">
      <c r="B23" s="68" t="s">
        <v>156</v>
      </c>
      <c r="C23" s="61">
        <v>1677954.84</v>
      </c>
    </row>
    <row r="24" spans="1:4" x14ac:dyDescent="0.35">
      <c r="B24" s="8" t="s">
        <v>46</v>
      </c>
      <c r="C24" s="61">
        <v>4257066.1500000004</v>
      </c>
    </row>
    <row r="25" spans="1:4" s="21" customFormat="1" ht="21" customHeight="1" x14ac:dyDescent="0.35">
      <c r="B25" s="88" t="s">
        <v>217</v>
      </c>
      <c r="C25" s="161">
        <f>SUM(C21:C24)</f>
        <v>9709913.6000000015</v>
      </c>
    </row>
    <row r="26" spans="1:4" s="21" customFormat="1" ht="32.65" customHeight="1" x14ac:dyDescent="0.35">
      <c r="B26" s="91" t="s">
        <v>218</v>
      </c>
      <c r="C26" s="162">
        <f>C19+C25</f>
        <v>64458808.239999995</v>
      </c>
    </row>
    <row r="27" spans="1:4" s="66" customFormat="1" x14ac:dyDescent="0.35">
      <c r="B27" s="67"/>
      <c r="C27" s="67"/>
    </row>
    <row r="28" spans="1:4" s="58" customFormat="1" ht="17.649999999999999" customHeight="1" x14ac:dyDescent="0.35">
      <c r="B28" s="78"/>
      <c r="C28" s="78"/>
    </row>
    <row r="29" spans="1:4" s="58" customFormat="1" ht="20.149999999999999" customHeight="1" x14ac:dyDescent="0.35">
      <c r="B29" s="79" t="s">
        <v>219</v>
      </c>
      <c r="C29" s="78"/>
    </row>
    <row r="30" spans="1:4" s="66" customFormat="1" ht="31.15" customHeight="1" x14ac:dyDescent="0.35">
      <c r="A30" s="46"/>
      <c r="B30" s="60" t="s">
        <v>172</v>
      </c>
      <c r="C30" s="60" t="s">
        <v>48</v>
      </c>
      <c r="D30" s="46"/>
    </row>
    <row r="31" spans="1:4" s="21" customFormat="1" ht="35.65" customHeight="1" x14ac:dyDescent="0.35">
      <c r="B31" s="90" t="s">
        <v>218</v>
      </c>
      <c r="C31" s="163">
        <f>C26</f>
        <v>64458808.239999995</v>
      </c>
    </row>
  </sheetData>
  <mergeCells count="3">
    <mergeCell ref="B12:C12"/>
    <mergeCell ref="B20:C20"/>
    <mergeCell ref="B5:E7"/>
  </mergeCells>
  <printOptions headings="1"/>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35"/>
  <sheetViews>
    <sheetView zoomScaleNormal="100" workbookViewId="0">
      <selection activeCell="L28" sqref="L28"/>
    </sheetView>
  </sheetViews>
  <sheetFormatPr defaultRowHeight="14.5" x14ac:dyDescent="0.35"/>
  <cols>
    <col min="1" max="1" width="3.54296875" customWidth="1"/>
    <col min="2" max="2" width="18.7265625" style="21" customWidth="1"/>
    <col min="3" max="3" width="22.26953125" customWidth="1"/>
    <col min="4" max="4" width="24.26953125" customWidth="1"/>
    <col min="5" max="5" width="18.7265625" customWidth="1"/>
    <col min="6" max="6" width="18.54296875" customWidth="1"/>
    <col min="7" max="7" width="19.453125" customWidth="1"/>
    <col min="8" max="8" width="3.453125" customWidth="1"/>
    <col min="9" max="9" width="31.7265625" customWidth="1"/>
    <col min="10" max="10" width="11.54296875" customWidth="1"/>
    <col min="11" max="13" width="12.453125" customWidth="1"/>
    <col min="14" max="14" width="13.453125" customWidth="1"/>
    <col min="15" max="15" width="12.7265625" customWidth="1"/>
    <col min="16" max="17" width="12.453125" customWidth="1"/>
    <col min="18" max="18" width="12.54296875" customWidth="1"/>
    <col min="19" max="19" width="12.453125" customWidth="1"/>
  </cols>
  <sheetData>
    <row r="1" spans="2:18" x14ac:dyDescent="0.35">
      <c r="B1" s="79" t="s">
        <v>0</v>
      </c>
    </row>
    <row r="2" spans="2:18" x14ac:dyDescent="0.35">
      <c r="B2" s="79" t="s">
        <v>16</v>
      </c>
    </row>
    <row r="3" spans="2:18" x14ac:dyDescent="0.35">
      <c r="B3" s="79" t="s">
        <v>157</v>
      </c>
    </row>
    <row r="4" spans="2:18" x14ac:dyDescent="0.35">
      <c r="B4" s="79"/>
    </row>
    <row r="5" spans="2:18" ht="14.65" customHeight="1" x14ac:dyDescent="0.35">
      <c r="B5" s="209" t="s">
        <v>163</v>
      </c>
      <c r="C5" s="209"/>
      <c r="D5" s="209"/>
      <c r="E5" s="209"/>
      <c r="F5" s="209"/>
      <c r="G5" s="209"/>
    </row>
    <row r="6" spans="2:18" x14ac:dyDescent="0.35">
      <c r="B6" s="209"/>
      <c r="C6" s="209"/>
      <c r="D6" s="209"/>
      <c r="E6" s="209"/>
      <c r="F6" s="209"/>
      <c r="G6" s="209"/>
    </row>
    <row r="7" spans="2:18" x14ac:dyDescent="0.35">
      <c r="B7" s="209"/>
      <c r="C7" s="209"/>
      <c r="D7" s="209"/>
      <c r="E7" s="209"/>
      <c r="F7" s="209"/>
      <c r="G7" s="209"/>
    </row>
    <row r="8" spans="2:18" x14ac:dyDescent="0.35">
      <c r="B8" s="209"/>
      <c r="C8" s="209"/>
      <c r="D8" s="209"/>
      <c r="E8" s="209"/>
      <c r="F8" s="209"/>
      <c r="G8" s="209"/>
    </row>
    <row r="9" spans="2:18" x14ac:dyDescent="0.35">
      <c r="B9" s="209"/>
      <c r="C9" s="209"/>
      <c r="D9" s="209"/>
      <c r="E9" s="209"/>
      <c r="F9" s="209"/>
      <c r="G9" s="209"/>
    </row>
    <row r="11" spans="2:18" ht="18" x14ac:dyDescent="0.4">
      <c r="B11" s="48" t="s">
        <v>214</v>
      </c>
      <c r="C11" s="48"/>
      <c r="D11" s="11"/>
      <c r="E11" s="11"/>
      <c r="F11" s="11"/>
      <c r="G11" s="11"/>
      <c r="I11" s="10" t="s">
        <v>164</v>
      </c>
    </row>
    <row r="12" spans="2:18" ht="18" x14ac:dyDescent="0.4">
      <c r="C12" s="12"/>
      <c r="D12" s="11"/>
      <c r="E12" s="11"/>
      <c r="F12" s="11"/>
      <c r="G12" s="11"/>
      <c r="I12" s="6"/>
    </row>
    <row r="13" spans="2:18" s="21" customFormat="1" ht="47.15" customHeight="1" x14ac:dyDescent="0.35">
      <c r="B13" s="19" t="s">
        <v>2</v>
      </c>
      <c r="C13" s="7" t="s">
        <v>142</v>
      </c>
      <c r="D13" s="7" t="s">
        <v>159</v>
      </c>
      <c r="E13" s="7" t="s">
        <v>165</v>
      </c>
      <c r="F13" s="7" t="s">
        <v>166</v>
      </c>
      <c r="G13" s="7" t="s">
        <v>27</v>
      </c>
      <c r="I13" s="22" t="s">
        <v>30</v>
      </c>
      <c r="J13" s="7" t="s">
        <v>7</v>
      </c>
      <c r="K13" s="7" t="s">
        <v>8</v>
      </c>
      <c r="L13" s="7" t="s">
        <v>9</v>
      </c>
      <c r="M13" s="7" t="s">
        <v>10</v>
      </c>
      <c r="N13" s="7" t="s">
        <v>11</v>
      </c>
      <c r="O13" s="7" t="s">
        <v>12</v>
      </c>
      <c r="P13" s="7" t="s">
        <v>13</v>
      </c>
      <c r="Q13" s="7" t="s">
        <v>14</v>
      </c>
      <c r="R13" s="7" t="s">
        <v>138</v>
      </c>
    </row>
    <row r="14" spans="2:18" ht="27" x14ac:dyDescent="0.35">
      <c r="B14" s="119" t="s">
        <v>130</v>
      </c>
      <c r="C14" s="13" t="s">
        <v>200</v>
      </c>
      <c r="D14" s="14">
        <v>163717</v>
      </c>
      <c r="E14" s="14">
        <v>148842</v>
      </c>
      <c r="F14" s="14">
        <f>E14</f>
        <v>148842</v>
      </c>
      <c r="G14" s="15">
        <f>D14/F14</f>
        <v>1.0999381894895257</v>
      </c>
      <c r="I14" s="75" t="s">
        <v>167</v>
      </c>
      <c r="J14" s="20">
        <v>18636</v>
      </c>
      <c r="K14" s="20">
        <v>34038</v>
      </c>
      <c r="L14" s="20">
        <v>54130</v>
      </c>
      <c r="M14" s="20">
        <v>107640</v>
      </c>
      <c r="N14" s="20">
        <v>98944</v>
      </c>
      <c r="O14" s="20">
        <v>86439</v>
      </c>
      <c r="P14" s="20">
        <v>85124.305999999997</v>
      </c>
      <c r="Q14" s="77" t="s">
        <v>209</v>
      </c>
      <c r="R14" s="20">
        <v>36354.175481999991</v>
      </c>
    </row>
    <row r="15" spans="2:18" s="21" customFormat="1" ht="27" x14ac:dyDescent="0.25">
      <c r="B15" s="119" t="s">
        <v>131</v>
      </c>
      <c r="C15" s="13" t="s">
        <v>200</v>
      </c>
      <c r="D15" s="73">
        <v>472132</v>
      </c>
      <c r="E15" s="73">
        <v>312339</v>
      </c>
      <c r="F15" s="14">
        <f t="shared" ref="F15:F16" si="0">E15</f>
        <v>312339</v>
      </c>
      <c r="G15" s="74">
        <f t="shared" ref="G15:G30" si="1">D15/F15</f>
        <v>1.5116011769263524</v>
      </c>
      <c r="I15" s="71" t="s">
        <v>140</v>
      </c>
      <c r="J15" s="76" t="s">
        <v>200</v>
      </c>
      <c r="K15" s="76" t="s">
        <v>200</v>
      </c>
      <c r="L15" s="76" t="s">
        <v>200</v>
      </c>
      <c r="M15" s="76" t="s">
        <v>200</v>
      </c>
      <c r="N15" s="76" t="s">
        <v>200</v>
      </c>
      <c r="O15" s="76" t="s">
        <v>200</v>
      </c>
      <c r="P15" s="77" t="s">
        <v>201</v>
      </c>
      <c r="Q15" s="77" t="s">
        <v>209</v>
      </c>
      <c r="R15" s="77" t="s">
        <v>260</v>
      </c>
    </row>
    <row r="16" spans="2:18" ht="27" x14ac:dyDescent="0.35">
      <c r="B16" s="119" t="s">
        <v>132</v>
      </c>
      <c r="C16" s="13" t="s">
        <v>200</v>
      </c>
      <c r="D16" s="14">
        <v>626715</v>
      </c>
      <c r="E16" s="14">
        <v>458919</v>
      </c>
      <c r="F16" s="14">
        <f t="shared" si="0"/>
        <v>458919</v>
      </c>
      <c r="G16" s="15">
        <f t="shared" si="1"/>
        <v>1.3656331509482065</v>
      </c>
      <c r="I16" s="71" t="s">
        <v>143</v>
      </c>
      <c r="J16" s="127" t="s">
        <v>202</v>
      </c>
      <c r="K16" s="127" t="s">
        <v>203</v>
      </c>
      <c r="L16" s="128" t="s">
        <v>204</v>
      </c>
      <c r="M16" s="128" t="s">
        <v>205</v>
      </c>
      <c r="N16" s="128" t="s">
        <v>206</v>
      </c>
      <c r="O16" s="128" t="s">
        <v>207</v>
      </c>
      <c r="P16" s="127" t="s">
        <v>208</v>
      </c>
      <c r="Q16" s="77" t="s">
        <v>209</v>
      </c>
      <c r="R16" s="77" t="s">
        <v>209</v>
      </c>
    </row>
    <row r="17" spans="2:18" ht="28" x14ac:dyDescent="0.35">
      <c r="B17" s="85" t="s">
        <v>24</v>
      </c>
      <c r="C17" s="51"/>
      <c r="D17" s="52">
        <f>SUM(D14:D16)</f>
        <v>1262564</v>
      </c>
      <c r="E17" s="52">
        <f t="shared" ref="E17:F17" si="2">SUM(E14:E16)</f>
        <v>920100</v>
      </c>
      <c r="F17" s="52">
        <f t="shared" si="2"/>
        <v>920100</v>
      </c>
      <c r="G17" s="53">
        <f t="shared" si="1"/>
        <v>1.3722030214107162</v>
      </c>
      <c r="I17" s="87"/>
      <c r="J17" s="94"/>
      <c r="K17" s="94"/>
      <c r="L17" s="94"/>
      <c r="M17" s="94"/>
      <c r="N17" s="94"/>
      <c r="O17" s="94"/>
      <c r="P17" s="94"/>
      <c r="Q17" s="94"/>
      <c r="R17" s="94"/>
    </row>
    <row r="18" spans="2:18" ht="33" customHeight="1" x14ac:dyDescent="0.35">
      <c r="B18" s="119" t="s">
        <v>133</v>
      </c>
      <c r="C18" s="13" t="s">
        <v>200</v>
      </c>
      <c r="D18" s="14">
        <v>944142</v>
      </c>
      <c r="E18" s="14">
        <v>610804</v>
      </c>
      <c r="F18" s="14">
        <f>E18</f>
        <v>610804</v>
      </c>
      <c r="G18" s="15">
        <f t="shared" si="1"/>
        <v>1.5457364391850741</v>
      </c>
      <c r="I18" s="87" t="s">
        <v>19</v>
      </c>
      <c r="J18" s="94"/>
      <c r="K18" s="94"/>
      <c r="L18" s="94"/>
      <c r="M18" s="94"/>
      <c r="N18" s="94"/>
      <c r="O18" s="94"/>
      <c r="P18" s="94"/>
      <c r="Q18" s="94"/>
      <c r="R18" s="94"/>
    </row>
    <row r="19" spans="2:18" ht="27" x14ac:dyDescent="0.35">
      <c r="B19" s="119" t="s">
        <v>134</v>
      </c>
      <c r="C19" s="13" t="s">
        <v>200</v>
      </c>
      <c r="D19" s="14">
        <v>949392.3629999999</v>
      </c>
      <c r="E19" s="14">
        <v>827575</v>
      </c>
      <c r="F19" s="14">
        <f t="shared" ref="F19:F20" si="3">E19</f>
        <v>827575</v>
      </c>
      <c r="G19" s="15">
        <f t="shared" si="1"/>
        <v>1.147197973597559</v>
      </c>
      <c r="I19" s="171" t="s">
        <v>139</v>
      </c>
      <c r="J19" s="172"/>
      <c r="K19" s="172"/>
      <c r="L19" s="172"/>
      <c r="M19" s="172"/>
      <c r="N19" s="172"/>
      <c r="O19" s="172"/>
      <c r="P19" s="172"/>
      <c r="Q19" s="172"/>
      <c r="R19" s="173"/>
    </row>
    <row r="20" spans="2:18" ht="40.5" customHeight="1" x14ac:dyDescent="0.35">
      <c r="B20" s="119" t="s">
        <v>135</v>
      </c>
      <c r="C20" s="13" t="s">
        <v>200</v>
      </c>
      <c r="D20" s="14">
        <v>1118648.922</v>
      </c>
      <c r="E20" s="14">
        <v>896849</v>
      </c>
      <c r="F20" s="14">
        <f t="shared" si="3"/>
        <v>896849</v>
      </c>
      <c r="G20" s="15">
        <f t="shared" si="1"/>
        <v>1.247310218331068</v>
      </c>
      <c r="I20" s="171" t="s">
        <v>145</v>
      </c>
      <c r="J20" s="172"/>
      <c r="K20" s="172"/>
      <c r="L20" s="172"/>
      <c r="M20" s="172"/>
      <c r="N20" s="172"/>
      <c r="O20" s="172"/>
      <c r="P20" s="172"/>
      <c r="Q20" s="172"/>
      <c r="R20" s="173"/>
    </row>
    <row r="21" spans="2:18" ht="43.4" customHeight="1" x14ac:dyDescent="0.35">
      <c r="B21" s="85" t="s">
        <v>25</v>
      </c>
      <c r="C21" s="51"/>
      <c r="D21" s="52">
        <f>SUM(D18:D20)</f>
        <v>3012183.2850000001</v>
      </c>
      <c r="E21" s="52">
        <f t="shared" ref="E21:F21" si="4">SUM(E18:E20)</f>
        <v>2335228</v>
      </c>
      <c r="F21" s="52">
        <f t="shared" si="4"/>
        <v>2335228</v>
      </c>
      <c r="G21" s="53">
        <f t="shared" si="1"/>
        <v>1.2898883042683627</v>
      </c>
    </row>
    <row r="22" spans="2:18" ht="27" x14ac:dyDescent="0.35">
      <c r="B22" s="119" t="s">
        <v>136</v>
      </c>
      <c r="C22" s="13" t="s">
        <v>259</v>
      </c>
      <c r="D22" s="14">
        <v>1122657.0427359999</v>
      </c>
      <c r="E22" s="14">
        <v>1035895</v>
      </c>
      <c r="F22" s="14">
        <f>E22</f>
        <v>1035895</v>
      </c>
      <c r="G22" s="15">
        <f t="shared" si="1"/>
        <v>1.0837556342447834</v>
      </c>
    </row>
    <row r="23" spans="2:18" ht="27" x14ac:dyDescent="0.35">
      <c r="B23" s="119" t="s">
        <v>137</v>
      </c>
      <c r="C23" s="13" t="s">
        <v>259</v>
      </c>
      <c r="D23" s="14">
        <v>1353001.351</v>
      </c>
      <c r="E23" s="14">
        <v>1213561.7360835886</v>
      </c>
      <c r="F23" s="14">
        <f t="shared" ref="F23:F24" si="5">E23</f>
        <v>1213561.7360835886</v>
      </c>
      <c r="G23" s="15">
        <f t="shared" si="1"/>
        <v>1.1149011300952942</v>
      </c>
    </row>
    <row r="24" spans="2:18" ht="27" x14ac:dyDescent="0.35">
      <c r="B24" s="119" t="s">
        <v>141</v>
      </c>
      <c r="C24" s="16" t="s">
        <v>260</v>
      </c>
      <c r="D24" s="14">
        <v>2137471.7801961182</v>
      </c>
      <c r="E24" s="14">
        <v>2107812</v>
      </c>
      <c r="F24" s="14">
        <f t="shared" si="5"/>
        <v>2107812</v>
      </c>
      <c r="G24" s="15">
        <f t="shared" si="1"/>
        <v>1.0140713593983326</v>
      </c>
    </row>
    <row r="25" spans="2:18" ht="44.15" customHeight="1" x14ac:dyDescent="0.35">
      <c r="B25" s="85" t="s">
        <v>26</v>
      </c>
      <c r="C25" s="51"/>
      <c r="D25" s="52">
        <f>SUM(D22:D24)</f>
        <v>4613130.1739321183</v>
      </c>
      <c r="E25" s="52">
        <f t="shared" ref="E25:F25" si="6">SUM(E22:E24)</f>
        <v>4357268.7360835886</v>
      </c>
      <c r="F25" s="52">
        <f t="shared" si="6"/>
        <v>4357268.7360835886</v>
      </c>
      <c r="G25" s="53">
        <f t="shared" si="1"/>
        <v>1.0587206007583787</v>
      </c>
    </row>
    <row r="26" spans="2:18" x14ac:dyDescent="0.35">
      <c r="B26" s="72">
        <v>2018</v>
      </c>
      <c r="C26" s="16" t="s">
        <v>260</v>
      </c>
      <c r="D26" s="14">
        <f>'1- Ex Ante Results'!C107</f>
        <v>298587.00684135139</v>
      </c>
      <c r="E26" s="14">
        <v>1713451.1340047012</v>
      </c>
      <c r="F26" s="14">
        <f>E26</f>
        <v>1713451.1340047012</v>
      </c>
      <c r="G26" s="15">
        <f t="shared" si="1"/>
        <v>0.17426059075492267</v>
      </c>
    </row>
    <row r="27" spans="2:18" x14ac:dyDescent="0.35">
      <c r="B27" s="72">
        <v>2019</v>
      </c>
      <c r="C27" s="16" t="s">
        <v>260</v>
      </c>
      <c r="D27" s="14">
        <v>0</v>
      </c>
      <c r="E27" s="14">
        <v>1553052.8659952988</v>
      </c>
      <c r="F27" s="14">
        <f t="shared" ref="F27:F29" si="7">E27</f>
        <v>1553052.8659952988</v>
      </c>
      <c r="G27" s="15">
        <f t="shared" si="1"/>
        <v>0</v>
      </c>
    </row>
    <row r="28" spans="2:18" x14ac:dyDescent="0.35">
      <c r="B28" s="72">
        <v>2020</v>
      </c>
      <c r="C28" s="16" t="s">
        <v>260</v>
      </c>
      <c r="D28" s="14">
        <v>0</v>
      </c>
      <c r="E28" s="14">
        <v>1525190.9999999998</v>
      </c>
      <c r="F28" s="14">
        <f t="shared" si="7"/>
        <v>1525190.9999999998</v>
      </c>
      <c r="G28" s="15">
        <f t="shared" si="1"/>
        <v>0</v>
      </c>
    </row>
    <row r="29" spans="2:18" x14ac:dyDescent="0.35">
      <c r="B29" s="72">
        <v>2021</v>
      </c>
      <c r="C29" s="16" t="s">
        <v>260</v>
      </c>
      <c r="D29" s="14">
        <v>0</v>
      </c>
      <c r="E29" s="14">
        <v>1382638.0000000002</v>
      </c>
      <c r="F29" s="14">
        <f t="shared" si="7"/>
        <v>1382638.0000000002</v>
      </c>
      <c r="G29" s="15">
        <f t="shared" si="1"/>
        <v>0</v>
      </c>
    </row>
    <row r="30" spans="2:18" ht="42" customHeight="1" x14ac:dyDescent="0.35">
      <c r="B30" s="85" t="s">
        <v>56</v>
      </c>
      <c r="C30" s="51"/>
      <c r="D30" s="52">
        <f>SUM(D26:D29)</f>
        <v>298587.00684135139</v>
      </c>
      <c r="E30" s="52">
        <f>SUM(E26:E29)</f>
        <v>6174333</v>
      </c>
      <c r="F30" s="52">
        <f t="shared" ref="F30" si="8">SUM(F26:F29)</f>
        <v>6174333</v>
      </c>
      <c r="G30" s="53">
        <f t="shared" si="1"/>
        <v>4.8359394746177668E-2</v>
      </c>
    </row>
    <row r="31" spans="2:18" s="66" customFormat="1" ht="14.65" customHeight="1" x14ac:dyDescent="0.35">
      <c r="B31" s="86"/>
      <c r="C31" s="17"/>
      <c r="D31" s="18"/>
      <c r="E31" s="18"/>
      <c r="F31" s="18"/>
      <c r="G31" s="70"/>
    </row>
    <row r="32" spans="2:18" x14ac:dyDescent="0.35">
      <c r="B32" s="87" t="s">
        <v>19</v>
      </c>
    </row>
    <row r="33" spans="2:7" ht="46.4" customHeight="1" x14ac:dyDescent="0.35">
      <c r="B33" s="210" t="s">
        <v>49</v>
      </c>
      <c r="C33" s="210"/>
      <c r="D33" s="210"/>
      <c r="E33" s="210"/>
      <c r="F33" s="210"/>
      <c r="G33" s="210"/>
    </row>
    <row r="34" spans="2:7" ht="42.75" customHeight="1" x14ac:dyDescent="0.35">
      <c r="B34" s="210" t="s">
        <v>62</v>
      </c>
      <c r="C34" s="210"/>
      <c r="D34" s="210"/>
      <c r="E34" s="210"/>
      <c r="F34" s="210"/>
      <c r="G34" s="210"/>
    </row>
    <row r="35" spans="2:7" ht="42" customHeight="1" x14ac:dyDescent="0.35">
      <c r="B35" s="208" t="s">
        <v>144</v>
      </c>
      <c r="C35" s="208"/>
      <c r="D35" s="208"/>
      <c r="E35" s="208"/>
      <c r="F35" s="208"/>
      <c r="G35" s="208"/>
    </row>
  </sheetData>
  <mergeCells count="6">
    <mergeCell ref="B35:G35"/>
    <mergeCell ref="B5:G9"/>
    <mergeCell ref="B33:G33"/>
    <mergeCell ref="B34:G34"/>
    <mergeCell ref="I19:R19"/>
    <mergeCell ref="I20:R20"/>
  </mergeCells>
  <hyperlinks>
    <hyperlink ref="J16" r:id="rId1" xr:uid="{00000000-0004-0000-0200-000000000000}"/>
    <hyperlink ref="K16" r:id="rId2" display="Docket 10-0520, Staff Ex. 1.1, p. 12." xr:uid="{00000000-0004-0000-0200-000001000000}"/>
    <hyperlink ref="P16" r:id="rId3" xr:uid="{00000000-0004-0000-0200-000002000000}"/>
  </hyperlinks>
  <printOptions headings="1"/>
  <pageMargins left="0.7" right="0.7"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31"/>
  <sheetViews>
    <sheetView topLeftCell="A7" zoomScaleNormal="100" workbookViewId="0">
      <selection activeCell="K20" sqref="K20"/>
    </sheetView>
  </sheetViews>
  <sheetFormatPr defaultRowHeight="14.5" x14ac:dyDescent="0.35"/>
  <cols>
    <col min="1" max="1" width="4.453125" customWidth="1"/>
    <col min="2" max="2" width="44.453125" customWidth="1"/>
    <col min="3" max="3" width="11.54296875" customWidth="1"/>
    <col min="4" max="4" width="10.54296875" customWidth="1"/>
    <col min="5" max="5" width="11.453125" customWidth="1"/>
    <col min="6" max="7" width="11.54296875" customWidth="1"/>
    <col min="8" max="8" width="11.7265625" customWidth="1"/>
    <col min="9" max="9" width="12.26953125" customWidth="1"/>
    <col min="10" max="10" width="12.453125" customWidth="1"/>
    <col min="11" max="11" width="12" customWidth="1"/>
    <col min="12" max="12" width="12.453125" customWidth="1"/>
  </cols>
  <sheetData>
    <row r="1" spans="2:12" x14ac:dyDescent="0.35">
      <c r="B1" s="5" t="s">
        <v>0</v>
      </c>
    </row>
    <row r="2" spans="2:12" x14ac:dyDescent="0.35">
      <c r="B2" s="5" t="s">
        <v>17</v>
      </c>
    </row>
    <row r="3" spans="2:12" x14ac:dyDescent="0.35">
      <c r="B3" s="5" t="s">
        <v>157</v>
      </c>
    </row>
    <row r="4" spans="2:12" x14ac:dyDescent="0.35">
      <c r="B4" s="5"/>
    </row>
    <row r="5" spans="2:12" ht="22.4" customHeight="1" x14ac:dyDescent="0.35">
      <c r="B5" s="186" t="s">
        <v>128</v>
      </c>
      <c r="C5" s="186"/>
      <c r="D5" s="186"/>
      <c r="E5" s="186"/>
      <c r="F5" s="186"/>
      <c r="G5" s="186"/>
      <c r="H5" s="186"/>
      <c r="I5" s="186"/>
      <c r="J5" s="186"/>
      <c r="K5" s="186"/>
    </row>
    <row r="6" spans="2:12" ht="21" customHeight="1" x14ac:dyDescent="0.35">
      <c r="B6" s="186"/>
      <c r="C6" s="186"/>
      <c r="D6" s="186"/>
      <c r="E6" s="186"/>
      <c r="F6" s="186"/>
      <c r="G6" s="186"/>
      <c r="H6" s="186"/>
      <c r="I6" s="186"/>
      <c r="J6" s="186"/>
      <c r="K6" s="186"/>
    </row>
    <row r="7" spans="2:12" ht="21" customHeight="1" x14ac:dyDescent="0.35">
      <c r="B7" s="186"/>
      <c r="C7" s="186"/>
      <c r="D7" s="186"/>
      <c r="E7" s="186"/>
      <c r="F7" s="186"/>
      <c r="G7" s="186"/>
      <c r="H7" s="186"/>
      <c r="I7" s="186"/>
      <c r="J7" s="186"/>
      <c r="K7" s="186"/>
    </row>
    <row r="8" spans="2:12" x14ac:dyDescent="0.35">
      <c r="B8" s="4"/>
      <c r="C8" s="4"/>
      <c r="D8" s="4"/>
      <c r="E8" s="4"/>
      <c r="F8" s="4"/>
      <c r="G8" s="4"/>
      <c r="H8" s="4"/>
      <c r="I8" s="4"/>
      <c r="J8" s="4"/>
      <c r="K8" s="4"/>
      <c r="L8" s="4"/>
    </row>
    <row r="9" spans="2:12" x14ac:dyDescent="0.35">
      <c r="B9" s="36" t="s">
        <v>213</v>
      </c>
      <c r="C9" s="36"/>
      <c r="D9" s="23"/>
      <c r="E9" s="23"/>
      <c r="F9" s="24"/>
      <c r="G9" s="24"/>
      <c r="H9" s="24"/>
      <c r="I9" s="24"/>
      <c r="J9" s="24"/>
      <c r="K9" s="24"/>
      <c r="L9" s="24"/>
    </row>
    <row r="10" spans="2:12" x14ac:dyDescent="0.35">
      <c r="B10" s="23"/>
      <c r="C10" s="23"/>
      <c r="D10" s="23"/>
      <c r="E10" s="23"/>
      <c r="F10" s="24"/>
      <c r="G10" s="24"/>
      <c r="H10" s="24"/>
      <c r="I10" s="24"/>
      <c r="J10" s="24"/>
      <c r="K10" s="24"/>
      <c r="L10" s="24"/>
    </row>
    <row r="11" spans="2:12" ht="28" x14ac:dyDescent="0.35">
      <c r="B11" s="37" t="s">
        <v>31</v>
      </c>
      <c r="C11" s="19" t="s">
        <v>7</v>
      </c>
      <c r="D11" s="19" t="s">
        <v>8</v>
      </c>
      <c r="E11" s="7" t="s">
        <v>9</v>
      </c>
      <c r="F11" s="7" t="s">
        <v>10</v>
      </c>
      <c r="G11" s="7" t="s">
        <v>11</v>
      </c>
      <c r="H11" s="7" t="s">
        <v>12</v>
      </c>
      <c r="I11" s="7" t="s">
        <v>13</v>
      </c>
      <c r="J11" s="7" t="s">
        <v>14</v>
      </c>
      <c r="K11" s="7" t="s">
        <v>50</v>
      </c>
      <c r="L11" s="7" t="s">
        <v>51</v>
      </c>
    </row>
    <row r="12" spans="2:12" x14ac:dyDescent="0.35">
      <c r="B12" s="8" t="s">
        <v>168</v>
      </c>
      <c r="C12" s="25">
        <f>'3- Energy'!D14</f>
        <v>163717</v>
      </c>
      <c r="D12" s="25">
        <f>'3- Energy'!D15</f>
        <v>472132</v>
      </c>
      <c r="E12" s="25">
        <f>'3- Energy'!D16</f>
        <v>626715</v>
      </c>
      <c r="F12" s="25">
        <f>'3- Energy'!D18</f>
        <v>944142</v>
      </c>
      <c r="G12" s="26">
        <f>'3- Energy'!D19</f>
        <v>949392.3629999999</v>
      </c>
      <c r="H12" s="26">
        <f>'3- Energy'!D20</f>
        <v>1118648.922</v>
      </c>
      <c r="I12" s="26">
        <f>'3- Energy'!D22</f>
        <v>1122657.0427359999</v>
      </c>
      <c r="J12" s="26">
        <f>'3- Energy'!D23</f>
        <v>1353001.351</v>
      </c>
      <c r="K12" s="26">
        <f>'3- Energy'!D24</f>
        <v>2137471.7801961182</v>
      </c>
      <c r="L12" s="26">
        <f>'1- Ex Ante Results'!C107</f>
        <v>298587.00684135139</v>
      </c>
    </row>
    <row r="13" spans="2:12" x14ac:dyDescent="0.35">
      <c r="B13" s="8" t="s">
        <v>3</v>
      </c>
      <c r="C13" s="25">
        <f>C12*1000*1.3909/2204.62</f>
        <v>103289.44457548241</v>
      </c>
      <c r="D13" s="25">
        <f t="shared" ref="D13:K13" si="0">D12*1000*1.3909/2204.62</f>
        <v>297869.20140432363</v>
      </c>
      <c r="E13" s="25">
        <f t="shared" si="0"/>
        <v>395395.98366158345</v>
      </c>
      <c r="F13" s="25">
        <f t="shared" si="0"/>
        <v>595661.43271856371</v>
      </c>
      <c r="G13" s="25">
        <f t="shared" si="0"/>
        <v>598973.89921923052</v>
      </c>
      <c r="H13" s="25">
        <f t="shared" si="0"/>
        <v>705758.26473941095</v>
      </c>
      <c r="I13" s="25">
        <f t="shared" si="0"/>
        <v>708286.99764199834</v>
      </c>
      <c r="J13" s="25">
        <f t="shared" si="0"/>
        <v>853611.76942325663</v>
      </c>
      <c r="K13" s="25">
        <f t="shared" si="0"/>
        <v>1348536.0284651238</v>
      </c>
      <c r="L13" s="25">
        <f>L12*1000*1.3909/2204.62</f>
        <v>188379.25257669608</v>
      </c>
    </row>
    <row r="14" spans="2:12" x14ac:dyDescent="0.35">
      <c r="B14" s="8" t="s">
        <v>4</v>
      </c>
      <c r="C14" s="25">
        <f>C12*1000*1.3909/(4.67*2204.62)</f>
        <v>22117.654084685739</v>
      </c>
      <c r="D14" s="25">
        <f t="shared" ref="D14:K14" si="1">D12*1000*1.3909/(4.67*2204.62)</f>
        <v>63783.554904566088</v>
      </c>
      <c r="E14" s="25">
        <f t="shared" si="1"/>
        <v>84667.234188775896</v>
      </c>
      <c r="F14" s="25">
        <f t="shared" si="1"/>
        <v>127550.62799112714</v>
      </c>
      <c r="G14" s="25">
        <f t="shared" si="1"/>
        <v>128259.93559298298</v>
      </c>
      <c r="H14" s="25">
        <f t="shared" si="1"/>
        <v>151125.96675362118</v>
      </c>
      <c r="I14" s="25">
        <f t="shared" si="1"/>
        <v>151667.45131520307</v>
      </c>
      <c r="J14" s="25">
        <f t="shared" si="1"/>
        <v>182786.24612917702</v>
      </c>
      <c r="K14" s="25">
        <f t="shared" si="1"/>
        <v>288765.74485334556</v>
      </c>
      <c r="L14" s="25">
        <f>L12*1000*1.3909/(4.67*2204.62)</f>
        <v>40338.169716637276</v>
      </c>
    </row>
    <row r="15" spans="2:12" x14ac:dyDescent="0.35">
      <c r="B15" s="8" t="s">
        <v>5</v>
      </c>
      <c r="C15" s="25">
        <f>(C12*1000*1.3909)/(0.85*2204.62)</f>
        <v>121516.99361821459</v>
      </c>
      <c r="D15" s="25">
        <f t="shared" ref="D15:L15" si="2">(D12*1000*1.3909)/(0.85*2204.62)</f>
        <v>350434.35459332191</v>
      </c>
      <c r="E15" s="25">
        <f t="shared" si="2"/>
        <v>465171.74548421579</v>
      </c>
      <c r="F15" s="25">
        <f t="shared" si="2"/>
        <v>700778.15613948682</v>
      </c>
      <c r="G15" s="25">
        <f t="shared" si="2"/>
        <v>704675.17555203591</v>
      </c>
      <c r="H15" s="25">
        <f t="shared" si="2"/>
        <v>830303.84086989518</v>
      </c>
      <c r="I15" s="25">
        <f t="shared" si="2"/>
        <v>833278.8207552922</v>
      </c>
      <c r="J15" s="25">
        <f t="shared" si="2"/>
        <v>1004249.1404979491</v>
      </c>
      <c r="K15" s="25">
        <f t="shared" si="2"/>
        <v>1586512.9746648516</v>
      </c>
      <c r="L15" s="25">
        <f t="shared" si="2"/>
        <v>221622.65009023069</v>
      </c>
    </row>
    <row r="16" spans="2:12" x14ac:dyDescent="0.35">
      <c r="B16" s="8" t="s">
        <v>6</v>
      </c>
      <c r="C16" s="25">
        <f>C12*1000/8916</f>
        <v>18362.157918349036</v>
      </c>
      <c r="D16" s="25">
        <f t="shared" ref="D16:L16" si="3">D12*1000/8916</f>
        <v>52953.342305966798</v>
      </c>
      <c r="E16" s="25">
        <f t="shared" si="3"/>
        <v>70291.049798115753</v>
      </c>
      <c r="F16" s="25">
        <f t="shared" si="3"/>
        <v>105893.00134589503</v>
      </c>
      <c r="G16" s="25">
        <f t="shared" si="3"/>
        <v>106481.87113055181</v>
      </c>
      <c r="H16" s="25">
        <f t="shared" si="3"/>
        <v>125465.33445491252</v>
      </c>
      <c r="I16" s="25">
        <f t="shared" si="3"/>
        <v>125914.87693315386</v>
      </c>
      <c r="J16" s="25">
        <f t="shared" si="3"/>
        <v>151749.81505159265</v>
      </c>
      <c r="K16" s="25">
        <f t="shared" si="3"/>
        <v>239734.38539660364</v>
      </c>
      <c r="L16" s="25">
        <f t="shared" si="3"/>
        <v>33488.897133395178</v>
      </c>
    </row>
    <row r="17" spans="2:12" x14ac:dyDescent="0.35">
      <c r="B17" s="8" t="s">
        <v>28</v>
      </c>
      <c r="C17" s="25">
        <v>66</v>
      </c>
      <c r="D17" s="25">
        <v>84</v>
      </c>
      <c r="E17" s="25">
        <v>154</v>
      </c>
      <c r="F17" s="25">
        <v>179</v>
      </c>
      <c r="G17" s="27">
        <v>196</v>
      </c>
      <c r="H17" s="27">
        <v>234</v>
      </c>
      <c r="I17" s="27">
        <v>260</v>
      </c>
      <c r="J17" s="26">
        <v>267</v>
      </c>
      <c r="K17" s="26">
        <v>376</v>
      </c>
      <c r="L17" s="28">
        <v>380</v>
      </c>
    </row>
    <row r="18" spans="2:12" s="21" customFormat="1" x14ac:dyDescent="0.25">
      <c r="B18" s="69" t="s">
        <v>55</v>
      </c>
      <c r="C18" s="164"/>
      <c r="D18" s="164"/>
      <c r="E18" s="164"/>
      <c r="F18" s="164"/>
      <c r="G18" s="164"/>
      <c r="H18" s="164"/>
      <c r="I18" s="164"/>
      <c r="J18" s="164"/>
      <c r="K18" s="25">
        <f>459+1299+1+318</f>
        <v>2077</v>
      </c>
      <c r="L18" s="25">
        <f>224+778+1+403</f>
        <v>1406</v>
      </c>
    </row>
    <row r="19" spans="2:12" x14ac:dyDescent="0.35">
      <c r="B19" s="29"/>
      <c r="C19" s="54"/>
      <c r="D19" s="54"/>
      <c r="E19" s="54"/>
      <c r="F19" s="54"/>
      <c r="G19" s="55"/>
      <c r="H19" s="55"/>
      <c r="I19" s="55"/>
      <c r="J19" s="56"/>
      <c r="K19" s="56"/>
      <c r="L19" s="57"/>
    </row>
    <row r="20" spans="2:12" x14ac:dyDescent="0.35">
      <c r="B20" s="30" t="s">
        <v>19</v>
      </c>
      <c r="C20" s="29"/>
      <c r="D20" s="30"/>
      <c r="E20" s="30"/>
      <c r="F20" s="31"/>
      <c r="G20" s="32"/>
      <c r="H20" s="32"/>
      <c r="I20" s="32"/>
      <c r="J20" s="31"/>
      <c r="K20" s="31"/>
      <c r="L20" s="33"/>
    </row>
    <row r="21" spans="2:12" ht="29.65" customHeight="1" x14ac:dyDescent="0.35">
      <c r="B21" s="208" t="s">
        <v>32</v>
      </c>
      <c r="C21" s="208"/>
      <c r="D21" s="208"/>
      <c r="E21" s="208"/>
      <c r="F21" s="208"/>
      <c r="G21" s="208"/>
      <c r="H21" s="208"/>
      <c r="I21" s="208"/>
      <c r="J21" s="208"/>
      <c r="K21" s="208"/>
      <c r="L21" s="208"/>
    </row>
    <row r="22" spans="2:12" ht="27.75" customHeight="1" x14ac:dyDescent="0.35">
      <c r="B22" s="171" t="s">
        <v>52</v>
      </c>
      <c r="C22" s="172"/>
      <c r="D22" s="172"/>
      <c r="E22" s="172"/>
      <c r="F22" s="172"/>
      <c r="G22" s="172"/>
      <c r="H22" s="172"/>
      <c r="I22" s="172"/>
      <c r="J22" s="172"/>
      <c r="K22" s="172"/>
      <c r="L22" s="173"/>
    </row>
    <row r="23" spans="2:12" ht="33" customHeight="1" x14ac:dyDescent="0.35">
      <c r="B23" s="171" t="s">
        <v>53</v>
      </c>
      <c r="C23" s="172"/>
      <c r="D23" s="172"/>
      <c r="E23" s="172"/>
      <c r="F23" s="172"/>
      <c r="G23" s="172"/>
      <c r="H23" s="172"/>
      <c r="I23" s="172"/>
      <c r="J23" s="172"/>
      <c r="K23" s="172"/>
      <c r="L23" s="173"/>
    </row>
    <row r="24" spans="2:12" ht="20.65" customHeight="1" x14ac:dyDescent="0.35">
      <c r="B24" s="211" t="s">
        <v>54</v>
      </c>
      <c r="C24" s="211"/>
      <c r="D24" s="211"/>
      <c r="E24" s="211"/>
      <c r="F24" s="211"/>
      <c r="G24" s="211"/>
      <c r="H24" s="211"/>
      <c r="I24" s="211"/>
      <c r="J24" s="211"/>
      <c r="K24" s="211"/>
      <c r="L24" s="211"/>
    </row>
    <row r="25" spans="2:12" x14ac:dyDescent="0.35">
      <c r="B25" s="9"/>
      <c r="C25" s="9"/>
      <c r="D25" s="4"/>
      <c r="E25" s="4"/>
      <c r="F25" s="4"/>
      <c r="G25" s="4"/>
      <c r="H25" s="4"/>
      <c r="I25" s="4"/>
      <c r="J25" s="4"/>
      <c r="K25" s="4"/>
      <c r="L25" s="4"/>
    </row>
    <row r="26" spans="2:12" x14ac:dyDescent="0.35">
      <c r="B26" s="34"/>
      <c r="C26" s="34"/>
      <c r="D26" s="35"/>
      <c r="E26" s="35"/>
      <c r="F26" s="35"/>
      <c r="G26" s="35"/>
      <c r="H26" s="4"/>
      <c r="I26" s="4"/>
      <c r="J26" s="4"/>
      <c r="K26" s="4"/>
      <c r="L26" s="4"/>
    </row>
    <row r="27" spans="2:12" x14ac:dyDescent="0.35">
      <c r="B27" s="4"/>
      <c r="C27" s="4"/>
      <c r="D27" s="4"/>
      <c r="E27" s="4"/>
      <c r="F27" s="4"/>
      <c r="G27" s="4"/>
      <c r="H27" s="4"/>
      <c r="I27" s="4"/>
      <c r="J27" s="4"/>
      <c r="K27" s="4"/>
      <c r="L27" s="4"/>
    </row>
    <row r="28" spans="2:12" x14ac:dyDescent="0.35">
      <c r="B28" s="4"/>
      <c r="C28" s="4"/>
      <c r="D28" s="4"/>
      <c r="E28" s="4"/>
      <c r="F28" s="4"/>
      <c r="G28" s="4"/>
      <c r="H28" s="4"/>
      <c r="I28" s="4"/>
      <c r="J28" s="4"/>
      <c r="K28" s="4"/>
      <c r="L28" s="4"/>
    </row>
    <row r="29" spans="2:12" x14ac:dyDescent="0.35">
      <c r="B29" s="4"/>
      <c r="C29" s="4"/>
      <c r="D29" s="4"/>
      <c r="E29" s="4"/>
      <c r="F29" s="4"/>
      <c r="G29" s="4"/>
      <c r="H29" s="4"/>
      <c r="I29" s="4"/>
      <c r="J29" s="4"/>
      <c r="K29" s="4"/>
      <c r="L29" s="4"/>
    </row>
    <row r="30" spans="2:12" x14ac:dyDescent="0.35">
      <c r="B30" s="4"/>
      <c r="C30" s="4"/>
      <c r="D30" s="4"/>
      <c r="E30" s="4"/>
      <c r="F30" s="4"/>
      <c r="G30" s="4"/>
      <c r="H30" s="4"/>
      <c r="I30" s="4"/>
      <c r="J30" s="4"/>
      <c r="K30" s="4"/>
      <c r="L30" s="4"/>
    </row>
    <row r="31" spans="2:12" x14ac:dyDescent="0.35">
      <c r="B31" s="4"/>
      <c r="C31" s="4"/>
      <c r="D31" s="4"/>
      <c r="E31" s="4"/>
      <c r="F31" s="4"/>
      <c r="G31" s="4"/>
      <c r="H31" s="4"/>
      <c r="I31" s="4"/>
      <c r="J31" s="4"/>
      <c r="K31" s="4"/>
      <c r="L31" s="4"/>
    </row>
  </sheetData>
  <mergeCells count="5">
    <mergeCell ref="B5:K7"/>
    <mergeCell ref="B22:L22"/>
    <mergeCell ref="B21:L21"/>
    <mergeCell ref="B24:L24"/>
    <mergeCell ref="B23:L23"/>
  </mergeCells>
  <printOptions headings="1"/>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41"/>
  <sheetViews>
    <sheetView zoomScaleNormal="100" workbookViewId="0">
      <selection activeCell="H30" sqref="H30"/>
    </sheetView>
  </sheetViews>
  <sheetFormatPr defaultRowHeight="14.5" x14ac:dyDescent="0.35"/>
  <cols>
    <col min="1" max="1" width="4.453125" customWidth="1"/>
    <col min="2" max="2" width="4.7265625" style="3" customWidth="1"/>
    <col min="3" max="3" width="4.54296875" customWidth="1"/>
    <col min="4" max="4" width="76.54296875" customWidth="1"/>
    <col min="5" max="5" width="14" customWidth="1"/>
    <col min="6" max="6" width="44.26953125" customWidth="1"/>
    <col min="7" max="7" width="10.453125" customWidth="1"/>
  </cols>
  <sheetData>
    <row r="1" spans="1:14" ht="16.5" customHeight="1" x14ac:dyDescent="0.45">
      <c r="B1" s="5" t="s">
        <v>0</v>
      </c>
      <c r="D1" s="46"/>
      <c r="E1" s="104"/>
      <c r="F1" s="104"/>
      <c r="G1" s="46"/>
      <c r="H1" s="66"/>
    </row>
    <row r="2" spans="1:14" ht="14.25" customHeight="1" x14ac:dyDescent="0.45">
      <c r="B2" s="5" t="s">
        <v>121</v>
      </c>
      <c r="D2" s="46"/>
      <c r="E2" s="105"/>
      <c r="F2" s="105"/>
      <c r="G2" s="46"/>
      <c r="H2" s="66"/>
    </row>
    <row r="3" spans="1:14" ht="15.5" x14ac:dyDescent="0.35">
      <c r="B3" s="5" t="s">
        <v>157</v>
      </c>
      <c r="D3" s="46"/>
      <c r="E3" s="106"/>
      <c r="F3" s="106"/>
      <c r="G3" s="46"/>
      <c r="H3" s="66"/>
    </row>
    <row r="4" spans="1:14" ht="18.5" x14ac:dyDescent="0.45">
      <c r="B4" s="97"/>
      <c r="D4" s="46"/>
      <c r="E4" s="106"/>
      <c r="F4" s="106"/>
      <c r="G4" s="46"/>
      <c r="H4" s="94"/>
      <c r="I4" s="94"/>
      <c r="J4" s="94"/>
      <c r="K4" s="94"/>
      <c r="L4" s="94"/>
      <c r="M4" s="94"/>
      <c r="N4" s="94"/>
    </row>
    <row r="5" spans="1:14" ht="22.4" customHeight="1" x14ac:dyDescent="0.35">
      <c r="B5" s="186" t="s">
        <v>147</v>
      </c>
      <c r="C5" s="186"/>
      <c r="D5" s="186"/>
      <c r="E5" s="98"/>
      <c r="F5" s="98"/>
      <c r="G5" s="98"/>
      <c r="H5" s="98"/>
      <c r="I5" s="98"/>
      <c r="J5" s="98"/>
      <c r="K5" s="98"/>
      <c r="L5" s="94"/>
      <c r="M5" s="94"/>
      <c r="N5" s="94"/>
    </row>
    <row r="6" spans="1:14" ht="27" customHeight="1" x14ac:dyDescent="0.35">
      <c r="B6" s="186"/>
      <c r="C6" s="186"/>
      <c r="D6" s="186"/>
      <c r="E6" s="98"/>
      <c r="F6" s="98"/>
      <c r="G6" s="98"/>
      <c r="H6" s="98"/>
      <c r="I6" s="98"/>
      <c r="J6" s="98"/>
      <c r="K6" s="98"/>
      <c r="L6" s="94"/>
      <c r="M6" s="94"/>
      <c r="N6" s="94"/>
    </row>
    <row r="7" spans="1:14" ht="22.4" customHeight="1" x14ac:dyDescent="0.35">
      <c r="B7" s="65"/>
      <c r="C7" s="65"/>
      <c r="D7" s="65"/>
      <c r="E7" s="98"/>
      <c r="F7" s="98"/>
      <c r="G7" s="98"/>
      <c r="H7" s="98"/>
      <c r="I7" s="98"/>
      <c r="J7" s="98"/>
      <c r="K7" s="98"/>
    </row>
    <row r="8" spans="1:14" ht="22.4" customHeight="1" x14ac:dyDescent="0.35">
      <c r="B8" s="231" t="s">
        <v>123</v>
      </c>
      <c r="C8" s="231"/>
      <c r="D8" s="231"/>
      <c r="E8" s="98"/>
      <c r="F8" s="98"/>
      <c r="G8" s="98"/>
      <c r="H8" s="98"/>
      <c r="I8" s="98"/>
      <c r="J8" s="98"/>
      <c r="K8" s="98"/>
    </row>
    <row r="9" spans="1:14" ht="21" customHeight="1" x14ac:dyDescent="0.35">
      <c r="B9" s="228" t="s">
        <v>122</v>
      </c>
      <c r="C9" s="228"/>
      <c r="D9" s="228"/>
      <c r="E9" s="65"/>
      <c r="F9" s="65"/>
      <c r="G9" s="65"/>
      <c r="H9" s="65"/>
      <c r="I9" s="65"/>
      <c r="J9" s="65"/>
      <c r="K9" s="65"/>
    </row>
    <row r="10" spans="1:14" ht="21" customHeight="1" x14ac:dyDescent="0.35">
      <c r="B10" s="229" t="s">
        <v>124</v>
      </c>
      <c r="C10" s="229"/>
      <c r="D10" s="229"/>
      <c r="E10" s="65"/>
      <c r="F10" s="65"/>
      <c r="G10" s="65"/>
      <c r="H10" s="65"/>
      <c r="I10" s="65"/>
      <c r="J10" s="65"/>
      <c r="K10" s="65"/>
    </row>
    <row r="11" spans="1:14" ht="21" customHeight="1" x14ac:dyDescent="0.35">
      <c r="B11" s="230" t="s">
        <v>125</v>
      </c>
      <c r="C11" s="230"/>
      <c r="D11" s="230"/>
      <c r="E11" s="65"/>
      <c r="F11" s="65"/>
      <c r="G11" s="65"/>
      <c r="H11" s="65"/>
      <c r="I11" s="65"/>
      <c r="J11" s="65"/>
      <c r="K11" s="65"/>
    </row>
    <row r="12" spans="1:14" ht="21" customHeight="1" x14ac:dyDescent="0.35">
      <c r="A12" s="66"/>
      <c r="B12" s="121"/>
      <c r="C12" s="121"/>
      <c r="D12" s="121"/>
      <c r="E12" s="65"/>
      <c r="F12" s="65"/>
      <c r="G12" s="65"/>
      <c r="H12" s="65"/>
      <c r="I12" s="65"/>
      <c r="J12" s="65"/>
      <c r="K12" s="65"/>
    </row>
    <row r="13" spans="1:14" ht="21" customHeight="1" x14ac:dyDescent="0.35">
      <c r="A13" s="66"/>
      <c r="B13" s="122" t="s">
        <v>211</v>
      </c>
      <c r="C13" s="121"/>
      <c r="D13" s="121"/>
      <c r="E13" s="65"/>
      <c r="F13" s="65"/>
      <c r="G13" s="65"/>
      <c r="H13" s="65"/>
      <c r="I13" s="65"/>
      <c r="J13" s="65"/>
      <c r="K13" s="65"/>
    </row>
    <row r="14" spans="1:14" ht="21" customHeight="1" x14ac:dyDescent="0.35">
      <c r="B14" s="65"/>
      <c r="C14" s="65"/>
      <c r="D14" s="65"/>
      <c r="E14" s="65"/>
      <c r="F14" s="65"/>
      <c r="G14" s="65"/>
      <c r="H14" s="65"/>
      <c r="I14" s="65"/>
      <c r="J14" s="65"/>
      <c r="K14" s="65"/>
    </row>
    <row r="15" spans="1:14" ht="18" customHeight="1" x14ac:dyDescent="0.35">
      <c r="B15" s="232" t="s">
        <v>212</v>
      </c>
      <c r="C15" s="232"/>
      <c r="D15" s="232"/>
      <c r="E15" s="232"/>
      <c r="F15" s="232"/>
    </row>
    <row r="16" spans="1:14" x14ac:dyDescent="0.35">
      <c r="B16" s="110" t="s">
        <v>120</v>
      </c>
      <c r="C16" s="221" t="s">
        <v>119</v>
      </c>
      <c r="D16" s="222"/>
      <c r="E16" s="111">
        <v>7.8E-2</v>
      </c>
      <c r="F16" s="108" t="s">
        <v>150</v>
      </c>
    </row>
    <row r="17" spans="1:6" x14ac:dyDescent="0.35">
      <c r="B17" s="110" t="s">
        <v>118</v>
      </c>
      <c r="C17" s="221" t="s">
        <v>154</v>
      </c>
      <c r="D17" s="222"/>
      <c r="E17" s="118">
        <v>78685795</v>
      </c>
      <c r="F17" s="108" t="s">
        <v>150</v>
      </c>
    </row>
    <row r="18" spans="1:6" x14ac:dyDescent="0.35">
      <c r="B18" s="110" t="s">
        <v>117</v>
      </c>
      <c r="C18" s="221" t="s">
        <v>116</v>
      </c>
      <c r="D18" s="222"/>
      <c r="E18" s="112">
        <f>E17*E16</f>
        <v>6137492.0099999998</v>
      </c>
      <c r="F18" s="107" t="s">
        <v>115</v>
      </c>
    </row>
    <row r="19" spans="1:6" x14ac:dyDescent="0.35">
      <c r="B19" s="110" t="s">
        <v>114</v>
      </c>
      <c r="C19" s="221" t="s">
        <v>113</v>
      </c>
      <c r="D19" s="222"/>
      <c r="E19" s="116">
        <v>0</v>
      </c>
      <c r="F19" s="109" t="s">
        <v>126</v>
      </c>
    </row>
    <row r="20" spans="1:6" ht="16.5" customHeight="1" x14ac:dyDescent="0.35">
      <c r="B20" s="110"/>
      <c r="C20" s="225" t="s">
        <v>112</v>
      </c>
      <c r="D20" s="226"/>
      <c r="E20" s="226"/>
      <c r="F20" s="227"/>
    </row>
    <row r="21" spans="1:6" x14ac:dyDescent="0.35">
      <c r="B21" s="110" t="s">
        <v>111</v>
      </c>
      <c r="C21" s="217" t="s">
        <v>110</v>
      </c>
      <c r="D21" s="218"/>
      <c r="E21" s="111">
        <v>5.8000000000000003E-2</v>
      </c>
      <c r="F21" s="108" t="s">
        <v>107</v>
      </c>
    </row>
    <row r="22" spans="1:6" x14ac:dyDescent="0.35">
      <c r="B22" s="110" t="s">
        <v>109</v>
      </c>
      <c r="C22" s="217" t="s">
        <v>108</v>
      </c>
      <c r="D22" s="218"/>
      <c r="E22" s="111">
        <v>6.6000000000000003E-2</v>
      </c>
      <c r="F22" s="108" t="s">
        <v>107</v>
      </c>
    </row>
    <row r="23" spans="1:6" x14ac:dyDescent="0.35">
      <c r="B23" s="110" t="s">
        <v>106</v>
      </c>
      <c r="C23" s="217" t="s">
        <v>105</v>
      </c>
      <c r="D23" s="218"/>
      <c r="E23" s="115">
        <f>E22-E21</f>
        <v>8.0000000000000002E-3</v>
      </c>
      <c r="F23" s="107" t="s">
        <v>104</v>
      </c>
    </row>
    <row r="24" spans="1:6" x14ac:dyDescent="0.35">
      <c r="A24" s="21"/>
      <c r="B24" s="110" t="s">
        <v>103</v>
      </c>
      <c r="C24" s="217" t="s">
        <v>102</v>
      </c>
      <c r="D24" s="218"/>
      <c r="E24" s="112">
        <f>E23*E17</f>
        <v>629486.36</v>
      </c>
      <c r="F24" s="107" t="s">
        <v>101</v>
      </c>
    </row>
    <row r="25" spans="1:6" x14ac:dyDescent="0.35">
      <c r="B25" s="110" t="s">
        <v>100</v>
      </c>
      <c r="C25" s="217" t="s">
        <v>99</v>
      </c>
      <c r="D25" s="218"/>
      <c r="E25" s="116">
        <v>0</v>
      </c>
      <c r="F25" s="109" t="s">
        <v>126</v>
      </c>
    </row>
    <row r="26" spans="1:6" x14ac:dyDescent="0.35">
      <c r="B26" s="110" t="s">
        <v>98</v>
      </c>
      <c r="C26" s="219" t="s">
        <v>97</v>
      </c>
      <c r="D26" s="220"/>
      <c r="E26" s="117">
        <f>E24+E25</f>
        <v>629486.36</v>
      </c>
      <c r="F26" s="107" t="s">
        <v>96</v>
      </c>
    </row>
    <row r="27" spans="1:6" x14ac:dyDescent="0.35">
      <c r="B27" s="110" t="s">
        <v>95</v>
      </c>
      <c r="C27" s="221" t="s">
        <v>94</v>
      </c>
      <c r="D27" s="222"/>
      <c r="E27" s="112">
        <f>E18-E19+E26</f>
        <v>6766978.3700000001</v>
      </c>
      <c r="F27" s="107" t="s">
        <v>93</v>
      </c>
    </row>
    <row r="28" spans="1:6" x14ac:dyDescent="0.35">
      <c r="B28" s="110" t="s">
        <v>92</v>
      </c>
      <c r="C28" s="221" t="s">
        <v>91</v>
      </c>
      <c r="D28" s="222"/>
      <c r="E28" s="113">
        <f>'1- Ex Ante Results'!C107</f>
        <v>298587.00684135139</v>
      </c>
      <c r="F28" s="109" t="s">
        <v>90</v>
      </c>
    </row>
    <row r="29" spans="1:6" x14ac:dyDescent="0.35">
      <c r="B29" s="110" t="s">
        <v>89</v>
      </c>
      <c r="C29" s="221" t="s">
        <v>148</v>
      </c>
      <c r="D29" s="222"/>
      <c r="E29" s="113">
        <f>'1- Ex Ante Results'!C107</f>
        <v>298587.00684135139</v>
      </c>
      <c r="F29" s="109" t="s">
        <v>88</v>
      </c>
    </row>
    <row r="30" spans="1:6" ht="27" customHeight="1" x14ac:dyDescent="0.35">
      <c r="B30" s="110" t="s">
        <v>87</v>
      </c>
      <c r="C30" s="215" t="s">
        <v>151</v>
      </c>
      <c r="D30" s="216"/>
      <c r="E30" s="120">
        <f>E29/E27</f>
        <v>4.412412608928605E-2</v>
      </c>
      <c r="F30" s="107" t="s">
        <v>146</v>
      </c>
    </row>
    <row r="31" spans="1:6" ht="18" customHeight="1" x14ac:dyDescent="0.35">
      <c r="B31" s="212" t="s">
        <v>86</v>
      </c>
      <c r="C31" s="212"/>
      <c r="D31" s="212"/>
      <c r="E31" s="212"/>
      <c r="F31" s="212"/>
    </row>
    <row r="32" spans="1:6" x14ac:dyDescent="0.35">
      <c r="B32" s="110" t="s">
        <v>85</v>
      </c>
      <c r="C32" s="223" t="s">
        <v>84</v>
      </c>
      <c r="D32" s="224"/>
      <c r="E32" s="111">
        <v>6.6000000000000003E-2</v>
      </c>
      <c r="F32" s="100" t="s">
        <v>150</v>
      </c>
    </row>
    <row r="33" spans="2:8" x14ac:dyDescent="0.35">
      <c r="B33" s="110" t="s">
        <v>83</v>
      </c>
      <c r="C33" s="223" t="s">
        <v>82</v>
      </c>
      <c r="D33" s="224"/>
      <c r="E33" s="112">
        <f>E32*E17</f>
        <v>5193262.4700000007</v>
      </c>
      <c r="F33" s="107" t="s">
        <v>81</v>
      </c>
    </row>
    <row r="34" spans="2:8" x14ac:dyDescent="0.35">
      <c r="B34" s="110" t="s">
        <v>80</v>
      </c>
      <c r="C34" s="99" t="s">
        <v>79</v>
      </c>
      <c r="D34" s="99"/>
      <c r="E34" s="112">
        <f>E18-E33</f>
        <v>944229.53999999911</v>
      </c>
      <c r="F34" s="107" t="s">
        <v>78</v>
      </c>
    </row>
    <row r="35" spans="2:8" x14ac:dyDescent="0.35">
      <c r="B35" s="110" t="s">
        <v>77</v>
      </c>
      <c r="C35" s="99" t="s">
        <v>76</v>
      </c>
      <c r="D35" s="99"/>
      <c r="E35" s="112">
        <f>E34+E26</f>
        <v>1573715.899999999</v>
      </c>
      <c r="F35" s="107" t="s">
        <v>75</v>
      </c>
      <c r="G35" s="96"/>
    </row>
    <row r="36" spans="2:8" x14ac:dyDescent="0.35">
      <c r="B36" s="110" t="s">
        <v>74</v>
      </c>
      <c r="C36" s="99" t="s">
        <v>149</v>
      </c>
      <c r="D36" s="99"/>
      <c r="E36" s="112">
        <f>E29</f>
        <v>298587.00684135139</v>
      </c>
      <c r="F36" s="107" t="s">
        <v>73</v>
      </c>
      <c r="H36" s="96"/>
    </row>
    <row r="37" spans="2:8" ht="32.65" customHeight="1" x14ac:dyDescent="0.35">
      <c r="B37" s="110" t="s">
        <v>72</v>
      </c>
      <c r="C37" s="213" t="s">
        <v>71</v>
      </c>
      <c r="D37" s="214"/>
      <c r="E37" s="114">
        <f>E26</f>
        <v>629486.36</v>
      </c>
      <c r="F37" s="107" t="s">
        <v>70</v>
      </c>
    </row>
    <row r="38" spans="2:8" x14ac:dyDescent="0.35">
      <c r="B38" s="110" t="s">
        <v>69</v>
      </c>
      <c r="C38" s="213" t="s">
        <v>152</v>
      </c>
      <c r="D38" s="214"/>
      <c r="E38" s="112">
        <f>E36-E37</f>
        <v>-330899.35315864859</v>
      </c>
      <c r="F38" s="107" t="s">
        <v>68</v>
      </c>
    </row>
    <row r="39" spans="2:8" ht="30" customHeight="1" x14ac:dyDescent="0.35">
      <c r="B39" s="110" t="s">
        <v>67</v>
      </c>
      <c r="C39" s="215" t="s">
        <v>153</v>
      </c>
      <c r="D39" s="216"/>
      <c r="E39" s="120">
        <f>E38/E34</f>
        <v>-0.35044376302678359</v>
      </c>
      <c r="F39" s="107" t="s">
        <v>66</v>
      </c>
    </row>
    <row r="40" spans="2:8" x14ac:dyDescent="0.35">
      <c r="B40" s="101"/>
      <c r="C40" s="4"/>
      <c r="D40" s="4"/>
      <c r="E40" s="102"/>
      <c r="F40" s="103"/>
    </row>
    <row r="41" spans="2:8" x14ac:dyDescent="0.35">
      <c r="B41" s="101"/>
      <c r="C41" s="4"/>
      <c r="D41" s="4"/>
      <c r="E41" s="4"/>
      <c r="F41" s="4"/>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scale="5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Ex Ante Results</vt:lpstr>
      <vt:lpstr>2- Costs</vt:lpstr>
      <vt:lpstr>3- Energy</vt:lpstr>
      <vt:lpstr>4- Other</vt:lpstr>
      <vt:lpstr>5- CPAS</vt:lpstr>
    </vt:vector>
  </TitlesOfParts>
  <Company>Exelon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creator>Celia Johnson</dc:creator>
  <cp:lastModifiedBy>Celia Johnson</cp:lastModifiedBy>
  <cp:lastPrinted>2018-04-12T17:26:36Z</cp:lastPrinted>
  <dcterms:created xsi:type="dcterms:W3CDTF">2016-11-04T16:24:21Z</dcterms:created>
  <dcterms:modified xsi:type="dcterms:W3CDTF">2018-07-27T19:35:50Z</dcterms:modified>
</cp:coreProperties>
</file>