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126"/>
  <workbookPr showInkAnnotation="0" defaultThemeVersion="124226"/>
  <mc:AlternateContent xmlns:mc="http://schemas.openxmlformats.org/markup-compatibility/2006">
    <mc:Choice Requires="x15">
      <x15ac:absPath xmlns:x15ac="http://schemas.microsoft.com/office/spreadsheetml/2010/11/ac" url="https://d.docs.live.net/97314b2b1000012c/Documents/IL SAG 2019/January Large Group SAG Meetings/Jan. 15^J 2019 Meeting/"/>
    </mc:Choice>
  </mc:AlternateContent>
  <xr:revisionPtr revIDLastSave="0" documentId="8_{3DF06D8C-8FB3-408A-9641-DF223B9E24BC}" xr6:coauthVersionLast="40" xr6:coauthVersionMax="40" xr10:uidLastSave="{00000000-0000-0000-0000-000000000000}"/>
  <bookViews>
    <workbookView xWindow="0" yWindow="0" windowWidth="19200" windowHeight="8150" tabRatio="437" activeTab="2" xr2:uid="{00000000-000D-0000-FFFF-FFFF00000000}"/>
  </bookViews>
  <sheets>
    <sheet name="Guidelines" sheetId="1" r:id="rId1"/>
    <sheet name="Program-Level Adjustments" sheetId="2" r:id="rId2"/>
    <sheet name="Measure-Level Adjustments" sheetId="4" r:id="rId3"/>
    <sheet name="4.2.1" sheetId="6" r:id="rId4"/>
    <sheet name="4.2.3" sheetId="7" r:id="rId5"/>
    <sheet name="4.2.4" sheetId="8" r:id="rId6"/>
    <sheet name="4.2.5" sheetId="9" r:id="rId7"/>
    <sheet name="4.2.7" sheetId="10" r:id="rId8"/>
    <sheet name="4.2.8" sheetId="11" r:id="rId9"/>
    <sheet name="4.2.11" sheetId="12" r:id="rId10"/>
    <sheet name="4.2.12" sheetId="13" r:id="rId11"/>
    <sheet name="4.2.13" sheetId="14" r:id="rId12"/>
    <sheet name="4.2.14" sheetId="15" r:id="rId13"/>
    <sheet name="4.2.15" sheetId="16" r:id="rId14"/>
    <sheet name="4.2.17" sheetId="17" r:id="rId15"/>
    <sheet name="4.2.18" sheetId="18" r:id="rId16"/>
    <sheet name="4.3.1" sheetId="19" r:id="rId17"/>
    <sheet name="4.3.2" sheetId="20" r:id="rId18"/>
    <sheet name="4.3.3" sheetId="21" r:id="rId19"/>
    <sheet name="4.3.4" sheetId="22" r:id="rId20"/>
    <sheet name="4.3.6" sheetId="23" r:id="rId21"/>
    <sheet name="4.4.2" sheetId="24" r:id="rId22"/>
    <sheet name="4.4.3" sheetId="25" r:id="rId23"/>
    <sheet name="4.4.4" sheetId="26" r:id="rId24"/>
    <sheet name="4.4.5" sheetId="27" r:id="rId25"/>
    <sheet name="4.4.10" sheetId="28" r:id="rId26"/>
    <sheet name="4.4.11" sheetId="29" r:id="rId27"/>
    <sheet name="4.4.12" sheetId="30" r:id="rId28"/>
    <sheet name="4.4.14" sheetId="31" r:id="rId29"/>
    <sheet name="4.4.16" sheetId="32" r:id="rId30"/>
    <sheet name="4.4.18" sheetId="33" r:id="rId31"/>
    <sheet name="4.4.19" sheetId="34" r:id="rId32"/>
    <sheet name="4.4.24 " sheetId="35" r:id="rId33"/>
    <sheet name="4.8.4" sheetId="36" r:id="rId34"/>
    <sheet name="5.3.4" sheetId="37" r:id="rId35"/>
    <sheet name="5.3.6" sheetId="38" r:id="rId36"/>
    <sheet name="5.3.7" sheetId="39" r:id="rId37"/>
    <sheet name="5.3.11" sheetId="40" r:id="rId38"/>
    <sheet name="5.3.13" sheetId="41" r:id="rId39"/>
    <sheet name="5.3.16" sheetId="42" r:id="rId40"/>
    <sheet name="5.4.1" sheetId="43" r:id="rId41"/>
    <sheet name="5.4.2" sheetId="44" r:id="rId42"/>
    <sheet name="5.4.4" sheetId="45" r:id="rId43"/>
    <sheet name="5.4.5" sheetId="46" r:id="rId44"/>
    <sheet name="5.4.6" sheetId="47" r:id="rId45"/>
    <sheet name="5.6.1" sheetId="48" r:id="rId46"/>
    <sheet name="5.6.2" sheetId="49" r:id="rId47"/>
    <sheet name="5.6.3" sheetId="50" r:id="rId48"/>
    <sheet name="5.6.4 &amp; 5.6.5" sheetId="51" r:id="rId49"/>
    <sheet name="Kits" sheetId="52" r:id="rId50"/>
    <sheet name="List" sheetId="53" state="hidden" r:id="rId51"/>
  </sheets>
  <externalReferences>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s>
  <definedNames>
    <definedName name="\A" localSheetId="0">#REF!</definedName>
    <definedName name="\A" localSheetId="2">#REF!</definedName>
    <definedName name="\A" localSheetId="1">#REF!</definedName>
    <definedName name="\AA" localSheetId="0">#REF!</definedName>
    <definedName name="\AA" localSheetId="2">#REF!</definedName>
    <definedName name="\AA" localSheetId="1">#REF!</definedName>
    <definedName name="\B" localSheetId="0">#REF!</definedName>
    <definedName name="\B" localSheetId="2">#REF!</definedName>
    <definedName name="\B" localSheetId="1">#REF!</definedName>
    <definedName name="\C" localSheetId="0">#REF!</definedName>
    <definedName name="\C" localSheetId="2">#REF!</definedName>
    <definedName name="\C" localSheetId="1">#REF!</definedName>
    <definedName name="\D" localSheetId="0">#REF!</definedName>
    <definedName name="\D" localSheetId="2">#REF!</definedName>
    <definedName name="\D" localSheetId="1">#REF!</definedName>
    <definedName name="\I" localSheetId="0">#REF!</definedName>
    <definedName name="\I" localSheetId="2">#REF!</definedName>
    <definedName name="\I" localSheetId="1">#REF!</definedName>
    <definedName name="\J" localSheetId="0">#REF!</definedName>
    <definedName name="\J" localSheetId="2">#REF!</definedName>
    <definedName name="\J" localSheetId="1">#REF!</definedName>
    <definedName name="\P" localSheetId="0">#REF!</definedName>
    <definedName name="\P" localSheetId="2">#REF!</definedName>
    <definedName name="\P" localSheetId="1">#REF!</definedName>
    <definedName name="\Q" localSheetId="0">#REF!</definedName>
    <definedName name="\Q" localSheetId="2">#REF!</definedName>
    <definedName name="\Q" localSheetId="1">#REF!</definedName>
    <definedName name="\R" localSheetId="0">#REF!</definedName>
    <definedName name="\R" localSheetId="2">#REF!</definedName>
    <definedName name="\R" localSheetId="1">#REF!</definedName>
    <definedName name="\S" localSheetId="0">#REF!</definedName>
    <definedName name="\S" localSheetId="2">#REF!</definedName>
    <definedName name="\S" localSheetId="1">#REF!</definedName>
    <definedName name="\X" localSheetId="0">#REF!</definedName>
    <definedName name="\X" localSheetId="2">#REF!</definedName>
    <definedName name="\X" localSheetId="1">#REF!</definedName>
    <definedName name="_A" localSheetId="0">#REF!</definedName>
    <definedName name="_A" localSheetId="2">#REF!</definedName>
    <definedName name="_A" localSheetId="1">#REF!</definedName>
    <definedName name="_B" localSheetId="0">#REF!</definedName>
    <definedName name="_B" localSheetId="2">#REF!</definedName>
    <definedName name="_B" localSheetId="1">#REF!</definedName>
    <definedName name="_C" localSheetId="0">#REF!</definedName>
    <definedName name="_C" localSheetId="2">#REF!</definedName>
    <definedName name="_C" localSheetId="1">#REF!</definedName>
    <definedName name="_xlnm._FilterDatabase" localSheetId="43" hidden="1">'5.4.5'!$A$3:$AI$7</definedName>
    <definedName name="_xlnm._FilterDatabase" localSheetId="2" hidden="1">'Measure-Level Adjustments'!$A$7:$BV$309</definedName>
    <definedName name="_ftn1" localSheetId="34">'5.3.4'!#REF!</definedName>
    <definedName name="_ftn2" localSheetId="16">'4.3.1'!$A$70</definedName>
    <definedName name="_ftn2" localSheetId="34">'5.3.4'!#REF!</definedName>
    <definedName name="_ftn3" localSheetId="17">'4.3.2'!#REF!</definedName>
    <definedName name="_ftn3" localSheetId="39">'5.3.16'!$B$99</definedName>
    <definedName name="_ftn4" localSheetId="43">'5.4.5'!$H$80</definedName>
    <definedName name="_ftnref1" localSheetId="34">'5.3.4'!#REF!</definedName>
    <definedName name="_ftnref2" localSheetId="34">'5.3.4'!#REF!</definedName>
    <definedName name="_ftnref2" localSheetId="42">'5.4.4'!$C$85</definedName>
    <definedName name="_ftnref3" localSheetId="17">'4.3.2'!$F$70</definedName>
    <definedName name="_ftnref3" localSheetId="42">'5.4.4'!$C$87</definedName>
    <definedName name="_ftnref4" localSheetId="43">'5.4.5'!$J$75</definedName>
    <definedName name="_guide" localSheetId="2">#REF!</definedName>
    <definedName name="_guide" localSheetId="1">#REF!</definedName>
    <definedName name="_Ref325899123" localSheetId="27">'4.4.12'!$B$3</definedName>
    <definedName name="_Toc319489360" localSheetId="34">'5.3.4'!#REF!</definedName>
    <definedName name="a" localSheetId="30">#REF!</definedName>
    <definedName name="a" localSheetId="31">#REF!</definedName>
    <definedName name="a" localSheetId="33">#REF!</definedName>
    <definedName name="a" localSheetId="2">#REF!</definedName>
    <definedName name="aa" localSheetId="30">#REF!</definedName>
    <definedName name="aa" localSheetId="31">#REF!</definedName>
    <definedName name="aa" localSheetId="33">#REF!</definedName>
    <definedName name="aa" localSheetId="2">#REF!</definedName>
    <definedName name="aaa" localSheetId="30">#REF!</definedName>
    <definedName name="aaa" localSheetId="31">#REF!</definedName>
    <definedName name="aaa" localSheetId="33">#REF!</definedName>
    <definedName name="aaa" localSheetId="2">#REF!</definedName>
    <definedName name="ADCWCF1" localSheetId="30">'[1]4.6.1'!$B$11:$B$12</definedName>
    <definedName name="ADCWCF1" localSheetId="31">'[1]4.6.1'!$B$11:$B$12</definedName>
    <definedName name="ADCWCF1" localSheetId="33">'[1]4.6.1'!$B$11:$B$12</definedName>
    <definedName name="ADCWCF1">'[2]4.6.1'!$B$11:$B$12</definedName>
    <definedName name="AnalysisYear">'[3]Discounting Tables'!$B$4</definedName>
    <definedName name="ArSl1" localSheetId="29">'[4]5.6.1'!$P$7:$P$9</definedName>
    <definedName name="ArSl1" localSheetId="30">'[5]5.6.1'!$P$7:$P$9</definedName>
    <definedName name="ArSl1" localSheetId="31">'[5]5.6.1'!$P$7:$P$9</definedName>
    <definedName name="ArSl1" localSheetId="33">'[5]5.6.1'!$P$7:$P$9</definedName>
    <definedName name="ArSl1" localSheetId="38">'[4]5.6.1'!$P$7:$P$9</definedName>
    <definedName name="ArSl1" localSheetId="34">'[4]5.6.1'!$P$7:$P$9</definedName>
    <definedName name="ArSl1" localSheetId="36">'[6]5.6.1'!$P$7:$P$9</definedName>
    <definedName name="ArSl1" localSheetId="40">'[4]5.6.1'!$P$7:$P$9</definedName>
    <definedName name="ArSl1" localSheetId="41">'[7]5.6.1'!$A$129:$A$131</definedName>
    <definedName name="ArSl1" localSheetId="44">'[4]5.6.1'!$P$7:$P$9</definedName>
    <definedName name="ArSl1" localSheetId="47">'[4]5.6.1'!$P$7:$P$9</definedName>
    <definedName name="ArSl1" localSheetId="50">'[4]5.6.1'!$P$7:$P$9</definedName>
    <definedName name="ArSl1">'[8]5.6.1'!$A$129:$A$131</definedName>
    <definedName name="ArSl2" localSheetId="29">'[4]5.6.1'!$H$49:$H$51</definedName>
    <definedName name="ArSl2" localSheetId="30">'[5]5.6.1'!$H$48:$H$50</definedName>
    <definedName name="ArSl2" localSheetId="31">'[5]5.6.1'!$H$48:$H$50</definedName>
    <definedName name="ArSl2" localSheetId="33">'[5]5.6.1'!$H$48:$H$50</definedName>
    <definedName name="ArSl2" localSheetId="38">'[4]5.6.1'!$H$49:$H$51</definedName>
    <definedName name="ArSl2" localSheetId="34">'[4]5.6.1'!$H$49:$H$51</definedName>
    <definedName name="ArSl2" localSheetId="35">'[8]5.6.1'!#REF!</definedName>
    <definedName name="ArSl2" localSheetId="36">'[6]5.6.1'!$H$49:$H$51</definedName>
    <definedName name="ArSl2" localSheetId="40">'[4]5.6.1'!$H$49:$H$51</definedName>
    <definedName name="ArSl2" localSheetId="41">'[7]5.6.1'!#REF!</definedName>
    <definedName name="ArSl2" localSheetId="42">'[8]5.6.1'!#REF!</definedName>
    <definedName name="ArSl2" localSheetId="44">'[4]5.6.1'!$H$49:$H$51</definedName>
    <definedName name="ArSl2" localSheetId="46">'[8]5.6.1'!#REF!</definedName>
    <definedName name="ArSl2" localSheetId="47">'[4]5.6.1'!$H$49:$H$51</definedName>
    <definedName name="ArSl2" localSheetId="48">'[8]5.6.1'!#REF!</definedName>
    <definedName name="ArSl2" localSheetId="50">'[4]5.6.1'!$H$49:$H$51</definedName>
    <definedName name="ArSl2" localSheetId="2">'[9]5.6.1'!#REF!</definedName>
    <definedName name="ArSl3" localSheetId="29">'[4]5.6.1'!$J$48:$M$48</definedName>
    <definedName name="ArSl3" localSheetId="30">'[5]5.6.1'!$J$47:$M$47</definedName>
    <definedName name="ArSl3" localSheetId="31">'[5]5.6.1'!$J$47:$M$47</definedName>
    <definedName name="ArSl3" localSheetId="33">'[5]5.6.1'!$J$47:$M$47</definedName>
    <definedName name="ArSl3" localSheetId="38">'[4]5.6.1'!$J$48:$M$48</definedName>
    <definedName name="ArSl3" localSheetId="34">'[4]5.6.1'!$J$48:$M$48</definedName>
    <definedName name="ArSl3" localSheetId="36">'[6]5.6.1'!$J$48:$M$48</definedName>
    <definedName name="ArSl3" localSheetId="40">'[4]5.6.1'!$J$48:$M$48</definedName>
    <definedName name="ArSl3" localSheetId="44">'[4]5.6.1'!$J$48:$M$48</definedName>
    <definedName name="ArSl3" localSheetId="47">'[4]5.6.1'!$J$48:$M$48</definedName>
    <definedName name="ArSl3" localSheetId="50">'[4]5.6.1'!$J$48:$M$48</definedName>
    <definedName name="ArSl3">'[8]5.6.1'!$J$122:$J$122</definedName>
    <definedName name="ArSl4" localSheetId="29">'[4]5.6.1'!$M$14:$M$15</definedName>
    <definedName name="ArSl4" localSheetId="30">'[5]5.6.1'!$M$14:$M$15</definedName>
    <definedName name="ArSl4" localSheetId="31">'[5]5.6.1'!$M$14:$M$15</definedName>
    <definedName name="ArSl4" localSheetId="33">'[5]5.6.1'!$M$14:$M$15</definedName>
    <definedName name="ArSl4" localSheetId="38">'[4]5.6.1'!$M$14:$M$15</definedName>
    <definedName name="ArSl4" localSheetId="34">'[4]5.6.1'!$M$14:$M$15</definedName>
    <definedName name="ArSl4" localSheetId="36">'[6]5.6.1'!$M$14:$M$15</definedName>
    <definedName name="ArSl4" localSheetId="40">'[4]5.6.1'!$M$14:$M$15</definedName>
    <definedName name="ArSl4" localSheetId="41">'[7]5.6.1'!$A$124:$A$125</definedName>
    <definedName name="ArSl4" localSheetId="44">'[4]5.6.1'!$M$14:$M$15</definedName>
    <definedName name="ArSl4" localSheetId="47">'[4]5.6.1'!$M$14:$M$15</definedName>
    <definedName name="ArSl4" localSheetId="50">'[4]5.6.1'!$M$14:$M$15</definedName>
    <definedName name="ArSl4">'[8]5.6.1'!$A$124:$A$125</definedName>
    <definedName name="ASHP1" localSheetId="29">'[4]5.3.1'!$K$38:$K$40</definedName>
    <definedName name="ASHP1" localSheetId="30">'[5]5.3.1'!$K$38:$K$40</definedName>
    <definedName name="ASHP1" localSheetId="31">'[5]5.3.1'!$K$38:$K$40</definedName>
    <definedName name="ASHP1" localSheetId="33">'[5]5.3.1'!$K$38:$K$40</definedName>
    <definedName name="ASHP1" localSheetId="38">'[4]5.3.1'!$K$38:$K$40</definedName>
    <definedName name="ASHP1" localSheetId="34">'[4]5.3.1'!$K$38:$K$40</definedName>
    <definedName name="ASHP1" localSheetId="36">'[6]5.3.1'!$K$38:$K$40</definedName>
    <definedName name="ASHP1" localSheetId="40">'[4]5.3.1'!$K$38:$K$40</definedName>
    <definedName name="ASHP1" localSheetId="41">'[7]5.3.1'!$G$50:$G$52</definedName>
    <definedName name="ASHP1" localSheetId="44">'[4]5.3.1'!$K$38:$K$40</definedName>
    <definedName name="ASHP1" localSheetId="47">'[4]5.3.1'!$K$38:$K$40</definedName>
    <definedName name="ASHP1" localSheetId="50">'[4]5.3.1'!$K$38:$K$40</definedName>
    <definedName name="ASHP1">'[8]5.3.1'!$K$38:$K$40</definedName>
    <definedName name="ASHP2" localSheetId="29">'[4]5.3.1'!$O$38:$O$39</definedName>
    <definedName name="ASHP2" localSheetId="30">'[5]5.3.1'!$O$38:$O$39</definedName>
    <definedName name="ASHP2" localSheetId="31">'[5]5.3.1'!$O$38:$O$39</definedName>
    <definedName name="ASHP2" localSheetId="33">'[5]5.3.1'!$O$38:$O$39</definedName>
    <definedName name="ASHP2" localSheetId="38">'[4]5.3.1'!$O$38:$O$39</definedName>
    <definedName name="ASHP2" localSheetId="34">'[4]5.3.1'!$O$38:$O$39</definedName>
    <definedName name="ASHP2" localSheetId="36">'[6]5.3.1'!$O$38:$O$39</definedName>
    <definedName name="ASHP2" localSheetId="40">'[4]5.3.1'!$O$38:$O$39</definedName>
    <definedName name="ASHP2" localSheetId="41">'[7]5.3.1'!$K$50:$K$51</definedName>
    <definedName name="ASHP2" localSheetId="44">'[4]5.3.1'!$O$38:$O$39</definedName>
    <definedName name="ASHP2" localSheetId="47">'[4]5.3.1'!$O$38:$O$39</definedName>
    <definedName name="ASHP2" localSheetId="50">'[4]5.3.1'!$O$38:$O$39</definedName>
    <definedName name="ASHP2">'[8]5.3.1'!$O$38:$O$39</definedName>
    <definedName name="ASHP3" localSheetId="29">'[4]5.3.1'!$I$22:$I$24</definedName>
    <definedName name="ASHP3" localSheetId="30">'[5]5.3.1'!$I$22:$I$24</definedName>
    <definedName name="ASHP3" localSheetId="31">'[5]5.3.1'!$I$22:$I$24</definedName>
    <definedName name="ASHP3" localSheetId="33">'[5]5.3.1'!$I$22:$I$24</definedName>
    <definedName name="ASHP3" localSheetId="38">'[4]5.3.1'!$I$22:$I$24</definedName>
    <definedName name="ASHP3" localSheetId="34">'[4]5.3.1'!$I$22:$I$24</definedName>
    <definedName name="ASHP3" localSheetId="36">'[6]5.3.1'!$I$22:$I$24</definedName>
    <definedName name="ASHP3" localSheetId="40">'[4]5.3.1'!$I$22:$I$24</definedName>
    <definedName name="ASHP3" localSheetId="41">'[7]5.3.1'!$I$22:$I$24</definedName>
    <definedName name="ASHP3" localSheetId="44">'[4]5.3.1'!$I$22:$I$24</definedName>
    <definedName name="ASHP3" localSheetId="47">'[4]5.3.1'!$I$22:$I$24</definedName>
    <definedName name="ASHP3" localSheetId="50">'[4]5.3.1'!$I$22:$I$24</definedName>
    <definedName name="ASHP3">'[8]5.3.1'!$I$22:$I$24</definedName>
    <definedName name="Attic_Area">[10]RES!$D$11</definedName>
    <definedName name="Baseline_Adjustments" localSheetId="49">#REF!</definedName>
    <definedName name="Baseline_Adjustments" localSheetId="2">#REF!</definedName>
    <definedName name="BLRCtl1">'4.4.4'!$B$35:$B$43</definedName>
    <definedName name="Bob" localSheetId="0">#REF!</definedName>
    <definedName name="Bob" localSheetId="2">#REF!</definedName>
    <definedName name="Bob" localSheetId="1">#REF!</definedName>
    <definedName name="Boiler_Tuneup_MBH_range" localSheetId="29">'[11]4.4.2'!$D$46:$D$52</definedName>
    <definedName name="Boiler_Tuneup_MBH_range" localSheetId="30">'[12]4.4.2'!$O$15:$O$21</definedName>
    <definedName name="Boiler_Tuneup_MBH_range" localSheetId="31">'[12]4.4.2'!$O$15:$O$21</definedName>
    <definedName name="Boiler_Tuneup_MBH_range" localSheetId="33">'[12]4.4.2'!$O$15:$O$21</definedName>
    <definedName name="Boiler_Tuneup_MBH_range" localSheetId="38">'[13]4.4.2'!$D$45:$D$51</definedName>
    <definedName name="Boiler_Tuneup_MBH_range" localSheetId="41">'[13]4.4.2'!$D$45:$D$51</definedName>
    <definedName name="Boiler_Tuneup_MBH_range" localSheetId="47">'[13]4.4.2'!$D$45:$D$51</definedName>
    <definedName name="Boiler_Tuneup_MBH_range" localSheetId="49">'[13]4.4.2'!$D$45:$D$51</definedName>
    <definedName name="Boiler_Tuneup_MBH_range" localSheetId="50">'[11]4.4.2'!$D$46:$D$52</definedName>
    <definedName name="Boiler_Tuneup_MBH_range">'[11]4.4.2'!$D$45:$D$51</definedName>
    <definedName name="BSIn1" localSheetId="29">'[4]5.6.2'!$O$11:$O$13</definedName>
    <definedName name="BSIn1" localSheetId="30">'[5]5.6.2'!$O$11:$O$13</definedName>
    <definedName name="BSIn1" localSheetId="31">'[5]5.6.2'!$O$11:$O$13</definedName>
    <definedName name="BSIn1" localSheetId="33">'[5]5.6.2'!$O$11:$O$13</definedName>
    <definedName name="BSIn1" localSheetId="38">'[4]5.6.2'!$O$11:$O$13</definedName>
    <definedName name="BSIn1" localSheetId="39">'[8]5.6.2'!#REF!</definedName>
    <definedName name="BSIn1" localSheetId="34">'[4]5.6.2'!$O$11:$O$13</definedName>
    <definedName name="BSIn1" localSheetId="36">'[6]5.6.2'!$O$11:$O$13</definedName>
    <definedName name="BSIn1" localSheetId="40">'[4]5.6.2'!$O$11:$O$13</definedName>
    <definedName name="BSIn1" localSheetId="41">'[7]5.6.2'!#REF!</definedName>
    <definedName name="BSIn1" localSheetId="44">'[4]5.6.2'!$O$11:$O$13</definedName>
    <definedName name="BSIn1" localSheetId="47">'[4]5.6.2'!$O$11:$O$13</definedName>
    <definedName name="BSIn1" localSheetId="50">'[4]5.6.2'!$O$11:$O$13</definedName>
    <definedName name="BSIn1" localSheetId="2">'[8]5.6.2'!#REF!</definedName>
    <definedName name="BSIn1">'[8]5.6.2'!#REF!</definedName>
    <definedName name="BSMC1" localSheetId="30">'[1]4.6.2'!$B$18:$B$20</definedName>
    <definedName name="BSMC1" localSheetId="31">'[1]4.6.2'!$B$18:$B$20</definedName>
    <definedName name="BSMC1" localSheetId="33">'[1]4.6.2'!$B$18:$B$20</definedName>
    <definedName name="BSMC1">'[2]4.6.2'!$B$18:$B$20</definedName>
    <definedName name="building_codes" localSheetId="0">'[14]BenCost Input Summary'!#REF!</definedName>
    <definedName name="building_codes" localSheetId="2">'[14]BenCost Input Summary'!#REF!</definedName>
    <definedName name="building_codes" localSheetId="1">'[14]BenCost Input Summary'!#REF!</definedName>
    <definedName name="building_codes_measures" localSheetId="0">'[14]BenCost Input Summary'!#REF!</definedName>
    <definedName name="building_codes_measures" localSheetId="2">'[14]BenCost Input Summary'!#REF!</definedName>
    <definedName name="building_codes_measures" localSheetId="1">'[14]BenCost Input Summary'!#REF!</definedName>
    <definedName name="building_tuneup" localSheetId="0">'[14]BenCost Input Summary'!#REF!</definedName>
    <definedName name="building_tuneup" localSheetId="2">'[14]BenCost Input Summary'!#REF!</definedName>
    <definedName name="building_tuneup" localSheetId="1">'[14]BenCost Input Summary'!#REF!</definedName>
    <definedName name="Building_Types" localSheetId="49">#REF!</definedName>
    <definedName name="Building_Types" localSheetId="2">#REF!</definedName>
    <definedName name="Building1" localSheetId="28">'4.4.14'!$B$160:$B$176</definedName>
    <definedName name="Building1" localSheetId="30">#REF!</definedName>
    <definedName name="Building1" localSheetId="31">#REF!</definedName>
    <definedName name="Building1" localSheetId="32">'4.4.24 '!$M$11:$M$51</definedName>
    <definedName name="Building1" localSheetId="33">#REF!</definedName>
    <definedName name="Building1" localSheetId="2">#REF!</definedName>
    <definedName name="Building2" localSheetId="28">'4.4.14'!$B$177</definedName>
    <definedName name="Building2" localSheetId="30">#REF!</definedName>
    <definedName name="Building2" localSheetId="31">#REF!</definedName>
    <definedName name="Building2" localSheetId="32">'4.4.24 '!$M$52</definedName>
    <definedName name="Building2" localSheetId="33">#REF!</definedName>
    <definedName name="Building2" localSheetId="2">#REF!</definedName>
    <definedName name="CeAC1" localSheetId="29">'[4]5.3.3'!$L$7:$L$8</definedName>
    <definedName name="CeAC1" localSheetId="30">'[5]5.3.3'!$L$7:$L$8</definedName>
    <definedName name="CeAC1" localSheetId="31">'[5]5.3.3'!$L$7:$L$8</definedName>
    <definedName name="CeAC1" localSheetId="33">'[5]5.3.3'!$L$7:$L$8</definedName>
    <definedName name="CeAC1" localSheetId="38">'[4]5.3.3'!$L$7:$L$8</definedName>
    <definedName name="CeAC1" localSheetId="34">'[4]5.3.3'!$L$7:$L$8</definedName>
    <definedName name="CeAC1" localSheetId="36">'[6]5.3.3'!$L$7:$L$8</definedName>
    <definedName name="CeAC1" localSheetId="40">'[4]5.3.3'!$L$7:$L$8</definedName>
    <definedName name="CeAC1" localSheetId="41">'[7]5.3.3'!$L$7:$L$8</definedName>
    <definedName name="CeAC1" localSheetId="44">'[4]5.3.3'!$L$7:$L$8</definedName>
    <definedName name="CeAC1" localSheetId="47">'[4]5.3.3'!$L$7:$L$8</definedName>
    <definedName name="CeAC1" localSheetId="50">'[4]5.3.3'!$L$7:$L$8</definedName>
    <definedName name="CeAC1">'[8]5.3.3'!$L$7:$L$8</definedName>
    <definedName name="CeAC2" localSheetId="29">'[4]5.3.3'!$G$24:$G$32</definedName>
    <definedName name="CeAC2" localSheetId="30">'[5]5.3.3'!$G$24:$G$32</definedName>
    <definedName name="CeAC2" localSheetId="31">'[5]5.3.3'!$G$24:$G$32</definedName>
    <definedName name="CeAC2" localSheetId="33">'[5]5.3.3'!$G$24:$G$32</definedName>
    <definedName name="CeAC2" localSheetId="38">'[4]5.3.3'!$G$24:$G$32</definedName>
    <definedName name="CeAC2" localSheetId="34">'[4]5.3.3'!$G$24:$G$32</definedName>
    <definedName name="CeAC2" localSheetId="36">'[6]5.3.3'!$G$24:$G$32</definedName>
    <definedName name="CeAC2" localSheetId="40">'[4]5.3.3'!$G$24:$G$32</definedName>
    <definedName name="CeAC2" localSheetId="41">'[7]5.3.3'!$G$24:$G$32</definedName>
    <definedName name="CeAC2" localSheetId="44">'[4]5.3.3'!$G$24:$G$32</definedName>
    <definedName name="CeAC2" localSheetId="47">'[4]5.3.3'!$G$24:$G$32</definedName>
    <definedName name="CeAC2" localSheetId="50">'[4]5.3.3'!$G$24:$G$32</definedName>
    <definedName name="CeAC2">'[8]5.3.3'!$G$24:$G$32</definedName>
    <definedName name="CESCFL1" localSheetId="30">'[12]4.5.1'!$M$12:$M$19</definedName>
    <definedName name="CESCFL1" localSheetId="31">'[12]4.5.1'!$M$12:$M$19</definedName>
    <definedName name="CESCFL1" localSheetId="33">'[12]4.5.1'!$M$12:$M$19</definedName>
    <definedName name="CESCFL1" localSheetId="38">'[13]4.5.1'!$M$12:$M$19</definedName>
    <definedName name="CESCFL1" localSheetId="41">'[13]4.5.1'!$M$12:$M$19</definedName>
    <definedName name="CESCFL1" localSheetId="47">'[13]4.5.1'!$M$12:$M$19</definedName>
    <definedName name="CESCFL1" localSheetId="49">'[13]4.5.1'!$M$12:$M$19</definedName>
    <definedName name="CESCFL1">'[11]4.5.1'!$M$12:$M$19</definedName>
    <definedName name="CESCFL2" localSheetId="30">'[12]4.5.1'!$B$52:$B$59</definedName>
    <definedName name="CESCFL2" localSheetId="31">'[12]4.5.1'!$B$52:$B$59</definedName>
    <definedName name="CESCFL2" localSheetId="33">'[12]4.5.1'!$B$52:$B$59</definedName>
    <definedName name="CESCFL2" localSheetId="38">'[13]4.5.1'!$B$52:$B$59</definedName>
    <definedName name="CESCFL2" localSheetId="41">'[13]4.5.1'!$B$52:$B$59</definedName>
    <definedName name="CESCFL2" localSheetId="47">'[13]4.5.1'!$B$52:$B$59</definedName>
    <definedName name="CESCFL2" localSheetId="49">'[13]4.5.1'!$B$52:$B$59</definedName>
    <definedName name="CESCFL2">'[11]4.5.1'!$B$52:$B$59</definedName>
    <definedName name="CESCFL3" localSheetId="30">'[12]4.5.1'!$B$23:$B$45</definedName>
    <definedName name="CESCFL3" localSheetId="31">'[12]4.5.1'!$B$23:$B$45</definedName>
    <definedName name="CESCFL3" localSheetId="33">'[12]4.5.1'!$B$23:$B$45</definedName>
    <definedName name="CESCFL3" localSheetId="38">'[13]4.5.1'!$B$23:$B$45</definedName>
    <definedName name="CESCFL3" localSheetId="41">'[13]4.5.1'!$B$23:$B$45</definedName>
    <definedName name="CESCFL3" localSheetId="47">'[13]4.5.1'!$B$23:$B$45</definedName>
    <definedName name="CESCFL3" localSheetId="49">'[13]4.5.1'!$B$23:$B$45</definedName>
    <definedName name="CESCFL3">'[11]4.5.1'!$B$23:$B$45</definedName>
    <definedName name="CESCFL4" localSheetId="30">'[12]4.5.1'!$M$7:$M$9</definedName>
    <definedName name="CESCFL4" localSheetId="31">'[12]4.5.1'!$M$7:$M$9</definedName>
    <definedName name="CESCFL4" localSheetId="33">'[12]4.5.1'!$M$7:$M$9</definedName>
    <definedName name="CESCFL4" localSheetId="38">'[13]4.5.1'!$M$7:$M$9</definedName>
    <definedName name="CESCFL4" localSheetId="41">'[13]4.5.1'!$M$7:$M$9</definedName>
    <definedName name="CESCFL4" localSheetId="47">'[13]4.5.1'!$M$7:$M$9</definedName>
    <definedName name="CESCFL4" localSheetId="49">'[13]4.5.1'!$M$7:$M$9</definedName>
    <definedName name="CESCFL4">'[11]4.5.1'!$M$7:$M$9</definedName>
    <definedName name="CESCFL5" localSheetId="30">'[12]4.5.1'!$K$33:$K$47</definedName>
    <definedName name="CESCFL5" localSheetId="31">'[12]4.5.1'!$K$33:$K$47</definedName>
    <definedName name="CESCFL5" localSheetId="33">'[12]4.5.1'!$K$33:$K$47</definedName>
    <definedName name="CESCFL5" localSheetId="38">'[13]4.5.1'!$K$33:$K$47</definedName>
    <definedName name="CESCFL5" localSheetId="41">'[13]4.5.1'!$K$33:$K$47</definedName>
    <definedName name="CESCFL5" localSheetId="47">'[13]4.5.1'!$K$33:$K$47</definedName>
    <definedName name="CESCFL5" localSheetId="49">'[13]4.5.1'!$K$33:$K$47</definedName>
    <definedName name="CESCFL5">'[11]4.5.1'!$K$33:$K$47</definedName>
    <definedName name="CI_BC" localSheetId="0">'[14]BenCost Input Summary'!#REF!</definedName>
    <definedName name="CI_BC" localSheetId="2">'[14]BenCost Input Summary'!#REF!</definedName>
    <definedName name="CI_BC" localSheetId="1">'[14]BenCost Input Summary'!#REF!</definedName>
    <definedName name="ci_bc_total" localSheetId="0">'[14]BenCost Input Summary'!#REF!</definedName>
    <definedName name="ci_bc_total" localSheetId="2">'[14]BenCost Input Summary'!#REF!</definedName>
    <definedName name="ci_bc_total" localSheetId="1">'[14]BenCost Input Summary'!#REF!</definedName>
    <definedName name="CI_Custom" localSheetId="0">'[14]BenCost Input Summary'!#REF!</definedName>
    <definedName name="CI_Custom" localSheetId="2">'[14]BenCost Input Summary'!#REF!</definedName>
    <definedName name="CI_Custom" localSheetId="1">'[14]BenCost Input Summary'!#REF!</definedName>
    <definedName name="ci_custom_measures" localSheetId="0">'[14]BenCost Input Summary'!#REF!</definedName>
    <definedName name="ci_custom_measures" localSheetId="2">'[14]BenCost Input Summary'!#REF!</definedName>
    <definedName name="ci_custom_measures" localSheetId="1">'[14]BenCost Input Summary'!#REF!</definedName>
    <definedName name="ci_custom_total" localSheetId="0">'[14]BenCost Input Summary'!#REF!</definedName>
    <definedName name="ci_custom_total" localSheetId="2">'[14]BenCost Input Summary'!#REF!</definedName>
    <definedName name="ci_custom_total" localSheetId="1">'[14]BenCost Input Summary'!#REF!</definedName>
    <definedName name="CI_NC" localSheetId="0">'[14]BenCost Input Summary'!#REF!</definedName>
    <definedName name="CI_NC" localSheetId="2">'[14]BenCost Input Summary'!#REF!</definedName>
    <definedName name="CI_NC" localSheetId="1">'[14]BenCost Input Summary'!#REF!</definedName>
    <definedName name="ci_nc_total" localSheetId="0">'[14]BenCost Input Summary'!#REF!</definedName>
    <definedName name="ci_nc_total" localSheetId="2">'[14]BenCost Input Summary'!#REF!</definedName>
    <definedName name="ci_nc_total" localSheetId="1">'[14]BenCost Input Summary'!#REF!</definedName>
    <definedName name="CI_RC" localSheetId="0">'[14]BenCost Input Summary'!#REF!</definedName>
    <definedName name="CI_RC" localSheetId="2">'[14]BenCost Input Summary'!#REF!</definedName>
    <definedName name="CI_RC" localSheetId="1">'[14]BenCost Input Summary'!#REF!</definedName>
    <definedName name="CI_RC_Measures" localSheetId="0">'[14]BenCost Input Summary'!#REF!</definedName>
    <definedName name="CI_RC_Measures" localSheetId="2">'[14]BenCost Input Summary'!#REF!</definedName>
    <definedName name="CI_RC_Measures" localSheetId="1">'[14]BenCost Input Summary'!#REF!</definedName>
    <definedName name="ci_rc_total" localSheetId="0">'[14]BenCost Input Summary'!#REF!</definedName>
    <definedName name="ci_rc_total" localSheetId="2">'[14]BenCost Input Summary'!#REF!</definedName>
    <definedName name="ci_rc_total" localSheetId="1">'[14]BenCost Input Summary'!#REF!</definedName>
    <definedName name="CLES1" localSheetId="30">'[12]4.5.5'!$B$23:$B$25</definedName>
    <definedName name="CLES1" localSheetId="31">'[12]4.5.5'!$B$23:$B$25</definedName>
    <definedName name="CLES1" localSheetId="33">'[12]4.5.5'!$B$23:$B$25</definedName>
    <definedName name="CLES1" localSheetId="38">'[13]4.5.5'!$B$23:$B$25</definedName>
    <definedName name="CLES1" localSheetId="41">'[13]4.5.5'!$B$23:$B$25</definedName>
    <definedName name="CLES1" localSheetId="47">'[13]4.5.5'!$B$23:$B$25</definedName>
    <definedName name="CLES1" localSheetId="49">'[13]4.5.5'!$B$23:$B$25</definedName>
    <definedName name="CLES1">'[11]4.5.5'!$B$23:$B$25</definedName>
    <definedName name="CLES2" localSheetId="30">'[12]4.5.5'!$B$28:$B$52</definedName>
    <definedName name="CLES2" localSheetId="31">'[12]4.5.5'!$B$28:$B$52</definedName>
    <definedName name="CLES2" localSheetId="33">'[12]4.5.5'!$B$28:$B$52</definedName>
    <definedName name="CLES2" localSheetId="38">'[13]4.5.5'!$B$28:$B$52</definedName>
    <definedName name="CLES2" localSheetId="41">'[13]4.5.5'!$B$28:$B$52</definedName>
    <definedName name="CLES2" localSheetId="47">'[13]4.5.5'!$B$28:$B$52</definedName>
    <definedName name="CLES2" localSheetId="49">'[13]4.5.5'!$B$28:$B$52</definedName>
    <definedName name="CLES2">'[11]4.5.5'!$B$28:$B$52</definedName>
    <definedName name="Climate_Custom" localSheetId="29">'[11]4.4.2'!$A$46:$A$51</definedName>
    <definedName name="Climate_Custom" localSheetId="30">'[12]4.4.2'!$H$16:$H$21</definedName>
    <definedName name="Climate_Custom" localSheetId="31">'[12]4.4.2'!$H$16:$H$21</definedName>
    <definedName name="Climate_Custom" localSheetId="33">'[12]4.4.2'!$H$16:$H$21</definedName>
    <definedName name="Climate_Custom" localSheetId="38">'[13]4.4.2'!$A$45:$A$50</definedName>
    <definedName name="Climate_Custom" localSheetId="41">'[13]4.4.2'!$A$45:$A$50</definedName>
    <definedName name="Climate_Custom" localSheetId="47">'[13]4.4.2'!$A$45:$A$50</definedName>
    <definedName name="Climate_Custom" localSheetId="49">'[13]4.4.2'!$A$45:$A$50</definedName>
    <definedName name="Climate_Custom" localSheetId="50">'[11]4.4.2'!$A$46:$A$51</definedName>
    <definedName name="Climate_Custom">'[11]4.4.2'!$A$45:$A$50</definedName>
    <definedName name="Climate1" localSheetId="29">'[11]4.4.2'!$A$46:$A$51</definedName>
    <definedName name="Climate1" localSheetId="30">#REF!</definedName>
    <definedName name="Climate1" localSheetId="31">#REF!</definedName>
    <definedName name="Climate1" localSheetId="33">#REF!</definedName>
    <definedName name="Climate1" localSheetId="38">'[15]5.1.7'!$B$26:$B$31</definedName>
    <definedName name="Climate1" localSheetId="34">'[16]5.1.7'!$B$26:$B$31</definedName>
    <definedName name="Climate1" localSheetId="36">'[6]5.3.3'!$J$25:$J$30</definedName>
    <definedName name="Climate1" localSheetId="40">'[16]5.1.7'!$B$26:$B$31</definedName>
    <definedName name="Climate1" localSheetId="41">'[7]5.3.3'!$J$25:$J$30</definedName>
    <definedName name="Climate1" localSheetId="44">'[16]5.1.7'!$B$26:$B$31</definedName>
    <definedName name="Climate1" localSheetId="47">'[15]5.1.7'!$B$26:$B$31</definedName>
    <definedName name="Climate1" localSheetId="50">'[11]4.4.2'!$A$46:$A$51</definedName>
    <definedName name="Climate1">'[8]5.3.3'!$J$25:$J$30</definedName>
    <definedName name="commodity_cost">'[17]GENERAL INPUTS'!$B$17</definedName>
    <definedName name="Converted_Stock">'[18]Measure Mapping List'!$I$9:$O$49</definedName>
    <definedName name="convertedstock_lookup">'[18]Measure Mapping List'!$I$9:$O$49</definedName>
    <definedName name="CSCFL1" localSheetId="30">#REF!</definedName>
    <definedName name="CSCFL1" localSheetId="31">#REF!</definedName>
    <definedName name="CSCFL1" localSheetId="33">#REF!</definedName>
    <definedName name="CSCFL1" localSheetId="2">#REF!</definedName>
    <definedName name="CSCFL2" localSheetId="30">#REF!</definedName>
    <definedName name="CSCFL2" localSheetId="31">#REF!</definedName>
    <definedName name="CSCFL2" localSheetId="33">#REF!</definedName>
    <definedName name="CSCFL2" localSheetId="2">#REF!</definedName>
    <definedName name="CSCFL3" localSheetId="30">#REF!</definedName>
    <definedName name="CSCFL3" localSheetId="31">#REF!</definedName>
    <definedName name="CSCFL3" localSheetId="33">#REF!</definedName>
    <definedName name="CSCFL3" localSheetId="2">#REF!</definedName>
    <definedName name="CSCFL4" localSheetId="30">#REF!</definedName>
    <definedName name="CSCFL4" localSheetId="31">#REF!</definedName>
    <definedName name="CSCFL4" localSheetId="33">#REF!</definedName>
    <definedName name="CSCFL4" localSheetId="2">#REF!</definedName>
    <definedName name="CSCFL5" localSheetId="30">#REF!</definedName>
    <definedName name="CSCFL5" localSheetId="31">#REF!</definedName>
    <definedName name="CSCFL5" localSheetId="33">#REF!</definedName>
    <definedName name="CSCFL5" localSheetId="2">#REF!</definedName>
    <definedName name="CSCFL6" localSheetId="30">#REF!</definedName>
    <definedName name="CSCFL6" localSheetId="31">#REF!</definedName>
    <definedName name="CSCFL6" localSheetId="33">#REF!</definedName>
    <definedName name="CSCFL6" localSheetId="2">#REF!</definedName>
    <definedName name="CSCr1" localSheetId="29">'[11]4.2.3'!$B$74:$B$75</definedName>
    <definedName name="CSCr1" localSheetId="30">'[12]4.2.3'!$H$14:$H$15</definedName>
    <definedName name="CSCr1" localSheetId="31">'[12]4.2.3'!$H$14:$H$15</definedName>
    <definedName name="CSCr1" localSheetId="33">'[12]4.2.3'!$H$14:$H$15</definedName>
    <definedName name="CSCr1" localSheetId="38">'[13]4.2.3'!$B$73:$B$74</definedName>
    <definedName name="CSCr1" localSheetId="41">'[13]4.2.3'!$B$73:$B$74</definedName>
    <definedName name="CSCr1" localSheetId="47">'[13]4.2.3'!$B$73:$B$74</definedName>
    <definedName name="CSCr1" localSheetId="49">'[13]4.2.3'!$B$73:$B$74</definedName>
    <definedName name="CSCr1" localSheetId="50">'[11]4.2.3'!$B$74:$B$75</definedName>
    <definedName name="CSCr1">'[11]4.2.3'!$B$73:$B$74</definedName>
    <definedName name="CSCr2" localSheetId="29">'[11]4.2.3'!$A$79:$A$82</definedName>
    <definedName name="CSCr2" localSheetId="30">'[12]4.2.3'!$D$38:$D$41</definedName>
    <definedName name="CSCr2" localSheetId="31">'[12]4.2.3'!$D$38:$D$41</definedName>
    <definedName name="CSCr2" localSheetId="33">'[12]4.2.3'!$D$38:$D$41</definedName>
    <definedName name="CSCr2" localSheetId="38">'[13]4.2.3'!$A$78:$A$81</definedName>
    <definedName name="CSCr2" localSheetId="41">'[13]4.2.3'!$A$78:$A$81</definedName>
    <definedName name="CSCr2" localSheetId="47">'[13]4.2.3'!$A$78:$A$81</definedName>
    <definedName name="CSCr2" localSheetId="49">'[13]4.2.3'!$A$78:$A$81</definedName>
    <definedName name="CSCr2" localSheetId="50">'[11]4.2.3'!$A$79:$A$82</definedName>
    <definedName name="CSCr2">'[11]4.2.3'!$A$78:$A$81</definedName>
    <definedName name="CSCr3" localSheetId="29">'[11]4.2.3'!$A$86:$A$93</definedName>
    <definedName name="CSCr3" localSheetId="30">'[12]4.2.3'!$D$45:$D$52</definedName>
    <definedName name="CSCr3" localSheetId="31">'[12]4.2.3'!$D$45:$D$52</definedName>
    <definedName name="CSCr3" localSheetId="33">'[12]4.2.3'!$D$45:$D$52</definedName>
    <definedName name="CSCr3" localSheetId="38">'[13]4.2.3'!$A$85:$A$92</definedName>
    <definedName name="CSCr3" localSheetId="41">'[13]4.2.3'!$A$85:$A$92</definedName>
    <definedName name="CSCr3" localSheetId="47">'[13]4.2.3'!$A$85:$A$92</definedName>
    <definedName name="CSCr3" localSheetId="49">'[13]4.2.3'!$A$85:$A$92</definedName>
    <definedName name="CSCr3" localSheetId="50">'[11]4.2.3'!$A$86:$A$93</definedName>
    <definedName name="CSCr3">'[11]4.2.3'!$A$85:$A$92</definedName>
    <definedName name="CSCr4" localSheetId="29">'[11]4.2.3'!$E$86:$E$89</definedName>
    <definedName name="CSCr4" localSheetId="30">'[12]4.2.3'!$H$45:$H$48</definedName>
    <definedName name="CSCr4" localSheetId="31">'[12]4.2.3'!$H$45:$H$48</definedName>
    <definedName name="CSCr4" localSheetId="33">'[12]4.2.3'!$H$45:$H$48</definedName>
    <definedName name="CSCr4" localSheetId="38">'[13]4.2.3'!$E$85:$E$88</definedName>
    <definedName name="CSCr4" localSheetId="41">'[13]4.2.3'!$E$85:$E$88</definedName>
    <definedName name="CSCr4" localSheetId="47">'[13]4.2.3'!$E$85:$E$88</definedName>
    <definedName name="CSCr4" localSheetId="49">'[13]4.2.3'!$E$85:$E$88</definedName>
    <definedName name="CSCr4" localSheetId="50">'[11]4.2.3'!$E$86:$E$89</definedName>
    <definedName name="CSCr4">'[11]4.2.3'!$E$85:$E$88</definedName>
    <definedName name="CSGDRF1" localSheetId="30">'[1]4.2.2'!$I$7:$I$8</definedName>
    <definedName name="CSGDRF1" localSheetId="31">'[1]4.2.2'!$I$7:$I$8</definedName>
    <definedName name="CSGDRF1" localSheetId="33">'[1]4.2.2'!$I$7:$I$8</definedName>
    <definedName name="CSGDRF1">'[2]4.2.2'!$I$7:$I$8</definedName>
    <definedName name="CSGDRF2" localSheetId="30">'[1]4.2.2'!$C$20:$C$23</definedName>
    <definedName name="CSGDRF2" localSheetId="31">'[1]4.2.2'!$C$20:$C$23</definedName>
    <definedName name="CSGDRF2" localSheetId="33">'[1]4.2.2'!$C$20:$C$23</definedName>
    <definedName name="CSGDRF2">'[2]4.2.2'!$C$20:$C$23</definedName>
    <definedName name="Custom_Climate" localSheetId="35">'5.3.6'!$H$29:$H$36</definedName>
    <definedName name="Custom_Climate" localSheetId="2">#REF!</definedName>
    <definedName name="Date">OFFSET([19]DataValidation!$C$8,0,0,COUNT([19]DataValidation!$C$8:'[19]DataValidation'!$C$2000),1)</definedName>
    <definedName name="demand_cost">'[17]GENERAL INPUTS'!$B$19</definedName>
    <definedName name="DHCCF1" localSheetId="30">'[1]4.6.3'!$G$23:$G$24</definedName>
    <definedName name="DHCCF1" localSheetId="31">'[1]4.6.3'!$G$23:$G$24</definedName>
    <definedName name="DHCCF1" localSheetId="33">'[1]4.6.3'!$G$23:$G$24</definedName>
    <definedName name="DHCCF1">'[2]4.6.3'!$G$23:$G$24</definedName>
    <definedName name="DHCCF2" localSheetId="30">'[1]4.6.3'!$G$19:$G$20</definedName>
    <definedName name="DHCCF2" localSheetId="31">'[1]4.6.3'!$G$19:$G$20</definedName>
    <definedName name="DHCCF2" localSheetId="33">'[1]4.6.3'!$G$19:$G$20</definedName>
    <definedName name="DHCCF2">'[2]4.6.3'!$G$19:$G$20</definedName>
    <definedName name="DHCCF3" localSheetId="30">'[1]4.6.3'!$F$28:$F$30</definedName>
    <definedName name="DHCCF3" localSheetId="31">'[1]4.6.3'!$F$28:$F$30</definedName>
    <definedName name="DHCCF3" localSheetId="33">'[1]4.6.3'!$F$28:$F$30</definedName>
    <definedName name="DHCCF3">'[2]4.6.3'!$F$28:$F$30</definedName>
    <definedName name="DISl1" localSheetId="30">#REF!</definedName>
    <definedName name="DISl1" localSheetId="31">#REF!</definedName>
    <definedName name="DISl1" localSheetId="33">#REF!</definedName>
    <definedName name="DISl1" localSheetId="34">'5.3.4'!$A$130:$A$132</definedName>
    <definedName name="DISl1" localSheetId="2">#REF!</definedName>
    <definedName name="DISl2" localSheetId="30">#REF!</definedName>
    <definedName name="DISl2" localSheetId="31">#REF!</definedName>
    <definedName name="DISl2" localSheetId="33">#REF!</definedName>
    <definedName name="DISl2" localSheetId="34">'5.3.4'!$A$122:$A$123</definedName>
    <definedName name="DISl2" localSheetId="2">#REF!</definedName>
    <definedName name="DISl3" localSheetId="30">#REF!</definedName>
    <definedName name="DISl3" localSheetId="31">#REF!</definedName>
    <definedName name="DISl3" localSheetId="33">#REF!</definedName>
    <definedName name="DISl3" localSheetId="34">'5.3.4'!$A$126:$A$127</definedName>
    <definedName name="DISl3" localSheetId="2">#REF!</definedName>
    <definedName name="DISl4" localSheetId="30">#REF!</definedName>
    <definedName name="DISl4" localSheetId="31">#REF!</definedName>
    <definedName name="DISl4" localSheetId="33">#REF!</definedName>
    <definedName name="DISl4" localSheetId="34">'5.3.4'!$B$109:$B$110</definedName>
    <definedName name="DISl4" localSheetId="2">#REF!</definedName>
    <definedName name="DISl5" localSheetId="30">#REF!</definedName>
    <definedName name="DISl5" localSheetId="31">#REF!</definedName>
    <definedName name="DISl5" localSheetId="33">#REF!</definedName>
    <definedName name="DISl5" localSheetId="34">'5.3.4'!$A$109:$A$113</definedName>
    <definedName name="DISl5" localSheetId="2">#REF!</definedName>
    <definedName name="Documenting_Known_Issues" localSheetId="49">#REF!</definedName>
    <definedName name="Documenting_Known_Issues" localSheetId="2">#REF!</definedName>
    <definedName name="dratePCT">'[3]Discounting Tables'!$B$10</definedName>
    <definedName name="drateSCT">'[3]Discounting Tables'!$B$8</definedName>
    <definedName name="drateWACC">'[3]Discounting Tables'!$B$9</definedName>
    <definedName name="E_Commodity_Cost_annual">'[20]E-General Inputs'!$B$20</definedName>
    <definedName name="E_Demand_Cost">'[20]E-General Inputs'!$B$25</definedName>
    <definedName name="E_Environmental_Damage_Factor">'[20]E-General Inputs'!$B$32</definedName>
    <definedName name="E_Escalation_Rate">'[20]E-General Inputs'!$C$18</definedName>
    <definedName name="E_General_Input_Data_Year">'[20]E-General Inputs'!$B$41</definedName>
    <definedName name="E_Participant_Discount_Rate">'[20]E-General Inputs'!$B$35</definedName>
    <definedName name="E_Project_Analysis_Year_1">'[20]E-General Inputs'!$B$43</definedName>
    <definedName name="E_Retail_Rate_residential">'[20]E-General Inputs'!$B$11</definedName>
    <definedName name="E_Social_Discount_Rate">'[20]E-General Inputs'!$B$39</definedName>
    <definedName name="E_Utility_Discount_Rate">'[20]E-General Inputs'!$B$37</definedName>
    <definedName name="E_Variable_O_M">'[20]E-General Inputs'!$B$29</definedName>
    <definedName name="ECMWRCF1" localSheetId="30">'[1]4.6.4'!$F$11:$F$13</definedName>
    <definedName name="ECMWRCF1" localSheetId="31">'[1]4.6.4'!$F$11:$F$13</definedName>
    <definedName name="ECMWRCF1" localSheetId="33">'[1]4.6.4'!$F$11:$F$13</definedName>
    <definedName name="ECMWRCF1">'[2]4.6.4'!$F$11:$F$13</definedName>
    <definedName name="EHCFL1" localSheetId="30">#REF!</definedName>
    <definedName name="EHCFL1" localSheetId="31">#REF!</definedName>
    <definedName name="EHCFL1" localSheetId="33">#REF!</definedName>
    <definedName name="EHCFL1" localSheetId="2">#REF!</definedName>
    <definedName name="EHCFL2" localSheetId="30">#REF!</definedName>
    <definedName name="EHCFL2" localSheetId="31">#REF!</definedName>
    <definedName name="EHCFL2" localSheetId="33">#REF!</definedName>
    <definedName name="EHCFL2" localSheetId="2">#REF!</definedName>
    <definedName name="EHCFLF1" localSheetId="30">'[21]5.5.4'!$C$22:$C$29</definedName>
    <definedName name="EHCFLF1" localSheetId="31">'[21]5.5.4'!$C$22:$C$29</definedName>
    <definedName name="EHCFLF1" localSheetId="33">'[21]5.5.4'!$C$22:$C$29</definedName>
    <definedName name="EHCFLF1" localSheetId="38">'[15]5.5.4'!$C$22:$C$29</definedName>
    <definedName name="EHCFLF1" localSheetId="41">'[22]5.5.4'!$C$22:$C$29</definedName>
    <definedName name="EHCFLF1" localSheetId="47">'[15]5.5.4'!$C$22:$C$29</definedName>
    <definedName name="EHCFLF1" localSheetId="49">'[22]5.5.4'!$C$22:$C$29</definedName>
    <definedName name="EHCFLF1">'[16]5.5.4'!$C$22:$C$29</definedName>
    <definedName name="EHCFLF2" localSheetId="30">'[21]5.5.4'!$K$24:$K$27</definedName>
    <definedName name="EHCFLF2" localSheetId="31">'[21]5.5.4'!$K$24:$K$27</definedName>
    <definedName name="EHCFLF2" localSheetId="33">'[21]5.5.4'!$K$24:$K$27</definedName>
    <definedName name="EHCFLF2" localSheetId="38">'[15]5.5.4'!$K$24:$K$27</definedName>
    <definedName name="EHCFLF2" localSheetId="41">'[22]5.5.4'!$K$24:$K$27</definedName>
    <definedName name="EHCFLF2" localSheetId="47">'[15]5.5.4'!$K$24:$K$27</definedName>
    <definedName name="EHCFLF2" localSheetId="49">'[22]5.5.4'!$K$24:$K$27</definedName>
    <definedName name="EHCFLF2">'[16]5.5.4'!$K$24:$K$27</definedName>
    <definedName name="ElCh1" localSheetId="30">'[1]4.4.6'!$E$21:$G$21</definedName>
    <definedName name="ElCh1" localSheetId="31">'[1]4.4.6'!$E$21:$G$21</definedName>
    <definedName name="ElCh1" localSheetId="33">'[1]4.4.6'!$E$21:$G$21</definedName>
    <definedName name="ElCh1">'[2]4.4.6'!$E$21:$G$21</definedName>
    <definedName name="ElCh2" localSheetId="30">'[1]4.4.6'!$L$28:$L$36</definedName>
    <definedName name="ElCh2" localSheetId="31">'[1]4.4.6'!$L$28:$L$36</definedName>
    <definedName name="ElCh2" localSheetId="33">'[1]4.4.6'!$L$28:$L$36</definedName>
    <definedName name="ElCh2">'[2]4.4.6'!$L$28:$L$36</definedName>
    <definedName name="ElCh3" localSheetId="30">'[1]4.4.6'!$I$7:$I$8</definedName>
    <definedName name="ElCh3" localSheetId="31">'[1]4.4.6'!$I$7:$I$8</definedName>
    <definedName name="ElCh3" localSheetId="33">'[1]4.4.6'!$I$7:$I$8</definedName>
    <definedName name="ElCh3">'[2]4.4.6'!$I$7:$I$8</definedName>
    <definedName name="ElCh4" localSheetId="30">'[1]4.4.6'!$O$26:$O$28</definedName>
    <definedName name="ElCh4" localSheetId="31">'[1]4.4.6'!$O$26:$O$28</definedName>
    <definedName name="ElCh4" localSheetId="33">'[1]4.4.6'!$O$26:$O$28</definedName>
    <definedName name="ElCh4">'[2]4.4.6'!$O$26:$O$28</definedName>
    <definedName name="ElecIncentPivotTbl" localSheetId="0">#REF!</definedName>
    <definedName name="ElecIncentPivotTbl" localSheetId="2">#REF!</definedName>
    <definedName name="ElecIncentPivotTbl" localSheetId="1">#REF!</definedName>
    <definedName name="Energy_Savings" localSheetId="49">#REF!</definedName>
    <definedName name="Energy_Savings" localSheetId="2">#REF!</definedName>
    <definedName name="ESAPC1" localSheetId="30">'[21]5.1.1'!$I$7:$I$8</definedName>
    <definedName name="ESAPC1" localSheetId="31">'[21]5.1.1'!$I$7:$I$8</definedName>
    <definedName name="ESAPC1" localSheetId="33">'[21]5.1.1'!$I$7:$I$8</definedName>
    <definedName name="ESAPC1" localSheetId="38">'[15]5.1.1'!$I$7:$I$8</definedName>
    <definedName name="ESAPC1" localSheetId="41">'[22]5.1.1'!$I$7:$I$8</definedName>
    <definedName name="ESAPC1" localSheetId="47">'[15]5.1.1'!$I$7:$I$8</definedName>
    <definedName name="ESAPC1" localSheetId="49">'[22]5.1.1'!$I$7:$I$8</definedName>
    <definedName name="ESAPC1">'[16]5.1.1'!$I$7:$I$8</definedName>
    <definedName name="ESAPC2" localSheetId="30">'[21]5.1.1'!$G$21:$G$25</definedName>
    <definedName name="ESAPC2" localSheetId="31">'[21]5.1.1'!$G$21:$G$25</definedName>
    <definedName name="ESAPC2" localSheetId="33">'[21]5.1.1'!$G$21:$G$25</definedName>
    <definedName name="ESAPC2" localSheetId="38">'[15]5.1.1'!$G$21:$G$25</definedName>
    <definedName name="ESAPC2" localSheetId="41">'[22]5.1.1'!$G$21:$G$25</definedName>
    <definedName name="ESAPC2" localSheetId="47">'[15]5.1.1'!$G$21:$G$25</definedName>
    <definedName name="ESAPC2" localSheetId="49">'[22]5.1.1'!$G$21:$G$25</definedName>
    <definedName name="ESAPC2">'[16]5.1.1'!$G$21:$G$25</definedName>
    <definedName name="escalation_rate">'[17]GENERAL INPUTS'!$D$11</definedName>
    <definedName name="ESCFL1" localSheetId="29">'[4]5.5.1'!$D$27:$D$34</definedName>
    <definedName name="ESCFL1" localSheetId="30">'[5]5.5.1'!$D$27:$D$34</definedName>
    <definedName name="ESCFL1" localSheetId="31">'[5]5.5.1'!$D$27:$D$34</definedName>
    <definedName name="ESCFL1" localSheetId="33">'[5]5.5.1'!$D$27:$D$34</definedName>
    <definedName name="ESCFL1" localSheetId="38">'[4]5.5.1'!$D$27:$D$34</definedName>
    <definedName name="ESCFL1" localSheetId="34">'[4]5.5.1'!$D$27:$D$34</definedName>
    <definedName name="ESCFL1" localSheetId="36">'[6]5.5.1'!$D$27:$D$34</definedName>
    <definedName name="ESCFL1" localSheetId="40">'[4]5.5.1'!$D$27:$D$34</definedName>
    <definedName name="ESCFL1" localSheetId="41">'[7]5.5.1'!$D$27:$D$34</definedName>
    <definedName name="ESCFL1" localSheetId="44">'[4]5.5.1'!$D$27:$D$34</definedName>
    <definedName name="ESCFL1" localSheetId="47">'[4]5.5.1'!$D$27:$D$34</definedName>
    <definedName name="ESCFL1" localSheetId="50">'[4]5.5.1'!$D$27:$D$34</definedName>
    <definedName name="ESCFL1">'[8]5.5.1'!$D$27:$D$34</definedName>
    <definedName name="ESCFL2" localSheetId="29">'[4]5.5.1'!$L$17:$L$21</definedName>
    <definedName name="ESCFL2" localSheetId="30">'[5]5.5.1'!$L$17:$L$21</definedName>
    <definedName name="ESCFL2" localSheetId="31">'[5]5.5.1'!$L$17:$L$21</definedName>
    <definedName name="ESCFL2" localSheetId="33">'[5]5.5.1'!$L$17:$L$21</definedName>
    <definedName name="ESCFL2" localSheetId="38">'[4]5.5.1'!$L$17:$L$21</definedName>
    <definedName name="ESCFL2" localSheetId="34">'[4]5.5.1'!$L$17:$L$21</definedName>
    <definedName name="ESCFL2" localSheetId="36">'[6]5.5.1'!$L$17:$L$21</definedName>
    <definedName name="ESCFL2" localSheetId="40">'[4]5.5.1'!$L$17:$L$21</definedName>
    <definedName name="ESCFL2" localSheetId="41">'[7]5.5.1'!$L$17:$L$21</definedName>
    <definedName name="ESCFL2" localSheetId="44">'[4]5.5.1'!$L$17:$L$21</definedName>
    <definedName name="ESCFL2" localSheetId="47">'[4]5.5.1'!$L$17:$L$21</definedName>
    <definedName name="ESCFL2" localSheetId="50">'[4]5.5.1'!$L$17:$L$21</definedName>
    <definedName name="ESCFL2">'[8]5.5.1'!$L$17:$L$21</definedName>
    <definedName name="ESCFL3" localSheetId="29">'[4]5.5.1'!$B$41:$B$45</definedName>
    <definedName name="ESCFL3" localSheetId="30">'[5]5.5.1'!$B$41:$B$45</definedName>
    <definedName name="ESCFL3" localSheetId="31">'[5]5.5.1'!$B$41:$B$45</definedName>
    <definedName name="ESCFL3" localSheetId="33">'[5]5.5.1'!$B$41:$B$45</definedName>
    <definedName name="ESCFL3" localSheetId="38">'[4]5.5.1'!$B$41:$B$45</definedName>
    <definedName name="ESCFL3" localSheetId="34">'[4]5.5.1'!$B$41:$B$45</definedName>
    <definedName name="ESCFL3" localSheetId="36">'[6]5.5.1'!$B$41:$B$45</definedName>
    <definedName name="ESCFL3" localSheetId="40">'[4]5.5.1'!$B$41:$B$45</definedName>
    <definedName name="ESCFL3" localSheetId="41">'[7]5.5.1'!$B$41:$B$45</definedName>
    <definedName name="ESCFL3" localSheetId="44">'[4]5.5.1'!$B$41:$B$45</definedName>
    <definedName name="ESCFL3" localSheetId="47">'[4]5.5.1'!$B$41:$B$45</definedName>
    <definedName name="ESCFL3" localSheetId="50">'[4]5.5.1'!$B$41:$B$45</definedName>
    <definedName name="ESCFL3">'[8]5.5.1'!$B$41:$B$45</definedName>
    <definedName name="ESCFL4" localSheetId="30">#REF!</definedName>
    <definedName name="ESCFL4" localSheetId="31">#REF!</definedName>
    <definedName name="ESCFL4" localSheetId="33">#REF!</definedName>
    <definedName name="ESCFL4" localSheetId="2">#REF!</definedName>
    <definedName name="ESCRAC1" localSheetId="30">'[1]4.4.7'!$J$11:$J$12</definedName>
    <definedName name="ESCRAC1" localSheetId="31">'[1]4.4.7'!$J$11:$J$12</definedName>
    <definedName name="ESCRAC1" localSheetId="33">'[1]4.4.7'!$J$11:$J$12</definedName>
    <definedName name="ESCRAC1">'[2]4.4.7'!$J$11:$J$12</definedName>
    <definedName name="ESCRAC2" localSheetId="30">'[1]4.4.7'!$J$13:$J$14</definedName>
    <definedName name="ESCRAC2" localSheetId="31">'[1]4.4.7'!$J$13:$J$14</definedName>
    <definedName name="ESCRAC2" localSheetId="33">'[1]4.4.7'!$J$13:$J$14</definedName>
    <definedName name="ESCRAC2">'[2]4.4.7'!$J$13:$J$14</definedName>
    <definedName name="ESCTR1" localSheetId="30">'[21]5.1.6'!$H$16:$H$22</definedName>
    <definedName name="ESCTR1" localSheetId="31">'[21]5.1.6'!$H$16:$H$22</definedName>
    <definedName name="ESCTR1" localSheetId="33">'[21]5.1.6'!$H$16:$H$22</definedName>
    <definedName name="ESCTR1" localSheetId="38">'[15]5.1.6'!$H$16:$H$22</definedName>
    <definedName name="ESCTR1" localSheetId="41">'[22]5.1.6'!$H$16:$H$22</definedName>
    <definedName name="ESCTR1" localSheetId="47">'[15]5.1.6'!$H$16:$H$22</definedName>
    <definedName name="ESCTR1" localSheetId="49">'[22]5.1.6'!$H$16:$H$22</definedName>
    <definedName name="ESCTR1">'[16]5.1.6'!$H$16:$H$22</definedName>
    <definedName name="ESCTR2" localSheetId="30">'[21]5.1.6'!$G$7:$G$8</definedName>
    <definedName name="ESCTR2" localSheetId="31">'[21]5.1.6'!$G$7:$G$8</definedName>
    <definedName name="ESCTR2" localSheetId="33">'[21]5.1.6'!$G$7:$G$8</definedName>
    <definedName name="ESCTR2" localSheetId="38">'[15]5.1.6'!$G$7:$G$8</definedName>
    <definedName name="ESCTR2" localSheetId="41">'[22]5.1.6'!$G$7:$G$8</definedName>
    <definedName name="ESCTR2" localSheetId="47">'[15]5.1.6'!$G$7:$G$8</definedName>
    <definedName name="ESCTR2" localSheetId="49">'[22]5.1.6'!$G$7:$G$8</definedName>
    <definedName name="ESCTR2">'[16]5.1.6'!$G$7:$G$8</definedName>
    <definedName name="ESCTRAC1" localSheetId="30">'[21]5.1.7'!$G$7:$G$8</definedName>
    <definedName name="ESCTRAC1" localSheetId="31">'[21]5.1.7'!$G$7:$G$8</definedName>
    <definedName name="ESCTRAC1" localSheetId="33">'[21]5.1.7'!$G$7:$G$8</definedName>
    <definedName name="ESCTRAC1" localSheetId="38">'[15]5.1.7'!$G$7:$G$8</definedName>
    <definedName name="ESCTRAC1" localSheetId="41">'[22]5.1.7'!$G$7:$G$8</definedName>
    <definedName name="ESCTRAC1" localSheetId="47">'[15]5.1.7'!$G$7:$G$8</definedName>
    <definedName name="ESCTRAC1" localSheetId="49">'[22]5.1.7'!$G$7:$G$8</definedName>
    <definedName name="ESCTRAC1">'[16]5.1.7'!$G$7:$G$8</definedName>
    <definedName name="ESDh1" localSheetId="30">'[21]5.1.3'!$B$19:$B$25</definedName>
    <definedName name="ESDh1" localSheetId="31">'[21]5.1.3'!$B$19:$B$25</definedName>
    <definedName name="ESDh1" localSheetId="33">'[21]5.1.3'!$B$19:$B$25</definedName>
    <definedName name="ESDh1" localSheetId="38">'[15]5.1.3'!$B$19:$B$25</definedName>
    <definedName name="ESDh1" localSheetId="41">'[22]5.1.3'!$B$19:$B$25</definedName>
    <definedName name="ESDh1" localSheetId="47">'[15]5.1.3'!$B$19:$B$25</definedName>
    <definedName name="ESDh1" localSheetId="49">'[22]5.1.3'!$B$19:$B$25</definedName>
    <definedName name="ESDh1">'[16]5.1.3'!$B$19:$B$25</definedName>
    <definedName name="ESDh2" localSheetId="30">'[21]5.1.3'!$D$7:$D$8</definedName>
    <definedName name="ESDh2" localSheetId="31">'[21]5.1.3'!$D$7:$D$8</definedName>
    <definedName name="ESDh2" localSheetId="33">'[21]5.1.3'!$D$7:$D$8</definedName>
    <definedName name="ESDh2" localSheetId="38">'[15]5.1.3'!$D$7:$D$8</definedName>
    <definedName name="ESDh2" localSheetId="41">'[22]5.1.3'!$D$7:$D$8</definedName>
    <definedName name="ESDh2" localSheetId="47">'[15]5.1.3'!$D$7:$D$8</definedName>
    <definedName name="ESDh2" localSheetId="49">'[22]5.1.3'!$D$7:$D$8</definedName>
    <definedName name="ESDh2">'[16]5.1.3'!$D$7:$D$8</definedName>
    <definedName name="ESFr1" localSheetId="30">'[21]5.1.5'!$G$19:$G$24</definedName>
    <definedName name="ESFr1" localSheetId="31">'[21]5.1.5'!$G$19:$G$24</definedName>
    <definedName name="ESFr1" localSheetId="33">'[21]5.1.5'!$G$19:$G$24</definedName>
    <definedName name="ESFr1" localSheetId="38">'[15]5.1.5'!$G$19:$G$24</definedName>
    <definedName name="ESFr1" localSheetId="41">'[22]5.1.5'!$G$19:$G$24</definedName>
    <definedName name="ESFr1" localSheetId="47">'[15]5.1.5'!$G$19:$G$24</definedName>
    <definedName name="ESFr1" localSheetId="49">'[22]5.1.5'!$G$19:$G$24</definedName>
    <definedName name="ESFr1">'[16]5.1.5'!$G$19:$G$24</definedName>
    <definedName name="ESHFHC1" localSheetId="30">'[1]4.2.9'!$E$27:$E$29</definedName>
    <definedName name="ESHFHC1" localSheetId="31">'[1]4.2.9'!$E$27:$E$29</definedName>
    <definedName name="ESHFHC1" localSheetId="33">'[1]4.2.9'!$E$27:$E$29</definedName>
    <definedName name="ESHFHC1">'[2]4.2.9'!$E$27:$E$29</definedName>
    <definedName name="ESHFHC2" localSheetId="30">'[1]4.2.9'!$B$27:$B$32</definedName>
    <definedName name="ESHFHC2" localSheetId="31">'[1]4.2.9'!$B$27:$B$32</definedName>
    <definedName name="ESHFHC2" localSheetId="33">'[1]4.2.9'!$B$27:$B$32</definedName>
    <definedName name="ESHFHC2">'[2]4.2.9'!$B$27:$B$32</definedName>
    <definedName name="ESIM1" localSheetId="30">'[1]4.2.10'!$F$22:$F$29</definedName>
    <definedName name="ESIM1" localSheetId="31">'[1]4.2.10'!$F$22:$F$29</definedName>
    <definedName name="ESIM1" localSheetId="33">'[1]4.2.10'!$F$22:$F$29</definedName>
    <definedName name="ESIM1">'[2]4.2.10'!$F$22:$F$29</definedName>
    <definedName name="ESourceBTU_kWh">'[23]General Inputs'!$E$26</definedName>
    <definedName name="ESRBVM1" localSheetId="30">'[1]4.6.5'!$F$14:$F$19</definedName>
    <definedName name="ESRBVM1" localSheetId="31">'[1]4.6.5'!$F$14:$F$19</definedName>
    <definedName name="ESRBVM1" localSheetId="33">'[1]4.6.5'!$F$14:$F$19</definedName>
    <definedName name="ESRBVM1">'[2]4.6.5'!$F$14:$F$19</definedName>
    <definedName name="ESrT1" localSheetId="30">'[21]5.5.3'!$L$7:$L$9</definedName>
    <definedName name="ESrT1" localSheetId="31">'[21]5.5.3'!$L$7:$L$9</definedName>
    <definedName name="ESrT1" localSheetId="33">'[21]5.5.3'!$L$7:$L$9</definedName>
    <definedName name="ESrT1" localSheetId="38">'[15]5.5.3'!$L$7:$L$9</definedName>
    <definedName name="ESrT1" localSheetId="41">'[22]5.5.3'!$L$7:$L$9</definedName>
    <definedName name="ESrT1" localSheetId="47">'[15]5.5.3'!$L$7:$L$9</definedName>
    <definedName name="ESrT1" localSheetId="49">'[22]5.5.3'!$L$7:$L$9</definedName>
    <definedName name="ESrT1">'[16]5.5.3'!$L$7:$L$9</definedName>
    <definedName name="ESrT2" localSheetId="30">'[21]5.5.3'!$G$29:$G$32</definedName>
    <definedName name="ESrT2" localSheetId="31">'[21]5.5.3'!$G$29:$G$32</definedName>
    <definedName name="ESrT2" localSheetId="33">'[21]5.5.3'!$G$29:$G$32</definedName>
    <definedName name="ESrT2" localSheetId="38">'[15]5.5.3'!$G$29:$G$32</definedName>
    <definedName name="ESrT2" localSheetId="41">'[22]5.5.3'!$G$29:$G$32</definedName>
    <definedName name="ESrT2" localSheetId="47">'[15]5.5.3'!$G$29:$G$32</definedName>
    <definedName name="ESrT2" localSheetId="49">'[22]5.5.3'!$G$29:$G$32</definedName>
    <definedName name="ESrT2">'[16]5.5.3'!$G$29:$G$32</definedName>
    <definedName name="ESSCFL1" localSheetId="29">'[4]5.5.2'!$Q$13:$Q$17</definedName>
    <definedName name="ESSCFL1" localSheetId="30">'[5]5.5.2'!$Q$13:$Q$17</definedName>
    <definedName name="ESSCFL1" localSheetId="31">'[5]5.5.2'!$Q$13:$Q$17</definedName>
    <definedName name="ESSCFL1" localSheetId="33">'[5]5.5.2'!$Q$13:$Q$17</definedName>
    <definedName name="ESSCFL1" localSheetId="38">'[4]5.5.2'!$Q$13:$Q$17</definedName>
    <definedName name="ESSCFL1" localSheetId="34">'[4]5.5.2'!$Q$13:$Q$17</definedName>
    <definedName name="ESSCFL1" localSheetId="36">'[6]5.5.2'!$Q$13:$Q$17</definedName>
    <definedName name="ESSCFL1" localSheetId="40">'[4]5.5.2'!$Q$13:$Q$17</definedName>
    <definedName name="ESSCFL1" localSheetId="41">'[7]5.5.2'!$Q$13:$Q$17</definedName>
    <definedName name="ESSCFL1" localSheetId="44">'[4]5.5.2'!$Q$13:$Q$17</definedName>
    <definedName name="ESSCFL1" localSheetId="47">'[4]5.5.2'!$Q$13:$Q$17</definedName>
    <definedName name="ESSCFL1" localSheetId="50">'[4]5.5.2'!$Q$13:$Q$17</definedName>
    <definedName name="ESSCFL1">'[8]5.5.2'!$Q$13:$Q$17</definedName>
    <definedName name="ESSCFL2" localSheetId="29">'[4]5.5.2'!$G$33:$G$36</definedName>
    <definedName name="ESSCFL2" localSheetId="30">'[5]5.5.2'!$G$33:$G$36</definedName>
    <definedName name="ESSCFL2" localSheetId="31">'[5]5.5.2'!$G$33:$G$36</definedName>
    <definedName name="ESSCFL2" localSheetId="33">'[5]5.5.2'!$G$33:$G$36</definedName>
    <definedName name="ESSCFL2" localSheetId="38">'[4]5.5.2'!$G$33:$G$36</definedName>
    <definedName name="ESSCFL2" localSheetId="34">'[4]5.5.2'!$G$33:$G$36</definedName>
    <definedName name="ESSCFL2" localSheetId="36">'[6]5.5.2'!$G$33:$G$36</definedName>
    <definedName name="ESSCFL2" localSheetId="40">'[4]5.5.2'!$G$33:$G$36</definedName>
    <definedName name="ESSCFL2" localSheetId="41">'[7]5.5.2'!$G$33:$G$36</definedName>
    <definedName name="ESSCFL2" localSheetId="44">'[4]5.5.2'!$G$33:$G$36</definedName>
    <definedName name="ESSCFL2" localSheetId="47">'[4]5.5.2'!$G$33:$G$36</definedName>
    <definedName name="ESSCFL2" localSheetId="50">'[4]5.5.2'!$G$33:$G$36</definedName>
    <definedName name="ESSCFL2">'[8]5.5.2'!$G$33:$G$36</definedName>
    <definedName name="ESSCFL3" localSheetId="29">'[4]5.5.2'!$M$7:$M$9</definedName>
    <definedName name="ESSCFL3" localSheetId="30">'[5]5.5.2'!$M$7:$M$9</definedName>
    <definedName name="ESSCFL3" localSheetId="31">'[5]5.5.2'!$M$7:$M$9</definedName>
    <definedName name="ESSCFL3" localSheetId="33">'[5]5.5.2'!$M$7:$M$9</definedName>
    <definedName name="ESSCFL3" localSheetId="38">'[4]5.5.2'!$M$7:$M$9</definedName>
    <definedName name="ESSCFL3" localSheetId="34">'[4]5.5.2'!$M$7:$M$9</definedName>
    <definedName name="ESSCFL3" localSheetId="36">'[6]5.5.2'!$M$7:$M$9</definedName>
    <definedName name="ESSCFL3" localSheetId="40">'[4]5.5.2'!$M$7:$M$9</definedName>
    <definedName name="ESSCFL3" localSheetId="41">'[7]5.5.2'!$M$7:$M$9</definedName>
    <definedName name="ESSCFL3" localSheetId="44">'[4]5.5.2'!$M$7:$M$9</definedName>
    <definedName name="ESSCFL3" localSheetId="47">'[4]5.5.2'!$M$7:$M$9</definedName>
    <definedName name="ESSCFL3" localSheetId="50">'[4]5.5.2'!$M$7:$M$9</definedName>
    <definedName name="ESSCFL3">'[8]5.5.2'!$M$7:$M$9</definedName>
    <definedName name="ESSCFL4" localSheetId="29">'[4]5.5.2'!$T$8:$T$25</definedName>
    <definedName name="ESSCFL4" localSheetId="30">'[5]5.5.2'!$T$8:$T$25</definedName>
    <definedName name="ESSCFL4" localSheetId="31">'[5]5.5.2'!$T$8:$T$25</definedName>
    <definedName name="ESSCFL4" localSheetId="33">'[5]5.5.2'!$T$8:$T$25</definedName>
    <definedName name="ESSCFL4" localSheetId="38">'[4]5.5.2'!$T$8:$T$25</definedName>
    <definedName name="ESSCFL4" localSheetId="34">'[4]5.5.2'!$T$8:$T$25</definedName>
    <definedName name="ESSCFL4" localSheetId="36">'[6]5.5.2'!$T$8:$T$25</definedName>
    <definedName name="ESSCFL4" localSheetId="40">'[4]5.5.2'!$T$8:$T$25</definedName>
    <definedName name="ESSCFL4" localSheetId="41">'[7]5.5.2'!$T$8:$T$25</definedName>
    <definedName name="ESSCFL4" localSheetId="44">'[4]5.5.2'!$T$8:$T$25</definedName>
    <definedName name="ESSCFL4" localSheetId="47">'[4]5.5.2'!$T$8:$T$25</definedName>
    <definedName name="ESSCFL4" localSheetId="50">'[4]5.5.2'!$T$8:$T$25</definedName>
    <definedName name="ESSCFL4">'[8]5.5.2'!$T$8:$T$25</definedName>
    <definedName name="ESSCFL5" localSheetId="29">'[4]5.5.2'!$M$28:$M$46</definedName>
    <definedName name="ESSCFL5" localSheetId="30">'[5]5.5.2'!$M$28:$M$46</definedName>
    <definedName name="ESSCFL5" localSheetId="31">'[5]5.5.2'!$M$28:$M$46</definedName>
    <definedName name="ESSCFL5" localSheetId="33">'[5]5.5.2'!$M$28:$M$46</definedName>
    <definedName name="ESSCFL5" localSheetId="38">'[4]5.5.2'!$M$28:$M$46</definedName>
    <definedName name="ESSCFL5" localSheetId="34">'[4]5.5.2'!$M$28:$M$46</definedName>
    <definedName name="ESSCFL5" localSheetId="36">'[6]5.5.2'!$M$28:$M$46</definedName>
    <definedName name="ESSCFL5" localSheetId="40">'[4]5.5.2'!$M$28:$M$46</definedName>
    <definedName name="ESSCFL5" localSheetId="41">'[7]5.5.2'!$M$28:$M$46</definedName>
    <definedName name="ESSCFL5" localSheetId="44">'[4]5.5.2'!$M$28:$M$46</definedName>
    <definedName name="ESSCFL5" localSheetId="47">'[4]5.5.2'!$M$28:$M$46</definedName>
    <definedName name="ESSCFL5" localSheetId="50">'[4]5.5.2'!$M$28:$M$46</definedName>
    <definedName name="ESSCFL5">'[8]5.5.2'!$M$28:$M$46</definedName>
    <definedName name="EStarG1" localSheetId="30">'[1]4.2.8'!$B$76:$B$81</definedName>
    <definedName name="EStarG1" localSheetId="31">'[1]4.2.8'!$B$76:$B$81</definedName>
    <definedName name="EStarG1" localSheetId="33">'[1]4.2.8'!$B$76:$B$81</definedName>
    <definedName name="EStarG1" localSheetId="2">'[9]4.2.8'!$B$71:$B$76</definedName>
    <definedName name="EStarG1">'4.2.8'!$B$71:$B$76</definedName>
    <definedName name="EStCW1" localSheetId="29">'[4]5.1.2'!$C$8:$C$9</definedName>
    <definedName name="EStCW1" localSheetId="30">'[5]5.1.2'!$C$9:$C$10</definedName>
    <definedName name="EStCW1" localSheetId="31">'[5]5.1.2'!$C$9:$C$10</definedName>
    <definedName name="EStCW1" localSheetId="33">'[5]5.1.2'!$C$9:$C$10</definedName>
    <definedName name="EStCW1" localSheetId="38">'[4]5.1.2'!$C$8:$C$9</definedName>
    <definedName name="EStCW1" localSheetId="34">'[4]5.1.2'!$C$8:$C$9</definedName>
    <definedName name="EStCW1" localSheetId="36">'[6]5.1.2'!$C$8:$C$9</definedName>
    <definedName name="EStCW1" localSheetId="40">'[4]5.1.2'!$C$8:$C$9</definedName>
    <definedName name="EStCW1" localSheetId="41">'[7]5.1.2'!$C$60:$C$61</definedName>
    <definedName name="EStCW1" localSheetId="44">'[4]5.1.2'!$C$8:$C$9</definedName>
    <definedName name="EStCW1" localSheetId="47">'[4]5.1.2'!$C$8:$C$9</definedName>
    <definedName name="EStCW1" localSheetId="50">'[4]5.1.2'!$C$8:$C$9</definedName>
    <definedName name="EStCW1">'[8]5.1.2'!$C$61:$C$62</definedName>
    <definedName name="EStCW2" localSheetId="29">'[4]5.1.2'!$H$14:$H$16</definedName>
    <definedName name="EStCW2" localSheetId="30">'[5]5.1.2'!$H$15:$H$17</definedName>
    <definedName name="EStCW2" localSheetId="31">'[5]5.1.2'!$H$15:$H$17</definedName>
    <definedName name="EStCW2" localSheetId="33">'[5]5.1.2'!$H$15:$H$17</definedName>
    <definedName name="EStCW2" localSheetId="38">'[4]5.1.2'!$H$14:$H$16</definedName>
    <definedName name="EStCW2" localSheetId="34">'[4]5.1.2'!$H$14:$H$16</definedName>
    <definedName name="EStCW2" localSheetId="36">'[6]5.1.2'!$H$14:$H$16</definedName>
    <definedName name="EStCW2" localSheetId="40">'[4]5.1.2'!$H$14:$H$16</definedName>
    <definedName name="EStCW2" localSheetId="41">'[7]5.1.2'!$H$66:$H$68</definedName>
    <definedName name="EStCW2" localSheetId="44">'[4]5.1.2'!$H$14:$H$16</definedName>
    <definedName name="EStCW2" localSheetId="47">'[4]5.1.2'!$H$14:$H$16</definedName>
    <definedName name="EStCW2" localSheetId="50">'[4]5.1.2'!$H$14:$H$16</definedName>
    <definedName name="EStCW2">'[8]5.1.2'!$H$67:$H$69</definedName>
    <definedName name="ESysLoss">'[23]General Inputs'!$E$24</definedName>
    <definedName name="Ex_Ante_kW" localSheetId="0">#REF!</definedName>
    <definedName name="Ex_Ante_kW" localSheetId="2">#REF!</definedName>
    <definedName name="Ex_Ante_kW" localSheetId="1">#REF!</definedName>
    <definedName name="Ex_ante_kWh" localSheetId="0">#REF!</definedName>
    <definedName name="Ex_ante_kWh" localSheetId="2">#REF!</definedName>
    <definedName name="Ex_ante_kWh" localSheetId="1">#REF!</definedName>
    <definedName name="FBMo1" localSheetId="29">'[4]5.3.5'!$J$7:$J$8</definedName>
    <definedName name="FBMo1" localSheetId="30">'[5]5.3.5'!$J$7:$J$8</definedName>
    <definedName name="FBMo1" localSheetId="31">'[5]5.3.5'!$J$7:$J$8</definedName>
    <definedName name="FBMo1" localSheetId="33">'[5]5.3.5'!$J$7:$J$8</definedName>
    <definedName name="FBMo1" localSheetId="38">'[4]5.3.5'!$J$7:$J$8</definedName>
    <definedName name="FBMo1" localSheetId="34">'[4]5.3.5'!$J$7:$J$8</definedName>
    <definedName name="FBMo1" localSheetId="36">'[6]5.3.5'!$J$7:$J$8</definedName>
    <definedName name="FBMo1" localSheetId="40">'[4]5.3.5'!$J$7:$J$8</definedName>
    <definedName name="FBMo1" localSheetId="41">'[7]5.3.5'!$J$7:$J$8</definedName>
    <definedName name="FBMo1" localSheetId="44">'[4]5.3.5'!$J$7:$J$8</definedName>
    <definedName name="FBMo1" localSheetId="47">'[4]5.3.5'!$J$7:$J$8</definedName>
    <definedName name="FBMo1" localSheetId="50">'[4]5.3.5'!$J$7:$J$8</definedName>
    <definedName name="FBMo1">'[8]5.3.5'!$J$7:$J$8</definedName>
    <definedName name="FBMo2" localSheetId="29">'[4]5.3.5'!$H$19:$H$21</definedName>
    <definedName name="FBMo2" localSheetId="30">'[5]5.3.5'!$H$19:$H$21</definedName>
    <definedName name="FBMo2" localSheetId="31">'[5]5.3.5'!$H$19:$H$21</definedName>
    <definedName name="FBMo2" localSheetId="33">'[5]5.3.5'!$H$19:$H$21</definedName>
    <definedName name="FBMo2" localSheetId="38">'[4]5.3.5'!$H$19:$H$21</definedName>
    <definedName name="FBMo2" localSheetId="34">'[4]5.3.5'!$H$19:$H$21</definedName>
    <definedName name="FBMo2" localSheetId="36">'[6]5.3.5'!$H$19:$H$21</definedName>
    <definedName name="FBMo2" localSheetId="40">'[4]5.3.5'!$H$19:$H$21</definedName>
    <definedName name="FBMo2" localSheetId="41">'[7]5.3.5'!$H$19:$H$21</definedName>
    <definedName name="FBMo2" localSheetId="44">'[4]5.3.5'!$H$19:$H$21</definedName>
    <definedName name="FBMo2" localSheetId="47">'[4]5.3.5'!$H$19:$H$21</definedName>
    <definedName name="FBMo2" localSheetId="50">'[4]5.3.5'!$H$19:$H$21</definedName>
    <definedName name="FBMo2">'[8]5.3.5'!$H$19:$H$21</definedName>
    <definedName name="FBMo3" localSheetId="29">'[4]5.3.5'!$K$19:$K$21</definedName>
    <definedName name="FBMo3" localSheetId="30">'[5]5.3.5'!$K$19:$K$21</definedName>
    <definedName name="FBMo3" localSheetId="31">'[5]5.3.5'!$K$19:$K$21</definedName>
    <definedName name="FBMo3" localSheetId="33">'[5]5.3.5'!$K$19:$K$21</definedName>
    <definedName name="FBMo3" localSheetId="38">'[4]5.3.5'!$K$19:$K$21</definedName>
    <definedName name="FBMo3" localSheetId="34">'[4]5.3.5'!$K$19:$K$21</definedName>
    <definedName name="FBMo3" localSheetId="36">'[6]5.3.5'!$K$19:$K$21</definedName>
    <definedName name="FBMo3" localSheetId="40">'[4]5.3.5'!$K$19:$K$21</definedName>
    <definedName name="FBMo3" localSheetId="41">'[7]5.3.5'!$K$19:$K$21</definedName>
    <definedName name="FBMo3" localSheetId="44">'[4]5.3.5'!$K$19:$K$21</definedName>
    <definedName name="FBMo3" localSheetId="47">'[4]5.3.5'!$K$19:$K$21</definedName>
    <definedName name="FBMo3" localSheetId="50">'[4]5.3.5'!$K$19:$K$21</definedName>
    <definedName name="FBMo3">'[8]5.3.5'!$K$19:$K$21</definedName>
    <definedName name="FDLmp1" localSheetId="30">'[12]4.5.2'!$L$7:$L$21</definedName>
    <definedName name="FDLmp1" localSheetId="31">'[12]4.5.2'!$L$7:$L$21</definedName>
    <definedName name="FDLmp1" localSheetId="33">'[12]4.5.2'!$L$7:$L$21</definedName>
    <definedName name="FDLmp1" localSheetId="38">'[13]4.5.2'!$L$7:$L$21</definedName>
    <definedName name="FDLmp1" localSheetId="41">'[13]4.5.2'!$L$7:$L$21</definedName>
    <definedName name="FDLmp1" localSheetId="47">'[13]4.5.2'!$L$7:$L$21</definedName>
    <definedName name="FDLmp1" localSheetId="49">'[13]4.5.2'!$L$7:$L$21</definedName>
    <definedName name="FDLmp1">'[11]4.5.2'!$L$7:$L$21</definedName>
    <definedName name="FDLmp2" localSheetId="30">'[12]4.5.2'!$B$25:$B$32</definedName>
    <definedName name="FDLmp2" localSheetId="31">'[12]4.5.2'!$B$25:$B$32</definedName>
    <definedName name="FDLmp2" localSheetId="33">'[12]4.5.2'!$B$25:$B$32</definedName>
    <definedName name="FDLmp2" localSheetId="38">'[13]4.5.2'!$B$25:$B$32</definedName>
    <definedName name="FDLmp2" localSheetId="41">'[13]4.5.2'!$B$25:$B$32</definedName>
    <definedName name="FDLmp2" localSheetId="47">'[13]4.5.2'!$B$25:$B$32</definedName>
    <definedName name="FDLmp2" localSheetId="49">'[13]4.5.2'!$B$25:$B$32</definedName>
    <definedName name="FDLmp2">'[11]4.5.2'!$B$25:$B$32</definedName>
    <definedName name="FDLmp3" localSheetId="30">'[12]4.5.2'!$E$24:$G$24</definedName>
    <definedName name="FDLmp3" localSheetId="31">'[12]4.5.2'!$E$24:$G$24</definedName>
    <definedName name="FDLmp3" localSheetId="33">'[12]4.5.2'!$E$24:$G$24</definedName>
    <definedName name="FDLmp3" localSheetId="38">'[13]4.5.2'!$E$24:$G$24</definedName>
    <definedName name="FDLmp3" localSheetId="41">'[13]4.5.2'!$E$24:$G$24</definedName>
    <definedName name="FDLmp3" localSheetId="47">'[13]4.5.2'!$E$24:$G$24</definedName>
    <definedName name="FDLmp3" localSheetId="49">'[13]4.5.2'!$E$24:$G$24</definedName>
    <definedName name="FDLmp3">'[11]4.5.2'!$E$24:$G$24</definedName>
    <definedName name="FDLmp4" localSheetId="30">'[12]4.5.2'!$B$36:$B$60</definedName>
    <definedName name="FDLmp4" localSheetId="31">'[12]4.5.2'!$B$36:$B$60</definedName>
    <definedName name="FDLmp4" localSheetId="33">'[12]4.5.2'!$B$36:$B$60</definedName>
    <definedName name="FDLmp4" localSheetId="38">'[13]4.5.2'!$B$36:$B$60</definedName>
    <definedName name="FDLmp4" localSheetId="41">'[13]4.5.2'!$B$36:$B$60</definedName>
    <definedName name="FDLmp4" localSheetId="47">'[13]4.5.2'!$B$36:$B$60</definedName>
    <definedName name="FDLmp4" localSheetId="49">'[13]4.5.2'!$B$36:$B$60</definedName>
    <definedName name="FDLmp4">'[11]4.5.2'!$B$36:$B$60</definedName>
    <definedName name="FIAC1" localSheetId="30">#REF!</definedName>
    <definedName name="FIAC1" localSheetId="31">#REF!</definedName>
    <definedName name="FIAC1" localSheetId="33">#REF!</definedName>
    <definedName name="FIAC1" localSheetId="47">'5.6.3'!$B$70:$B$72</definedName>
    <definedName name="FIAC1" localSheetId="2">#REF!</definedName>
    <definedName name="FirstYrAvoidedCost">'[3]Discounting Tables'!$B$3</definedName>
    <definedName name="Fuel1" localSheetId="29">'[11]4.2.11'!$A$67:$A$68</definedName>
    <definedName name="Fuel1" localSheetId="30">'[1]4.2.6'!$B$10:$B$11</definedName>
    <definedName name="Fuel1" localSheetId="31">'[1]4.2.6'!$B$10:$B$11</definedName>
    <definedName name="Fuel1" localSheetId="33">'[1]4.2.6'!$B$10:$B$11</definedName>
    <definedName name="Fuel1" localSheetId="38">'[4]5.5.2'!$K$7:$K$8</definedName>
    <definedName name="Fuel1" localSheetId="34">'[4]5.5.2'!$K$7:$K$8</definedName>
    <definedName name="Fuel1" localSheetId="36">'[6]5.5.2'!$K$7:$K$8</definedName>
    <definedName name="Fuel1" localSheetId="40">'[4]5.5.2'!$K$7:$K$8</definedName>
    <definedName name="Fuel1" localSheetId="41">'[7]5.5.2'!$K$7:$K$8</definedName>
    <definedName name="Fuel1" localSheetId="44">'[4]5.5.2'!$K$7:$K$8</definedName>
    <definedName name="Fuel1" localSheetId="47">'[4]5.5.2'!$K$7:$K$8</definedName>
    <definedName name="Fuel1" localSheetId="50">'[11]4.2.11'!$A$67:$A$68</definedName>
    <definedName name="Fuel1">'[8]5.5.2'!$K$7:$K$8</definedName>
    <definedName name="Fuel2" localSheetId="29">'[4]5.1.2'!$I$32:$I$33</definedName>
    <definedName name="Fuel2" localSheetId="30">'[1]4.3.2'!$B$62:$B$63</definedName>
    <definedName name="Fuel2" localSheetId="31">'[1]4.3.2'!$B$62:$B$63</definedName>
    <definedName name="Fuel2" localSheetId="33">'[1]4.3.2'!$B$62:$B$63</definedName>
    <definedName name="Fuel2" localSheetId="38">'[4]5.1.2'!$I$32:$I$33</definedName>
    <definedName name="Fuel2" localSheetId="34">'[4]5.1.2'!$I$32:$I$33</definedName>
    <definedName name="Fuel2" localSheetId="36">'[6]5.1.2'!$I$32:$I$33</definedName>
    <definedName name="Fuel2" localSheetId="40">'5.4.1'!$A$53:$A$54</definedName>
    <definedName name="Fuel2" localSheetId="41">'[7]5.1.2'!$A$107:$A$108</definedName>
    <definedName name="Fuel2" localSheetId="44">'[4]5.1.2'!$I$32:$I$33</definedName>
    <definedName name="Fuel2" localSheetId="47">'[4]5.1.2'!$I$32:$I$33</definedName>
    <definedName name="Fuel2" localSheetId="49">'[24]5.1.2'!$A$108:$A$109</definedName>
    <definedName name="Fuel2" localSheetId="50">'[4]5.1.2'!$I$32:$I$33</definedName>
    <definedName name="Fuel2">'[8]5.1.2'!$A$108:$A$109</definedName>
    <definedName name="Fuel3" localSheetId="19">'4.3.4'!$B$67:$B$69</definedName>
    <definedName name="Fuel3" localSheetId="30">'[1]4.3.3'!$B$63:$B$65</definedName>
    <definedName name="Fuel3" localSheetId="31">'[1]4.3.3'!$B$63:$B$65</definedName>
    <definedName name="Fuel3" localSheetId="33">'[1]4.3.3'!$B$63:$B$65</definedName>
    <definedName name="Fuel3" localSheetId="2">'[9]4.3.3'!$B$65:$B$67</definedName>
    <definedName name="Fuel3">'4.3.3'!$B$65:$B$67</definedName>
    <definedName name="Furnace_EEP2" localSheetId="29">#REF!</definedName>
    <definedName name="Furnace_EEP2" localSheetId="30">'[5]5.3.7'!$A$40:$A$42</definedName>
    <definedName name="Furnace_EEP2" localSheetId="31">'[5]5.3.7'!$A$40:$A$42</definedName>
    <definedName name="Furnace_EEP2" localSheetId="33">'[5]5.3.7'!$A$40:$A$42</definedName>
    <definedName name="Furnace_EEP2" localSheetId="37">#REF!</definedName>
    <definedName name="Furnace_EEP2" localSheetId="38">#REF!</definedName>
    <definedName name="Furnace_EEP2" localSheetId="39">#REF!</definedName>
    <definedName name="Furnace_EEP2" localSheetId="34">#REF!</definedName>
    <definedName name="Furnace_EEP2" localSheetId="35">#REF!</definedName>
    <definedName name="Furnace_EEP2" localSheetId="36">'5.3.7'!#REF!</definedName>
    <definedName name="Furnace_EEP2" localSheetId="40">#REF!</definedName>
    <definedName name="Furnace_EEP2" localSheetId="41">#REF!</definedName>
    <definedName name="Furnace_EEP2" localSheetId="42">#REF!</definedName>
    <definedName name="Furnace_EEP2" localSheetId="43">#REF!</definedName>
    <definedName name="Furnace_EEP2" localSheetId="44">#REF!</definedName>
    <definedName name="Furnace_EEP2" localSheetId="45">#REF!</definedName>
    <definedName name="Furnace_EEP2" localSheetId="46">#REF!</definedName>
    <definedName name="Furnace_EEP2" localSheetId="47">#REF!</definedName>
    <definedName name="Furnace_EEP2" localSheetId="48">#REF!</definedName>
    <definedName name="Furnace_EEP2" localSheetId="50">#REF!</definedName>
    <definedName name="Furnace_EEP2" localSheetId="2">#REF!</definedName>
    <definedName name="gas_damage_escalation">'[17]GENERAL INPUTS'!$D$29</definedName>
    <definedName name="gas_environmental_damage">'[17]GENERAL INPUTS'!$B$29</definedName>
    <definedName name="General_Input_Data_Year">'[17]GENERAL INPUTS'!$B$40</definedName>
    <definedName name="george" localSheetId="0">#REF!</definedName>
    <definedName name="george" localSheetId="2">#REF!</definedName>
    <definedName name="george" localSheetId="1">#REF!</definedName>
    <definedName name="GHEB1" localSheetId="29">'[4]5.3.6'!$C$19:$C$21</definedName>
    <definedName name="GHEB1" localSheetId="30">'[5]5.3.6'!$C$19:$C$21</definedName>
    <definedName name="GHEB1" localSheetId="31">'[5]5.3.6'!$C$19:$C$21</definedName>
    <definedName name="GHEB1" localSheetId="33">'[5]5.3.6'!$C$19:$C$21</definedName>
    <definedName name="GHEB1" localSheetId="38">'[4]5.3.6'!$C$19:$C$21</definedName>
    <definedName name="GHEB1" localSheetId="34">'[4]5.3.6'!$C$19:$C$21</definedName>
    <definedName name="GHEB1" localSheetId="36">'[6]5.3.6'!$C$19:$C$21</definedName>
    <definedName name="GHEB1" localSheetId="40">'[4]5.3.6'!$C$19:$C$21</definedName>
    <definedName name="GHEB1" localSheetId="41">'[7]5.3.6'!$A$47:$A$49</definedName>
    <definedName name="GHEB1" localSheetId="44">'[4]5.3.6'!$C$19:$C$21</definedName>
    <definedName name="GHEB1" localSheetId="47">'[4]5.3.6'!$C$19:$C$21</definedName>
    <definedName name="GHEB1" localSheetId="50">'[4]5.3.6'!$C$19:$C$21</definedName>
    <definedName name="GHEB1">'[8]5.3.6'!$A$38:$A$40</definedName>
    <definedName name="GHEB2" localSheetId="29">'[4]5.3.6'!$K$19:$K$20</definedName>
    <definedName name="GHEB2" localSheetId="30">'[5]5.3.6'!$K$19:$K$20</definedName>
    <definedName name="GHEB2" localSheetId="31">'[5]5.3.6'!$K$19:$K$20</definedName>
    <definedName name="GHEB2" localSheetId="33">'[5]5.3.6'!$K$19:$K$20</definedName>
    <definedName name="GHEB2" localSheetId="38">'[4]5.3.6'!$K$19:$K$20</definedName>
    <definedName name="GHEB2" localSheetId="34">'[4]5.3.6'!$K$19:$K$20</definedName>
    <definedName name="GHEB2" localSheetId="36">'[6]5.3.6'!$K$19:$K$20</definedName>
    <definedName name="GHEB2" localSheetId="40">'[4]5.3.6'!$K$19:$K$20</definedName>
    <definedName name="GHEB2" localSheetId="41">'[7]5.3.6'!$A$62:$A$63</definedName>
    <definedName name="GHEB2" localSheetId="44">'[4]5.3.6'!$K$19:$K$20</definedName>
    <definedName name="GHEB2" localSheetId="47">'[4]5.3.6'!$K$19:$K$20</definedName>
    <definedName name="GHEB2" localSheetId="50">'[4]5.3.6'!$K$19:$K$20</definedName>
    <definedName name="GHEB2">'[8]5.3.6'!$A$53:$A$54</definedName>
    <definedName name="GHEF1" localSheetId="29">#REF!</definedName>
    <definedName name="GHEF1" localSheetId="30">'[5]5.3.7'!$A$29:$A$36</definedName>
    <definedName name="GHEF1" localSheetId="31">'[5]5.3.7'!$A$29:$A$36</definedName>
    <definedName name="GHEF1" localSheetId="33">'[5]5.3.7'!$A$29:$A$36</definedName>
    <definedName name="GHEF1" localSheetId="37">#REF!</definedName>
    <definedName name="GHEF1" localSheetId="38">#REF!</definedName>
    <definedName name="GHEF1" localSheetId="39">#REF!</definedName>
    <definedName name="GHEF1" localSheetId="34">#REF!</definedName>
    <definedName name="GHEF1" localSheetId="35">#REF!</definedName>
    <definedName name="GHEF1" localSheetId="36">'5.3.7'!$A$62:$A$69</definedName>
    <definedName name="GHEF1" localSheetId="40">#REF!</definedName>
    <definedName name="GHEF1" localSheetId="41">#REF!</definedName>
    <definedName name="GHEF1" localSheetId="42">#REF!</definedName>
    <definedName name="GHEF1" localSheetId="43">#REF!</definedName>
    <definedName name="GHEF1" localSheetId="44">#REF!</definedName>
    <definedName name="GHEF1" localSheetId="45">#REF!</definedName>
    <definedName name="GHEF1" localSheetId="46">#REF!</definedName>
    <definedName name="GHEF1" localSheetId="47">#REF!</definedName>
    <definedName name="GHEF1" localSheetId="48">#REF!</definedName>
    <definedName name="GHEF1" localSheetId="50">#REF!</definedName>
    <definedName name="GHEF1" localSheetId="2">#REF!</definedName>
    <definedName name="GHEF2" localSheetId="29">'[4]5.3.7'!$I$19:$I$21</definedName>
    <definedName name="GHEF2" localSheetId="30">'[5]5.3.7'!$I$19:$I$21</definedName>
    <definedName name="GHEF2" localSheetId="31">'[5]5.3.7'!$I$19:$I$21</definedName>
    <definedName name="GHEF2" localSheetId="33">'[5]5.3.7'!$I$19:$I$21</definedName>
    <definedName name="GHEF2" localSheetId="37">#REF!</definedName>
    <definedName name="GHEF2" localSheetId="38">'[4]5.3.7'!$I$19:$I$21</definedName>
    <definedName name="GHEF2" localSheetId="39">#REF!</definedName>
    <definedName name="GHEF2" localSheetId="34">'[4]5.3.7'!$I$19:$I$21</definedName>
    <definedName name="GHEF2" localSheetId="35">#REF!</definedName>
    <definedName name="GHEF2" localSheetId="36">'5.3.7'!$A$50:$A$52</definedName>
    <definedName name="GHEF2" localSheetId="40">'[4]5.3.7'!$I$19:$I$21</definedName>
    <definedName name="GHEF2" localSheetId="41">#REF!</definedName>
    <definedName name="GHEF2" localSheetId="42">#REF!</definedName>
    <definedName name="GHEF2" localSheetId="43">#REF!</definedName>
    <definedName name="GHEF2" localSheetId="44">'[4]5.3.7'!$I$19:$I$21</definedName>
    <definedName name="GHEF2" localSheetId="45">#REF!</definedName>
    <definedName name="GHEF2" localSheetId="46">#REF!</definedName>
    <definedName name="GHEF2" localSheetId="47">'[4]5.3.7'!$I$19:$I$21</definedName>
    <definedName name="GHEF2" localSheetId="48">#REF!</definedName>
    <definedName name="GHEF2" localSheetId="50">'[4]5.3.7'!$I$19:$I$21</definedName>
    <definedName name="GHEF2" localSheetId="2">#REF!</definedName>
    <definedName name="GREM1" localSheetId="30">'[1]4.4.8'!#REF!</definedName>
    <definedName name="GREM1" localSheetId="31">'[1]4.4.8'!#REF!</definedName>
    <definedName name="GREM1" localSheetId="33">'[1]4.4.8'!#REF!</definedName>
    <definedName name="GREM1" localSheetId="2">'[2]4.4.8'!#REF!</definedName>
    <definedName name="GREM2" localSheetId="30">'[1]4.4.8'!#REF!</definedName>
    <definedName name="GREM2" localSheetId="31">'[1]4.4.8'!#REF!</definedName>
    <definedName name="GREM2" localSheetId="33">'[1]4.4.8'!#REF!</definedName>
    <definedName name="GREM2" localSheetId="2">'[2]4.4.8'!#REF!</definedName>
    <definedName name="GSysLoss">'[23]General Inputs'!$E$25</definedName>
    <definedName name="Guidelines" localSheetId="2">#REF!</definedName>
    <definedName name="Guidelines" localSheetId="1">#REF!</definedName>
    <definedName name="GWHr1" localSheetId="29">'[4]5.4.2'!$I$21:$I$22</definedName>
    <definedName name="GWHr1" localSheetId="30">'[5]5.4.2'!$I$14:$I$15</definedName>
    <definedName name="GWHr1" localSheetId="31">'[5]5.4.2'!$I$14:$I$15</definedName>
    <definedName name="GWHr1" localSheetId="33">'[5]5.4.2'!$I$14:$I$15</definedName>
    <definedName name="GWHr1" localSheetId="37">'[8]5.4.2'!$I$30:$I$31</definedName>
    <definedName name="GWHr1" localSheetId="38">'[4]5.4.2'!$I$21:$I$22</definedName>
    <definedName name="GWHr1" localSheetId="39">'[8]5.4.2'!$I$30:$I$31</definedName>
    <definedName name="GWHr1" localSheetId="34">'[4]5.4.2'!$I$21:$I$22</definedName>
    <definedName name="GWHr1" localSheetId="35">'[8]5.4.2'!$I$30:$I$31</definedName>
    <definedName name="GWHr1" localSheetId="36">'[6]5.4.2'!$I$21:$I$22</definedName>
    <definedName name="GWHr1" localSheetId="40">'[4]5.4.2'!$I$21:$I$22</definedName>
    <definedName name="GWHr1" localSheetId="41">'5.4.2'!$I$18:$I$20</definedName>
    <definedName name="GWHr1" localSheetId="42">'[8]5.4.2'!$I$30:$I$31</definedName>
    <definedName name="GWHr1" localSheetId="43">'[8]5.4.2'!$I$30:$I$31</definedName>
    <definedName name="GWHr1" localSheetId="44">'[4]5.4.2'!$I$21:$I$22</definedName>
    <definedName name="GWHr1" localSheetId="45">'[8]5.4.2'!$I$30:$I$31</definedName>
    <definedName name="GWHr1" localSheetId="46">'[8]5.4.2'!$I$30:$I$31</definedName>
    <definedName name="GWHr1" localSheetId="47">'[4]5.4.2'!$I$21:$I$22</definedName>
    <definedName name="GWHr1" localSheetId="48">'[8]5.4.2'!$I$30:$I$31</definedName>
    <definedName name="GWHr1" localSheetId="50">'[4]5.4.2'!$I$21:$I$22</definedName>
    <definedName name="GWHr1" localSheetId="2">#REF!</definedName>
    <definedName name="GWHr100">'[8]5.4.2'!$I$30:$I$31</definedName>
    <definedName name="GWHr2" localSheetId="29">'[4]5.4.2'!$B$30:$B$32</definedName>
    <definedName name="GWHr2" localSheetId="30">'[5]5.4.2'!$B$23:$B$25</definedName>
    <definedName name="GWHr2" localSheetId="31">'[5]5.4.2'!$B$23:$B$25</definedName>
    <definedName name="GWHr2" localSheetId="33">'[5]5.4.2'!$B$23:$B$25</definedName>
    <definedName name="GWHr2" localSheetId="37">'[8]5.4.2'!$B$39:$B$41</definedName>
    <definedName name="GWHr2" localSheetId="38">'[4]5.4.2'!$B$30:$B$32</definedName>
    <definedName name="GWHr2" localSheetId="39">'[8]5.4.2'!$B$39:$B$41</definedName>
    <definedName name="GWHr2" localSheetId="34">'[4]5.4.2'!$B$30:$B$32</definedName>
    <definedName name="GWHr2" localSheetId="35">'[8]5.4.2'!$B$39:$B$41</definedName>
    <definedName name="GWHr2" localSheetId="36">'[6]5.4.2'!$B$30:$B$32</definedName>
    <definedName name="GWHr2" localSheetId="40">'[4]5.4.2'!$B$30:$B$32</definedName>
    <definedName name="GWHr2" localSheetId="41">'5.4.2'!$B$52:$B$54</definedName>
    <definedName name="GWHr2" localSheetId="42">'[8]5.4.2'!$B$39:$B$41</definedName>
    <definedName name="GWHr2" localSheetId="43">'[8]5.4.2'!$B$39:$B$41</definedName>
    <definedName name="GWHr2" localSheetId="44">'[4]5.4.2'!$B$30:$B$32</definedName>
    <definedName name="GWHr2" localSheetId="45">'[8]5.4.2'!$B$39:$B$41</definedName>
    <definedName name="GWHr2" localSheetId="46">'[8]5.4.2'!$B$39:$B$41</definedName>
    <definedName name="GWHr2" localSheetId="47">'[4]5.4.2'!$B$30:$B$32</definedName>
    <definedName name="GWHr2" localSheetId="48">'[8]5.4.2'!$B$39:$B$41</definedName>
    <definedName name="GWHr2" localSheetId="50">'[4]5.4.2'!$B$30:$B$32</definedName>
    <definedName name="GWHr2" localSheetId="2">#REF!</definedName>
    <definedName name="hammad">'[8]5.4.2'!$B$39:$B$41</definedName>
    <definedName name="harry" localSheetId="0">#REF!</definedName>
    <definedName name="harry" localSheetId="2">#REF!</definedName>
    <definedName name="harry" localSheetId="1">#REF!</definedName>
    <definedName name="HDD_Unconditioned">[10]RES!$D$6</definedName>
    <definedName name="Heating_Degree_Days">[10]RES!$D$5</definedName>
    <definedName name="Heating_Efficiency">[10]RES!$D$7</definedName>
    <definedName name="HEBEF1" localSheetId="30">'[21]5.3.7'!$J$7:$J$9</definedName>
    <definedName name="HEBEF1" localSheetId="31">'[21]5.3.7'!$J$7:$J$9</definedName>
    <definedName name="HEBEF1" localSheetId="33">'[21]5.3.7'!$J$7:$J$9</definedName>
    <definedName name="HEBEF1" localSheetId="38">'[15]5.3.9'!$J$7:$J$9</definedName>
    <definedName name="HEBEF1" localSheetId="41">'[22]5.3.9'!$J$7:$J$9</definedName>
    <definedName name="HEBEF1" localSheetId="47">'[15]5.3.9'!$J$7:$J$9</definedName>
    <definedName name="HEBEF1" localSheetId="49">'[22]5.3.9'!$J$7:$J$9</definedName>
    <definedName name="HEBEF1">'[16]5.3.9'!$J$7:$J$9</definedName>
    <definedName name="HEBr1" localSheetId="30">'[12]4.4.10'!$H$20:$H$21</definedName>
    <definedName name="HEBr1" localSheetId="31">'[12]4.4.10'!$H$20:$H$21</definedName>
    <definedName name="HEBr1" localSheetId="33">'[12]4.4.10'!$H$20:$H$21</definedName>
    <definedName name="HEBr1" localSheetId="38">'[13]4.4.10'!$C$40:$C$41</definedName>
    <definedName name="HEBr1" localSheetId="41">'[13]4.4.10'!$C$40:$C$41</definedName>
    <definedName name="HEBr1" localSheetId="47">'[13]4.4.10'!$C$40:$C$41</definedName>
    <definedName name="HEBr1" localSheetId="49">[25]Boilers!$H$17:$H$18</definedName>
    <definedName name="HEBr1">'[11]4.4.10'!$C$40:$C$41</definedName>
    <definedName name="HEBr2" localSheetId="30">'[12]4.4.10'!#REF!</definedName>
    <definedName name="HEBr2" localSheetId="31">'[12]4.4.10'!#REF!</definedName>
    <definedName name="HEBr2" localSheetId="33">'[12]4.4.10'!#REF!</definedName>
    <definedName name="HEBr2" localSheetId="49">[25]Boilers!#REF!</definedName>
    <definedName name="HEBr2" localSheetId="2">[26]Boilers!#REF!</definedName>
    <definedName name="HEBr3" localSheetId="30">'[12]4.4.10'!$N$32:$N$36</definedName>
    <definedName name="HEBr3" localSheetId="31">'[12]4.4.10'!$N$32:$N$36</definedName>
    <definedName name="HEBr3" localSheetId="33">'[12]4.4.10'!$N$32:$N$36</definedName>
    <definedName name="HEBr3" localSheetId="38">'[13]4.4.10'!$D$45:$D$49</definedName>
    <definedName name="HEBr3" localSheetId="41">'[13]4.4.10'!$D$45:$D$49</definedName>
    <definedName name="HEBr3" localSheetId="47">'[13]4.4.10'!$D$45:$D$49</definedName>
    <definedName name="HEBr3" localSheetId="49">[25]Boilers!$N$29:$N$33</definedName>
    <definedName name="HEBr3">'[11]4.4.10'!$D$45:$D$49</definedName>
    <definedName name="HEBr4" localSheetId="49">[25]Boilers!$B$29:$B$45</definedName>
    <definedName name="HEBr4">[26]Boilers!$B$29:$B$45</definedName>
    <definedName name="HEBr5" localSheetId="30">'[12]4.4.10'!$J$31:$J$40</definedName>
    <definedName name="HEBr5" localSheetId="31">'[12]4.4.10'!$J$31:$J$40</definedName>
    <definedName name="HEBr5" localSheetId="33">'[12]4.4.10'!$J$31:$J$40</definedName>
    <definedName name="HEBr5" localSheetId="38">'[13]4.4.10'!$A$53:$A$62</definedName>
    <definedName name="HEBr5" localSheetId="41">'[13]4.4.10'!$A$53:$A$62</definedName>
    <definedName name="HEBr5" localSheetId="47">'[13]4.4.10'!$A$53:$A$62</definedName>
    <definedName name="HEBr5" localSheetId="49">[25]Boilers!$J$28:$J$37</definedName>
    <definedName name="HEBr5">'[11]4.4.10'!$A$53:$A$62</definedName>
    <definedName name="HEFr1" localSheetId="30">'[12]4.4.11'!$J$29:$J$30</definedName>
    <definedName name="HEFr1" localSheetId="31">'[12]4.4.11'!$J$29:$J$30</definedName>
    <definedName name="HEFr1" localSheetId="33">'[12]4.4.11'!$J$29:$J$30</definedName>
    <definedName name="HEFr1" localSheetId="38">'[13]4.4.11'!$B$96:$B$97</definedName>
    <definedName name="HEFr1" localSheetId="41">'[13]4.4.11'!$B$96:$B$97</definedName>
    <definedName name="HEFr1" localSheetId="47">'[13]4.4.11'!$B$96:$B$97</definedName>
    <definedName name="HEFr1" localSheetId="49">'[13]4.4.11'!$B$96:$B$97</definedName>
    <definedName name="HEFr1">'[11]4.4.11'!$B$96:$B$97</definedName>
    <definedName name="HEFr2" localSheetId="30">'[12]4.4.11'!$B$29:$B$31</definedName>
    <definedName name="HEFr2" localSheetId="31">'[12]4.4.11'!$B$29:$B$31</definedName>
    <definedName name="HEFr2" localSheetId="33">'[12]4.4.11'!$B$29:$B$31</definedName>
    <definedName name="HEFr2" localSheetId="38">'[13]4.4.11'!$B$56:$B$58</definedName>
    <definedName name="HEFr2" localSheetId="41">'[13]4.4.11'!$B$56:$B$58</definedName>
    <definedName name="HEFr2" localSheetId="47">'[13]4.4.11'!$B$56:$B$58</definedName>
    <definedName name="HEFr2" localSheetId="49">'[13]4.4.11'!$B$56:$B$58</definedName>
    <definedName name="HEFr2">'[11]4.4.11'!$B$56:$B$58</definedName>
    <definedName name="HEFr3">'4.4.11'!$B$68:$B$72</definedName>
    <definedName name="HEFr4">'4.4.11'!$A$88:$A$104</definedName>
    <definedName name="HEPRSV1" localSheetId="29">'[11]4.2.11'!$A$62:$A$64</definedName>
    <definedName name="HEPRSV1" localSheetId="30">'[12]4.2.11'!$K$13:$K$15</definedName>
    <definedName name="HEPRSV1" localSheetId="31">'[12]4.2.11'!$K$13:$K$15</definedName>
    <definedName name="HEPRSV1" localSheetId="33">'[12]4.2.11'!$K$13:$K$15</definedName>
    <definedName name="HEPRSV1" localSheetId="38">'[13]4.2.11'!$A$57:$A$59</definedName>
    <definedName name="HEPRSV1" localSheetId="41">'[13]4.2.11'!$A$57:$A$59</definedName>
    <definedName name="HEPRSV1" localSheetId="47">'[13]4.2.11'!$A$57:$A$59</definedName>
    <definedName name="HEPRSV1" localSheetId="49">'[13]4.2.11'!$A$57:$A$59</definedName>
    <definedName name="HEPRSV1" localSheetId="50">'[11]4.2.11'!$A$62:$A$64</definedName>
    <definedName name="HEPRSV1">'[11]4.2.11'!$A$57:$A$59</definedName>
    <definedName name="HEPRSV2" localSheetId="29">'[11]4.2.11'!$A$49:$A$51</definedName>
    <definedName name="HEPRSV2" localSheetId="30">'[12]4.2.11'!$B$30:$B$32</definedName>
    <definedName name="HEPRSV2" localSheetId="31">'[12]4.2.11'!$B$30:$B$32</definedName>
    <definedName name="HEPRSV2" localSheetId="33">'[12]4.2.11'!$B$30:$B$32</definedName>
    <definedName name="HEPRSV2" localSheetId="38">'[13]4.2.11'!$A$44:$A$46</definedName>
    <definedName name="HEPRSV2" localSheetId="41">'[13]4.2.11'!$A$44:$A$46</definedName>
    <definedName name="HEPRSV2" localSheetId="47">'[13]4.2.11'!$A$44:$A$46</definedName>
    <definedName name="HEPRSV2" localSheetId="49">'[13]4.2.11'!$A$44:$A$46</definedName>
    <definedName name="HEPRSV2" localSheetId="50">'[11]4.2.11'!$A$49:$A$51</definedName>
    <definedName name="HEPRSV2">'[11]4.2.11'!$A$44:$A$46</definedName>
    <definedName name="HourlyLoadProfileNames" localSheetId="30">'[27]Load Profile Input'!$C$6:$V$6</definedName>
    <definedName name="HourlyLoadProfileNames" localSheetId="31">'[27]Load Profile Input'!$C$6:$V$6</definedName>
    <definedName name="HourlyLoadProfileNames" localSheetId="33">'[27]Load Profile Input'!$C$6:$V$6</definedName>
    <definedName name="HourlyLoadProfileNames" localSheetId="38">'[27]Load Profile Input'!$C$6:$V$6</definedName>
    <definedName name="HourlyLoadProfileNames" localSheetId="34">'[27]Load Profile Input'!$C$6:$V$6</definedName>
    <definedName name="HourlyLoadProfileNames" localSheetId="35">'[27]Load Profile Input'!$C$6:$V$6</definedName>
    <definedName name="HourlyLoadProfileNames" localSheetId="40">'[27]Load Profile Input'!$C$6:$V$6</definedName>
    <definedName name="HourlyLoadProfileNames" localSheetId="41">'[27]Load Profile Input'!$C$6:$V$6</definedName>
    <definedName name="HourlyLoadProfileNames" localSheetId="42">'[27]Load Profile Input'!$C$6:$V$6</definedName>
    <definedName name="HourlyLoadProfileNames" localSheetId="44">'[27]Load Profile Input'!$C$6:$V$6</definedName>
    <definedName name="HourlyLoadProfileNames" localSheetId="46">'[27]Load Profile Input'!$C$6:$V$6</definedName>
    <definedName name="HourlyLoadProfileNames" localSheetId="47">'[27]Load Profile Input'!$C$6:$V$6</definedName>
    <definedName name="HourlyLoadProfileNames" localSheetId="49">'[27]Load Profile Input'!$C$6:$V$6</definedName>
    <definedName name="HourlyLoadProfileNames" localSheetId="50">'[27]Load Profile Input'!$C$6:$V$6</definedName>
    <definedName name="HourlyLoadProfileNames">'[28]Load Profile Input'!$C$6:$V$6</definedName>
    <definedName name="howmanymeasures">'[3]Measures Yr 1'!$BZ$5:$BZ$10</definedName>
    <definedName name="HPSy1" localSheetId="30">'[1]4.4.9'!$G$36:$H$36</definedName>
    <definedName name="HPSy1" localSheetId="31">'[1]4.4.9'!$G$36:$H$36</definedName>
    <definedName name="HPSy1" localSheetId="33">'[1]4.4.9'!$G$36:$H$36</definedName>
    <definedName name="HPSy1">'[2]4.4.9'!$G$36:$H$36</definedName>
    <definedName name="HPSy2" localSheetId="30">'[1]4.4.9'!$L$10:$L$16</definedName>
    <definedName name="HPSy2" localSheetId="31">'[1]4.4.9'!$L$10:$L$16</definedName>
    <definedName name="HPSy2" localSheetId="33">'[1]4.4.9'!$L$10:$L$16</definedName>
    <definedName name="HPSy2">'[2]4.4.9'!$L$10:$L$16</definedName>
    <definedName name="HPT8FL2" localSheetId="30">'[12]4.5.3'!$J$26:$J$30</definedName>
    <definedName name="HPT8FL2" localSheetId="31">'[12]4.5.3'!$J$26:$J$30</definedName>
    <definedName name="HPT8FL2" localSheetId="33">'[12]4.5.3'!$J$26:$J$30</definedName>
    <definedName name="HPT8FL2" localSheetId="38">'[13]4.5.3'!$J$26:$J$30</definedName>
    <definedName name="HPT8FL2" localSheetId="41">'[13]4.5.3'!$J$26:$J$30</definedName>
    <definedName name="HPT8FL2" localSheetId="47">'[13]4.5.3'!$J$26:$J$30</definedName>
    <definedName name="HPT8FL2" localSheetId="49">'[13]4.5.3'!$J$26:$J$30</definedName>
    <definedName name="HPT8FL2">'[11]4.5.3'!$J$26:$J$30</definedName>
    <definedName name="HPT8FL3" localSheetId="30">'[12]4.5.3'!$B$22:$B$44</definedName>
    <definedName name="HPT8FL3" localSheetId="31">'[12]4.5.3'!$B$22:$B$44</definedName>
    <definedName name="HPT8FL3" localSheetId="33">'[12]4.5.3'!$B$22:$B$44</definedName>
    <definedName name="HPT8FL3" localSheetId="38">'[13]4.5.3'!$B$22:$B$44</definedName>
    <definedName name="HPT8FL3" localSheetId="41">'[13]4.5.3'!$B$22:$B$44</definedName>
    <definedName name="HPT8FL3" localSheetId="47">'[13]4.5.3'!$B$22:$B$44</definedName>
    <definedName name="HPT8FL3" localSheetId="49">'[13]4.5.3'!$B$22:$B$44</definedName>
    <definedName name="HPT8FL3">'[11]4.5.3'!$B$22:$B$44</definedName>
    <definedName name="HPT8FL4" localSheetId="30">'[12]4.5.3'!$N$28:$N$42</definedName>
    <definedName name="HPT8FL4" localSheetId="31">'[12]4.5.3'!$N$28:$N$42</definedName>
    <definedName name="HPT8FL4" localSheetId="33">'[12]4.5.3'!$N$28:$N$42</definedName>
    <definedName name="HPT8FL4" localSheetId="38">'[13]4.5.3'!$N$28:$N$42</definedName>
    <definedName name="HPT8FL4" localSheetId="41">'[13]4.5.3'!$N$28:$N$42</definedName>
    <definedName name="HPT8FL4" localSheetId="47">'[13]4.5.3'!$N$28:$N$42</definedName>
    <definedName name="HPT8FL4" localSheetId="49">'[13]4.5.3'!$N$28:$N$42</definedName>
    <definedName name="HPT8FL4">'[11]4.5.3'!$N$28:$N$42</definedName>
    <definedName name="HPWH1" localSheetId="29">'[4]5.4.3'!$L$21:$L$23</definedName>
    <definedName name="HPWH1" localSheetId="30">'[5]5.4.3'!$L$21:$L$23</definedName>
    <definedName name="HPWH1" localSheetId="31">'[5]5.4.3'!$L$21:$L$23</definedName>
    <definedName name="HPWH1" localSheetId="33">'[5]5.4.3'!$L$21:$L$23</definedName>
    <definedName name="HPWH1" localSheetId="38">'[4]5.4.3'!$L$21:$L$23</definedName>
    <definedName name="HPWH1" localSheetId="34">'[4]5.4.3'!$L$21:$L$23</definedName>
    <definedName name="HPWH1" localSheetId="36">'[6]5.4.3'!$L$21:$L$23</definedName>
    <definedName name="HPWH1" localSheetId="40">'[4]5.4.3'!$L$21:$L$23</definedName>
    <definedName name="HPWH1" localSheetId="41">'[7]5.4.3'!$L$21:$L$23</definedName>
    <definedName name="HPWH1" localSheetId="44">'[4]5.4.3'!$L$21:$L$23</definedName>
    <definedName name="HPWH1" localSheetId="47">'[4]5.4.3'!$L$21:$L$23</definedName>
    <definedName name="HPWH1" localSheetId="50">'[4]5.4.3'!$L$21:$L$23</definedName>
    <definedName name="HPWH1">'[8]5.4.3'!$L$21:$L$23</definedName>
    <definedName name="HPWH2" localSheetId="29">'[4]5.4.3'!$B$34:$B$35</definedName>
    <definedName name="HPWH2" localSheetId="30">'[5]5.4.3'!$B$34:$B$35</definedName>
    <definedName name="HPWH2" localSheetId="31">'[5]5.4.3'!$B$34:$B$35</definedName>
    <definedName name="HPWH2" localSheetId="33">'[5]5.4.3'!$B$34:$B$35</definedName>
    <definedName name="HPWH2" localSheetId="38">'[4]5.4.3'!$B$34:$B$35</definedName>
    <definedName name="HPWH2" localSheetId="34">'[4]5.4.3'!$B$34:$B$35</definedName>
    <definedName name="HPWH2" localSheetId="36">'[6]5.4.3'!$B$34:$B$35</definedName>
    <definedName name="HPWH2" localSheetId="40">'[4]5.4.3'!$B$34:$B$35</definedName>
    <definedName name="HPWH2" localSheetId="41">'[7]5.4.3'!$B$34:$B$35</definedName>
    <definedName name="HPWH2" localSheetId="44">'[4]5.4.3'!$B$34:$B$35</definedName>
    <definedName name="HPWH2" localSheetId="47">'[4]5.4.3'!$B$34:$B$35</definedName>
    <definedName name="HPWH2" localSheetId="50">'[4]5.4.3'!$B$34:$B$35</definedName>
    <definedName name="HPWH2">'[8]5.4.3'!$B$34:$B$35</definedName>
    <definedName name="HPWH3" localSheetId="29">'[4]5.4.3'!$K$16:$K$18</definedName>
    <definedName name="HPWH3" localSheetId="30">'[5]5.4.3'!$K$16:$K$18</definedName>
    <definedName name="HPWH3" localSheetId="31">'[5]5.4.3'!$K$16:$K$18</definedName>
    <definedName name="HPWH3" localSheetId="33">'[5]5.4.3'!$K$16:$K$18</definedName>
    <definedName name="HPWH3" localSheetId="38">'[4]5.4.3'!$K$16:$K$18</definedName>
    <definedName name="HPWH3" localSheetId="34">'[4]5.4.3'!$K$16:$K$18</definedName>
    <definedName name="HPWH3" localSheetId="36">'[6]5.4.3'!$K$16:$K$18</definedName>
    <definedName name="HPWH3" localSheetId="40">'[4]5.4.3'!$K$16:$K$18</definedName>
    <definedName name="HPWH3" localSheetId="41">'[7]5.4.3'!$K$16:$K$18</definedName>
    <definedName name="HPWH3" localSheetId="44">'[4]5.4.3'!$K$16:$K$18</definedName>
    <definedName name="HPWH3" localSheetId="47">'[4]5.4.3'!$K$16:$K$18</definedName>
    <definedName name="HPWH3" localSheetId="50">'[4]5.4.3'!$K$16:$K$18</definedName>
    <definedName name="HPWH3">'[8]5.4.3'!$K$16:$K$18</definedName>
    <definedName name="HPWH4" localSheetId="29">'[4]5.4.3'!$F$34:$F$36</definedName>
    <definedName name="HPWH4" localSheetId="30">'[5]5.4.3'!$F$34:$F$36</definedName>
    <definedName name="HPWH4" localSheetId="31">'[5]5.4.3'!$F$34:$F$36</definedName>
    <definedName name="HPWH4" localSheetId="33">'[5]5.4.3'!$F$34:$F$36</definedName>
    <definedName name="HPWH4" localSheetId="38">'[4]5.4.3'!$F$34:$F$36</definedName>
    <definedName name="HPWH4" localSheetId="34">'[4]5.4.3'!$F$34:$F$36</definedName>
    <definedName name="HPWH4" localSheetId="36">'[6]5.4.3'!$F$34:$F$36</definedName>
    <definedName name="HPWH4" localSheetId="40">'[4]5.4.3'!$F$34:$F$36</definedName>
    <definedName name="HPWH4" localSheetId="41">'[7]5.4.3'!$F$34:$F$37</definedName>
    <definedName name="HPWH4" localSheetId="44">'[4]5.4.3'!$F$34:$F$36</definedName>
    <definedName name="HPWH4" localSheetId="47">'[4]5.4.3'!$F$34:$F$36</definedName>
    <definedName name="HPWH4" localSheetId="50">'[4]5.4.3'!$F$34:$F$36</definedName>
    <definedName name="HPWH4">'[8]5.4.3'!$F$34:$F$36</definedName>
    <definedName name="HPWH5" localSheetId="29">'[4]5.4.3'!$G$34:$G$35</definedName>
    <definedName name="HPWH5" localSheetId="30">'[5]5.4.3'!$G$34:$G$35</definedName>
    <definedName name="HPWH5" localSheetId="31">'[5]5.4.3'!$G$34:$G$35</definedName>
    <definedName name="HPWH5" localSheetId="33">'[5]5.4.3'!$G$34:$G$35</definedName>
    <definedName name="HPWH5" localSheetId="38">'[4]5.4.3'!$G$34:$G$35</definedName>
    <definedName name="HPWH5" localSheetId="34">'[4]5.4.3'!$G$34:$G$35</definedName>
    <definedName name="HPWH5" localSheetId="36">'[6]5.4.3'!$G$34:$G$35</definedName>
    <definedName name="HPWH5" localSheetId="40">'[4]5.4.3'!$G$34:$G$35</definedName>
    <definedName name="HPWH5" localSheetId="41">'[7]5.4.3'!$G$34:$G$35</definedName>
    <definedName name="HPWH5" localSheetId="44">'[4]5.4.3'!$G$34:$G$35</definedName>
    <definedName name="HPWH5" localSheetId="47">'[4]5.4.3'!$G$34:$G$35</definedName>
    <definedName name="HPWH5" localSheetId="50">'[4]5.4.3'!$G$34:$G$35</definedName>
    <definedName name="HPWH5">'[8]5.4.3'!$G$34:$G$35</definedName>
    <definedName name="HSF" localSheetId="30">'[1]4.1.3'!$B$11:$B$13</definedName>
    <definedName name="HSF" localSheetId="31">'[1]4.1.3'!$B$11:$B$13</definedName>
    <definedName name="HSF" localSheetId="33">'[1]4.1.3'!$B$11:$B$13</definedName>
    <definedName name="HSF">'[2]4.1.3'!$B$11:$B$13</definedName>
    <definedName name="HT8FL1" localSheetId="30">'[12]4.5.3'!$B$49:$B$71</definedName>
    <definedName name="HT8FL1" localSheetId="31">'[12]4.5.3'!$B$49:$B$71</definedName>
    <definedName name="HT8FL1" localSheetId="33">'[12]4.5.3'!$B$49:$B$71</definedName>
    <definedName name="HT8FL1" localSheetId="38">'[13]4.5.3'!$B$49:$B$71</definedName>
    <definedName name="HT8FL1" localSheetId="41">'[13]4.5.3'!$B$49:$B$71</definedName>
    <definedName name="HT8FL1" localSheetId="47">'[13]4.5.3'!$B$49:$B$71</definedName>
    <definedName name="HT8FL1" localSheetId="49">'[13]4.5.3'!$B$49:$B$71</definedName>
    <definedName name="HT8FL1">'[11]4.5.3'!$B$49:$B$71</definedName>
    <definedName name="HVACT1" localSheetId="30">'[21]5.3.8'!$M$7:$M$8</definedName>
    <definedName name="HVACT1" localSheetId="31">'[21]5.3.8'!$M$7:$M$8</definedName>
    <definedName name="HVACT1" localSheetId="33">'[21]5.3.8'!$M$7:$M$8</definedName>
    <definedName name="HVACT1" localSheetId="38">'5.3.13'!#REF!</definedName>
    <definedName name="HVACT1" localSheetId="41">'[22]5.3.10'!$M$7:$M$8</definedName>
    <definedName name="HVACT1" localSheetId="47">'[15]5.3.10'!$M$7:$M$8</definedName>
    <definedName name="HVACT1" localSheetId="49">'[22]5.3.10'!$M$7:$M$8</definedName>
    <definedName name="HVACT1">'[16]5.3.10'!$M$7:$M$8</definedName>
    <definedName name="HVLSF1" localSheetId="30">'[1]4.1.2'!$B$11:$B$13</definedName>
    <definedName name="HVLSF1" localSheetId="31">'[1]4.1.2'!$B$11:$B$13</definedName>
    <definedName name="HVLSF1" localSheetId="33">'[1]4.1.2'!$B$11:$B$13</definedName>
    <definedName name="HVLSF1">'[2]4.1.2'!$B$11:$B$13</definedName>
    <definedName name="IHCFL1" localSheetId="30">#REF!</definedName>
    <definedName name="IHCFL1" localSheetId="31">#REF!</definedName>
    <definedName name="IHCFL1" localSheetId="33">#REF!</definedName>
    <definedName name="IHCFL1" localSheetId="2">#REF!</definedName>
    <definedName name="IHCFL2" localSheetId="30">#REF!</definedName>
    <definedName name="IHCFL2" localSheetId="31">#REF!</definedName>
    <definedName name="IHCFL2" localSheetId="33">#REF!</definedName>
    <definedName name="IHCFL2" localSheetId="2">#REF!</definedName>
    <definedName name="IHCFL3" localSheetId="30">#REF!</definedName>
    <definedName name="IHCFL3" localSheetId="31">#REF!</definedName>
    <definedName name="IHCFL3" localSheetId="33">#REF!</definedName>
    <definedName name="IHCFL3" localSheetId="2">#REF!</definedName>
    <definedName name="IHCFLF1" localSheetId="30">'[21]5.5.5'!$J$11:$J$12</definedName>
    <definedName name="IHCFLF1" localSheetId="31">'[21]5.5.5'!$J$11:$J$12</definedName>
    <definedName name="IHCFLF1" localSheetId="33">'[21]5.5.5'!$J$11:$J$12</definedName>
    <definedName name="IHCFLF1" localSheetId="38">'[15]5.5.5'!$J$11:$J$12</definedName>
    <definedName name="IHCFLF1" localSheetId="41">'[22]5.5.5'!$J$11:$J$12</definedName>
    <definedName name="IHCFLF1" localSheetId="47">'[15]5.5.5'!$J$11:$J$12</definedName>
    <definedName name="IHCFLF1" localSheetId="49">'[22]5.5.5'!$J$11:$J$12</definedName>
    <definedName name="IHCFLF1">'[16]5.5.5'!$J$11:$J$12</definedName>
    <definedName name="IHCFLF2" localSheetId="30">'[21]5.5.5'!$C$30:$C$37</definedName>
    <definedName name="IHCFLF2" localSheetId="31">'[21]5.5.5'!$C$30:$C$37</definedName>
    <definedName name="IHCFLF2" localSheetId="33">'[21]5.5.5'!$C$30:$C$37</definedName>
    <definedName name="IHCFLF2" localSheetId="38">'[15]5.5.5'!$C$30:$C$37</definedName>
    <definedName name="IHCFLF2" localSheetId="41">'[22]5.5.5'!$C$30:$C$37</definedName>
    <definedName name="IHCFLF2" localSheetId="47">'[15]5.5.5'!$C$30:$C$37</definedName>
    <definedName name="IHCFLF2" localSheetId="49">'[22]5.5.5'!$C$30:$C$37</definedName>
    <definedName name="IHCFLF2">'[16]5.5.5'!$C$30:$C$37</definedName>
    <definedName name="IHCFLF3" localSheetId="30">'[21]5.5.5'!$K$31:$K$34</definedName>
    <definedName name="IHCFLF3" localSheetId="31">'[21]5.5.5'!$K$31:$K$34</definedName>
    <definedName name="IHCFLF3" localSheetId="33">'[21]5.5.5'!$K$31:$K$34</definedName>
    <definedName name="IHCFLF3" localSheetId="38">'[15]5.5.5'!$K$31:$K$34</definedName>
    <definedName name="IHCFLF3" localSheetId="41">'[22]5.5.5'!$K$31:$K$34</definedName>
    <definedName name="IHCFLF3" localSheetId="47">'[15]5.5.5'!$K$31:$K$34</definedName>
    <definedName name="IHCFLF3" localSheetId="49">'[22]5.5.5'!$K$31:$K$34</definedName>
    <definedName name="IHCFLF3">'[16]5.5.5'!$K$31:$K$34</definedName>
    <definedName name="IHCFLF4" localSheetId="30">'[21]5.5.5'!$I$42:$I$45</definedName>
    <definedName name="IHCFLF4" localSheetId="31">'[21]5.5.5'!$I$42:$I$45</definedName>
    <definedName name="IHCFLF4" localSheetId="33">'[21]5.5.5'!$I$42:$I$45</definedName>
    <definedName name="IHCFLF4" localSheetId="38">'[15]5.5.5'!$I$42:$I$45</definedName>
    <definedName name="IHCFLF4" localSheetId="41">'[22]5.5.5'!$I$42:$I$45</definedName>
    <definedName name="IHCFLF4" localSheetId="47">'[15]5.5.5'!$I$42:$I$45</definedName>
    <definedName name="IHCFLF4" localSheetId="49">'[22]5.5.5'!$I$42:$I$45</definedName>
    <definedName name="IHCFLF4">'[16]5.5.5'!$I$42:$I$45</definedName>
    <definedName name="Incremental_Cost_Sources" localSheetId="49">#REF!</definedName>
    <definedName name="Incremental_Cost_Sources" localSheetId="2">#REF!</definedName>
    <definedName name="Indoor_Outdoor" localSheetId="30">'[1]4.3.4'!$B$43:$B$44</definedName>
    <definedName name="Indoor_Outdoor" localSheetId="31">'[1]4.3.4'!$B$43:$B$44</definedName>
    <definedName name="Indoor_Outdoor" localSheetId="33">'[1]4.3.4'!$B$43:$B$44</definedName>
    <definedName name="Indoor_Outdoor" localSheetId="2">'[9]4.3.4'!$B$37:$B$38</definedName>
    <definedName name="Indoor_Outdoor">'4.3.4'!$B$37:$B$38</definedName>
    <definedName name="InflationRate">'[3]Discounting Tables'!$B$6</definedName>
    <definedName name="InputEndUses" localSheetId="30">'[27]Main Input'!$M$6:$M$20</definedName>
    <definedName name="InputEndUses" localSheetId="31">'[27]Main Input'!$M$6:$M$20</definedName>
    <definedName name="InputEndUses" localSheetId="33">'[27]Main Input'!$M$6:$M$20</definedName>
    <definedName name="InputEndUses" localSheetId="38">'[27]Main Input'!$M$6:$M$20</definedName>
    <definedName name="InputEndUses" localSheetId="34">'[27]Main Input'!$M$6:$M$20</definedName>
    <definedName name="InputEndUses" localSheetId="35">'[27]Main Input'!$M$6:$M$20</definedName>
    <definedName name="InputEndUses" localSheetId="40">'[27]Main Input'!$M$6:$M$20</definedName>
    <definedName name="InputEndUses" localSheetId="41">'[27]Main Input'!$M$6:$M$20</definedName>
    <definedName name="InputEndUses" localSheetId="42">'[27]Main Input'!$M$6:$M$20</definedName>
    <definedName name="InputEndUses" localSheetId="44">'[27]Main Input'!$M$6:$M$20</definedName>
    <definedName name="InputEndUses" localSheetId="46">'[27]Main Input'!$M$6:$M$20</definedName>
    <definedName name="InputEndUses" localSheetId="47">'[27]Main Input'!$M$6:$M$20</definedName>
    <definedName name="InputEndUses" localSheetId="49">'[27]Main Input'!$M$6:$M$20</definedName>
    <definedName name="InputEndUses" localSheetId="50">'[27]Main Input'!$M$6:$M$20</definedName>
    <definedName name="InputEndUses">'[28]Main Input'!$M$6:$M$20</definedName>
    <definedName name="jj" localSheetId="2">#REF!</definedName>
    <definedName name="jj" localSheetId="1">#REF!</definedName>
    <definedName name="KDVC1" localSheetId="30">'[1]4.2.16'!$B$12:$B$13</definedName>
    <definedName name="KDVC1" localSheetId="31">'[1]4.2.16'!$B$12:$B$13</definedName>
    <definedName name="KDVC1" localSheetId="33">'[1]4.2.16'!$B$12:$B$13</definedName>
    <definedName name="KDVC1">'[2]4.2.16'!$B$11:$B$12</definedName>
    <definedName name="LEDBF1" localSheetId="30">'[12]4.5.4'!$H$10:$H$19</definedName>
    <definedName name="LEDBF1" localSheetId="31">'[12]4.5.4'!$H$10:$H$19</definedName>
    <definedName name="LEDBF1" localSheetId="33">'[12]4.5.4'!$H$10:$H$19</definedName>
    <definedName name="LEDBF1" localSheetId="38">'[13]4.5.4'!$H$10:$H$19</definedName>
    <definedName name="LEDBF1" localSheetId="41">'[13]4.5.4'!$H$10:$H$19</definedName>
    <definedName name="LEDBF1" localSheetId="47">'[13]4.5.4'!$H$10:$H$19</definedName>
    <definedName name="LEDBF1" localSheetId="49">'[13]4.5.4'!$H$10:$H$19</definedName>
    <definedName name="LEDBF1">'[11]4.5.4'!$H$10:$H$19</definedName>
    <definedName name="LEDBF2" localSheetId="30">'[12]4.5.4'!$M$6:$M$20</definedName>
    <definedName name="LEDBF2" localSheetId="31">'[12]4.5.4'!$M$6:$M$20</definedName>
    <definedName name="LEDBF2" localSheetId="33">'[12]4.5.4'!$M$6:$M$20</definedName>
    <definedName name="LEDBF2" localSheetId="38">'[13]4.5.4'!$M$6:$M$20</definedName>
    <definedName name="LEDBF2" localSheetId="41">'[13]4.5.4'!$M$6:$M$20</definedName>
    <definedName name="LEDBF2" localSheetId="47">'[13]4.5.4'!$M$6:$M$20</definedName>
    <definedName name="LEDBF2" localSheetId="49">'[13]4.5.4'!$M$6:$M$20</definedName>
    <definedName name="LEDBF2">'[11]4.5.4'!$M$6:$M$20</definedName>
    <definedName name="LEDBF3" localSheetId="30">'[12]4.5.4'!$R$36:$R$58</definedName>
    <definedName name="LEDBF3" localSheetId="31">'[12]4.5.4'!$R$36:$R$58</definedName>
    <definedName name="LEDBF3" localSheetId="33">'[12]4.5.4'!$R$36:$R$58</definedName>
    <definedName name="LEDBF3" localSheetId="38">'[13]4.5.4'!$R$36:$R$58</definedName>
    <definedName name="LEDBF3" localSheetId="41">'[13]4.5.4'!$R$36:$R$58</definedName>
    <definedName name="LEDBF3" localSheetId="47">'[13]4.5.4'!$R$36:$R$58</definedName>
    <definedName name="LEDBF3" localSheetId="49">'[13]4.5.4'!$R$36:$R$58</definedName>
    <definedName name="LEDBF3">'[11]4.5.4'!$R$36:$R$58</definedName>
    <definedName name="LEDBF4" localSheetId="30">'[12]4.5.4'!$B$88:$B$136</definedName>
    <definedName name="LEDBF4" localSheetId="31">'[12]4.5.4'!$B$88:$B$136</definedName>
    <definedName name="LEDBF4" localSheetId="33">'[12]4.5.4'!$B$88:$B$136</definedName>
    <definedName name="LEDBF4" localSheetId="38">'[13]4.5.4'!$B$88:$B$136</definedName>
    <definedName name="LEDBF4" localSheetId="41">'[13]4.5.4'!$B$88:$B$136</definedName>
    <definedName name="LEDBF4" localSheetId="47">'[13]4.5.4'!$B$88:$B$136</definedName>
    <definedName name="LEDBF4" localSheetId="49">'[13]4.5.4'!$B$88:$B$136</definedName>
    <definedName name="LEDBF4">'[11]4.5.4'!$B$88:$B$136</definedName>
    <definedName name="LEDBF5" localSheetId="30">'[12]4.5.4'!#REF!</definedName>
    <definedName name="LEDBF5" localSheetId="31">'[12]4.5.4'!#REF!</definedName>
    <definedName name="LEDBF5" localSheetId="33">'[12]4.5.4'!#REF!</definedName>
    <definedName name="LEDBF5" localSheetId="2">'[12]4.5.4'!#REF!</definedName>
    <definedName name="LEDD1" localSheetId="29">'[4]5.5.6'!$I$6:$I$7</definedName>
    <definedName name="LEDD1" localSheetId="30">'[5]5.5.6'!$I$6:$I$7</definedName>
    <definedName name="LEDD1" localSheetId="31">'[5]5.5.6'!$I$6:$I$7</definedName>
    <definedName name="LEDD1" localSheetId="33">'[5]5.5.6'!$I$6:$I$7</definedName>
    <definedName name="LEDD1" localSheetId="38">'[4]5.5.6'!$I$6:$I$7</definedName>
    <definedName name="LEDD1" localSheetId="34">'[4]5.5.6'!$I$6:$I$7</definedName>
    <definedName name="LEDD1" localSheetId="36">'[6]5.5.6'!$I$6:$I$7</definedName>
    <definedName name="LEDD1" localSheetId="40">'[4]5.5.6'!$I$6:$I$7</definedName>
    <definedName name="LEDD1" localSheetId="41">'[7]5.5.6'!$I$6:$I$7</definedName>
    <definedName name="LEDD1" localSheetId="44">'[4]5.5.6'!$I$6:$I$7</definedName>
    <definedName name="LEDD1" localSheetId="47">'[4]5.5.6'!$I$6:$I$7</definedName>
    <definedName name="LEDD1" localSheetId="50">'[4]5.5.6'!$I$6:$I$7</definedName>
    <definedName name="LEDD1">'[8]5.5.6'!$I$6:$I$7</definedName>
    <definedName name="LEDD2" localSheetId="29">'[4]5.5.6'!$K$36:$K$39</definedName>
    <definedName name="LEDD2" localSheetId="30">'[5]5.5.6'!$K$36:$K$39</definedName>
    <definedName name="LEDD2" localSheetId="31">'[5]5.5.6'!$K$36:$K$39</definedName>
    <definedName name="LEDD2" localSheetId="33">'[5]5.5.6'!$K$36:$K$39</definedName>
    <definedName name="LEDD2" localSheetId="38">'[4]5.5.6'!$K$36:$K$39</definedName>
    <definedName name="LEDD2" localSheetId="34">'[4]5.5.6'!$K$36:$K$39</definedName>
    <definedName name="LEDD2" localSheetId="36">'[6]5.5.6'!$K$36:$K$39</definedName>
    <definedName name="LEDD2" localSheetId="40">'[4]5.5.6'!$K$36:$K$39</definedName>
    <definedName name="LEDD2" localSheetId="41">'[7]5.5.6'!$K$36:$K$39</definedName>
    <definedName name="LEDD2" localSheetId="44">'[4]5.5.6'!$K$36:$K$39</definedName>
    <definedName name="LEDD2" localSheetId="47">'[4]5.5.6'!$K$36:$K$39</definedName>
    <definedName name="LEDD2" localSheetId="50">'[4]5.5.6'!$K$36:$K$39</definedName>
    <definedName name="LEDD2">'[8]5.5.6'!$K$36:$K$39</definedName>
    <definedName name="LEDD3" localSheetId="29">'[4]5.5.6'!$C$29:$C$32</definedName>
    <definedName name="LEDD3" localSheetId="30">'[5]5.5.6'!$C$29:$C$32</definedName>
    <definedName name="LEDD3" localSheetId="31">'[5]5.5.6'!$C$29:$C$32</definedName>
    <definedName name="LEDD3" localSheetId="33">'[5]5.5.6'!$C$29:$C$32</definedName>
    <definedName name="LEDD3" localSheetId="38">'[4]5.5.6'!$C$29:$C$32</definedName>
    <definedName name="LEDD3" localSheetId="34">'[4]5.5.6'!$C$29:$C$32</definedName>
    <definedName name="LEDD3" localSheetId="36">'[6]5.5.6'!$C$29:$C$32</definedName>
    <definedName name="LEDD3" localSheetId="40">'[4]5.5.6'!$C$29:$C$32</definedName>
    <definedName name="LEDD3" localSheetId="41">'[7]5.5.6'!$C$29:$C$32</definedName>
    <definedName name="LEDD3" localSheetId="44">'[4]5.5.6'!$C$29:$C$32</definedName>
    <definedName name="LEDD3" localSheetId="47">'[4]5.5.6'!$C$29:$C$32</definedName>
    <definedName name="LEDD3" localSheetId="50">'[4]5.5.6'!$C$29:$C$32</definedName>
    <definedName name="LEDD3">'[8]5.5.6'!$C$29:$C$32</definedName>
    <definedName name="LEDD4" localSheetId="29">'[4]5.5.6'!$E$37:$E$47</definedName>
    <definedName name="LEDD4" localSheetId="30">'[5]5.5.6'!$E$37:$E$47</definedName>
    <definedName name="LEDD4" localSheetId="31">'[5]5.5.6'!$E$37:$E$47</definedName>
    <definedName name="LEDD4" localSheetId="33">'[5]5.5.6'!$E$37:$E$47</definedName>
    <definedName name="LEDD4" localSheetId="38">'[4]5.5.6'!$E$37:$E$47</definedName>
    <definedName name="LEDD4" localSheetId="34">'[4]5.5.6'!$E$37:$E$47</definedName>
    <definedName name="LEDD4" localSheetId="36">'[6]5.5.6'!$E$37:$E$47</definedName>
    <definedName name="LEDD4" localSheetId="40">'[4]5.5.6'!$E$37:$E$47</definedName>
    <definedName name="LEDD4" localSheetId="41">'[7]5.5.6'!$E$37:$E$47</definedName>
    <definedName name="LEDD4" localSheetId="44">'[4]5.5.6'!$E$37:$E$47</definedName>
    <definedName name="LEDD4" localSheetId="47">'[4]5.5.6'!$E$37:$E$47</definedName>
    <definedName name="LEDD4" localSheetId="50">'[4]5.5.6'!$E$37:$E$47</definedName>
    <definedName name="LEDD4">'[8]5.5.6'!$E$37:$E$47</definedName>
    <definedName name="LEDES1" localSheetId="30">'[21]5.5.7'!$J$19:$J$21</definedName>
    <definedName name="LEDES1" localSheetId="31">'[21]5.5.7'!$J$19:$J$21</definedName>
    <definedName name="LEDES1" localSheetId="33">'[21]5.5.7'!$J$19:$J$21</definedName>
    <definedName name="LEDES1" localSheetId="38">'[15]5.5.7'!$J$19:$J$21</definedName>
    <definedName name="LEDES1" localSheetId="41">'[22]5.5.7'!$J$19:$J$21</definedName>
    <definedName name="LEDES1" localSheetId="47">'[15]5.5.7'!$J$19:$J$21</definedName>
    <definedName name="LEDES1" localSheetId="49">'[22]5.5.7'!$J$19:$J$21</definedName>
    <definedName name="LEDES1">'[16]5.5.7'!$J$19:$J$21</definedName>
    <definedName name="LEDTra1" localSheetId="30">'[12]4.5.6'!$E$22:$E$37</definedName>
    <definedName name="LEDTra1" localSheetId="31">'[12]4.5.6'!$E$22:$E$37</definedName>
    <definedName name="LEDTra1" localSheetId="33">'[12]4.5.6'!$E$22:$E$37</definedName>
    <definedName name="LEDTra1" localSheetId="38">'[13]4.5.6'!$E$22:$E$37</definedName>
    <definedName name="LEDTra1" localSheetId="41">'[13]4.5.6'!$E$22:$E$37</definedName>
    <definedName name="LEDTra1" localSheetId="47">'[13]4.5.6'!$E$22:$E$37</definedName>
    <definedName name="LEDTra1" localSheetId="49">'[13]4.5.6'!$E$22:$E$37</definedName>
    <definedName name="LEDTra1">'[11]4.5.6'!$E$22:$E$37</definedName>
    <definedName name="LEDTra2" localSheetId="30">'[12]4.5.6'!$M$7:$M$16</definedName>
    <definedName name="LEDTra2" localSheetId="31">'[12]4.5.6'!$M$7:$M$16</definedName>
    <definedName name="LEDTra2" localSheetId="33">'[12]4.5.6'!$M$7:$M$16</definedName>
    <definedName name="LEDTra2" localSheetId="38">'[13]4.5.6'!$M$7:$M$16</definedName>
    <definedName name="LEDTra2" localSheetId="41">'[13]4.5.6'!$M$7:$M$16</definedName>
    <definedName name="LEDTra2" localSheetId="47">'[13]4.5.6'!$M$7:$M$16</definedName>
    <definedName name="LEDTra2" localSheetId="49">'[13]4.5.6'!$M$7:$M$16</definedName>
    <definedName name="LEDTra2">'[11]4.5.6'!$M$7:$M$16</definedName>
    <definedName name="LFFA1" localSheetId="42">'5.4.4'!$B$73:$B$75</definedName>
    <definedName name="LFFA1">'4.3.2'!$E$62:$E$64</definedName>
    <definedName name="LFFA2" localSheetId="42">'5.4.4'!$B$100:$B$104</definedName>
    <definedName name="LFFA2">'4.3.2'!$B$72:$B$84</definedName>
    <definedName name="LFSh1" localSheetId="19">'4.3.4'!$E$66:$E$69</definedName>
    <definedName name="LFSh1" localSheetId="30">'[1]4.3.3'!$E$63:$E$66</definedName>
    <definedName name="LFSh1" localSheetId="31">'[1]4.3.3'!$E$63:$E$66</definedName>
    <definedName name="LFSh1" localSheetId="33">'[1]4.3.3'!$E$63:$E$66</definedName>
    <definedName name="LFSh1" localSheetId="43">'5.4.5'!$F$72:$F$75</definedName>
    <definedName name="LFSh1" localSheetId="49">'[25]5.4.5'!$F$33:$F$35</definedName>
    <definedName name="LFSh1">'[26]5.4.5'!$F$33:$F$35</definedName>
    <definedName name="LFSh2" localSheetId="30">#REF!</definedName>
    <definedName name="LFSh2" localSheetId="31">#REF!</definedName>
    <definedName name="LFSh2" localSheetId="33">#REF!</definedName>
    <definedName name="LFSh2" localSheetId="43">'5.4.5'!$I$72:$I$75</definedName>
    <definedName name="LFSh2" localSheetId="49">'[25]5.4.5'!$I$33:$I$35</definedName>
    <definedName name="LFSh2">'[26]5.4.5'!$I$33:$I$35</definedName>
    <definedName name="LineLosses">'[29]Economic Inputs'!$A$6</definedName>
    <definedName name="ListAdoptionCurves" localSheetId="30">[27]Lookups!$H$25:$H$44</definedName>
    <definedName name="ListAdoptionCurves" localSheetId="31">[27]Lookups!$H$25:$H$44</definedName>
    <definedName name="ListAdoptionCurves" localSheetId="33">[27]Lookups!$H$25:$H$44</definedName>
    <definedName name="ListAdoptionCurves" localSheetId="38">[27]Lookups!$H$25:$H$44</definedName>
    <definedName name="ListAdoptionCurves" localSheetId="34">[27]Lookups!$H$25:$H$44</definedName>
    <definedName name="ListAdoptionCurves" localSheetId="35">[27]Lookups!$H$25:$H$44</definedName>
    <definedName name="ListAdoptionCurves" localSheetId="40">[27]Lookups!$H$25:$H$44</definedName>
    <definedName name="ListAdoptionCurves" localSheetId="41">[27]Lookups!$H$25:$H$44</definedName>
    <definedName name="ListAdoptionCurves" localSheetId="42">[27]Lookups!$H$25:$H$44</definedName>
    <definedName name="ListAdoptionCurves" localSheetId="44">[27]Lookups!$H$25:$H$44</definedName>
    <definedName name="ListAdoptionCurves" localSheetId="46">[27]Lookups!$H$25:$H$44</definedName>
    <definedName name="ListAdoptionCurves" localSheetId="47">[27]Lookups!$H$25:$H$44</definedName>
    <definedName name="ListAdoptionCurves" localSheetId="49">[27]Lookups!$H$25:$H$44</definedName>
    <definedName name="ListAdoptionCurves" localSheetId="50">[27]Lookups!$H$25:$H$44</definedName>
    <definedName name="ListAdoptionCurves">[28]Lookups!$H$25:$H$44</definedName>
    <definedName name="ListEquipTypes" localSheetId="30">[27]Lookups!$C$20:$C$94</definedName>
    <definedName name="ListEquipTypes" localSheetId="31">[27]Lookups!$C$20:$C$94</definedName>
    <definedName name="ListEquipTypes" localSheetId="33">[27]Lookups!$C$20:$C$94</definedName>
    <definedName name="ListEquipTypes" localSheetId="38">[27]Lookups!$C$20:$C$94</definedName>
    <definedName name="ListEquipTypes" localSheetId="34">[27]Lookups!$C$20:$C$94</definedName>
    <definedName name="ListEquipTypes" localSheetId="35">[27]Lookups!$C$20:$C$94</definedName>
    <definedName name="ListEquipTypes" localSheetId="40">[27]Lookups!$C$20:$C$94</definedName>
    <definedName name="ListEquipTypes" localSheetId="41">[27]Lookups!$C$20:$C$94</definedName>
    <definedName name="ListEquipTypes" localSheetId="42">[27]Lookups!$C$20:$C$94</definedName>
    <definedName name="ListEquipTypes" localSheetId="44">[27]Lookups!$C$20:$C$94</definedName>
    <definedName name="ListEquipTypes" localSheetId="46">[27]Lookups!$C$20:$C$94</definedName>
    <definedName name="ListEquipTypes" localSheetId="47">[27]Lookups!$C$20:$C$94</definedName>
    <definedName name="ListEquipTypes" localSheetId="49">[27]Lookups!$C$20:$C$94</definedName>
    <definedName name="ListEquipTypes" localSheetId="50">[27]Lookups!$C$20:$C$94</definedName>
    <definedName name="ListEquipTypes">[28]Lookups!$C$20:$C$94</definedName>
    <definedName name="LoadshapeNames">[30]Loadshapes!$B$4:$B$137</definedName>
    <definedName name="lookup_building_codes" localSheetId="0">'[14]BenCost Input Summary'!#REF!</definedName>
    <definedName name="lookup_building_codes" localSheetId="2">'[14]BenCost Input Summary'!#REF!</definedName>
    <definedName name="lookup_building_codes" localSheetId="1">'[14]BenCost Input Summary'!#REF!</definedName>
    <definedName name="lookup_buliding_tuneup" localSheetId="0">'[14]BenCost Input Summary'!#REF!</definedName>
    <definedName name="lookup_buliding_tuneup" localSheetId="2">'[14]BenCost Input Summary'!#REF!</definedName>
    <definedName name="lookup_buliding_tuneup" localSheetId="1">'[14]BenCost Input Summary'!#REF!</definedName>
    <definedName name="Lookup_CI_RC" localSheetId="0">'[14]BenCost Input Summary'!#REF!</definedName>
    <definedName name="Lookup_CI_RC" localSheetId="2">'[14]BenCost Input Summary'!#REF!</definedName>
    <definedName name="Lookup_CI_RC" localSheetId="1">'[14]BenCost Input Summary'!#REF!</definedName>
    <definedName name="lookup_process_tuneup" localSheetId="0">'[14]BenCost Input Summary'!#REF!</definedName>
    <definedName name="lookup_process_tuneup" localSheetId="2">'[14]BenCost Input Summary'!#REF!</definedName>
    <definedName name="lookup_process_tuneup" localSheetId="1">'[14]BenCost Input Summary'!#REF!</definedName>
    <definedName name="LPDy1" localSheetId="30">'[12]4.5.7'!$G$9:$G$10</definedName>
    <definedName name="LPDy1" localSheetId="31">'[12]4.5.7'!$G$9:$G$10</definedName>
    <definedName name="LPDy1" localSheetId="33">'[12]4.5.7'!$G$9:$G$10</definedName>
    <definedName name="LPDy1" localSheetId="38">'[13]4.5.7'!$G$9:$G$10</definedName>
    <definedName name="LPDy1" localSheetId="41">'[13]4.5.7'!$G$9:$G$10</definedName>
    <definedName name="LPDy1" localSheetId="47">'[13]4.5.7'!$G$9:$G$10</definedName>
    <definedName name="LPDy1" localSheetId="49">'[13]4.5.7'!$G$9:$G$10</definedName>
    <definedName name="LPDy1">'[11]4.5.7'!$G$9:$G$10</definedName>
    <definedName name="LPDy2" localSheetId="30">'[12]4.5.7'!$B$66:$B$88</definedName>
    <definedName name="LPDy2" localSheetId="31">'[12]4.5.7'!$B$66:$B$88</definedName>
    <definedName name="LPDy2" localSheetId="33">'[12]4.5.7'!$B$66:$B$88</definedName>
    <definedName name="LPDy2" localSheetId="38">'[13]4.5.7'!$B$66:$B$88</definedName>
    <definedName name="LPDy2" localSheetId="41">'[13]4.5.7'!$B$66:$B$88</definedName>
    <definedName name="LPDy2" localSheetId="47">'[13]4.5.7'!$B$66:$B$88</definedName>
    <definedName name="LPDy2" localSheetId="49">'[13]4.5.7'!$B$66:$B$88</definedName>
    <definedName name="LPDy2">'[11]4.5.7'!$B$66:$B$88</definedName>
    <definedName name="LPDy3" localSheetId="30">'[12]4.5.7'!$F$27:$F$31</definedName>
    <definedName name="LPDy3" localSheetId="31">'[12]4.5.7'!$F$27:$F$31</definedName>
    <definedName name="LPDy3" localSheetId="33">'[12]4.5.7'!$F$27:$F$31</definedName>
    <definedName name="LPDy3" localSheetId="38">'[13]4.5.7'!$F$27:$F$31</definedName>
    <definedName name="LPDy3" localSheetId="41">'[13]4.5.7'!$F$27:$F$31</definedName>
    <definedName name="LPDy3" localSheetId="47">'[13]4.5.7'!$F$27:$F$31</definedName>
    <definedName name="LPDy3" localSheetId="49">'[13]4.5.7'!$F$27:$F$31</definedName>
    <definedName name="LPDy3">'[11]4.5.7'!$F$27:$F$31</definedName>
    <definedName name="LPDy4" localSheetId="30">'[12]4.5.7'!$B$28:$B$59</definedName>
    <definedName name="LPDy4" localSheetId="31">'[12]4.5.7'!$B$28:$B$59</definedName>
    <definedName name="LPDy4" localSheetId="33">'[12]4.5.7'!$B$28:$B$59</definedName>
    <definedName name="LPDy4" localSheetId="38">'[13]4.5.7'!$B$28:$B$59</definedName>
    <definedName name="LPDy4" localSheetId="41">'[13]4.5.7'!$B$28:$B$59</definedName>
    <definedName name="LPDy4" localSheetId="47">'[13]4.5.7'!$B$28:$B$59</definedName>
    <definedName name="LPDy4" localSheetId="49">'[13]4.5.7'!$B$28:$B$59</definedName>
    <definedName name="LPDy4">'[11]4.5.7'!$B$28:$B$59</definedName>
    <definedName name="LPDy5" localSheetId="30">'[12]4.5.7'!$G$36:$G$56</definedName>
    <definedName name="LPDy5" localSheetId="31">'[12]4.5.7'!$G$36:$G$56</definedName>
    <definedName name="LPDy5" localSheetId="33">'[12]4.5.7'!$G$36:$G$56</definedName>
    <definedName name="LPDy5" localSheetId="38">'[13]4.5.7'!$G$36:$G$56</definedName>
    <definedName name="LPDy5" localSheetId="41">'[13]4.5.7'!$G$36:$G$56</definedName>
    <definedName name="LPDy5" localSheetId="47">'[13]4.5.7'!$G$36:$G$56</definedName>
    <definedName name="LPDy5" localSheetId="49">'[13]4.5.7'!$G$36:$G$56</definedName>
    <definedName name="LPDy5">'[11]4.5.7'!$G$36:$G$56</definedName>
    <definedName name="LPDy6" localSheetId="30">'[12]4.5.7'!$G$57:$G$60</definedName>
    <definedName name="LPDy6" localSheetId="31">'[12]4.5.7'!$G$57:$G$60</definedName>
    <definedName name="LPDy6" localSheetId="33">'[12]4.5.7'!$G$57:$G$60</definedName>
    <definedName name="LPDy6" localSheetId="38">'[13]4.5.7'!$G$57:$G$60</definedName>
    <definedName name="LPDy6" localSheetId="41">'[13]4.5.7'!$G$57:$G$60</definedName>
    <definedName name="LPDy6" localSheetId="47">'[13]4.5.7'!$G$57:$G$60</definedName>
    <definedName name="LPDy6" localSheetId="49">'[13]4.5.7'!$G$57:$G$60</definedName>
    <definedName name="LPDy6">'[11]4.5.7'!$G$57:$G$60</definedName>
    <definedName name="LPDy7" localSheetId="30">'[12]4.5.7'!$O$14:$O$28</definedName>
    <definedName name="LPDy7" localSheetId="31">'[12]4.5.7'!$O$14:$O$28</definedName>
    <definedName name="LPDy7" localSheetId="33">'[12]4.5.7'!$O$14:$O$28</definedName>
    <definedName name="LPDy7" localSheetId="38">'[13]4.5.7'!$O$14:$O$28</definedName>
    <definedName name="LPDy7" localSheetId="41">'[13]4.5.7'!$O$14:$O$28</definedName>
    <definedName name="LPDy7" localSheetId="47">'[13]4.5.7'!$O$14:$O$28</definedName>
    <definedName name="LPDy7" localSheetId="49">'[13]4.5.7'!$O$14:$O$28</definedName>
    <definedName name="LPDy7">'[11]4.5.7'!$O$14:$O$28</definedName>
    <definedName name="LU_facilitytype">[31]HOO!$A$2:$C$17</definedName>
    <definedName name="Measure_Factor">'[1]List for Segments - TEAPOt'!$C$317:$J$358</definedName>
    <definedName name="Measure_Iterations_to_Consider" localSheetId="49">#REF!</definedName>
    <definedName name="Measure_Iterations_to_Consider" localSheetId="2">#REF!</definedName>
    <definedName name="Measure_Life_Source" localSheetId="49">#REF!</definedName>
    <definedName name="Measure_Life_Source" localSheetId="2">#REF!</definedName>
    <definedName name="Measure_Mapping" localSheetId="30">'[18]Measure Mapping List'!$B$2:$E$360</definedName>
    <definedName name="Measure_Mapping" localSheetId="31">'[18]Measure Mapping List'!$B$2:$E$360</definedName>
    <definedName name="Measure_Mapping" localSheetId="33">'[18]Measure Mapping List'!$B$2:$E$360</definedName>
    <definedName name="Measure_Mapping">'[18]Measure Mapping List'!$B$2:$E$358</definedName>
    <definedName name="Measure_Naming_Convention" localSheetId="49">#REF!</definedName>
    <definedName name="Measure_Naming_Convention" localSheetId="2">#REF!</definedName>
    <definedName name="Measures" localSheetId="0">#REF!</definedName>
    <definedName name="Measures" localSheetId="2">#REF!</definedName>
    <definedName name="Measures" localSheetId="1">#REF!</definedName>
    <definedName name="MeasureType" localSheetId="29">[16]Lists!$B$3:$B$25</definedName>
    <definedName name="MeasureType" localSheetId="30">[1]Lists!$B$3:$B$25</definedName>
    <definedName name="MeasureType" localSheetId="31">[1]Lists!$B$3:$B$25</definedName>
    <definedName name="MeasureType" localSheetId="33">[1]Lists!$B$3:$B$25</definedName>
    <definedName name="MeasureType" localSheetId="38">[15]Lists!$B$3:$B$25</definedName>
    <definedName name="MeasureType" localSheetId="34">[16]Input_Data!$B$111:$B$137</definedName>
    <definedName name="MeasureType" localSheetId="36">[6]List!$B$3:$B$25</definedName>
    <definedName name="MeasureType" localSheetId="40">[16]Input_Data!$B$111:$B$137</definedName>
    <definedName name="MeasureType" localSheetId="41">[7]List!$B$3:$B$25</definedName>
    <definedName name="MeasureType" localSheetId="44">[16]Input_Data!$B$111:$B$137</definedName>
    <definedName name="MeasureType" localSheetId="47">[15]Lists!$B$3:$B$25</definedName>
    <definedName name="MeasureType" localSheetId="50">[16]Lists!$B$3:$B$25</definedName>
    <definedName name="MeasureType">[8]List!$B$3:$B$25</definedName>
    <definedName name="Million">1000000</definedName>
    <definedName name="MLLS1" localSheetId="30">'[12]4.5.9'!$L$7:$L$21</definedName>
    <definedName name="MLLS1" localSheetId="31">'[12]4.5.9'!$L$7:$L$21</definedName>
    <definedName name="MLLS1" localSheetId="33">'[12]4.5.9'!$L$7:$L$21</definedName>
    <definedName name="MLLS1" localSheetId="38">'[13]4.5.9'!$L$7:$L$21</definedName>
    <definedName name="MLLS1" localSheetId="41">'[13]4.5.9'!$L$7:$L$21</definedName>
    <definedName name="MLLS1" localSheetId="47">'[13]4.5.9'!$L$7:$L$21</definedName>
    <definedName name="MLLS1" localSheetId="49">'[13]4.5.9'!$L$7:$L$21</definedName>
    <definedName name="MLLS1">'[11]4.5.9'!$L$7:$L$21</definedName>
    <definedName name="MLLS2" localSheetId="30">'[12]4.5.9'!$B$24:$B$48</definedName>
    <definedName name="MLLS2" localSheetId="31">'[12]4.5.9'!$B$24:$B$48</definedName>
    <definedName name="MLLS2" localSheetId="33">'[12]4.5.9'!$B$24:$B$48</definedName>
    <definedName name="MLLS2" localSheetId="38">'[13]4.5.9'!$B$24:$B$48</definedName>
    <definedName name="MLLS2" localSheetId="41">'[13]4.5.9'!$B$24:$B$48</definedName>
    <definedName name="MLLS2" localSheetId="47">'[13]4.5.9'!$B$24:$B$48</definedName>
    <definedName name="MLLS2" localSheetId="49">'[13]4.5.9'!$B$24:$B$48</definedName>
    <definedName name="MLLS2">'[11]4.5.9'!$B$24:$B$48</definedName>
    <definedName name="MLLS3" localSheetId="30">'[12]4.5.9'!$K$24:$K$28</definedName>
    <definedName name="MLLS3" localSheetId="31">'[12]4.5.9'!$K$24:$K$28</definedName>
    <definedName name="MLLS3" localSheetId="33">'[12]4.5.9'!$K$24:$K$28</definedName>
    <definedName name="MLLS3" localSheetId="38">'[13]4.5.9'!$K$24:$K$28</definedName>
    <definedName name="MLLS3" localSheetId="41">'[13]4.5.9'!$K$24:$K$28</definedName>
    <definedName name="MLLS3" localSheetId="47">'[13]4.5.9'!$K$24:$K$28</definedName>
    <definedName name="MLLS3" localSheetId="49">'[13]4.5.9'!$K$24:$K$28</definedName>
    <definedName name="MLLS3">'[11]4.5.9'!$K$24:$K$28</definedName>
    <definedName name="N" localSheetId="0">#REF!</definedName>
    <definedName name="N" localSheetId="2">#REF!</definedName>
    <definedName name="N" localSheetId="1">#REF!</definedName>
    <definedName name="New_X_38">[10]RES!$D$35</definedName>
    <definedName name="non_gas_damage_escalation">'[17]GENERAL INPUTS'!$D$31</definedName>
    <definedName name="non_gas_escalation">'[17]GENERAL INPUTS'!$D$14</definedName>
    <definedName name="Non_Gas_Fuel_Cost">'[17]GENERAL INPUTS'!$B$25</definedName>
    <definedName name="Non_Gas_Fuel_Environmental_Damage_Factor">'[17]GENERAL INPUTS'!$B$31</definedName>
    <definedName name="Non_Gas_Fuel_Loss_Factor">'[17]GENERAL INPUTS'!$B$27</definedName>
    <definedName name="Non_Gas_Fuel_Retail_Rate">'[17]GENERAL INPUTS'!$B$14</definedName>
    <definedName name="OLE_LINK1" localSheetId="3">'4.2.1'!$F$28</definedName>
    <definedName name="OSLC1" localSheetId="30">'[12]4.5.10'!$B$23:$B$25</definedName>
    <definedName name="OSLC1" localSheetId="31">'[12]4.5.10'!$B$23:$B$25</definedName>
    <definedName name="OSLC1" localSheetId="33">'[12]4.5.10'!$B$23:$B$25</definedName>
    <definedName name="OSLC1" localSheetId="38">'[13]4.5.10'!$B$23:$B$25</definedName>
    <definedName name="OSLC1" localSheetId="41">'[13]4.5.10'!$B$23:$B$25</definedName>
    <definedName name="OSLC1" localSheetId="47">'[13]4.5.10'!$B$23:$B$25</definedName>
    <definedName name="OSLC1" localSheetId="49">'[13]4.5.10'!$B$23:$B$25</definedName>
    <definedName name="OSLC1">'[11]4.5.10'!$B$23:$B$25</definedName>
    <definedName name="OSLC2" localSheetId="30">'[12]4.5.10'!$B$29:$B$43</definedName>
    <definedName name="OSLC2" localSheetId="31">'[12]4.5.10'!$B$29:$B$43</definedName>
    <definedName name="OSLC2" localSheetId="33">'[12]4.5.10'!$B$29:$B$43</definedName>
    <definedName name="OSLC2" localSheetId="38">'[13]4.5.10'!$B$29:$B$43</definedName>
    <definedName name="OSLC2" localSheetId="41">'[13]4.5.10'!$B$29:$B$43</definedName>
    <definedName name="OSLC2" localSheetId="47">'[13]4.5.10'!$B$29:$B$43</definedName>
    <definedName name="OSLC2" localSheetId="49">'[13]4.5.10'!$B$29:$B$43</definedName>
    <definedName name="OSLC2">'[11]4.5.10'!$B$29:$B$43</definedName>
    <definedName name="OSLC3" localSheetId="30">'[12]4.5.10'!$G$23:$G$45</definedName>
    <definedName name="OSLC3" localSheetId="31">'[12]4.5.10'!$G$23:$G$45</definedName>
    <definedName name="OSLC3" localSheetId="33">'[12]4.5.10'!$G$23:$G$45</definedName>
    <definedName name="OSLC3" localSheetId="38">'[13]4.5.10'!$G$23:$G$45</definedName>
    <definedName name="OSLC3" localSheetId="41">'[13]4.5.10'!$G$23:$G$45</definedName>
    <definedName name="OSLC3" localSheetId="47">'[13]4.5.10'!$G$23:$G$45</definedName>
    <definedName name="OSLC3" localSheetId="49">'[13]4.5.10'!$G$23:$G$45</definedName>
    <definedName name="OSLC3">'[11]4.5.10'!$G$23:$G$45</definedName>
    <definedName name="P">"P"</definedName>
    <definedName name="PAdmDR">'[23]General Inputs'!$D$35</definedName>
    <definedName name="participant_discount_comm">'[17]GENERAL INPUTS'!$B$34</definedName>
    <definedName name="participant_discount_res">'[17]GENERAL INPUTS'!$B$33</definedName>
    <definedName name="PCTdrate">'[29]Economic Inputs'!$A$5</definedName>
    <definedName name="PCTFactors">'[29]Economic Inputs'!$AQ$2:$BA$192</definedName>
    <definedName name="peak_reduction_factor">'[17]GENERAL INPUTS'!$B$21</definedName>
    <definedName name="Peer_Review" localSheetId="49">#REF!</definedName>
    <definedName name="Peer_Review" localSheetId="2">#REF!</definedName>
    <definedName name="PgTs1" localSheetId="29">'[4]5.3.11'!$L$13:$L$16</definedName>
    <definedName name="PgTs1" localSheetId="30">'4.4.18'!$B$89:$B$92</definedName>
    <definedName name="PgTs1" localSheetId="31">'[5]5.3.11'!$L$12:$L$15</definedName>
    <definedName name="PgTs1" localSheetId="33">'[5]5.3.11'!$L$12:$L$15</definedName>
    <definedName name="PgTs1" localSheetId="38">'[4]5.3.11'!$L$13:$L$16</definedName>
    <definedName name="PgTs1" localSheetId="39">'5.3.16'!$H$97:$H$102</definedName>
    <definedName name="PgTs1" localSheetId="34">'[4]5.3.11'!$L$13:$L$16</definedName>
    <definedName name="PgTs1" localSheetId="36">'[6]5.3.11'!$L$13:$L$16</definedName>
    <definedName name="PgTs1" localSheetId="40">'[4]5.3.11'!$L$13:$L$16</definedName>
    <definedName name="PgTs1" localSheetId="41">'[7]5.3.11'!$G$57:$G$60</definedName>
    <definedName name="PgTs1" localSheetId="44">'[4]5.3.11'!$L$13:$L$16</definedName>
    <definedName name="PgTs1" localSheetId="47">'[4]5.3.11'!$L$13:$L$16</definedName>
    <definedName name="PgTs1" localSheetId="50">'[4]5.3.11'!$L$13:$L$16</definedName>
    <definedName name="PgTs1">'[8]5.3.11'!$G$58:$G$61</definedName>
    <definedName name="PgTs2" localSheetId="29">'[4]5.3.11'!$I$24:$K$24</definedName>
    <definedName name="PgTs2" localSheetId="30">'4.4.18'!#REF!</definedName>
    <definedName name="PgTs2" localSheetId="31">'[5]5.3.11'!$I$23:$K$23</definedName>
    <definedName name="PgTs2" localSheetId="33">'[5]5.3.11'!$I$23:$K$23</definedName>
    <definedName name="PgTs2" localSheetId="38">'[4]5.3.11'!$I$24:$K$24</definedName>
    <definedName name="PgTs2" localSheetId="39">'5.3.16'!$B$76:$D$76</definedName>
    <definedName name="PgTs2" localSheetId="34">'[4]5.3.11'!$I$24:$K$24</definedName>
    <definedName name="PgTs2" localSheetId="36">'[6]5.3.11'!$I$24:$K$24</definedName>
    <definedName name="PgTs2" localSheetId="40">'[4]5.3.11'!$I$24:$K$24</definedName>
    <definedName name="PgTs2" localSheetId="41">'[7]5.3.11'!$B$63:$D$63</definedName>
    <definedName name="PgTs2" localSheetId="44">'[4]5.3.11'!$I$24:$K$24</definedName>
    <definedName name="PgTs2" localSheetId="47">'[4]5.3.11'!$I$24:$K$24</definedName>
    <definedName name="PgTs2" localSheetId="50">'[4]5.3.11'!$I$24:$K$24</definedName>
    <definedName name="PgTs2">'[8]5.3.11'!$B$64:$D$64</definedName>
    <definedName name="PgTs3" localSheetId="29">'[4]5.3.11'!$L$19:$L$20</definedName>
    <definedName name="PgTs3" localSheetId="30">'4.4.18'!#REF!</definedName>
    <definedName name="PgTs3" localSheetId="31">'[5]5.3.11'!$L$18:$L$19</definedName>
    <definedName name="PgTs3" localSheetId="33">'[5]5.3.11'!$L$18:$L$19</definedName>
    <definedName name="PgTs3" localSheetId="38">'[4]5.3.11'!$L$19:$L$20</definedName>
    <definedName name="PgTs3" localSheetId="39">'5.3.16'!$L$28:$L$29</definedName>
    <definedName name="PgTs3" localSheetId="34">'[4]5.3.11'!$L$19:$L$20</definedName>
    <definedName name="PgTs3" localSheetId="36">'[6]5.3.11'!$L$19:$L$20</definedName>
    <definedName name="PgTs3" localSheetId="40">'[4]5.3.11'!$L$19:$L$20</definedName>
    <definedName name="PgTs3" localSheetId="41">'[7]5.3.11'!$L$26:$L$27</definedName>
    <definedName name="PgTs3" localSheetId="44">'[4]5.3.11'!$L$19:$L$20</definedName>
    <definedName name="PgTs3" localSheetId="47">'[4]5.3.11'!$L$19:$L$20</definedName>
    <definedName name="PgTs3" localSheetId="50">'[4]5.3.11'!$L$19:$L$20</definedName>
    <definedName name="PgTs3">'[8]5.3.11'!$L$27:$L$28</definedName>
    <definedName name="_xlnm.Print_Area" localSheetId="9">'4.2.11'!$A$1:$AG$68</definedName>
    <definedName name="_xlnm.Print_Area" localSheetId="16">'4.3.1'!$A$1:$AK$89</definedName>
    <definedName name="_xlnm.Print_Area" localSheetId="17">'4.3.2'!$A$1:$AF$87</definedName>
    <definedName name="_xlnm.Print_Area" localSheetId="18">'4.3.3'!$A$1:$AF$78</definedName>
    <definedName name="_xlnm.Print_Area" localSheetId="19">'4.3.4'!$A$1:$T$55</definedName>
    <definedName name="_xlnm.Print_Area" localSheetId="20">'4.3.6'!$A$1:$AC$35</definedName>
    <definedName name="_xlnm.Print_Area" localSheetId="29">'4.4.16'!$A$1:$AF$116</definedName>
    <definedName name="_xlnm.Print_Area" localSheetId="22">'4.4.3'!$A$1:$T$26</definedName>
    <definedName name="_xlnm.Print_Area" localSheetId="23">'4.4.4'!$A$1:$U$34</definedName>
    <definedName name="_xlnm.Print_Area" localSheetId="48">'5.6.4 &amp; 5.6.5'!$A$1:$AU$129</definedName>
    <definedName name="_xlnm.Print_Area" localSheetId="49">Kits!$A$1:$AB$319</definedName>
    <definedName name="_xlnm.Print_Area" localSheetId="2">'Measure-Level Adjustments'!$A$1:$CC$311</definedName>
    <definedName name="_xlnm.Print_Area" localSheetId="1">'Program-Level Adjustments'!$A$1:$AF$28</definedName>
    <definedName name="_xlnm.Print_Titles" localSheetId="2">'Measure-Level Adjustments'!$A:$B</definedName>
    <definedName name="_xlnm.Print_Titles" localSheetId="1">'Program-Level Adjustments'!$A:$A</definedName>
    <definedName name="process_tuneup" localSheetId="0">'[14]BenCost Input Summary'!#REF!</definedName>
    <definedName name="process_tuneup" localSheetId="2">'[14]BenCost Input Summary'!#REF!</definedName>
    <definedName name="process_tuneup" localSheetId="1">'[14]BenCost Input Summary'!#REF!</definedName>
    <definedName name="Program_Area" localSheetId="0">#REF!</definedName>
    <definedName name="Program_Area" localSheetId="2">#REF!</definedName>
    <definedName name="Program_Area" localSheetId="1">#REF!</definedName>
    <definedName name="Program_Manager_Data_Collection" localSheetId="49">#REF!</definedName>
    <definedName name="Program_Manager_Data_Collection" localSheetId="2">#REF!</definedName>
    <definedName name="ProgramCodes">'[32]Program Data'!$B$13:$B$42</definedName>
    <definedName name="Project_Analysis_Year_1">'[17]GENERAL INPUTS'!$B$42</definedName>
    <definedName name="Project_Analysis_Year_2">'[17]GENERAL INPUTS'!$B$43</definedName>
    <definedName name="Project_Analysis_Year_3">'[17]GENERAL INPUTS'!$B$44</definedName>
    <definedName name="PTACHP3" localSheetId="30">'[1]4.4.13'!$J$32:$J$34</definedName>
    <definedName name="PTACHP3" localSheetId="31">'[1]4.4.13'!$J$32:$J$34</definedName>
    <definedName name="PTACHP3" localSheetId="33">'[1]4.4.13'!$J$32:$J$34</definedName>
    <definedName name="PTACHP3">'[2]4.4.13'!$J$32:$J$34</definedName>
    <definedName name="RateClasses" localSheetId="30">'[27]Main Input'!$B$125:$B$130</definedName>
    <definedName name="RateClasses" localSheetId="31">'[27]Main Input'!$B$125:$B$130</definedName>
    <definedName name="RateClasses" localSheetId="33">'[27]Main Input'!$B$125:$B$130</definedName>
    <definedName name="RateClasses" localSheetId="38">'[27]Main Input'!$B$125:$B$130</definedName>
    <definedName name="RateClasses" localSheetId="34">'[27]Main Input'!$B$125:$B$130</definedName>
    <definedName name="RateClasses" localSheetId="35">'[27]Main Input'!$B$125:$B$130</definedName>
    <definedName name="RateClasses" localSheetId="40">'[27]Main Input'!$B$125:$B$130</definedName>
    <definedName name="RateClasses" localSheetId="41">'[27]Main Input'!$B$125:$B$130</definedName>
    <definedName name="RateClasses" localSheetId="42">'[27]Main Input'!$B$125:$B$130</definedName>
    <definedName name="RateClasses" localSheetId="44">'[27]Main Input'!$B$125:$B$130</definedName>
    <definedName name="RateClasses" localSheetId="46">'[27]Main Input'!$B$125:$B$130</definedName>
    <definedName name="RateClasses" localSheetId="47">'[27]Main Input'!$B$125:$B$130</definedName>
    <definedName name="RateClasses" localSheetId="49">'[27]Main Input'!$B$125:$B$130</definedName>
    <definedName name="RateClasses" localSheetId="50">'[27]Main Input'!$B$125:$B$130</definedName>
    <definedName name="RateClasses">'[28]Main Input'!$B$125:$B$130</definedName>
    <definedName name="RDR" localSheetId="30">#REF!</definedName>
    <definedName name="RDR" localSheetId="31">#REF!</definedName>
    <definedName name="RDR" localSheetId="33">#REF!</definedName>
    <definedName name="RDR" localSheetId="2">#REF!</definedName>
    <definedName name="retail_rate_commercial">'[17]GENERAL INPUTS'!$B$12</definedName>
    <definedName name="retail_rate_residential">'[17]GENERAL INPUTS'!$B$11</definedName>
    <definedName name="retire_furnace" localSheetId="29">#REF!</definedName>
    <definedName name="retire_furnace" localSheetId="30">'[5]5.3.7'!$B$128:$B$130</definedName>
    <definedName name="retire_furnace" localSheetId="31">'[5]5.3.7'!$B$128:$B$130</definedName>
    <definedName name="retire_furnace" localSheetId="33">'[5]5.3.7'!$B$128:$B$130</definedName>
    <definedName name="retire_furnace" localSheetId="37">#REF!</definedName>
    <definedName name="retire_furnace" localSheetId="38">#REF!</definedName>
    <definedName name="retire_furnace" localSheetId="39">#REF!</definedName>
    <definedName name="retire_furnace" localSheetId="34">#REF!</definedName>
    <definedName name="retire_furnace" localSheetId="35">#REF!</definedName>
    <definedName name="retire_furnace" localSheetId="36">'5.3.7'!$B$155:$B$157</definedName>
    <definedName name="retire_furnace" localSheetId="40">#REF!</definedName>
    <definedName name="retire_furnace" localSheetId="41">#REF!</definedName>
    <definedName name="retire_furnace" localSheetId="42">#REF!</definedName>
    <definedName name="retire_furnace" localSheetId="43">#REF!</definedName>
    <definedName name="retire_furnace" localSheetId="44">#REF!</definedName>
    <definedName name="retire_furnace" localSheetId="45">#REF!</definedName>
    <definedName name="retire_furnace" localSheetId="46">#REF!</definedName>
    <definedName name="retire_furnace" localSheetId="47">#REF!</definedName>
    <definedName name="retire_furnace" localSheetId="48">#REF!</definedName>
    <definedName name="retire_furnace" localSheetId="50">#REF!</definedName>
    <definedName name="retire_furnace" localSheetId="2">#REF!</definedName>
    <definedName name="RFRCy1" localSheetId="29">'[4]5.1.8'!$J$26:$J$30</definedName>
    <definedName name="RFRCy1" localSheetId="30">'[5]5.1.8'!$J$26:$J$30</definedName>
    <definedName name="RFRCy1" localSheetId="31">'[5]5.1.8'!$J$26:$J$30</definedName>
    <definedName name="RFRCy1" localSheetId="33">'[5]5.1.8'!$J$26:$J$30</definedName>
    <definedName name="RFRCy1" localSheetId="38">'[4]5.1.8'!$J$26:$J$30</definedName>
    <definedName name="RFRCy1" localSheetId="34">'[4]5.1.8'!$J$26:$J$30</definedName>
    <definedName name="RFRCy1" localSheetId="36">'[6]5.1.8'!$J$26:$J$30</definedName>
    <definedName name="RFRCy1" localSheetId="40">'[4]5.1.8'!$J$26:$J$30</definedName>
    <definedName name="RFRCy1" localSheetId="41">'[7]5.1.8'!$J$26:$J$30</definedName>
    <definedName name="RFRCy1" localSheetId="44">'[4]5.1.8'!$J$26:$J$30</definedName>
    <definedName name="RFRCy1" localSheetId="47">'[4]5.1.8'!$J$26:$J$30</definedName>
    <definedName name="RFRCy1" localSheetId="50">'[4]5.1.8'!$J$26:$J$30</definedName>
    <definedName name="RFRCy1">'[8]5.1.8'!$J$26:$J$30</definedName>
    <definedName name="RFRCy3" localSheetId="29">'[4]5.1.8'!$L$17:$L$19</definedName>
    <definedName name="RFRCy3" localSheetId="30">'[5]5.1.8'!$L$17:$L$19</definedName>
    <definedName name="RFRCy3" localSheetId="31">'[5]5.1.8'!$L$17:$L$19</definedName>
    <definedName name="RFRCy3" localSheetId="33">'[5]5.1.8'!$L$17:$L$19</definedName>
    <definedName name="RFRCy3" localSheetId="38">'[4]5.1.8'!$L$17:$L$19</definedName>
    <definedName name="RFRCy3" localSheetId="34">'[4]5.1.8'!$L$17:$L$19</definedName>
    <definedName name="RFRCy3" localSheetId="36">'[6]5.1.8'!$L$17:$L$19</definedName>
    <definedName name="RFRCy3" localSheetId="40">'[4]5.1.8'!$L$17:$L$19</definedName>
    <definedName name="RFRCy3" localSheetId="41">'[7]5.1.8'!$L$17:$L$19</definedName>
    <definedName name="RFRCy3" localSheetId="44">'[4]5.1.8'!$L$17:$L$19</definedName>
    <definedName name="RFRCy3" localSheetId="47">'[4]5.1.8'!$L$17:$L$19</definedName>
    <definedName name="RFRCy3" localSheetId="50">'[4]5.1.8'!$L$17:$L$19</definedName>
    <definedName name="RFRCy3">'[8]5.1.8'!$L$17:$L$19</definedName>
    <definedName name="Savings_Unit" localSheetId="49">#REF!</definedName>
    <definedName name="Savings_Unit" localSheetId="2">#REF!</definedName>
    <definedName name="SCTdrate">'[29]Economic Inputs'!$A$4</definedName>
    <definedName name="SCTFactors">'[29]Economic Inputs'!$AD$2:$AN$192</definedName>
    <definedName name="SCWCF1" localSheetId="30">'[1]4.6.7'!$F$8:$F$9</definedName>
    <definedName name="SCWCF1" localSheetId="31">'[1]4.6.7'!$F$8:$F$9</definedName>
    <definedName name="SCWCF1" localSheetId="33">'[1]4.6.7'!$F$8:$F$9</definedName>
    <definedName name="SCWCF1">'[2]4.6.7'!$F$8:$F$9</definedName>
    <definedName name="Segments" localSheetId="30">'[27]Main Input'!$K$6:$K$20</definedName>
    <definedName name="Segments" localSheetId="31">'[27]Main Input'!$K$6:$K$20</definedName>
    <definedName name="Segments" localSheetId="33">'[27]Main Input'!$K$6:$K$20</definedName>
    <definedName name="Segments" localSheetId="38">'[27]Main Input'!$K$6:$K$20</definedName>
    <definedName name="Segments" localSheetId="34">'[27]Main Input'!$K$6:$K$20</definedName>
    <definedName name="Segments" localSheetId="35">'[27]Main Input'!$K$6:$K$20</definedName>
    <definedName name="Segments" localSheetId="40">'[27]Main Input'!$K$6:$K$20</definedName>
    <definedName name="Segments" localSheetId="41">'[27]Main Input'!$K$6:$K$20</definedName>
    <definedName name="Segments" localSheetId="42">'[27]Main Input'!$K$6:$K$20</definedName>
    <definedName name="Segments" localSheetId="44">'[27]Main Input'!$K$6:$K$20</definedName>
    <definedName name="Segments" localSheetId="46">'[27]Main Input'!$K$6:$K$20</definedName>
    <definedName name="Segments" localSheetId="47">'[27]Main Input'!$K$6:$K$20</definedName>
    <definedName name="Segments" localSheetId="49">'[27]Main Input'!$K$6:$K$20</definedName>
    <definedName name="Segments" localSheetId="50">'[27]Main Input'!$K$6:$K$20</definedName>
    <definedName name="Segments">'[28]Main Input'!$K$6:$K$20</definedName>
    <definedName name="SHBTU1" localSheetId="29">'[11]4.4.2'!$B$75:$B$91</definedName>
    <definedName name="SHBTU1" localSheetId="30">'[12]4.4.2'!$B$28:$B$44</definedName>
    <definedName name="SHBTU1" localSheetId="31">'[12]4.4.2'!$B$28:$B$44</definedName>
    <definedName name="SHBTU1" localSheetId="33">'[12]4.4.2'!$B$28:$B$44</definedName>
    <definedName name="SHBTU1" localSheetId="38">'[13]4.4.2'!$B$74:$B$90</definedName>
    <definedName name="SHBTU1" localSheetId="41">'[13]4.4.2'!$B$74:$B$90</definedName>
    <definedName name="SHBTU1" localSheetId="47">'[13]4.4.2'!$B$74:$B$90</definedName>
    <definedName name="SHBTU1" localSheetId="49">'[13]4.4.2'!$B$74:$B$90</definedName>
    <definedName name="SHBTU1" localSheetId="50">'[11]4.4.2'!$B$75:$B$91</definedName>
    <definedName name="SHBTU1">'[11]4.4.2'!$B$74:$B$90</definedName>
    <definedName name="societal_discount">'[17]GENERAL INPUTS'!$B$38</definedName>
    <definedName name="SPSSUAC1" localSheetId="30">'[1]4.4.15'!$K$7:$K$8</definedName>
    <definedName name="SPSSUAC1" localSheetId="31">'[1]4.4.15'!$K$7:$K$8</definedName>
    <definedName name="SPSSUAC1" localSheetId="33">'[1]4.4.15'!$K$7:$K$8</definedName>
    <definedName name="SPSSUAC1">'[2]4.4.15'!$K$7:$K$8</definedName>
    <definedName name="SPSSUAC2" localSheetId="30">'[1]4.4.15'!$B$25:$B$27</definedName>
    <definedName name="SPSSUAC2" localSheetId="31">'[1]4.4.15'!$B$25:$B$27</definedName>
    <definedName name="SPSSUAC2" localSheetId="33">'[1]4.4.15'!$B$25:$B$27</definedName>
    <definedName name="SPSSUAC2">'[2]4.4.15'!$B$25:$B$27</definedName>
    <definedName name="SPSSUAC3" localSheetId="30">'[1]4.4.15'!$L$21:$L$22</definedName>
    <definedName name="SPSSUAC3" localSheetId="31">'[1]4.4.15'!$L$21:$L$22</definedName>
    <definedName name="SPSSUAC3" localSheetId="33">'[1]4.4.15'!$L$21:$L$22</definedName>
    <definedName name="SPSSUAC3">'[2]4.4.15'!$L$21:$L$22</definedName>
    <definedName name="SStp1" localSheetId="30">'[21]5.2.1'!$F$7:$F$9</definedName>
    <definedName name="SStp1" localSheetId="31">'[21]5.2.1'!$F$7:$F$9</definedName>
    <definedName name="SStp1" localSheetId="33">'[21]5.2.1'!$F$7:$F$9</definedName>
    <definedName name="SStp1" localSheetId="38">'[15]5.2.1'!$F$7:$F$9</definedName>
    <definedName name="SStp1" localSheetId="41">'[22]5.2.1'!$F$7:$F$9</definedName>
    <definedName name="SStp1" localSheetId="47">'[15]5.2.1'!$F$7:$F$9</definedName>
    <definedName name="SStp1" localSheetId="49">'[22]5.2.1'!$F$7:$F$9</definedName>
    <definedName name="SStp1">'[16]5.2.1'!$F$7:$F$9</definedName>
    <definedName name="SStp2" localSheetId="30">'[21]5.2.1'!$H$7:$H$8</definedName>
    <definedName name="SStp2" localSheetId="31">'[21]5.2.1'!$H$7:$H$8</definedName>
    <definedName name="SStp2" localSheetId="33">'[21]5.2.1'!$H$7:$H$8</definedName>
    <definedName name="SStp2" localSheetId="38">'[15]5.2.1'!$H$7:$H$8</definedName>
    <definedName name="SStp2" localSheetId="41">'[22]5.2.1'!$H$7:$H$8</definedName>
    <definedName name="SStp2" localSheetId="47">'[15]5.2.1'!$H$7:$H$8</definedName>
    <definedName name="SStp2" localSheetId="49">'[22]5.2.1'!$H$7:$H$8</definedName>
    <definedName name="SStp2">'[16]5.2.1'!$H$7:$H$8</definedName>
    <definedName name="SStp3" localSheetId="30">'[21]5.2.1'!$J$7:$J$8</definedName>
    <definedName name="SStp3" localSheetId="31">'[21]5.2.1'!$J$7:$J$8</definedName>
    <definedName name="SStp3" localSheetId="33">'[21]5.2.1'!$J$7:$J$8</definedName>
    <definedName name="SStp3" localSheetId="38">'[15]5.2.1'!$J$7:$J$8</definedName>
    <definedName name="SStp3" localSheetId="41">'[22]5.2.1'!$J$7:$J$8</definedName>
    <definedName name="SStp3" localSheetId="47">'[15]5.2.1'!$J$7:$J$8</definedName>
    <definedName name="SStp3" localSheetId="49">'[22]5.2.1'!$J$7:$J$8</definedName>
    <definedName name="SStp3">'[16]5.2.1'!$J$7:$J$8</definedName>
    <definedName name="STRRr1">'4.4.16'!$D$68:$D$69</definedName>
    <definedName name="STRRr2" localSheetId="29">'4.4.16'!$B$74:$B$82</definedName>
    <definedName name="STRRr2" localSheetId="30">'[12]4.4.16'!$B$26:$B$34</definedName>
    <definedName name="STRRr2" localSheetId="31">'[12]4.4.16'!$B$26:$B$34</definedName>
    <definedName name="STRRr2" localSheetId="33">'[12]4.4.16'!$B$26:$B$34</definedName>
    <definedName name="STRRr2" localSheetId="38">'[13]4.4.16'!$B$72:$B$80</definedName>
    <definedName name="STRRr2" localSheetId="41">'[13]4.4.16'!$B$72:$B$80</definedName>
    <definedName name="STRRr2" localSheetId="47">'[13]4.4.16'!$B$72:$B$80</definedName>
    <definedName name="STRRr2" localSheetId="49">'[13]4.4.16'!$B$72:$B$80</definedName>
    <definedName name="STRRr2" localSheetId="50">'[11]4.4.16'!$B$70:$B$78</definedName>
    <definedName name="STRRr2">'[11]4.4.16'!$B$72:$B$80</definedName>
    <definedName name="SWHr1" localSheetId="30">'[1]4.3.1'!$A$72:$A$74</definedName>
    <definedName name="SWHr1" localSheetId="31">'[1]4.3.1'!$A$72:$A$74</definedName>
    <definedName name="SWHr1" localSheetId="33">'[1]4.3.1'!$A$72:$A$74</definedName>
    <definedName name="SWHr1" localSheetId="2">'[9]4.3.1'!$A$58:$A$60</definedName>
    <definedName name="SWHr1">'4.3.1'!$A$58:$A$60</definedName>
    <definedName name="SWHr2" localSheetId="30">'[1]4.3.1'!$A$77:$A$79</definedName>
    <definedName name="SWHr2" localSheetId="31">'[1]4.3.1'!$A$77:$A$79</definedName>
    <definedName name="SWHr2" localSheetId="33">'[1]4.3.1'!$A$77:$A$79</definedName>
    <definedName name="SWHr2" localSheetId="2">'[9]4.3.1'!#REF!</definedName>
    <definedName name="SWHr2">'4.3.1'!#REF!</definedName>
    <definedName name="SWHr3" localSheetId="30">'[1]4.3.1'!$A$83:$A$85</definedName>
    <definedName name="SWHr3" localSheetId="31">'[1]4.3.1'!$A$83:$A$85</definedName>
    <definedName name="SWHr3" localSheetId="33">'[1]4.3.1'!$A$83:$A$85</definedName>
    <definedName name="SWHr3" localSheetId="2">'[9]4.3.1'!$A$63:$A$65</definedName>
    <definedName name="SWHr3">'4.3.1'!$A$63:$A$65</definedName>
    <definedName name="SWHr4" localSheetId="30">'[1]4.3.1'!#REF!</definedName>
    <definedName name="SWHr4" localSheetId="31">'[1]4.3.1'!#REF!</definedName>
    <definedName name="SWHr4" localSheetId="33">'[1]4.3.1'!#REF!</definedName>
    <definedName name="SWHr4">'4.3.1'!$A$83:$A$88</definedName>
    <definedName name="System1" localSheetId="28">'4.4.14'!#REF!</definedName>
    <definedName name="System1" localSheetId="30">#REF!</definedName>
    <definedName name="System1" localSheetId="31">#REF!</definedName>
    <definedName name="System1" localSheetId="32">'4.4.24 '!$O$11:$O$14</definedName>
    <definedName name="System1" localSheetId="33">#REF!</definedName>
    <definedName name="System1" localSheetId="2">#REF!</definedName>
    <definedName name="System2" localSheetId="28">'4.4.14'!$G$129:$G$130</definedName>
    <definedName name="System2" localSheetId="30">#REF!</definedName>
    <definedName name="System2" localSheetId="31">#REF!</definedName>
    <definedName name="System2" localSheetId="32">'4.4.24 '!$O$36:$O$39</definedName>
    <definedName name="System2" localSheetId="33">#REF!</definedName>
    <definedName name="System2" localSheetId="2">#REF!</definedName>
    <definedName name="System3" localSheetId="28">'4.4.14'!$G$131:$G$134</definedName>
    <definedName name="System3" localSheetId="30">#REF!</definedName>
    <definedName name="System3" localSheetId="31">#REF!</definedName>
    <definedName name="System3" localSheetId="32">'4.4.24 '!$O$40:$O$43</definedName>
    <definedName name="System3" localSheetId="33">#REF!</definedName>
    <definedName name="System3" localSheetId="2">#REF!</definedName>
    <definedName name="System4" localSheetId="28">'4.4.14'!$G$135</definedName>
    <definedName name="System4" localSheetId="30">#REF!</definedName>
    <definedName name="System4" localSheetId="31">#REF!</definedName>
    <definedName name="System4" localSheetId="32">'4.4.24 '!$O$44</definedName>
    <definedName name="System4" localSheetId="33">#REF!</definedName>
    <definedName name="System4" localSheetId="2">#REF!</definedName>
    <definedName name="T5FL1" localSheetId="30">'[12]4.5.12'!$H$7:$H$8</definedName>
    <definedName name="T5FL1" localSheetId="31">'[12]4.5.12'!$H$7:$H$8</definedName>
    <definedName name="T5FL1" localSheetId="33">'[12]4.5.12'!$H$7:$H$8</definedName>
    <definedName name="T5FL1" localSheetId="38">'[13]4.5.12'!$H$7:$H$8</definedName>
    <definedName name="T5FL1" localSheetId="41">'[13]4.5.12'!$H$7:$H$8</definedName>
    <definedName name="T5FL1" localSheetId="47">'[13]4.5.12'!$H$7:$H$8</definedName>
    <definedName name="T5FL1" localSheetId="49">'[13]4.5.12'!$H$7:$H$8</definedName>
    <definedName name="T5FL1">'[11]4.5.12'!$H$7:$H$8</definedName>
    <definedName name="T5FL2" localSheetId="30">'[12]4.5.12'!$H$50:$H$62</definedName>
    <definedName name="T5FL2" localSheetId="31">'[12]4.5.12'!$H$50:$H$62</definedName>
    <definedName name="T5FL2" localSheetId="33">'[12]4.5.12'!$H$50:$H$62</definedName>
    <definedName name="T5FL2" localSheetId="38">'[13]4.5.12'!$H$50:$H$62</definedName>
    <definedName name="T5FL2" localSheetId="41">'[13]4.5.12'!$H$50:$H$62</definedName>
    <definedName name="T5FL2" localSheetId="47">'[13]4.5.12'!$H$50:$H$62</definedName>
    <definedName name="T5FL2" localSheetId="49">'[13]4.5.12'!$H$50:$H$62</definedName>
    <definedName name="T5FL2">'[11]4.5.12'!$H$50:$H$62</definedName>
    <definedName name="T5FL3" localSheetId="30">'[12]4.5.12'!$E$50:$E$70</definedName>
    <definedName name="T5FL3" localSheetId="31">'[12]4.5.12'!$E$50:$E$70</definedName>
    <definedName name="T5FL3" localSheetId="33">'[12]4.5.12'!$E$50:$E$70</definedName>
    <definedName name="T5FL3" localSheetId="38">'[13]4.5.12'!$E$50:$E$70</definedName>
    <definedName name="T5FL3" localSheetId="41">'[13]4.5.12'!$E$50:$E$70</definedName>
    <definedName name="T5FL3" localSheetId="47">'[13]4.5.12'!$E$50:$E$70</definedName>
    <definedName name="T5FL3" localSheetId="49">'[13]4.5.12'!$E$50:$E$70</definedName>
    <definedName name="T5FL3">'[11]4.5.12'!$E$50:$E$70</definedName>
    <definedName name="T5FL4" localSheetId="30">'[12]4.5.12'!$I$64:$I$78</definedName>
    <definedName name="T5FL4" localSheetId="31">'[12]4.5.12'!$I$64:$I$78</definedName>
    <definedName name="T5FL4" localSheetId="33">'[12]4.5.12'!$I$64:$I$78</definedName>
    <definedName name="T5FL4" localSheetId="38">'[13]4.5.12'!$I$64:$I$78</definedName>
    <definedName name="T5FL4" localSheetId="41">'[13]4.5.12'!$I$64:$I$78</definedName>
    <definedName name="T5FL4" localSheetId="47">'[13]4.5.12'!$I$64:$I$78</definedName>
    <definedName name="T5FL4" localSheetId="49">'[13]4.5.12'!$I$64:$I$78</definedName>
    <definedName name="T5FL4">'[11]4.5.12'!$I$64:$I$78</definedName>
    <definedName name="T5FL5" localSheetId="30">'[12]4.5.12'!$B$23:$B$45</definedName>
    <definedName name="T5FL5" localSheetId="31">'[12]4.5.12'!$B$23:$B$45</definedName>
    <definedName name="T5FL5" localSheetId="33">'[12]4.5.12'!$B$23:$B$45</definedName>
    <definedName name="T5FL5" localSheetId="38">'[13]4.5.12'!$B$23:$B$45</definedName>
    <definedName name="T5FL5" localSheetId="41">'[13]4.5.12'!$B$23:$B$45</definedName>
    <definedName name="T5FL5" localSheetId="47">'[13]4.5.12'!$B$23:$B$45</definedName>
    <definedName name="T5FL5" localSheetId="49">'[13]4.5.12'!$B$23:$B$45</definedName>
    <definedName name="T5FL5">'[11]4.5.12'!$B$23:$B$45</definedName>
    <definedName name="Teapot_Summary">'[1]Teapot Summary'!$A$3:$W$237</definedName>
    <definedName name="Thousand">1000</definedName>
    <definedName name="Total_Incremental_Cost" localSheetId="0">#REF!</definedName>
    <definedName name="Total_Incremental_Cost" localSheetId="2">#REF!</definedName>
    <definedName name="Total_Incremental_Cost" localSheetId="1">#REF!</definedName>
    <definedName name="TRCdrate">'[29]Economic Inputs'!$A$3</definedName>
    <definedName name="TRCFactors">'[29]Economic Inputs'!$Q$2:$AA$192</definedName>
    <definedName name="TrFl" localSheetId="29">'[4]5.1.8'!$I$16:$I$17</definedName>
    <definedName name="TrFl" localSheetId="30">'[5]5.1.8'!$I$16:$I$17</definedName>
    <definedName name="TrFl" localSheetId="31">'[5]5.1.8'!$I$16:$I$17</definedName>
    <definedName name="TrFl" localSheetId="33">'[5]5.1.8'!$I$16:$I$17</definedName>
    <definedName name="TrFl" localSheetId="38">'[4]5.1.8'!$I$16:$I$17</definedName>
    <definedName name="TrFl" localSheetId="34">'[4]5.1.8'!$I$16:$I$17</definedName>
    <definedName name="TrFl" localSheetId="36">'[6]5.1.8'!$I$16:$I$17</definedName>
    <definedName name="TrFl" localSheetId="40">'[4]5.1.8'!$I$16:$I$17</definedName>
    <definedName name="TrFl" localSheetId="41">'[7]5.1.8'!$I$16:$I$17</definedName>
    <definedName name="TrFl" localSheetId="44">'[4]5.1.8'!$I$16:$I$17</definedName>
    <definedName name="TrFl" localSheetId="47">'[4]5.1.8'!$I$16:$I$17</definedName>
    <definedName name="TrFl" localSheetId="50">'[4]5.1.8'!$I$16:$I$17</definedName>
    <definedName name="TrFl">'[8]5.1.8'!$I$16:$I$17</definedName>
    <definedName name="TrFl1" localSheetId="30">'[21]5.1.7'!$K$7:$K$8</definedName>
    <definedName name="TrFl1" localSheetId="31">'[21]5.1.7'!$K$7:$K$8</definedName>
    <definedName name="TrFl1" localSheetId="33">'[21]5.1.7'!$K$7:$K$8</definedName>
    <definedName name="TrFl1" localSheetId="38">'[15]5.1.7'!$K$7:$K$8</definedName>
    <definedName name="TrFl1" localSheetId="41">'[22]5.1.7'!$K$7:$K$8</definedName>
    <definedName name="TrFl1" localSheetId="47">'[15]5.1.7'!$K$7:$K$8</definedName>
    <definedName name="TrFl1" localSheetId="49">'[22]5.1.7'!$K$7:$K$8</definedName>
    <definedName name="TrFl1">'[16]5.1.7'!$K$7:$K$8</definedName>
    <definedName name="TWHr1" localSheetId="29">'[11]4.3.5'!$B$64:$B$66</definedName>
    <definedName name="TWHr1" localSheetId="30">'[12]4.3.5'!$K$8:$K$10</definedName>
    <definedName name="TWHr1" localSheetId="31">'[12]4.3.5'!$K$8:$K$10</definedName>
    <definedName name="TWHr1" localSheetId="33">'[12]4.3.5'!$K$8:$K$10</definedName>
    <definedName name="TWHr1" localSheetId="38">'[13]4.3.5'!$B$63:$B$65</definedName>
    <definedName name="TWHr1" localSheetId="41">'[13]4.3.5'!$B$63:$B$65</definedName>
    <definedName name="TWHr1" localSheetId="47">'[13]4.3.5'!$B$63:$B$65</definedName>
    <definedName name="TWHr1" localSheetId="49">'[13]4.3.5'!$B$63:$B$65</definedName>
    <definedName name="TWHr1" localSheetId="50">'[11]4.3.5'!$B$64:$B$66</definedName>
    <definedName name="TWHr1">'[11]4.3.5'!$B$63:$B$65</definedName>
    <definedName name="TWHr2" localSheetId="29">'[11]4.3.5'!$A$53:$A$55</definedName>
    <definedName name="TWHr2" localSheetId="30">'[12]4.3.5'!$H$14:$H$16</definedName>
    <definedName name="TWHr2" localSheetId="31">'[12]4.3.5'!$H$14:$H$16</definedName>
    <definedName name="TWHr2" localSheetId="33">'[12]4.3.5'!$H$14:$H$16</definedName>
    <definedName name="TWHr2" localSheetId="38">'[13]4.3.5'!$A$52:$A$54</definedName>
    <definedName name="TWHr2" localSheetId="41">'[13]4.3.5'!$A$52:$A$54</definedName>
    <definedName name="TWHr2" localSheetId="47">'[13]4.3.5'!$A$52:$A$54</definedName>
    <definedName name="TWHr2" localSheetId="49">'[13]4.3.5'!$A$52:$A$54</definedName>
    <definedName name="TWHr2" localSheetId="50">'[11]4.3.5'!$A$53:$A$55</definedName>
    <definedName name="TWHr2">'[11]4.3.5'!$A$52:$A$54</definedName>
    <definedName name="Unit1" localSheetId="29">'[4]5.6.1'!$I$36:$J$36</definedName>
    <definedName name="Unit1" localSheetId="30">'[5]5.6.1'!$I$36:$J$36</definedName>
    <definedName name="Unit1" localSheetId="31">'[5]5.6.1'!$I$36:$J$36</definedName>
    <definedName name="Unit1" localSheetId="33">'[5]5.6.1'!$I$36:$J$36</definedName>
    <definedName name="Unit1" localSheetId="38">'[4]5.6.1'!$I$36:$J$36</definedName>
    <definedName name="Unit1" localSheetId="34">'[4]5.6.1'!$I$36:$J$36</definedName>
    <definedName name="Unit1" localSheetId="36">'[6]5.6.1'!$I$36:$J$36</definedName>
    <definedName name="Unit1" localSheetId="40">'[4]5.6.1'!$I$36:$J$36</definedName>
    <definedName name="Unit1" localSheetId="41">'[7]5.6.1'!$I$109:$J$109</definedName>
    <definedName name="Unit1" localSheetId="44">'[4]5.6.1'!$I$36:$J$36</definedName>
    <definedName name="Unit1" localSheetId="47">'[4]5.6.1'!$I$36:$J$36</definedName>
    <definedName name="Unit1" localSheetId="50">'[4]5.6.1'!$I$36:$J$36</definedName>
    <definedName name="Unit1">'[8]5.6.1'!$I$109:$J$109</definedName>
    <definedName name="utility_discount">'[17]GENERAL INPUTS'!$B$36</definedName>
    <definedName name="variable_OM">'[17]GENERAL INPUTS'!$B$23</definedName>
    <definedName name="VSDAC1" localSheetId="30">'[1]4.7.1'!$E$20:$E$23</definedName>
    <definedName name="VSDAC1" localSheetId="31">'[1]4.7.1'!$E$20:$E$23</definedName>
    <definedName name="VSDAC1" localSheetId="33">'[1]4.7.1'!$E$20:$E$23</definedName>
    <definedName name="VSDAC1">'[2]4.7.1'!$E$20:$E$23</definedName>
    <definedName name="VSDfH1" localSheetId="30">'[12]4.4.17'!$B$20:$B$25</definedName>
    <definedName name="VSDfH1" localSheetId="31">'[12]4.4.17'!$B$20:$B$25</definedName>
    <definedName name="VSDfH1" localSheetId="33">'[12]4.4.17'!$B$20:$B$25</definedName>
    <definedName name="VSDfH1" localSheetId="38">'[13]4.4.17'!$B$20:$B$25</definedName>
    <definedName name="VSDfH1" localSheetId="41">'[13]4.4.17'!$B$20:$B$25</definedName>
    <definedName name="VSDfH1" localSheetId="47">'[13]4.4.17'!$B$20:$B$25</definedName>
    <definedName name="VSDfH1" localSheetId="49">'[13]4.4.17'!$B$20:$B$25</definedName>
    <definedName name="VSDfH1">'[11]4.4.17'!$B$20:$B$25</definedName>
    <definedName name="VSDfH2" localSheetId="30">'[12]4.4.17'!$A$29:$A$30</definedName>
    <definedName name="VSDfH2" localSheetId="31">'[12]4.4.17'!$A$29:$A$30</definedName>
    <definedName name="VSDfH2" localSheetId="33">'[12]4.4.17'!$A$29:$A$30</definedName>
    <definedName name="VSDfH2" localSheetId="38">'[13]4.4.17'!$A$29:$A$30</definedName>
    <definedName name="VSDfH2" localSheetId="41">'[13]4.4.17'!$A$29:$A$30</definedName>
    <definedName name="VSDfH2" localSheetId="47">'[13]4.4.17'!$A$29:$A$30</definedName>
    <definedName name="VSDfH2" localSheetId="49">'[13]4.4.17'!$A$29:$A$30</definedName>
    <definedName name="VSDfH2">'[11]4.4.17'!$A$29:$A$30</definedName>
    <definedName name="VSDfH3" localSheetId="30">'[12]4.4.17'!$D$29:$D$33</definedName>
    <definedName name="VSDfH3" localSheetId="31">'[12]4.4.17'!$D$29:$D$33</definedName>
    <definedName name="VSDfH3" localSheetId="33">'[12]4.4.17'!$D$29:$D$33</definedName>
    <definedName name="VSDfH3" localSheetId="38">'[13]4.4.17'!$D$29:$D$33</definedName>
    <definedName name="VSDfH3" localSheetId="41">'[13]4.4.17'!$D$29:$D$33</definedName>
    <definedName name="VSDfH3" localSheetId="47">'[13]4.4.17'!$D$29:$D$33</definedName>
    <definedName name="VSDfH3" localSheetId="49">'[13]4.4.17'!$D$29:$D$33</definedName>
    <definedName name="VSDfH3">'[11]4.4.17'!$D$29:$D$33</definedName>
    <definedName name="VSDfH4" localSheetId="30">'[12]4.4.17'!$L$8:$L$15</definedName>
    <definedName name="VSDfH4" localSheetId="31">'[12]4.4.17'!$L$8:$L$15</definedName>
    <definedName name="VSDfH4" localSheetId="33">'[12]4.4.17'!$L$8:$L$15</definedName>
    <definedName name="VSDfH4" localSheetId="38">'[13]4.4.17'!$L$8:$L$15</definedName>
    <definedName name="VSDfH4" localSheetId="41">'[13]4.4.17'!$L$8:$L$15</definedName>
    <definedName name="VSDfH4" localSheetId="47">'[13]4.4.17'!$L$8:$L$15</definedName>
    <definedName name="VSDfH4" localSheetId="49">'[13]4.4.17'!$L$8:$L$15</definedName>
    <definedName name="VSDfH4">'[11]4.4.17'!$L$8:$L$15</definedName>
    <definedName name="VSDfH5" localSheetId="30">'[12]4.4.17'!$A$37:$A$48</definedName>
    <definedName name="VSDfH5" localSheetId="31">'[12]4.4.17'!$A$37:$A$48</definedName>
    <definedName name="VSDfH5" localSheetId="33">'[12]4.4.17'!$A$37:$A$48</definedName>
    <definedName name="VSDfH5" localSheetId="38">'[13]4.4.17'!$A$37:$A$48</definedName>
    <definedName name="VSDfH5" localSheetId="41">'[13]4.4.17'!$A$37:$A$48</definedName>
    <definedName name="VSDfH5" localSheetId="47">'[13]4.4.17'!$A$37:$A$48</definedName>
    <definedName name="VSDfH5" localSheetId="49">'[13]4.4.17'!$A$37:$A$48</definedName>
    <definedName name="VSDfH5">'[11]4.4.17'!$A$37:$A$48</definedName>
    <definedName name="WACC" localSheetId="29">[11]Input_Data!$D$8</definedName>
    <definedName name="WACC" localSheetId="30">[1]Input_Data!$D$8</definedName>
    <definedName name="WACC" localSheetId="31">[1]Input_Data!$D$8</definedName>
    <definedName name="WACC" localSheetId="33">[1]Input_Data!$D$8</definedName>
    <definedName name="WACC" localSheetId="38">[15]Input_Data!$D$8</definedName>
    <definedName name="WACC" localSheetId="34">[16]Input_Data!$D$8</definedName>
    <definedName name="WACC" localSheetId="36">[6]Input_Data!$D$8</definedName>
    <definedName name="WACC" localSheetId="40">[16]Input_Data!$D$8</definedName>
    <definedName name="WACC" localSheetId="41">[7]Input_Data!$D$8</definedName>
    <definedName name="WACC" localSheetId="44">[16]Input_Data!$D$8</definedName>
    <definedName name="WACC" localSheetId="47">[15]Input_Data!$D$8</definedName>
    <definedName name="WACC" localSheetId="50">[11]Input_Data!$D$8</definedName>
    <definedName name="WACC">[8]Input_Data!$D$8</definedName>
    <definedName name="Weather_Zones" localSheetId="49">#REF!</definedName>
    <definedName name="Weather_Zones" localSheetId="2">#REF!</definedName>
    <definedName name="WHWp1" localSheetId="30">'[21]5.4.7'!$F$7:$F$8</definedName>
    <definedName name="WHWp1" localSheetId="31">'[21]5.4.7'!$F$7:$F$8</definedName>
    <definedName name="WHWp1" localSheetId="33">'[21]5.4.7'!$F$7:$F$8</definedName>
    <definedName name="WHWp1" localSheetId="38">'[15]5.4.7'!$F$7:$F$8</definedName>
    <definedName name="WHWp1" localSheetId="41">'[22]5.4.7'!$F$7:$F$8</definedName>
    <definedName name="WHWp1" localSheetId="47">'[15]5.4.7'!$F$7:$F$8</definedName>
    <definedName name="WHWp1" localSheetId="49">'[22]5.4.7'!$F$7:$F$8</definedName>
    <definedName name="WHWp1">'[16]5.4.7'!$F$7:$F$8</definedName>
    <definedName name="WHWp2" localSheetId="30">'[21]5.4.7'!$B$14:$B$17</definedName>
    <definedName name="WHWp2" localSheetId="31">'[21]5.4.7'!$B$14:$B$17</definedName>
    <definedName name="WHWp2" localSheetId="33">'[21]5.4.7'!$B$14:$B$17</definedName>
    <definedName name="WHWp2" localSheetId="38">'[15]5.4.7'!$B$14:$B$17</definedName>
    <definedName name="WHWp2" localSheetId="41">'[22]5.4.7'!$B$14:$B$17</definedName>
    <definedName name="WHWp2" localSheetId="47">'[15]5.4.7'!$B$14:$B$17</definedName>
    <definedName name="WHWp2" localSheetId="49">'[22]5.4.7'!$B$14:$B$17</definedName>
    <definedName name="WHWp2">'[16]5.4.7'!$B$14:$B$17</definedName>
    <definedName name="WHWp3" localSheetId="30">'[21]5.4.7'!$C$14:$C$16</definedName>
    <definedName name="WHWp3" localSheetId="31">'[21]5.4.7'!$C$14:$C$16</definedName>
    <definedName name="WHWp3" localSheetId="33">'[21]5.4.7'!$C$14:$C$16</definedName>
    <definedName name="WHWp3" localSheetId="38">'[15]5.4.7'!$C$14:$C$16</definedName>
    <definedName name="WHWp3" localSheetId="41">'[22]5.4.7'!$C$14:$C$16</definedName>
    <definedName name="WHWp3" localSheetId="47">'[15]5.4.7'!$C$14:$C$16</definedName>
    <definedName name="WHWp3" localSheetId="49">'[22]5.4.7'!$C$14:$C$16</definedName>
    <definedName name="WHWp3">'[16]5.4.7'!$C$14:$C$16</definedName>
    <definedName name="WHWp4" localSheetId="30">'[21]5.4.7'!$D$14:$D$17</definedName>
    <definedName name="WHWp4" localSheetId="31">'[21]5.4.7'!$D$14:$D$17</definedName>
    <definedName name="WHWp4" localSheetId="33">'[21]5.4.7'!$D$14:$D$17</definedName>
    <definedName name="WHWp4" localSheetId="38">'[15]5.4.7'!$D$14:$D$17</definedName>
    <definedName name="WHWp4" localSheetId="41">'[22]5.4.7'!$D$14:$D$17</definedName>
    <definedName name="WHWp4" localSheetId="47">'[15]5.4.7'!$D$14:$D$17</definedName>
    <definedName name="WHWp4" localSheetId="49">'[22]5.4.7'!$D$14:$D$17</definedName>
    <definedName name="WHWp4">'[16]5.4.7'!$D$14:$D$17</definedName>
    <definedName name="xx" localSheetId="30">#REF!</definedName>
    <definedName name="xx" localSheetId="31">#REF!</definedName>
    <definedName name="xx" localSheetId="33">#REF!</definedName>
    <definedName name="xx" localSheetId="2">#REF!</definedName>
    <definedName name="xxx" localSheetId="30">#REF!</definedName>
    <definedName name="xxx" localSheetId="31">#REF!</definedName>
    <definedName name="xxx" localSheetId="33">#REF!</definedName>
    <definedName name="xxx" localSheetId="2">#REF!</definedName>
    <definedName name="xxxx" localSheetId="30">#REF!</definedName>
    <definedName name="xxxx" localSheetId="31">#REF!</definedName>
    <definedName name="xxxx" localSheetId="33">#REF!</definedName>
    <definedName name="xxxx" localSheetId="2">#REF!</definedName>
    <definedName name="xxxxx" localSheetId="30">#REF!</definedName>
    <definedName name="xxxxx" localSheetId="31">#REF!</definedName>
    <definedName name="xxxxx" localSheetId="33">#REF!</definedName>
    <definedName name="xxxxx" localSheetId="2">#REF!</definedName>
    <definedName name="xxxxxx" localSheetId="30">#REF!</definedName>
    <definedName name="xxxxxx" localSheetId="31">#REF!</definedName>
    <definedName name="xxxxxx" localSheetId="33">#REF!</definedName>
    <definedName name="xxxxxx" localSheetId="2">#REF!</definedName>
    <definedName name="xxxxxxx" localSheetId="30">#REF!</definedName>
    <definedName name="xxxxxxx" localSheetId="31">#REF!</definedName>
    <definedName name="xxxxxxx" localSheetId="33">#REF!</definedName>
    <definedName name="xxxxxxx" localSheetId="2">#REF!</definedName>
    <definedName name="z" localSheetId="30">#REF!</definedName>
    <definedName name="z" localSheetId="31">#REF!</definedName>
    <definedName name="z" localSheetId="33">#REF!</definedName>
    <definedName name="z" localSheetId="2">#REF!</definedName>
    <definedName name="Z_11DE45F5_F478_4ED6_8DFF_12002C22A637_.wvu.FilterData" localSheetId="43" hidden="1">'5.4.5'!$A$3:$AI$7</definedName>
    <definedName name="Z_11DE45F5_F478_4ED6_8DFF_12002C22A637_.wvu.FilterData" localSheetId="2" hidden="1">'Measure-Level Adjustments'!$A$7:$BV$307</definedName>
    <definedName name="Z_11DE45F5_F478_4ED6_8DFF_12002C22A637_.wvu.PrintArea" localSheetId="9" hidden="1">'4.2.11'!$A$1:$AG$68</definedName>
    <definedName name="Z_11DE45F5_F478_4ED6_8DFF_12002C22A637_.wvu.PrintArea" localSheetId="16" hidden="1">'4.3.1'!$A$1:$AK$89</definedName>
    <definedName name="Z_11DE45F5_F478_4ED6_8DFF_12002C22A637_.wvu.PrintArea" localSheetId="17" hidden="1">'4.3.2'!$A$1:$AF$87</definedName>
    <definedName name="Z_11DE45F5_F478_4ED6_8DFF_12002C22A637_.wvu.PrintArea" localSheetId="18" hidden="1">'4.3.3'!$A$1:$AF$78</definedName>
    <definedName name="Z_11DE45F5_F478_4ED6_8DFF_12002C22A637_.wvu.PrintArea" localSheetId="19" hidden="1">'4.3.4'!$A$1:$T$55</definedName>
    <definedName name="Z_11DE45F5_F478_4ED6_8DFF_12002C22A637_.wvu.PrintArea" localSheetId="20" hidden="1">'4.3.6'!$A$1:$AC$35</definedName>
    <definedName name="Z_11DE45F5_F478_4ED6_8DFF_12002C22A637_.wvu.PrintArea" localSheetId="29" hidden="1">'4.4.16'!$A$1:$AF$116</definedName>
    <definedName name="Z_11DE45F5_F478_4ED6_8DFF_12002C22A637_.wvu.PrintArea" localSheetId="22" hidden="1">'4.4.3'!$A$1:$T$26</definedName>
    <definedName name="Z_11DE45F5_F478_4ED6_8DFF_12002C22A637_.wvu.PrintArea" localSheetId="23" hidden="1">'4.4.4'!$A$1:$U$34</definedName>
    <definedName name="Z_11DE45F5_F478_4ED6_8DFF_12002C22A637_.wvu.PrintArea" localSheetId="48" hidden="1">'5.6.4 &amp; 5.6.5'!$A$1:$AU$129</definedName>
    <definedName name="Z_11DE45F5_F478_4ED6_8DFF_12002C22A637_.wvu.PrintArea" localSheetId="49" hidden="1">Kits!$A$1:$AB$319</definedName>
    <definedName name="Z_11DE45F5_F478_4ED6_8DFF_12002C22A637_.wvu.PrintArea" localSheetId="2" hidden="1">'Measure-Level Adjustments'!$A$1:$BV$311</definedName>
    <definedName name="Z_11DE45F5_F478_4ED6_8DFF_12002C22A637_.wvu.PrintArea" localSheetId="1" hidden="1">'Program-Level Adjustments'!$A$1:$T$25</definedName>
    <definedName name="Z_11DE45F5_F478_4ED6_8DFF_12002C22A637_.wvu.PrintTitles" localSheetId="2" hidden="1">'Measure-Level Adjustments'!$A:$B</definedName>
    <definedName name="Z_11DE45F5_F478_4ED6_8DFF_12002C22A637_.wvu.PrintTitles" localSheetId="1" hidden="1">'Program-Level Adjustments'!$A:$A</definedName>
    <definedName name="Z_11DE45F5_F478_4ED6_8DFF_12002C22A637_.wvu.Rows" localSheetId="9" hidden="1">'4.2.11'!$5:$5</definedName>
    <definedName name="Z_11DE45F5_F478_4ED6_8DFF_12002C22A637_.wvu.Rows" localSheetId="29" hidden="1">'4.4.16'!$11:$11</definedName>
    <definedName name="Z_11DE45F5_F478_4ED6_8DFF_12002C22A637_.wvu.Rows" localSheetId="30" hidden="1">'4.4.18'!$3:$8,'4.4.18'!$10:$10</definedName>
    <definedName name="Z_11DE45F5_F478_4ED6_8DFF_12002C22A637_.wvu.Rows" localSheetId="21" hidden="1">'4.4.2'!$5:$10</definedName>
    <definedName name="Z_11DE45F5_F478_4ED6_8DFF_12002C22A637_.wvu.Rows" localSheetId="36" hidden="1">'5.3.7'!$71:$80,'5.3.7'!$122:$147</definedName>
    <definedName name="Z_11DE45F5_F478_4ED6_8DFF_12002C22A637_.wvu.Rows" localSheetId="48" hidden="1">'5.6.4 &amp; 5.6.5'!$5:$10</definedName>
    <definedName name="Z_ECD6FE6A_9548_414E_B8AA_6998703C57E0_.wvu.FilterData" localSheetId="43" hidden="1">'5.4.5'!$A$3:$AI$7</definedName>
    <definedName name="Z_ECD6FE6A_9548_414E_B8AA_6998703C57E0_.wvu.FilterData" localSheetId="2" hidden="1">'Measure-Level Adjustments'!$A$7:$BV$307</definedName>
    <definedName name="Z_ECD6FE6A_9548_414E_B8AA_6998703C57E0_.wvu.PrintArea" localSheetId="9" hidden="1">'4.2.11'!$A$1:$AG$68</definedName>
    <definedName name="Z_ECD6FE6A_9548_414E_B8AA_6998703C57E0_.wvu.PrintArea" localSheetId="16" hidden="1">'4.3.1'!$A$1:$AK$89</definedName>
    <definedName name="Z_ECD6FE6A_9548_414E_B8AA_6998703C57E0_.wvu.PrintArea" localSheetId="17" hidden="1">'4.3.2'!$A$1:$AF$87</definedName>
    <definedName name="Z_ECD6FE6A_9548_414E_B8AA_6998703C57E0_.wvu.PrintArea" localSheetId="18" hidden="1">'4.3.3'!$A$1:$AF$78</definedName>
    <definedName name="Z_ECD6FE6A_9548_414E_B8AA_6998703C57E0_.wvu.PrintArea" localSheetId="19" hidden="1">'4.3.4'!$A$1:$T$55</definedName>
    <definedName name="Z_ECD6FE6A_9548_414E_B8AA_6998703C57E0_.wvu.PrintArea" localSheetId="20" hidden="1">'4.3.6'!$A$1:$AC$35</definedName>
    <definedName name="Z_ECD6FE6A_9548_414E_B8AA_6998703C57E0_.wvu.PrintArea" localSheetId="29" hidden="1">'4.4.16'!$A$1:$AF$116</definedName>
    <definedName name="Z_ECD6FE6A_9548_414E_B8AA_6998703C57E0_.wvu.PrintArea" localSheetId="22" hidden="1">'4.4.3'!$A$1:$T$26</definedName>
    <definedName name="Z_ECD6FE6A_9548_414E_B8AA_6998703C57E0_.wvu.PrintArea" localSheetId="23" hidden="1">'4.4.4'!$A$1:$U$34</definedName>
    <definedName name="Z_ECD6FE6A_9548_414E_B8AA_6998703C57E0_.wvu.PrintArea" localSheetId="48" hidden="1">'5.6.4 &amp; 5.6.5'!$A$1:$AU$129</definedName>
    <definedName name="Z_ECD6FE6A_9548_414E_B8AA_6998703C57E0_.wvu.PrintArea" localSheetId="49" hidden="1">Kits!$A$1:$AB$319</definedName>
    <definedName name="Z_ECD6FE6A_9548_414E_B8AA_6998703C57E0_.wvu.PrintArea" localSheetId="2" hidden="1">'Measure-Level Adjustments'!$A$1:$BV$311</definedName>
    <definedName name="Z_ECD6FE6A_9548_414E_B8AA_6998703C57E0_.wvu.PrintArea" localSheetId="1" hidden="1">'Program-Level Adjustments'!$A$1:$T$25</definedName>
    <definedName name="Z_ECD6FE6A_9548_414E_B8AA_6998703C57E0_.wvu.PrintTitles" localSheetId="2" hidden="1">'Measure-Level Adjustments'!$A:$B</definedName>
    <definedName name="Z_ECD6FE6A_9548_414E_B8AA_6998703C57E0_.wvu.PrintTitles" localSheetId="1" hidden="1">'Program-Level Adjustments'!$A:$A</definedName>
    <definedName name="Z_ECD6FE6A_9548_414E_B8AA_6998703C57E0_.wvu.Rows" localSheetId="9" hidden="1">'4.2.11'!$5:$5</definedName>
    <definedName name="Z_ECD6FE6A_9548_414E_B8AA_6998703C57E0_.wvu.Rows" localSheetId="29" hidden="1">'4.4.16'!$11:$11</definedName>
    <definedName name="Z_ECD6FE6A_9548_414E_B8AA_6998703C57E0_.wvu.Rows" localSheetId="30" hidden="1">'4.4.18'!$3:$8,'4.4.18'!$10:$10</definedName>
    <definedName name="Z_ECD6FE6A_9548_414E_B8AA_6998703C57E0_.wvu.Rows" localSheetId="21" hidden="1">'4.4.2'!$5:$10</definedName>
    <definedName name="Z_ECD6FE6A_9548_414E_B8AA_6998703C57E0_.wvu.Rows" localSheetId="36" hidden="1">'5.3.7'!$71:$80,'5.3.7'!$122:$147</definedName>
    <definedName name="Z_ECD6FE6A_9548_414E_B8AA_6998703C57E0_.wvu.Rows" localSheetId="48" hidden="1">'5.6.4 &amp; 5.6.5'!$5:$10</definedName>
    <definedName name="Zone1" localSheetId="30">'[1]4.4.6'!$H$11:$H$15</definedName>
    <definedName name="Zone1" localSheetId="31">'[1]4.4.6'!$H$11:$H$15</definedName>
    <definedName name="Zone1" localSheetId="33">'[1]4.4.6'!$H$11:$H$15</definedName>
    <definedName name="Zone1">'[2]4.4.6'!$H$11:$H$15</definedName>
    <definedName name="zz" localSheetId="30">#REF!</definedName>
    <definedName name="zz" localSheetId="31">#REF!</definedName>
    <definedName name="zz" localSheetId="33">#REF!</definedName>
    <definedName name="zz" localSheetId="2">#REF!</definedName>
    <definedName name="zzz" localSheetId="30">'[12]4.4.10'!#REF!</definedName>
    <definedName name="zzz" localSheetId="31">'[12]4.4.10'!#REF!</definedName>
    <definedName name="zzz" localSheetId="33">'[12]4.4.10'!#REF!</definedName>
    <definedName name="zzz" localSheetId="2">'[12]4.4.10'!#REF!</definedName>
    <definedName name="zzzz" localSheetId="30">'[12]4.5.4'!#REF!</definedName>
    <definedName name="zzzz" localSheetId="33">'[12]4.5.4'!#REF!</definedName>
    <definedName name="zzzz" localSheetId="2">'[12]4.5.4'!#REF!</definedName>
    <definedName name="zzzzz" localSheetId="30">#REF!</definedName>
    <definedName name="zzzzz" localSheetId="31">#REF!</definedName>
    <definedName name="zzzzz" localSheetId="33">#REF!</definedName>
    <definedName name="zzzzz" localSheetId="2">#REF!</definedName>
    <definedName name="zzzzzz" localSheetId="30">#REF!</definedName>
    <definedName name="zzzzzz" localSheetId="31">#REF!</definedName>
    <definedName name="zzzzzz" localSheetId="33">#REF!</definedName>
    <definedName name="zzzzzz" localSheetId="2">#REF!</definedName>
  </definedNames>
  <calcPr calcId="181029"/>
  <customWorkbookViews>
    <customWorkbookView name="Liu, Bruce - Personal View" guid="{11DE45F5-F478-4ED6-8DFF-12002C22A637}" mergeInterval="0" personalView="1" maximized="1" xWindow="1912" yWindow="-8" windowWidth="1936" windowHeight="1056" tabRatio="898" activeSheetId="4"/>
    <customWorkbookView name="Choong, Linda L. - Personal View" guid="{ECD6FE6A-9548-414E-B8AA-6998703C57E0}" mergeInterval="0" personalView="1" maximized="1" xWindow="-1928" windowWidth="1936" windowHeight="1056" tabRatio="573" activeSheetId="4"/>
  </customWorkbookViews>
</workbook>
</file>

<file path=xl/calcChain.xml><?xml version="1.0" encoding="utf-8"?>
<calcChain xmlns="http://schemas.openxmlformats.org/spreadsheetml/2006/main">
  <c r="AT304" i="4" l="1"/>
  <c r="AT303" i="4"/>
  <c r="AT302" i="4"/>
  <c r="AT301" i="4"/>
  <c r="AT299" i="4"/>
  <c r="AT298" i="4"/>
  <c r="AT297" i="4"/>
  <c r="AT296" i="4"/>
  <c r="AT295" i="4"/>
  <c r="AT291" i="4"/>
  <c r="AT290" i="4"/>
  <c r="AT289" i="4"/>
  <c r="AT288" i="4"/>
  <c r="AT287" i="4"/>
  <c r="AT285" i="4"/>
  <c r="AT282" i="4"/>
  <c r="AT281" i="4"/>
  <c r="AT280" i="4"/>
  <c r="AT279" i="4"/>
  <c r="AT278" i="4"/>
  <c r="AT277" i="4"/>
  <c r="AT276" i="4"/>
  <c r="AT275" i="4"/>
  <c r="AT274" i="4"/>
  <c r="AT273" i="4"/>
  <c r="AT272" i="4"/>
  <c r="AT271" i="4"/>
  <c r="AT270" i="4"/>
  <c r="AT269" i="4"/>
  <c r="AT268" i="4"/>
  <c r="AT265" i="4"/>
  <c r="AT264" i="4"/>
  <c r="AT263" i="4"/>
  <c r="AT260" i="4"/>
  <c r="AT259" i="4"/>
  <c r="AT255" i="4"/>
  <c r="AT254" i="4"/>
  <c r="AT253" i="4"/>
  <c r="AT252" i="4"/>
  <c r="AT250" i="4"/>
  <c r="AT248" i="4"/>
  <c r="AT247" i="4"/>
  <c r="AT246" i="4"/>
  <c r="AT245" i="4"/>
  <c r="AT244" i="4"/>
  <c r="AT243" i="4"/>
  <c r="AT242" i="4"/>
  <c r="AT241" i="4"/>
  <c r="AT240" i="4"/>
  <c r="AT239" i="4"/>
  <c r="AT238" i="4"/>
  <c r="AT237" i="4"/>
  <c r="AT236" i="4"/>
  <c r="AT235" i="4"/>
  <c r="AT230" i="4"/>
  <c r="AT229" i="4"/>
  <c r="AT228" i="4"/>
  <c r="AT227" i="4"/>
  <c r="AT226" i="4"/>
  <c r="AT214" i="4"/>
  <c r="AT206" i="4"/>
  <c r="AT205" i="4"/>
  <c r="AT204" i="4"/>
  <c r="AT203" i="4"/>
  <c r="AT202" i="4"/>
  <c r="AT201" i="4"/>
  <c r="AT200" i="4"/>
  <c r="AT199" i="4"/>
  <c r="AT189" i="4"/>
  <c r="AT188" i="4"/>
  <c r="AT185" i="4"/>
  <c r="AT176" i="4"/>
  <c r="AT168" i="4"/>
  <c r="AT162" i="4"/>
  <c r="AT161" i="4"/>
  <c r="AT160" i="4"/>
  <c r="AT159" i="4"/>
  <c r="AT156" i="4"/>
  <c r="AT151" i="4"/>
  <c r="AT150" i="4"/>
  <c r="AT147" i="4"/>
  <c r="AT118" i="4"/>
  <c r="AT117" i="4"/>
  <c r="AT116" i="4"/>
  <c r="AT115" i="4"/>
  <c r="AT114" i="4"/>
  <c r="AT113" i="4"/>
  <c r="AT112" i="4"/>
  <c r="AT111" i="4"/>
  <c r="AT110" i="4"/>
  <c r="AT109" i="4"/>
  <c r="AT108" i="4"/>
  <c r="AT107" i="4"/>
  <c r="AT106" i="4"/>
  <c r="AT105" i="4"/>
  <c r="AT103" i="4"/>
  <c r="AT102" i="4"/>
  <c r="AT101" i="4"/>
  <c r="AT100" i="4"/>
  <c r="AT99" i="4"/>
  <c r="AT98" i="4"/>
  <c r="AT97" i="4"/>
  <c r="AT96" i="4"/>
  <c r="AT95" i="4"/>
  <c r="AT94" i="4"/>
  <c r="AT93" i="4"/>
  <c r="AT92" i="4"/>
  <c r="AT91" i="4"/>
  <c r="AT87" i="4"/>
  <c r="AT86" i="4"/>
  <c r="AT85" i="4"/>
  <c r="AT84" i="4"/>
  <c r="AT83" i="4"/>
  <c r="AT82" i="4"/>
  <c r="AT81" i="4"/>
  <c r="AT80" i="4"/>
  <c r="AT79" i="4"/>
  <c r="AT78" i="4"/>
  <c r="AT77" i="4"/>
  <c r="AT75" i="4"/>
  <c r="AT74" i="4"/>
  <c r="AT73" i="4"/>
  <c r="AT72" i="4"/>
  <c r="AT71" i="4"/>
  <c r="AT70" i="4"/>
  <c r="AT69" i="4"/>
  <c r="AT68" i="4"/>
  <c r="AT67" i="4"/>
  <c r="AT66" i="4"/>
  <c r="AT65" i="4"/>
  <c r="AT64" i="4"/>
  <c r="AT63" i="4"/>
  <c r="AT62" i="4"/>
  <c r="AT61" i="4"/>
  <c r="AT60" i="4"/>
  <c r="AT59" i="4"/>
  <c r="AT58" i="4"/>
  <c r="AT57" i="4"/>
  <c r="AT56" i="4"/>
  <c r="AT55" i="4"/>
  <c r="AT54" i="4"/>
  <c r="AT53" i="4"/>
  <c r="AT52" i="4"/>
  <c r="AT51" i="4"/>
  <c r="AT50" i="4"/>
  <c r="AT49" i="4"/>
  <c r="AT48" i="4"/>
  <c r="AT47" i="4"/>
  <c r="AT46" i="4"/>
  <c r="AT45" i="4"/>
  <c r="AT44" i="4"/>
  <c r="AT43" i="4"/>
  <c r="AT42" i="4"/>
  <c r="AT41" i="4"/>
  <c r="AT40" i="4"/>
  <c r="AT39" i="4"/>
  <c r="AT38" i="4"/>
  <c r="AT37" i="4"/>
  <c r="AT36" i="4"/>
  <c r="AT35" i="4"/>
  <c r="AT34" i="4"/>
  <c r="AT28" i="4"/>
  <c r="AT27" i="4"/>
  <c r="AT26" i="4"/>
  <c r="AT25" i="4"/>
  <c r="AT24" i="4"/>
  <c r="AT23" i="4"/>
  <c r="AT20" i="4"/>
  <c r="AT19" i="4"/>
  <c r="AT18" i="4"/>
  <c r="AT17" i="4"/>
  <c r="AT16" i="4"/>
  <c r="AT15" i="4"/>
  <c r="AT14" i="4"/>
  <c r="AT13" i="4"/>
  <c r="AT12" i="4"/>
  <c r="AT11" i="4"/>
  <c r="AT10" i="4"/>
  <c r="AT9" i="4"/>
  <c r="AT8" i="4"/>
  <c r="AN304" i="4"/>
  <c r="AN303" i="4"/>
  <c r="AN302" i="4"/>
  <c r="AN301" i="4"/>
  <c r="AN299" i="4"/>
  <c r="AN298" i="4"/>
  <c r="AN297" i="4"/>
  <c r="AN296" i="4"/>
  <c r="AN295" i="4"/>
  <c r="AN291" i="4"/>
  <c r="AN290" i="4"/>
  <c r="AN289" i="4"/>
  <c r="AN288" i="4"/>
  <c r="AN287" i="4"/>
  <c r="AN285" i="4"/>
  <c r="AN282" i="4"/>
  <c r="AN281" i="4"/>
  <c r="AN280" i="4"/>
  <c r="AN279" i="4"/>
  <c r="AN278" i="4"/>
  <c r="AN277" i="4"/>
  <c r="AN276" i="4"/>
  <c r="AN275" i="4"/>
  <c r="AN274" i="4"/>
  <c r="AN273" i="4"/>
  <c r="AN272" i="4"/>
  <c r="AN271" i="4"/>
  <c r="AN270" i="4"/>
  <c r="AN269" i="4"/>
  <c r="AN268" i="4"/>
  <c r="AN265" i="4"/>
  <c r="AN264" i="4"/>
  <c r="AN263" i="4"/>
  <c r="AN260" i="4"/>
  <c r="AN259" i="4"/>
  <c r="AN255" i="4"/>
  <c r="AN254" i="4"/>
  <c r="AN253" i="4"/>
  <c r="AN252" i="4"/>
  <c r="AN250" i="4"/>
  <c r="AN248" i="4"/>
  <c r="AN247" i="4"/>
  <c r="AN246" i="4"/>
  <c r="AN245" i="4"/>
  <c r="AN244" i="4"/>
  <c r="AN243" i="4"/>
  <c r="AN242" i="4"/>
  <c r="AN241" i="4"/>
  <c r="AN240" i="4"/>
  <c r="AN239" i="4"/>
  <c r="AN238" i="4"/>
  <c r="AN237" i="4"/>
  <c r="AN236" i="4"/>
  <c r="AN235" i="4"/>
  <c r="AN230" i="4"/>
  <c r="AN229" i="4"/>
  <c r="AN228" i="4"/>
  <c r="AN227" i="4"/>
  <c r="AN226" i="4"/>
  <c r="AN214" i="4"/>
  <c r="AN206" i="4"/>
  <c r="AN205" i="4"/>
  <c r="AN204" i="4"/>
  <c r="AN203" i="4"/>
  <c r="AN202" i="4"/>
  <c r="AN201" i="4"/>
  <c r="AN200" i="4"/>
  <c r="AN199" i="4"/>
  <c r="AN189" i="4"/>
  <c r="AN188" i="4"/>
  <c r="AN185" i="4"/>
  <c r="AN176" i="4"/>
  <c r="AN168" i="4"/>
  <c r="AN162" i="4"/>
  <c r="AN161" i="4"/>
  <c r="AN160" i="4"/>
  <c r="AN159" i="4"/>
  <c r="AN156" i="4"/>
  <c r="AN151" i="4"/>
  <c r="AN150" i="4"/>
  <c r="AN147" i="4"/>
  <c r="AN118" i="4"/>
  <c r="AN117" i="4"/>
  <c r="AN116" i="4"/>
  <c r="AN115" i="4"/>
  <c r="AN114" i="4"/>
  <c r="AN113" i="4"/>
  <c r="AN112" i="4"/>
  <c r="AN111" i="4"/>
  <c r="AN110" i="4"/>
  <c r="AN109" i="4"/>
  <c r="AN108" i="4"/>
  <c r="AN107" i="4"/>
  <c r="AN106" i="4"/>
  <c r="AN105" i="4"/>
  <c r="AN103" i="4"/>
  <c r="AN102" i="4"/>
  <c r="AN101" i="4"/>
  <c r="AN100" i="4"/>
  <c r="AN99" i="4"/>
  <c r="AN98" i="4"/>
  <c r="AN97" i="4"/>
  <c r="AN96" i="4"/>
  <c r="AN95" i="4"/>
  <c r="AN94" i="4"/>
  <c r="AN93" i="4"/>
  <c r="AN92" i="4"/>
  <c r="AN91" i="4"/>
  <c r="AN87" i="4"/>
  <c r="AN86" i="4"/>
  <c r="AN85" i="4"/>
  <c r="AN84" i="4"/>
  <c r="AN83" i="4"/>
  <c r="AN82" i="4"/>
  <c r="AN81" i="4"/>
  <c r="AN80" i="4"/>
  <c r="AN79" i="4"/>
  <c r="AN78" i="4"/>
  <c r="AN77" i="4"/>
  <c r="AN75" i="4"/>
  <c r="AN74" i="4"/>
  <c r="AN73" i="4"/>
  <c r="AN72" i="4"/>
  <c r="AN71" i="4"/>
  <c r="AN70" i="4"/>
  <c r="AN69" i="4"/>
  <c r="AN68" i="4"/>
  <c r="AN67" i="4"/>
  <c r="AN66" i="4"/>
  <c r="AN65" i="4"/>
  <c r="AN64" i="4"/>
  <c r="AN63" i="4"/>
  <c r="AN62" i="4"/>
  <c r="AN61" i="4"/>
  <c r="AN60" i="4"/>
  <c r="AN59" i="4"/>
  <c r="AN58" i="4"/>
  <c r="AN57" i="4"/>
  <c r="AN56" i="4"/>
  <c r="AN55" i="4"/>
  <c r="AN54" i="4"/>
  <c r="AN53" i="4"/>
  <c r="AN52" i="4"/>
  <c r="AN51" i="4"/>
  <c r="AN50" i="4"/>
  <c r="AN49" i="4"/>
  <c r="AN48" i="4"/>
  <c r="AN47" i="4"/>
  <c r="AN46" i="4"/>
  <c r="AN45" i="4"/>
  <c r="AN44" i="4"/>
  <c r="AN43" i="4"/>
  <c r="AN42" i="4"/>
  <c r="AN41" i="4"/>
  <c r="AN40" i="4"/>
  <c r="AN39" i="4"/>
  <c r="AN38" i="4"/>
  <c r="AN37" i="4"/>
  <c r="AN36" i="4"/>
  <c r="AN35" i="4"/>
  <c r="AN34" i="4"/>
  <c r="AN28" i="4"/>
  <c r="AN27" i="4"/>
  <c r="AN26" i="4"/>
  <c r="AN25" i="4"/>
  <c r="AN24" i="4"/>
  <c r="AN23" i="4"/>
  <c r="AN9" i="4"/>
  <c r="AN10" i="4"/>
  <c r="AN11" i="4"/>
  <c r="AN12" i="4"/>
  <c r="AN13" i="4"/>
  <c r="AN14" i="4"/>
  <c r="AN15" i="4"/>
  <c r="AN16" i="4"/>
  <c r="AN17" i="4"/>
  <c r="AN18" i="4"/>
  <c r="AN19" i="4"/>
  <c r="AN20" i="4"/>
  <c r="AN8" i="4"/>
  <c r="AT293" i="4"/>
  <c r="AT292" i="4"/>
  <c r="AT251" i="4"/>
  <c r="AT249" i="4"/>
  <c r="AT225" i="4"/>
  <c r="AT224" i="4"/>
  <c r="AT223" i="4"/>
  <c r="AT222" i="4"/>
  <c r="AT221" i="4"/>
  <c r="AT220" i="4"/>
  <c r="AT219" i="4"/>
  <c r="AT218" i="4"/>
  <c r="AT213" i="4"/>
  <c r="AT212" i="4"/>
  <c r="AT211" i="4"/>
  <c r="AT197" i="4"/>
  <c r="AT196" i="4"/>
  <c r="AT195" i="4"/>
  <c r="AT194" i="4"/>
  <c r="AT193" i="4"/>
  <c r="AT192" i="4"/>
  <c r="AT190" i="4"/>
  <c r="AT187" i="4"/>
  <c r="AT186" i="4"/>
  <c r="AT184" i="4"/>
  <c r="AT183" i="4"/>
  <c r="AT182" i="4"/>
  <c r="AT181" i="4"/>
  <c r="AT178" i="4"/>
  <c r="AT177" i="4"/>
  <c r="AT175" i="4"/>
  <c r="AT174" i="4"/>
  <c r="AT173" i="4"/>
  <c r="AT172" i="4"/>
  <c r="AT171" i="4"/>
  <c r="AT170" i="4"/>
  <c r="AT169" i="4"/>
  <c r="AT167" i="4"/>
  <c r="AT166" i="4"/>
  <c r="AT165" i="4"/>
  <c r="AT164" i="4"/>
  <c r="AT163" i="4"/>
  <c r="AT157" i="4"/>
  <c r="AT155" i="4"/>
  <c r="AT154" i="4"/>
  <c r="AT153" i="4"/>
  <c r="AT152" i="4"/>
  <c r="AT149" i="4"/>
  <c r="AT148" i="4"/>
  <c r="AT146" i="4"/>
  <c r="AT145" i="4"/>
  <c r="AT144" i="4"/>
  <c r="AT143" i="4"/>
  <c r="AT142" i="4"/>
  <c r="AT141" i="4"/>
  <c r="AT140" i="4"/>
  <c r="AT139" i="4"/>
  <c r="AT138" i="4"/>
  <c r="AT137" i="4"/>
  <c r="AT136" i="4"/>
  <c r="AT104" i="4"/>
  <c r="AT33" i="4"/>
  <c r="AT22" i="4"/>
  <c r="AT21" i="4"/>
  <c r="AN293" i="4"/>
  <c r="AN292" i="4"/>
  <c r="AN251" i="4"/>
  <c r="AN249" i="4"/>
  <c r="AN225" i="4"/>
  <c r="AN224" i="4"/>
  <c r="AN223" i="4"/>
  <c r="AN222" i="4"/>
  <c r="AN221" i="4"/>
  <c r="AN220" i="4"/>
  <c r="AN219" i="4"/>
  <c r="AN218" i="4"/>
  <c r="AN213" i="4"/>
  <c r="AN212" i="4"/>
  <c r="AN211" i="4"/>
  <c r="AN197" i="4"/>
  <c r="AN196" i="4"/>
  <c r="AN195" i="4"/>
  <c r="AN194" i="4"/>
  <c r="AN193" i="4"/>
  <c r="AN192" i="4"/>
  <c r="AN190" i="4"/>
  <c r="AN187" i="4"/>
  <c r="AN186" i="4"/>
  <c r="AN184" i="4"/>
  <c r="AN183" i="4"/>
  <c r="AN182" i="4"/>
  <c r="AN181" i="4"/>
  <c r="AN178" i="4"/>
  <c r="AN177" i="4"/>
  <c r="AN175" i="4"/>
  <c r="AN174" i="4"/>
  <c r="AN173" i="4"/>
  <c r="AN172" i="4"/>
  <c r="AN171" i="4"/>
  <c r="AN170" i="4"/>
  <c r="AN169" i="4"/>
  <c r="AN167" i="4"/>
  <c r="AN166" i="4"/>
  <c r="AN165" i="4"/>
  <c r="AN164" i="4"/>
  <c r="AN163" i="4"/>
  <c r="AN157" i="4"/>
  <c r="AN155" i="4"/>
  <c r="AN154" i="4"/>
  <c r="AN153" i="4"/>
  <c r="AN152" i="4"/>
  <c r="AN149" i="4"/>
  <c r="AN148" i="4"/>
  <c r="AN146" i="4"/>
  <c r="AN145" i="4"/>
  <c r="AN144" i="4"/>
  <c r="AN143" i="4"/>
  <c r="AN142" i="4"/>
  <c r="AN141" i="4"/>
  <c r="AN140" i="4"/>
  <c r="AN139" i="4"/>
  <c r="AN138" i="4"/>
  <c r="AN137" i="4"/>
  <c r="AN136" i="4"/>
  <c r="AN104" i="4"/>
  <c r="AN33" i="4"/>
  <c r="AN22" i="4"/>
  <c r="AN21" i="4"/>
  <c r="BS9" i="4"/>
  <c r="BT9" i="4"/>
  <c r="BU9" i="4"/>
  <c r="BS10" i="4"/>
  <c r="BT10" i="4"/>
  <c r="BU10" i="4"/>
  <c r="BS11" i="4"/>
  <c r="BT11" i="4"/>
  <c r="BU11" i="4"/>
  <c r="BS12" i="4"/>
  <c r="BT12" i="4"/>
  <c r="BU12" i="4"/>
  <c r="BS13" i="4"/>
  <c r="BT13" i="4"/>
  <c r="BU13" i="4"/>
  <c r="BS14" i="4"/>
  <c r="BT14" i="4"/>
  <c r="BU14" i="4"/>
  <c r="BS15" i="4"/>
  <c r="BT15" i="4"/>
  <c r="BU15" i="4"/>
  <c r="BS16" i="4"/>
  <c r="BT16" i="4"/>
  <c r="BU16" i="4"/>
  <c r="BS17" i="4"/>
  <c r="BT17" i="4"/>
  <c r="BU17" i="4"/>
  <c r="BS18" i="4"/>
  <c r="BT18" i="4"/>
  <c r="BU18" i="4"/>
  <c r="BS19" i="4"/>
  <c r="BT19" i="4"/>
  <c r="BU19" i="4"/>
  <c r="BS20" i="4"/>
  <c r="BT20" i="4"/>
  <c r="BU20" i="4"/>
  <c r="BS21" i="4"/>
  <c r="BT21" i="4"/>
  <c r="BU21" i="4"/>
  <c r="BS22" i="4"/>
  <c r="BT22" i="4"/>
  <c r="BU22" i="4"/>
  <c r="BS23" i="4"/>
  <c r="BT23" i="4"/>
  <c r="BU23" i="4"/>
  <c r="BS24" i="4"/>
  <c r="BT24" i="4"/>
  <c r="BU24" i="4"/>
  <c r="BS25" i="4"/>
  <c r="BT25" i="4"/>
  <c r="BU25" i="4"/>
  <c r="BS26" i="4"/>
  <c r="BT26" i="4"/>
  <c r="BU26" i="4"/>
  <c r="BS27" i="4"/>
  <c r="BT27" i="4"/>
  <c r="BU27" i="4"/>
  <c r="BS28" i="4"/>
  <c r="BT28" i="4"/>
  <c r="BU28" i="4"/>
  <c r="BS29" i="4"/>
  <c r="BT29" i="4"/>
  <c r="BU29" i="4"/>
  <c r="BS30" i="4"/>
  <c r="BT30" i="4"/>
  <c r="BU30" i="4"/>
  <c r="BS31" i="4"/>
  <c r="BT31" i="4"/>
  <c r="BU31" i="4"/>
  <c r="BS32" i="4"/>
  <c r="BT32" i="4"/>
  <c r="BU32" i="4"/>
  <c r="BS33" i="4"/>
  <c r="BT33" i="4"/>
  <c r="BU33" i="4"/>
  <c r="BS34" i="4"/>
  <c r="BT34" i="4"/>
  <c r="BU34" i="4"/>
  <c r="BS35" i="4"/>
  <c r="BT35" i="4"/>
  <c r="BU35" i="4"/>
  <c r="BS36" i="4"/>
  <c r="BT36" i="4"/>
  <c r="BU36" i="4"/>
  <c r="BS37" i="4"/>
  <c r="BT37" i="4"/>
  <c r="BU37" i="4"/>
  <c r="BS38" i="4"/>
  <c r="BT38" i="4"/>
  <c r="BU38" i="4"/>
  <c r="BS39" i="4"/>
  <c r="BT39" i="4"/>
  <c r="BU39" i="4"/>
  <c r="BS40" i="4"/>
  <c r="BT40" i="4"/>
  <c r="BU40" i="4"/>
  <c r="BS41" i="4"/>
  <c r="BT41" i="4"/>
  <c r="BU41" i="4"/>
  <c r="BS42" i="4"/>
  <c r="BT42" i="4"/>
  <c r="BU42" i="4"/>
  <c r="BS43" i="4"/>
  <c r="BT43" i="4"/>
  <c r="BU43" i="4"/>
  <c r="BS44" i="4"/>
  <c r="BT44" i="4"/>
  <c r="BU44" i="4"/>
  <c r="BS45" i="4"/>
  <c r="BT45" i="4"/>
  <c r="BU45" i="4"/>
  <c r="BS46" i="4"/>
  <c r="BT46" i="4"/>
  <c r="BU46" i="4"/>
  <c r="BS47" i="4"/>
  <c r="BT47" i="4"/>
  <c r="BU47" i="4"/>
  <c r="BS48" i="4"/>
  <c r="BT48" i="4"/>
  <c r="BU48" i="4"/>
  <c r="BS49" i="4"/>
  <c r="BT49" i="4"/>
  <c r="BU49" i="4"/>
  <c r="BS50" i="4"/>
  <c r="BT50" i="4"/>
  <c r="BU50" i="4"/>
  <c r="BS51" i="4"/>
  <c r="BT51" i="4"/>
  <c r="BU51" i="4"/>
  <c r="BS52" i="4"/>
  <c r="BT52" i="4"/>
  <c r="BU52" i="4"/>
  <c r="BS53" i="4"/>
  <c r="BT53" i="4"/>
  <c r="BU53" i="4"/>
  <c r="BS54" i="4"/>
  <c r="BT54" i="4"/>
  <c r="BU54" i="4"/>
  <c r="BS55" i="4"/>
  <c r="BT55" i="4"/>
  <c r="BU55" i="4"/>
  <c r="BS56" i="4"/>
  <c r="BT56" i="4"/>
  <c r="BU56" i="4"/>
  <c r="BS57" i="4"/>
  <c r="BT57" i="4"/>
  <c r="BU57" i="4"/>
  <c r="BS58" i="4"/>
  <c r="BT58" i="4"/>
  <c r="BU58" i="4"/>
  <c r="BS59" i="4"/>
  <c r="BT59" i="4"/>
  <c r="BU59" i="4"/>
  <c r="BS60" i="4"/>
  <c r="BT60" i="4"/>
  <c r="BU60" i="4"/>
  <c r="BS61" i="4"/>
  <c r="BT61" i="4"/>
  <c r="BU61" i="4"/>
  <c r="BS62" i="4"/>
  <c r="BT62" i="4"/>
  <c r="BU62" i="4"/>
  <c r="BS63" i="4"/>
  <c r="BT63" i="4"/>
  <c r="BU63" i="4"/>
  <c r="BS64" i="4"/>
  <c r="BT64" i="4"/>
  <c r="BU64" i="4"/>
  <c r="BS65" i="4"/>
  <c r="BT65" i="4"/>
  <c r="BU65" i="4"/>
  <c r="BS66" i="4"/>
  <c r="BT66" i="4"/>
  <c r="BU66" i="4"/>
  <c r="BS67" i="4"/>
  <c r="BT67" i="4"/>
  <c r="BU67" i="4"/>
  <c r="BS68" i="4"/>
  <c r="BT68" i="4"/>
  <c r="BU68" i="4"/>
  <c r="BS69" i="4"/>
  <c r="BT69" i="4"/>
  <c r="BU69" i="4"/>
  <c r="BS70" i="4"/>
  <c r="BT70" i="4"/>
  <c r="BU70" i="4"/>
  <c r="BS71" i="4"/>
  <c r="BT71" i="4"/>
  <c r="BU71" i="4"/>
  <c r="BS72" i="4"/>
  <c r="BT72" i="4"/>
  <c r="BU72" i="4"/>
  <c r="BS73" i="4"/>
  <c r="BT73" i="4"/>
  <c r="BU73" i="4"/>
  <c r="BS74" i="4"/>
  <c r="BT74" i="4"/>
  <c r="BU74" i="4"/>
  <c r="BS75" i="4"/>
  <c r="BT75" i="4"/>
  <c r="BU75" i="4"/>
  <c r="BS76" i="4"/>
  <c r="BT76" i="4"/>
  <c r="BU76" i="4"/>
  <c r="BS77" i="4"/>
  <c r="BT77" i="4"/>
  <c r="BU77" i="4"/>
  <c r="BS78" i="4"/>
  <c r="BT78" i="4"/>
  <c r="BU78" i="4"/>
  <c r="BS79" i="4"/>
  <c r="BT79" i="4"/>
  <c r="BU79" i="4"/>
  <c r="BS80" i="4"/>
  <c r="BT80" i="4"/>
  <c r="BU80" i="4"/>
  <c r="BS81" i="4"/>
  <c r="BT81" i="4"/>
  <c r="BU81" i="4"/>
  <c r="BS82" i="4"/>
  <c r="BT82" i="4"/>
  <c r="BU82" i="4"/>
  <c r="BS83" i="4"/>
  <c r="BT83" i="4"/>
  <c r="BU83" i="4"/>
  <c r="BS84" i="4"/>
  <c r="BT84" i="4"/>
  <c r="BU84" i="4"/>
  <c r="BS85" i="4"/>
  <c r="BT85" i="4"/>
  <c r="BU85" i="4"/>
  <c r="BS86" i="4"/>
  <c r="BT86" i="4"/>
  <c r="BU86" i="4"/>
  <c r="BS87" i="4"/>
  <c r="BT87" i="4"/>
  <c r="BU87" i="4"/>
  <c r="BS88" i="4"/>
  <c r="BT88" i="4"/>
  <c r="BU88" i="4"/>
  <c r="BS89" i="4"/>
  <c r="BT89" i="4"/>
  <c r="BU89" i="4"/>
  <c r="BS90" i="4"/>
  <c r="BT90" i="4"/>
  <c r="BU90" i="4"/>
  <c r="BS91" i="4"/>
  <c r="BT91" i="4"/>
  <c r="BU91" i="4"/>
  <c r="BS92" i="4"/>
  <c r="BT92" i="4"/>
  <c r="BU92" i="4"/>
  <c r="BS93" i="4"/>
  <c r="BT93" i="4"/>
  <c r="BU93" i="4"/>
  <c r="BS94" i="4"/>
  <c r="BT94" i="4"/>
  <c r="BU94" i="4"/>
  <c r="BS95" i="4"/>
  <c r="BT95" i="4"/>
  <c r="BU95" i="4"/>
  <c r="BS96" i="4"/>
  <c r="BT96" i="4"/>
  <c r="BU96" i="4"/>
  <c r="BS97" i="4"/>
  <c r="BT97" i="4"/>
  <c r="BU97" i="4"/>
  <c r="BS98" i="4"/>
  <c r="BT98" i="4"/>
  <c r="BU98" i="4"/>
  <c r="BS99" i="4"/>
  <c r="BT99" i="4"/>
  <c r="BU99" i="4"/>
  <c r="BS100" i="4"/>
  <c r="BT100" i="4"/>
  <c r="BU100" i="4"/>
  <c r="BS101" i="4"/>
  <c r="BT101" i="4"/>
  <c r="BU101" i="4"/>
  <c r="BS102" i="4"/>
  <c r="BT102" i="4"/>
  <c r="BU102" i="4"/>
  <c r="BS103" i="4"/>
  <c r="BT103" i="4"/>
  <c r="BU103" i="4"/>
  <c r="BS104" i="4"/>
  <c r="BT104" i="4"/>
  <c r="BU104" i="4"/>
  <c r="BS105" i="4"/>
  <c r="BT105" i="4"/>
  <c r="BU105" i="4"/>
  <c r="BS106" i="4"/>
  <c r="BT106" i="4"/>
  <c r="BU106" i="4"/>
  <c r="BS107" i="4"/>
  <c r="BT107" i="4"/>
  <c r="BU107" i="4"/>
  <c r="BS108" i="4"/>
  <c r="BT108" i="4"/>
  <c r="BU108" i="4"/>
  <c r="BS109" i="4"/>
  <c r="BT109" i="4"/>
  <c r="BU109" i="4"/>
  <c r="BS110" i="4"/>
  <c r="BT110" i="4"/>
  <c r="BU110" i="4"/>
  <c r="BS111" i="4"/>
  <c r="BT111" i="4"/>
  <c r="BU111" i="4"/>
  <c r="BS112" i="4"/>
  <c r="BT112" i="4"/>
  <c r="BU112" i="4"/>
  <c r="BS113" i="4"/>
  <c r="BT113" i="4"/>
  <c r="BU113" i="4"/>
  <c r="BS114" i="4"/>
  <c r="BT114" i="4"/>
  <c r="BU114" i="4"/>
  <c r="BS115" i="4"/>
  <c r="BT115" i="4"/>
  <c r="BU115" i="4"/>
  <c r="BS116" i="4"/>
  <c r="BT116" i="4"/>
  <c r="BU116" i="4"/>
  <c r="BS117" i="4"/>
  <c r="BT117" i="4"/>
  <c r="BU117" i="4"/>
  <c r="BS118" i="4"/>
  <c r="BT118" i="4"/>
  <c r="BU118" i="4"/>
  <c r="BS119" i="4"/>
  <c r="BT119" i="4"/>
  <c r="BU119" i="4"/>
  <c r="BS120" i="4"/>
  <c r="BT120" i="4"/>
  <c r="BU120" i="4"/>
  <c r="BS121" i="4"/>
  <c r="BT121" i="4"/>
  <c r="BU121" i="4"/>
  <c r="BS122" i="4"/>
  <c r="BT122" i="4"/>
  <c r="BU122" i="4"/>
  <c r="BS123" i="4"/>
  <c r="BT123" i="4"/>
  <c r="BU123" i="4"/>
  <c r="BS124" i="4"/>
  <c r="BT124" i="4"/>
  <c r="BU124" i="4"/>
  <c r="BS125" i="4"/>
  <c r="BT125" i="4"/>
  <c r="BU125" i="4"/>
  <c r="BS126" i="4"/>
  <c r="BT126" i="4"/>
  <c r="BU126" i="4"/>
  <c r="BS127" i="4"/>
  <c r="BT127" i="4"/>
  <c r="BU127" i="4"/>
  <c r="BS128" i="4"/>
  <c r="BT128" i="4"/>
  <c r="BU128" i="4"/>
  <c r="BS129" i="4"/>
  <c r="BT129" i="4"/>
  <c r="BU129" i="4"/>
  <c r="BS130" i="4"/>
  <c r="BT130" i="4"/>
  <c r="BU130" i="4"/>
  <c r="BS131" i="4"/>
  <c r="BT131" i="4"/>
  <c r="BU131" i="4"/>
  <c r="BS132" i="4"/>
  <c r="BT132" i="4"/>
  <c r="BU132" i="4"/>
  <c r="BS133" i="4"/>
  <c r="BT133" i="4"/>
  <c r="BU133" i="4"/>
  <c r="BS134" i="4"/>
  <c r="BT134" i="4"/>
  <c r="BU134" i="4"/>
  <c r="BS135" i="4"/>
  <c r="BT135" i="4"/>
  <c r="BU135" i="4"/>
  <c r="BS136" i="4"/>
  <c r="BT136" i="4"/>
  <c r="BU136" i="4"/>
  <c r="BT137" i="4"/>
  <c r="BS138" i="4"/>
  <c r="BT138" i="4"/>
  <c r="BU138" i="4"/>
  <c r="BS139" i="4"/>
  <c r="BT139" i="4"/>
  <c r="BU139" i="4"/>
  <c r="BS140" i="4"/>
  <c r="BT140" i="4"/>
  <c r="BU140" i="4"/>
  <c r="BS141" i="4"/>
  <c r="BT141" i="4"/>
  <c r="BU141" i="4"/>
  <c r="BS142" i="4"/>
  <c r="BT142" i="4"/>
  <c r="BU142" i="4"/>
  <c r="BS143" i="4"/>
  <c r="BT143" i="4"/>
  <c r="BU143" i="4"/>
  <c r="BS144" i="4"/>
  <c r="BT144" i="4"/>
  <c r="BU144" i="4"/>
  <c r="BS145" i="4"/>
  <c r="BT145" i="4"/>
  <c r="BU145" i="4"/>
  <c r="BS146" i="4"/>
  <c r="BT146" i="4"/>
  <c r="BU146" i="4"/>
  <c r="BS147" i="4"/>
  <c r="BT147" i="4"/>
  <c r="BU147" i="4"/>
  <c r="BS148" i="4"/>
  <c r="BT148" i="4"/>
  <c r="BU148" i="4"/>
  <c r="BS149" i="4"/>
  <c r="BT149" i="4"/>
  <c r="BU149" i="4"/>
  <c r="BS150" i="4"/>
  <c r="BT150" i="4"/>
  <c r="BU150" i="4"/>
  <c r="BS151" i="4"/>
  <c r="BT151" i="4"/>
  <c r="BU151" i="4"/>
  <c r="BS152" i="4"/>
  <c r="BT152" i="4"/>
  <c r="BU152" i="4"/>
  <c r="BS153" i="4"/>
  <c r="BT153" i="4"/>
  <c r="BU153" i="4"/>
  <c r="BS154" i="4"/>
  <c r="BT154" i="4"/>
  <c r="BU154" i="4"/>
  <c r="BS155" i="4"/>
  <c r="BT155" i="4"/>
  <c r="BU155" i="4"/>
  <c r="BS156" i="4"/>
  <c r="BT156" i="4"/>
  <c r="BU156" i="4"/>
  <c r="BS157" i="4"/>
  <c r="BT157" i="4"/>
  <c r="BU157" i="4"/>
  <c r="BS158" i="4"/>
  <c r="BT158" i="4"/>
  <c r="BU158" i="4"/>
  <c r="BS159" i="4"/>
  <c r="BT159" i="4"/>
  <c r="BU159" i="4"/>
  <c r="BS160" i="4"/>
  <c r="BT160" i="4"/>
  <c r="BU160" i="4"/>
  <c r="BS161" i="4"/>
  <c r="BT161" i="4"/>
  <c r="BU161" i="4"/>
  <c r="BS162" i="4"/>
  <c r="BT162" i="4"/>
  <c r="BU162" i="4"/>
  <c r="BS163" i="4"/>
  <c r="BT163" i="4"/>
  <c r="BU163" i="4"/>
  <c r="BS164" i="4"/>
  <c r="BT164" i="4"/>
  <c r="BU164" i="4"/>
  <c r="BS165" i="4"/>
  <c r="BT165" i="4"/>
  <c r="BU165" i="4"/>
  <c r="BS166" i="4"/>
  <c r="BT166" i="4"/>
  <c r="BU166" i="4"/>
  <c r="BS167" i="4"/>
  <c r="BT167" i="4"/>
  <c r="BU167" i="4"/>
  <c r="BS168" i="4"/>
  <c r="BT168" i="4"/>
  <c r="BU168" i="4"/>
  <c r="BS171" i="4"/>
  <c r="BT171" i="4"/>
  <c r="BU171" i="4"/>
  <c r="BS172" i="4"/>
  <c r="BT172" i="4"/>
  <c r="BU172" i="4"/>
  <c r="BS173" i="4"/>
  <c r="BT173" i="4"/>
  <c r="BU173" i="4"/>
  <c r="BS174" i="4"/>
  <c r="BT174" i="4"/>
  <c r="BU174" i="4"/>
  <c r="BS175" i="4"/>
  <c r="BT175" i="4"/>
  <c r="BU175" i="4"/>
  <c r="BS176" i="4"/>
  <c r="BT176" i="4"/>
  <c r="BU176" i="4"/>
  <c r="BS179" i="4"/>
  <c r="BT179" i="4"/>
  <c r="BU179" i="4"/>
  <c r="BS180" i="4"/>
  <c r="BT180" i="4"/>
  <c r="BU180" i="4"/>
  <c r="BS181" i="4"/>
  <c r="BT181" i="4"/>
  <c r="BU181" i="4"/>
  <c r="BS182" i="4"/>
  <c r="BT182" i="4"/>
  <c r="BU182" i="4"/>
  <c r="BS183" i="4"/>
  <c r="BT183" i="4"/>
  <c r="BU183" i="4"/>
  <c r="BS184" i="4"/>
  <c r="BT184" i="4"/>
  <c r="BU184" i="4"/>
  <c r="BS185" i="4"/>
  <c r="BT185" i="4"/>
  <c r="BU185" i="4"/>
  <c r="BS188" i="4"/>
  <c r="BT188" i="4"/>
  <c r="BU188" i="4"/>
  <c r="BS189" i="4"/>
  <c r="BT189" i="4"/>
  <c r="BU189" i="4"/>
  <c r="BS190" i="4"/>
  <c r="BT190" i="4"/>
  <c r="BU190" i="4"/>
  <c r="BS191" i="4"/>
  <c r="BT191" i="4"/>
  <c r="BU191" i="4"/>
  <c r="BS192" i="4"/>
  <c r="BT192" i="4"/>
  <c r="BU192" i="4"/>
  <c r="BS193" i="4"/>
  <c r="BT193" i="4"/>
  <c r="BU193" i="4"/>
  <c r="BS194" i="4"/>
  <c r="BT194" i="4"/>
  <c r="BU194" i="4"/>
  <c r="BS195" i="4"/>
  <c r="BT195" i="4"/>
  <c r="BU195" i="4"/>
  <c r="BS196" i="4"/>
  <c r="BT196" i="4"/>
  <c r="BU196" i="4"/>
  <c r="BS197" i="4"/>
  <c r="BT197" i="4"/>
  <c r="BU197" i="4"/>
  <c r="BS198" i="4"/>
  <c r="BT198" i="4"/>
  <c r="BU198" i="4"/>
  <c r="BS199" i="4"/>
  <c r="BT199" i="4"/>
  <c r="BU199" i="4"/>
  <c r="BS200" i="4"/>
  <c r="BT200" i="4"/>
  <c r="BU200" i="4"/>
  <c r="BS201" i="4"/>
  <c r="BT201" i="4"/>
  <c r="BU201" i="4"/>
  <c r="BS202" i="4"/>
  <c r="BT202" i="4"/>
  <c r="BU202" i="4"/>
  <c r="BS203" i="4"/>
  <c r="BT203" i="4"/>
  <c r="BU203" i="4"/>
  <c r="BS204" i="4"/>
  <c r="BT204" i="4"/>
  <c r="BU204" i="4"/>
  <c r="BS205" i="4"/>
  <c r="BT205" i="4"/>
  <c r="BU205" i="4"/>
  <c r="BS206" i="4"/>
  <c r="BT206" i="4"/>
  <c r="BU206" i="4"/>
  <c r="BS207" i="4"/>
  <c r="BT207" i="4"/>
  <c r="BU207" i="4"/>
  <c r="BS208" i="4"/>
  <c r="BT208" i="4"/>
  <c r="BU208" i="4"/>
  <c r="BS209" i="4"/>
  <c r="BT209" i="4"/>
  <c r="BU209" i="4"/>
  <c r="BS210" i="4"/>
  <c r="BT210" i="4"/>
  <c r="BU210" i="4"/>
  <c r="BS211" i="4"/>
  <c r="BT211" i="4"/>
  <c r="BU211" i="4"/>
  <c r="BS212" i="4"/>
  <c r="BT212" i="4"/>
  <c r="BU212" i="4"/>
  <c r="BS213" i="4"/>
  <c r="BT213" i="4"/>
  <c r="BU213" i="4"/>
  <c r="BS214" i="4"/>
  <c r="BT214" i="4"/>
  <c r="BU214" i="4"/>
  <c r="BS215" i="4"/>
  <c r="BT215" i="4"/>
  <c r="BU215" i="4"/>
  <c r="BS216" i="4"/>
  <c r="BT216" i="4"/>
  <c r="BU216" i="4"/>
  <c r="BS217" i="4"/>
  <c r="BT217" i="4"/>
  <c r="BU217" i="4"/>
  <c r="BS218" i="4"/>
  <c r="BT218" i="4"/>
  <c r="BU218" i="4"/>
  <c r="BS219" i="4"/>
  <c r="BT219" i="4"/>
  <c r="BU219" i="4"/>
  <c r="BS220" i="4"/>
  <c r="BT220" i="4"/>
  <c r="BU220" i="4"/>
  <c r="BS221" i="4"/>
  <c r="BT221" i="4"/>
  <c r="BU221" i="4"/>
  <c r="BS222" i="4"/>
  <c r="BT222" i="4"/>
  <c r="BU222" i="4"/>
  <c r="BS223" i="4"/>
  <c r="BT223" i="4"/>
  <c r="BU223" i="4"/>
  <c r="BS224" i="4"/>
  <c r="BT224" i="4"/>
  <c r="BU224" i="4"/>
  <c r="BS225" i="4"/>
  <c r="BT225" i="4"/>
  <c r="BU225" i="4"/>
  <c r="BS226" i="4"/>
  <c r="BT226" i="4"/>
  <c r="BU226" i="4"/>
  <c r="BS227" i="4"/>
  <c r="BT227" i="4"/>
  <c r="BU227" i="4"/>
  <c r="BS228" i="4"/>
  <c r="BT228" i="4"/>
  <c r="BU228" i="4"/>
  <c r="BS229" i="4"/>
  <c r="BT229" i="4"/>
  <c r="BU229" i="4"/>
  <c r="BS230" i="4"/>
  <c r="BT230" i="4"/>
  <c r="BU230" i="4"/>
  <c r="BS231" i="4"/>
  <c r="BT231" i="4"/>
  <c r="BU231" i="4"/>
  <c r="BS232" i="4"/>
  <c r="BT232" i="4"/>
  <c r="BU232" i="4"/>
  <c r="BS233" i="4"/>
  <c r="BT233" i="4"/>
  <c r="BU233" i="4"/>
  <c r="BS234" i="4"/>
  <c r="BT234" i="4"/>
  <c r="BU234" i="4"/>
  <c r="BS235" i="4"/>
  <c r="BT235" i="4"/>
  <c r="BU235" i="4"/>
  <c r="BS236" i="4"/>
  <c r="BT236" i="4"/>
  <c r="BU236" i="4"/>
  <c r="BS237" i="4"/>
  <c r="BT237" i="4"/>
  <c r="BU237" i="4"/>
  <c r="BS238" i="4"/>
  <c r="BT238" i="4"/>
  <c r="BU238" i="4"/>
  <c r="BS239" i="4"/>
  <c r="BT239" i="4"/>
  <c r="BU239" i="4"/>
  <c r="BS240" i="4"/>
  <c r="BT240" i="4"/>
  <c r="BU240" i="4"/>
  <c r="BS241" i="4"/>
  <c r="BT241" i="4"/>
  <c r="BU241" i="4"/>
  <c r="BS242" i="4"/>
  <c r="BT242" i="4"/>
  <c r="BU242" i="4"/>
  <c r="BS243" i="4"/>
  <c r="BT243" i="4"/>
  <c r="BU243" i="4"/>
  <c r="BS244" i="4"/>
  <c r="BT244" i="4"/>
  <c r="BU244" i="4"/>
  <c r="BS245" i="4"/>
  <c r="BT245" i="4"/>
  <c r="BU245" i="4"/>
  <c r="BS246" i="4"/>
  <c r="BT246" i="4"/>
  <c r="BU246" i="4"/>
  <c r="BS247" i="4"/>
  <c r="BT247" i="4"/>
  <c r="BU247" i="4"/>
  <c r="BS248" i="4"/>
  <c r="BT248" i="4"/>
  <c r="BU248" i="4"/>
  <c r="BS250" i="4"/>
  <c r="BT250" i="4"/>
  <c r="BU250" i="4"/>
  <c r="BS251" i="4"/>
  <c r="BT251" i="4"/>
  <c r="BU251" i="4"/>
  <c r="BS252" i="4"/>
  <c r="BT252" i="4"/>
  <c r="BU252" i="4"/>
  <c r="BS253" i="4"/>
  <c r="BT253" i="4"/>
  <c r="BU253" i="4"/>
  <c r="BS254" i="4"/>
  <c r="BT254" i="4"/>
  <c r="BU254" i="4"/>
  <c r="BS255" i="4"/>
  <c r="BT255" i="4"/>
  <c r="BU255" i="4"/>
  <c r="BS256" i="4"/>
  <c r="BT256" i="4"/>
  <c r="BU256" i="4"/>
  <c r="BS257" i="4"/>
  <c r="BT257" i="4"/>
  <c r="BU257" i="4"/>
  <c r="BS258" i="4"/>
  <c r="AA17" i="2" s="1"/>
  <c r="BT258" i="4"/>
  <c r="AB17" i="2" s="1"/>
  <c r="BU258" i="4"/>
  <c r="AC17" i="2" s="1"/>
  <c r="BS259" i="4"/>
  <c r="BT259" i="4"/>
  <c r="BU259" i="4"/>
  <c r="BS260" i="4"/>
  <c r="BT260" i="4"/>
  <c r="BU260" i="4"/>
  <c r="BS261" i="4"/>
  <c r="BT261" i="4"/>
  <c r="BU261" i="4"/>
  <c r="BS262" i="4"/>
  <c r="BT262" i="4"/>
  <c r="BU262" i="4"/>
  <c r="BS263" i="4"/>
  <c r="BT263" i="4"/>
  <c r="BU263" i="4"/>
  <c r="BS264" i="4"/>
  <c r="BT264" i="4"/>
  <c r="BU264" i="4"/>
  <c r="BS265" i="4"/>
  <c r="BT265" i="4"/>
  <c r="BU265" i="4"/>
  <c r="BS266" i="4"/>
  <c r="BT266" i="4"/>
  <c r="BU266" i="4"/>
  <c r="BS267" i="4"/>
  <c r="BT267" i="4"/>
  <c r="BU267" i="4"/>
  <c r="BS268" i="4"/>
  <c r="BT268" i="4"/>
  <c r="BU268" i="4"/>
  <c r="BS269" i="4"/>
  <c r="BT269" i="4"/>
  <c r="BU269" i="4"/>
  <c r="BS270" i="4"/>
  <c r="BT270" i="4"/>
  <c r="BU270" i="4"/>
  <c r="BS271" i="4"/>
  <c r="BT271" i="4"/>
  <c r="BU271" i="4"/>
  <c r="BS272" i="4"/>
  <c r="BT272" i="4"/>
  <c r="BU272" i="4"/>
  <c r="BS273" i="4"/>
  <c r="BT273" i="4"/>
  <c r="BU273" i="4"/>
  <c r="BS274" i="4"/>
  <c r="BT274" i="4"/>
  <c r="BU274" i="4"/>
  <c r="BS275" i="4"/>
  <c r="BT275" i="4"/>
  <c r="BU275" i="4"/>
  <c r="BS276" i="4"/>
  <c r="BT276" i="4"/>
  <c r="BU276" i="4"/>
  <c r="BS277" i="4"/>
  <c r="BT277" i="4"/>
  <c r="BU277" i="4"/>
  <c r="BS278" i="4"/>
  <c r="BT278" i="4"/>
  <c r="BU278" i="4"/>
  <c r="BS279" i="4"/>
  <c r="BT279" i="4"/>
  <c r="BU279" i="4"/>
  <c r="BS280" i="4"/>
  <c r="BT280" i="4"/>
  <c r="BU280" i="4"/>
  <c r="BS281" i="4"/>
  <c r="BT281" i="4"/>
  <c r="BU281" i="4"/>
  <c r="BS282" i="4"/>
  <c r="BT282" i="4"/>
  <c r="BU282" i="4"/>
  <c r="BS283" i="4"/>
  <c r="BT283" i="4"/>
  <c r="BU283" i="4"/>
  <c r="BS284" i="4"/>
  <c r="BT284" i="4"/>
  <c r="BU284" i="4"/>
  <c r="BS285" i="4"/>
  <c r="BT285" i="4"/>
  <c r="BU285" i="4"/>
  <c r="BS286" i="4"/>
  <c r="BT286" i="4"/>
  <c r="BU286" i="4"/>
  <c r="BS287" i="4"/>
  <c r="BT287" i="4"/>
  <c r="BU287" i="4"/>
  <c r="BS288" i="4"/>
  <c r="BT288" i="4"/>
  <c r="BU288" i="4"/>
  <c r="BS289" i="4"/>
  <c r="BT289" i="4"/>
  <c r="BU289" i="4"/>
  <c r="BS290" i="4"/>
  <c r="BT290" i="4"/>
  <c r="BU290" i="4"/>
  <c r="BS291" i="4"/>
  <c r="BT291" i="4"/>
  <c r="BU291" i="4"/>
  <c r="BS292" i="4"/>
  <c r="BT292" i="4"/>
  <c r="BU292" i="4"/>
  <c r="BS293" i="4"/>
  <c r="BT293" i="4"/>
  <c r="BU293" i="4"/>
  <c r="BS294" i="4"/>
  <c r="BT294" i="4"/>
  <c r="BU294" i="4"/>
  <c r="BS295" i="4"/>
  <c r="BT295" i="4"/>
  <c r="BU295" i="4"/>
  <c r="BS296" i="4"/>
  <c r="BT296" i="4"/>
  <c r="BU296" i="4"/>
  <c r="BS297" i="4"/>
  <c r="BT297" i="4"/>
  <c r="BU297" i="4"/>
  <c r="BS298" i="4"/>
  <c r="BT298" i="4"/>
  <c r="BU298" i="4"/>
  <c r="BS299" i="4"/>
  <c r="BT299" i="4"/>
  <c r="BU299" i="4"/>
  <c r="BS300" i="4"/>
  <c r="BT300" i="4"/>
  <c r="BU300" i="4"/>
  <c r="BS301" i="4"/>
  <c r="BT301" i="4"/>
  <c r="BU301" i="4"/>
  <c r="BS302" i="4"/>
  <c r="BT302" i="4"/>
  <c r="BU302" i="4"/>
  <c r="BS303" i="4"/>
  <c r="BT303" i="4"/>
  <c r="BU303" i="4"/>
  <c r="BS304" i="4"/>
  <c r="BT304" i="4"/>
  <c r="BU304" i="4"/>
  <c r="BS305" i="4"/>
  <c r="BT305" i="4"/>
  <c r="BU305" i="4"/>
  <c r="BS306" i="4"/>
  <c r="BT306" i="4"/>
  <c r="BU306" i="4"/>
  <c r="BS307" i="4"/>
  <c r="BT307" i="4"/>
  <c r="BU307" i="4"/>
  <c r="BU8" i="4"/>
  <c r="BT8" i="4"/>
  <c r="BS8" i="4"/>
  <c r="BL9" i="4"/>
  <c r="BL10" i="4"/>
  <c r="BL11" i="4"/>
  <c r="BL12" i="4"/>
  <c r="BL13" i="4"/>
  <c r="BL14" i="4"/>
  <c r="BL15" i="4"/>
  <c r="BL16" i="4"/>
  <c r="BL17" i="4"/>
  <c r="BL18" i="4"/>
  <c r="BL19" i="4"/>
  <c r="BL20" i="4"/>
  <c r="BL21" i="4"/>
  <c r="BL22" i="4"/>
  <c r="BL23" i="4"/>
  <c r="BL24" i="4"/>
  <c r="BL25" i="4"/>
  <c r="BL26" i="4"/>
  <c r="BL27" i="4"/>
  <c r="BL28" i="4"/>
  <c r="BL29" i="4"/>
  <c r="BL30" i="4"/>
  <c r="BL31" i="4"/>
  <c r="BL32" i="4"/>
  <c r="BL33" i="4"/>
  <c r="BL34" i="4"/>
  <c r="BL35" i="4"/>
  <c r="BL36" i="4"/>
  <c r="BL37" i="4"/>
  <c r="BL38" i="4"/>
  <c r="BL39" i="4"/>
  <c r="BL40" i="4"/>
  <c r="BL41" i="4"/>
  <c r="BL42" i="4"/>
  <c r="BL43" i="4"/>
  <c r="BL44" i="4"/>
  <c r="BL45" i="4"/>
  <c r="BL46" i="4"/>
  <c r="BL47" i="4"/>
  <c r="BL48" i="4"/>
  <c r="BL49" i="4"/>
  <c r="BL50" i="4"/>
  <c r="BL51" i="4"/>
  <c r="BL52" i="4"/>
  <c r="BL53" i="4"/>
  <c r="BL54" i="4"/>
  <c r="BL55" i="4"/>
  <c r="BL56" i="4"/>
  <c r="BL57" i="4"/>
  <c r="BL58" i="4"/>
  <c r="BL59" i="4"/>
  <c r="BL60" i="4"/>
  <c r="BL61" i="4"/>
  <c r="BL62" i="4"/>
  <c r="BL63" i="4"/>
  <c r="BL64" i="4"/>
  <c r="BL65" i="4"/>
  <c r="BL66" i="4"/>
  <c r="BL67" i="4"/>
  <c r="BL68" i="4"/>
  <c r="BL69" i="4"/>
  <c r="BL70" i="4"/>
  <c r="BL71" i="4"/>
  <c r="BL72" i="4"/>
  <c r="BL73" i="4"/>
  <c r="BL74" i="4"/>
  <c r="BL75" i="4"/>
  <c r="BL76" i="4"/>
  <c r="BL77" i="4"/>
  <c r="BL78" i="4"/>
  <c r="BL79" i="4"/>
  <c r="BL80" i="4"/>
  <c r="BL81" i="4"/>
  <c r="BL82" i="4"/>
  <c r="BL83" i="4"/>
  <c r="BL84" i="4"/>
  <c r="BL85" i="4"/>
  <c r="BL86" i="4"/>
  <c r="BL87" i="4"/>
  <c r="BL88" i="4"/>
  <c r="BL89" i="4"/>
  <c r="BL90" i="4"/>
  <c r="BL91" i="4"/>
  <c r="BL92" i="4"/>
  <c r="BL93" i="4"/>
  <c r="BL94" i="4"/>
  <c r="BL95" i="4"/>
  <c r="BL96" i="4"/>
  <c r="BL97" i="4"/>
  <c r="BL98" i="4"/>
  <c r="BL99" i="4"/>
  <c r="BL100" i="4"/>
  <c r="BL101" i="4"/>
  <c r="BL102" i="4"/>
  <c r="BL103" i="4"/>
  <c r="BL104" i="4"/>
  <c r="BL105" i="4"/>
  <c r="BL106" i="4"/>
  <c r="BL107" i="4"/>
  <c r="BL108" i="4"/>
  <c r="BL109" i="4"/>
  <c r="BL110" i="4"/>
  <c r="BL111" i="4"/>
  <c r="BL112" i="4"/>
  <c r="BL113" i="4"/>
  <c r="BL114" i="4"/>
  <c r="BL115" i="4"/>
  <c r="BL116" i="4"/>
  <c r="BL117" i="4"/>
  <c r="BL118" i="4"/>
  <c r="BL119" i="4"/>
  <c r="BL120" i="4"/>
  <c r="BL121" i="4"/>
  <c r="BL122" i="4"/>
  <c r="BL123" i="4"/>
  <c r="BL124" i="4"/>
  <c r="BL125" i="4"/>
  <c r="BL126" i="4"/>
  <c r="BL127" i="4"/>
  <c r="BL128" i="4"/>
  <c r="BL129" i="4"/>
  <c r="BL130" i="4"/>
  <c r="BL131" i="4"/>
  <c r="BL132" i="4"/>
  <c r="BL133" i="4"/>
  <c r="BL134" i="4"/>
  <c r="BL135" i="4"/>
  <c r="BL136" i="4"/>
  <c r="BL137" i="4"/>
  <c r="BL138" i="4"/>
  <c r="BL139" i="4"/>
  <c r="BL140" i="4"/>
  <c r="BL141" i="4"/>
  <c r="BL142" i="4"/>
  <c r="BL143" i="4"/>
  <c r="BL144" i="4"/>
  <c r="BL145" i="4"/>
  <c r="BL146" i="4"/>
  <c r="BL147" i="4"/>
  <c r="BL148" i="4"/>
  <c r="BL149" i="4"/>
  <c r="BL150" i="4"/>
  <c r="BL151" i="4"/>
  <c r="BL152" i="4"/>
  <c r="BL153" i="4"/>
  <c r="BL154" i="4"/>
  <c r="BL155" i="4"/>
  <c r="BL156" i="4"/>
  <c r="BL157" i="4"/>
  <c r="BL158" i="4"/>
  <c r="BL159" i="4"/>
  <c r="BL160" i="4"/>
  <c r="BL161" i="4"/>
  <c r="BL162" i="4"/>
  <c r="BL163" i="4"/>
  <c r="BL164" i="4"/>
  <c r="BL165" i="4"/>
  <c r="BL166" i="4"/>
  <c r="BL167" i="4"/>
  <c r="BL168" i="4"/>
  <c r="BL169" i="4"/>
  <c r="BL170" i="4"/>
  <c r="BL171" i="4"/>
  <c r="BL172" i="4"/>
  <c r="BL173" i="4"/>
  <c r="BL174" i="4"/>
  <c r="BL175" i="4"/>
  <c r="BL176" i="4"/>
  <c r="BL177" i="4"/>
  <c r="BL178" i="4"/>
  <c r="BL179" i="4"/>
  <c r="BL180" i="4"/>
  <c r="BL181" i="4"/>
  <c r="BL182" i="4"/>
  <c r="BL183" i="4"/>
  <c r="BL184" i="4"/>
  <c r="BL185" i="4"/>
  <c r="BL186" i="4"/>
  <c r="BL187" i="4"/>
  <c r="BL188" i="4"/>
  <c r="BL189" i="4"/>
  <c r="BL190" i="4"/>
  <c r="BL191" i="4"/>
  <c r="BL192" i="4"/>
  <c r="BL193" i="4"/>
  <c r="BL194" i="4"/>
  <c r="BL195" i="4"/>
  <c r="BL196" i="4"/>
  <c r="BL197" i="4"/>
  <c r="BL198" i="4"/>
  <c r="BL199" i="4"/>
  <c r="BL200" i="4"/>
  <c r="BL201" i="4"/>
  <c r="BL202" i="4"/>
  <c r="BL203" i="4"/>
  <c r="BL204" i="4"/>
  <c r="BL205" i="4"/>
  <c r="BL206" i="4"/>
  <c r="BL207" i="4"/>
  <c r="BL208" i="4"/>
  <c r="BL209" i="4"/>
  <c r="BL210" i="4"/>
  <c r="BL211" i="4"/>
  <c r="BL212" i="4"/>
  <c r="BL213" i="4"/>
  <c r="BL214" i="4"/>
  <c r="BL215" i="4"/>
  <c r="BL216" i="4"/>
  <c r="BL217" i="4"/>
  <c r="BL218" i="4"/>
  <c r="BL219" i="4"/>
  <c r="BL220" i="4"/>
  <c r="BL221" i="4"/>
  <c r="BL222" i="4"/>
  <c r="BL223" i="4"/>
  <c r="BL224" i="4"/>
  <c r="BL225" i="4"/>
  <c r="BL226" i="4"/>
  <c r="BL227" i="4"/>
  <c r="BL228" i="4"/>
  <c r="BL229" i="4"/>
  <c r="BL230" i="4"/>
  <c r="BL231" i="4"/>
  <c r="BL232" i="4"/>
  <c r="BL233" i="4"/>
  <c r="BL234" i="4"/>
  <c r="BL235" i="4"/>
  <c r="BL236" i="4"/>
  <c r="BL237" i="4"/>
  <c r="BL238" i="4"/>
  <c r="BL239" i="4"/>
  <c r="BL240" i="4"/>
  <c r="BL241" i="4"/>
  <c r="BL242" i="4"/>
  <c r="BL243" i="4"/>
  <c r="BL244" i="4"/>
  <c r="BL245" i="4"/>
  <c r="BL246" i="4"/>
  <c r="BL247" i="4"/>
  <c r="BL248" i="4"/>
  <c r="BL249" i="4"/>
  <c r="BL250" i="4"/>
  <c r="BL251" i="4"/>
  <c r="BL252" i="4"/>
  <c r="BL253" i="4"/>
  <c r="BL254" i="4"/>
  <c r="BL255" i="4"/>
  <c r="BL256" i="4"/>
  <c r="BL257" i="4"/>
  <c r="BL258" i="4"/>
  <c r="X17" i="2" s="1"/>
  <c r="BL259" i="4"/>
  <c r="BL260" i="4"/>
  <c r="BL261" i="4"/>
  <c r="BL262" i="4"/>
  <c r="BL263" i="4"/>
  <c r="BL264" i="4"/>
  <c r="BL265" i="4"/>
  <c r="BL266" i="4"/>
  <c r="BL267" i="4"/>
  <c r="BL268" i="4"/>
  <c r="BL269" i="4"/>
  <c r="BL270" i="4"/>
  <c r="BL271" i="4"/>
  <c r="BL272" i="4"/>
  <c r="BL273" i="4"/>
  <c r="BL274" i="4"/>
  <c r="BL275" i="4"/>
  <c r="BL276" i="4"/>
  <c r="BL277" i="4"/>
  <c r="BL278" i="4"/>
  <c r="BL279" i="4"/>
  <c r="BL280" i="4"/>
  <c r="BL281" i="4"/>
  <c r="BL282" i="4"/>
  <c r="BL283" i="4"/>
  <c r="BL284" i="4"/>
  <c r="BL285" i="4"/>
  <c r="BL286" i="4"/>
  <c r="BL287" i="4"/>
  <c r="BL288" i="4"/>
  <c r="BL289" i="4"/>
  <c r="BL290" i="4"/>
  <c r="BL291" i="4"/>
  <c r="BL292" i="4"/>
  <c r="BL293" i="4"/>
  <c r="BL294" i="4"/>
  <c r="BL295" i="4"/>
  <c r="BL296" i="4"/>
  <c r="BL297" i="4"/>
  <c r="BL298" i="4"/>
  <c r="BL299" i="4"/>
  <c r="BL300" i="4"/>
  <c r="BL301" i="4"/>
  <c r="BL302" i="4"/>
  <c r="BL303" i="4"/>
  <c r="BL304" i="4"/>
  <c r="BL305" i="4"/>
  <c r="BL306" i="4"/>
  <c r="BL307" i="4"/>
  <c r="BK9" i="4"/>
  <c r="BK10" i="4"/>
  <c r="BK11" i="4"/>
  <c r="BK12" i="4"/>
  <c r="BK13" i="4"/>
  <c r="BK14" i="4"/>
  <c r="BK15" i="4"/>
  <c r="BK16" i="4"/>
  <c r="BK17" i="4"/>
  <c r="BK18" i="4"/>
  <c r="BK19" i="4"/>
  <c r="BK20" i="4"/>
  <c r="BK21" i="4"/>
  <c r="BK22" i="4"/>
  <c r="BK23" i="4"/>
  <c r="BK24" i="4"/>
  <c r="BK25" i="4"/>
  <c r="BK26" i="4"/>
  <c r="BK27" i="4"/>
  <c r="BK28" i="4"/>
  <c r="BK29" i="4"/>
  <c r="BK30" i="4"/>
  <c r="BK31" i="4"/>
  <c r="BK32" i="4"/>
  <c r="BK33" i="4"/>
  <c r="BK34" i="4"/>
  <c r="BK35" i="4"/>
  <c r="BK36" i="4"/>
  <c r="BK37" i="4"/>
  <c r="BK38" i="4"/>
  <c r="BK39" i="4"/>
  <c r="BK40" i="4"/>
  <c r="BK41" i="4"/>
  <c r="BK42" i="4"/>
  <c r="BK43" i="4"/>
  <c r="BK44" i="4"/>
  <c r="BK45" i="4"/>
  <c r="BK46" i="4"/>
  <c r="BK47" i="4"/>
  <c r="BK48" i="4"/>
  <c r="BK49" i="4"/>
  <c r="BK50" i="4"/>
  <c r="BK51" i="4"/>
  <c r="BK52" i="4"/>
  <c r="BK53" i="4"/>
  <c r="BK54" i="4"/>
  <c r="BK55" i="4"/>
  <c r="BK56" i="4"/>
  <c r="BK57" i="4"/>
  <c r="BK58" i="4"/>
  <c r="BK59" i="4"/>
  <c r="BK60" i="4"/>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48" i="4"/>
  <c r="BK149" i="4"/>
  <c r="BK150" i="4"/>
  <c r="BK151" i="4"/>
  <c r="BK152" i="4"/>
  <c r="BK153" i="4"/>
  <c r="BK154" i="4"/>
  <c r="BK155" i="4"/>
  <c r="BK156" i="4"/>
  <c r="BK157" i="4"/>
  <c r="BK158"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K243" i="4"/>
  <c r="BK244" i="4"/>
  <c r="BK245" i="4"/>
  <c r="BK246" i="4"/>
  <c r="BK247" i="4"/>
  <c r="BK248" i="4"/>
  <c r="BK249" i="4"/>
  <c r="BK250" i="4"/>
  <c r="BK251" i="4"/>
  <c r="BK252" i="4"/>
  <c r="BK253" i="4"/>
  <c r="BK254" i="4"/>
  <c r="BK255" i="4"/>
  <c r="BK256" i="4"/>
  <c r="BK257" i="4"/>
  <c r="BK258" i="4"/>
  <c r="W17" i="2" s="1"/>
  <c r="BK259" i="4"/>
  <c r="BK260" i="4"/>
  <c r="BK261" i="4"/>
  <c r="BK262" i="4"/>
  <c r="BK263" i="4"/>
  <c r="BK264" i="4"/>
  <c r="BK265" i="4"/>
  <c r="BK266" i="4"/>
  <c r="BK267" i="4"/>
  <c r="BK268" i="4"/>
  <c r="BK269" i="4"/>
  <c r="BK270" i="4"/>
  <c r="BK271" i="4"/>
  <c r="BK272" i="4"/>
  <c r="BK273" i="4"/>
  <c r="BK274" i="4"/>
  <c r="BK275" i="4"/>
  <c r="BK276" i="4"/>
  <c r="BK277" i="4"/>
  <c r="BK278" i="4"/>
  <c r="BK279" i="4"/>
  <c r="BK280" i="4"/>
  <c r="BK281" i="4"/>
  <c r="BK282" i="4"/>
  <c r="BK283" i="4"/>
  <c r="BK284" i="4"/>
  <c r="BK285" i="4"/>
  <c r="BK286" i="4"/>
  <c r="BK287" i="4"/>
  <c r="BK288" i="4"/>
  <c r="BK289" i="4"/>
  <c r="BK290" i="4"/>
  <c r="BK291" i="4"/>
  <c r="BK292" i="4"/>
  <c r="BK293" i="4"/>
  <c r="BK294" i="4"/>
  <c r="BK295" i="4"/>
  <c r="BK296" i="4"/>
  <c r="BK297" i="4"/>
  <c r="BK298" i="4"/>
  <c r="BK299" i="4"/>
  <c r="BK300" i="4"/>
  <c r="BK301" i="4"/>
  <c r="BK302" i="4"/>
  <c r="BK303" i="4"/>
  <c r="BK304" i="4"/>
  <c r="BK305" i="4"/>
  <c r="BK306" i="4"/>
  <c r="BK307" i="4"/>
  <c r="BJ9" i="4"/>
  <c r="BJ10" i="4"/>
  <c r="BJ11" i="4"/>
  <c r="BJ12" i="4"/>
  <c r="BJ13" i="4"/>
  <c r="BJ14" i="4"/>
  <c r="BJ15" i="4"/>
  <c r="BJ16" i="4"/>
  <c r="BJ17" i="4"/>
  <c r="BJ18" i="4"/>
  <c r="BJ19" i="4"/>
  <c r="BJ20" i="4"/>
  <c r="BJ21" i="4"/>
  <c r="BJ22" i="4"/>
  <c r="BJ23" i="4"/>
  <c r="BJ24" i="4"/>
  <c r="BJ25" i="4"/>
  <c r="BJ26" i="4"/>
  <c r="BJ27" i="4"/>
  <c r="BJ28" i="4"/>
  <c r="BJ29" i="4"/>
  <c r="BJ30" i="4"/>
  <c r="BJ31" i="4"/>
  <c r="BJ32" i="4"/>
  <c r="BJ33" i="4"/>
  <c r="BJ34" i="4"/>
  <c r="BJ35" i="4"/>
  <c r="BJ36" i="4"/>
  <c r="BJ37" i="4"/>
  <c r="BJ38" i="4"/>
  <c r="BJ39" i="4"/>
  <c r="BJ40" i="4"/>
  <c r="BJ41" i="4"/>
  <c r="BJ42" i="4"/>
  <c r="BJ43" i="4"/>
  <c r="BJ44" i="4"/>
  <c r="BJ45" i="4"/>
  <c r="BJ46" i="4"/>
  <c r="BJ47" i="4"/>
  <c r="BJ48" i="4"/>
  <c r="BJ49" i="4"/>
  <c r="BJ50" i="4"/>
  <c r="BJ51" i="4"/>
  <c r="BJ52" i="4"/>
  <c r="BJ53" i="4"/>
  <c r="BJ54" i="4"/>
  <c r="BJ55" i="4"/>
  <c r="BJ56" i="4"/>
  <c r="BJ57" i="4"/>
  <c r="BJ58" i="4"/>
  <c r="BJ59" i="4"/>
  <c r="BJ60" i="4"/>
  <c r="BJ61" i="4"/>
  <c r="BJ62" i="4"/>
  <c r="BJ63" i="4"/>
  <c r="BJ64" i="4"/>
  <c r="BJ65" i="4"/>
  <c r="BJ66" i="4"/>
  <c r="BJ67" i="4"/>
  <c r="BJ68" i="4"/>
  <c r="BJ69" i="4"/>
  <c r="BJ70" i="4"/>
  <c r="BJ71" i="4"/>
  <c r="BJ72" i="4"/>
  <c r="BJ73" i="4"/>
  <c r="BJ74" i="4"/>
  <c r="BJ75" i="4"/>
  <c r="BJ76" i="4"/>
  <c r="BJ77" i="4"/>
  <c r="BJ78" i="4"/>
  <c r="BJ79" i="4"/>
  <c r="BJ80" i="4"/>
  <c r="BJ81" i="4"/>
  <c r="BJ82" i="4"/>
  <c r="BJ83" i="4"/>
  <c r="BJ84" i="4"/>
  <c r="BJ85" i="4"/>
  <c r="BJ86" i="4"/>
  <c r="BJ87" i="4"/>
  <c r="BJ88" i="4"/>
  <c r="BJ89" i="4"/>
  <c r="BJ90" i="4"/>
  <c r="BJ91" i="4"/>
  <c r="BJ92" i="4"/>
  <c r="BJ93" i="4"/>
  <c r="BJ94" i="4"/>
  <c r="BJ95" i="4"/>
  <c r="BJ96" i="4"/>
  <c r="BJ97" i="4"/>
  <c r="BJ98" i="4"/>
  <c r="BJ99" i="4"/>
  <c r="BJ100" i="4"/>
  <c r="BJ101" i="4"/>
  <c r="BJ102" i="4"/>
  <c r="BJ103" i="4"/>
  <c r="BJ104" i="4"/>
  <c r="BJ105" i="4"/>
  <c r="BJ106" i="4"/>
  <c r="BJ107" i="4"/>
  <c r="BJ108" i="4"/>
  <c r="BJ109" i="4"/>
  <c r="BJ110" i="4"/>
  <c r="BJ111" i="4"/>
  <c r="BJ112" i="4"/>
  <c r="BJ113" i="4"/>
  <c r="BJ114" i="4"/>
  <c r="BJ115" i="4"/>
  <c r="BJ116" i="4"/>
  <c r="BJ117" i="4"/>
  <c r="BJ118" i="4"/>
  <c r="BJ119" i="4"/>
  <c r="BJ120" i="4"/>
  <c r="BJ121" i="4"/>
  <c r="BJ122" i="4"/>
  <c r="BJ123" i="4"/>
  <c r="BJ124" i="4"/>
  <c r="BJ125" i="4"/>
  <c r="BJ126" i="4"/>
  <c r="BJ127" i="4"/>
  <c r="BJ128" i="4"/>
  <c r="BJ129" i="4"/>
  <c r="BJ130" i="4"/>
  <c r="BJ131" i="4"/>
  <c r="BJ132" i="4"/>
  <c r="BJ133" i="4"/>
  <c r="BJ134" i="4"/>
  <c r="BJ135" i="4"/>
  <c r="BJ136" i="4"/>
  <c r="BJ137" i="4"/>
  <c r="BJ138" i="4"/>
  <c r="BJ139" i="4"/>
  <c r="BJ140" i="4"/>
  <c r="BJ141" i="4"/>
  <c r="BJ142" i="4"/>
  <c r="BJ143" i="4"/>
  <c r="BJ144" i="4"/>
  <c r="BJ145" i="4"/>
  <c r="BJ146" i="4"/>
  <c r="BJ147" i="4"/>
  <c r="BJ148" i="4"/>
  <c r="BJ149" i="4"/>
  <c r="BJ150" i="4"/>
  <c r="BJ151" i="4"/>
  <c r="BJ152" i="4"/>
  <c r="BJ153" i="4"/>
  <c r="BJ154" i="4"/>
  <c r="BJ155" i="4"/>
  <c r="BJ156" i="4"/>
  <c r="BJ157" i="4"/>
  <c r="BJ158" i="4"/>
  <c r="BJ159" i="4"/>
  <c r="BJ160" i="4"/>
  <c r="BJ161" i="4"/>
  <c r="BJ162" i="4"/>
  <c r="BJ163" i="4"/>
  <c r="BJ164" i="4"/>
  <c r="BJ165" i="4"/>
  <c r="BJ166" i="4"/>
  <c r="BJ167" i="4"/>
  <c r="BJ168" i="4"/>
  <c r="BJ169" i="4"/>
  <c r="BJ170" i="4"/>
  <c r="BJ171" i="4"/>
  <c r="BJ172" i="4"/>
  <c r="BJ173" i="4"/>
  <c r="BJ174" i="4"/>
  <c r="BJ175" i="4"/>
  <c r="BJ176" i="4"/>
  <c r="BJ177" i="4"/>
  <c r="BJ178" i="4"/>
  <c r="BJ179" i="4"/>
  <c r="BJ180" i="4"/>
  <c r="BJ181" i="4"/>
  <c r="BJ182" i="4"/>
  <c r="BJ183" i="4"/>
  <c r="BJ184" i="4"/>
  <c r="BJ185" i="4"/>
  <c r="BJ186" i="4"/>
  <c r="BJ187" i="4"/>
  <c r="BJ188" i="4"/>
  <c r="BJ189" i="4"/>
  <c r="BJ190" i="4"/>
  <c r="BJ191" i="4"/>
  <c r="BJ192" i="4"/>
  <c r="BJ193" i="4"/>
  <c r="BJ194" i="4"/>
  <c r="BJ195" i="4"/>
  <c r="BJ196" i="4"/>
  <c r="BJ197" i="4"/>
  <c r="BJ198" i="4"/>
  <c r="BJ199" i="4"/>
  <c r="BJ200" i="4"/>
  <c r="BJ201" i="4"/>
  <c r="BJ202" i="4"/>
  <c r="BJ203" i="4"/>
  <c r="BJ204" i="4"/>
  <c r="BJ205" i="4"/>
  <c r="BJ206" i="4"/>
  <c r="BJ207" i="4"/>
  <c r="BJ208" i="4"/>
  <c r="BJ209" i="4"/>
  <c r="BJ210" i="4"/>
  <c r="BJ211" i="4"/>
  <c r="BJ212" i="4"/>
  <c r="BJ213" i="4"/>
  <c r="BJ214" i="4"/>
  <c r="BJ215" i="4"/>
  <c r="BJ216" i="4"/>
  <c r="BJ217" i="4"/>
  <c r="BJ218" i="4"/>
  <c r="BJ219" i="4"/>
  <c r="BJ220" i="4"/>
  <c r="BJ221" i="4"/>
  <c r="BJ222" i="4"/>
  <c r="BJ223" i="4"/>
  <c r="BJ224" i="4"/>
  <c r="BJ225" i="4"/>
  <c r="BJ226" i="4"/>
  <c r="BJ227" i="4"/>
  <c r="BJ228" i="4"/>
  <c r="BJ229" i="4"/>
  <c r="BJ230" i="4"/>
  <c r="BJ231" i="4"/>
  <c r="BJ232" i="4"/>
  <c r="BJ233" i="4"/>
  <c r="BJ234" i="4"/>
  <c r="BJ235" i="4"/>
  <c r="BJ236" i="4"/>
  <c r="BJ237" i="4"/>
  <c r="BJ238" i="4"/>
  <c r="BJ239" i="4"/>
  <c r="BJ240" i="4"/>
  <c r="BJ241" i="4"/>
  <c r="BJ242" i="4"/>
  <c r="BJ243" i="4"/>
  <c r="BJ244" i="4"/>
  <c r="BJ245" i="4"/>
  <c r="BJ246" i="4"/>
  <c r="BJ247" i="4"/>
  <c r="BJ248" i="4"/>
  <c r="BJ249" i="4"/>
  <c r="BJ250" i="4"/>
  <c r="BJ251" i="4"/>
  <c r="BJ252" i="4"/>
  <c r="BJ253" i="4"/>
  <c r="BJ254" i="4"/>
  <c r="BJ255" i="4"/>
  <c r="BJ256" i="4"/>
  <c r="BJ257" i="4"/>
  <c r="BJ258" i="4"/>
  <c r="V17" i="2" s="1"/>
  <c r="BJ259" i="4"/>
  <c r="BJ260" i="4"/>
  <c r="BJ261" i="4"/>
  <c r="BJ262" i="4"/>
  <c r="BJ263" i="4"/>
  <c r="BJ264" i="4"/>
  <c r="BJ265" i="4"/>
  <c r="BJ266" i="4"/>
  <c r="BJ267" i="4"/>
  <c r="BJ268" i="4"/>
  <c r="BJ269" i="4"/>
  <c r="BJ270" i="4"/>
  <c r="BJ271" i="4"/>
  <c r="BJ272" i="4"/>
  <c r="BJ273" i="4"/>
  <c r="BJ274" i="4"/>
  <c r="BJ275" i="4"/>
  <c r="BJ276" i="4"/>
  <c r="BJ277" i="4"/>
  <c r="BJ278" i="4"/>
  <c r="BJ279" i="4"/>
  <c r="BJ280" i="4"/>
  <c r="BJ281" i="4"/>
  <c r="BJ282" i="4"/>
  <c r="BJ283" i="4"/>
  <c r="BJ284" i="4"/>
  <c r="BJ285" i="4"/>
  <c r="BJ286" i="4"/>
  <c r="BJ287" i="4"/>
  <c r="BJ288" i="4"/>
  <c r="BJ289" i="4"/>
  <c r="BJ290" i="4"/>
  <c r="BJ291" i="4"/>
  <c r="BJ292" i="4"/>
  <c r="BJ293" i="4"/>
  <c r="BJ294" i="4"/>
  <c r="BJ295" i="4"/>
  <c r="BJ296" i="4"/>
  <c r="BJ297" i="4"/>
  <c r="BJ298" i="4"/>
  <c r="BJ299" i="4"/>
  <c r="BJ300" i="4"/>
  <c r="BJ301" i="4"/>
  <c r="BJ302" i="4"/>
  <c r="BJ303" i="4"/>
  <c r="BJ304" i="4"/>
  <c r="BJ305" i="4"/>
  <c r="BJ306" i="4"/>
  <c r="BJ307" i="4"/>
  <c r="BI9" i="4"/>
  <c r="BI10" i="4"/>
  <c r="BI11" i="4"/>
  <c r="BI12" i="4"/>
  <c r="BI13" i="4"/>
  <c r="BI14" i="4"/>
  <c r="BI15" i="4"/>
  <c r="BI16" i="4"/>
  <c r="BI17" i="4"/>
  <c r="BI18" i="4"/>
  <c r="BI19" i="4"/>
  <c r="BI20" i="4"/>
  <c r="BI21" i="4"/>
  <c r="BI22" i="4"/>
  <c r="BI23" i="4"/>
  <c r="BI24" i="4"/>
  <c r="BI25" i="4"/>
  <c r="BI26" i="4"/>
  <c r="BI27" i="4"/>
  <c r="BI28" i="4"/>
  <c r="BI29" i="4"/>
  <c r="BI30" i="4"/>
  <c r="BI31" i="4"/>
  <c r="BI32" i="4"/>
  <c r="BI33" i="4"/>
  <c r="BI34" i="4"/>
  <c r="BI35" i="4"/>
  <c r="BI36" i="4"/>
  <c r="BI37" i="4"/>
  <c r="BI38" i="4"/>
  <c r="BI39" i="4"/>
  <c r="BI40" i="4"/>
  <c r="BI41" i="4"/>
  <c r="BI42" i="4"/>
  <c r="BI43" i="4"/>
  <c r="BI44" i="4"/>
  <c r="BI45" i="4"/>
  <c r="BI46" i="4"/>
  <c r="BI47" i="4"/>
  <c r="BI48" i="4"/>
  <c r="BI49" i="4"/>
  <c r="BI50" i="4"/>
  <c r="BI51" i="4"/>
  <c r="BI52" i="4"/>
  <c r="BI53" i="4"/>
  <c r="BI54" i="4"/>
  <c r="BI55" i="4"/>
  <c r="BI56" i="4"/>
  <c r="BI57" i="4"/>
  <c r="BI58" i="4"/>
  <c r="BI59" i="4"/>
  <c r="BI60" i="4"/>
  <c r="BI61" i="4"/>
  <c r="BI62" i="4"/>
  <c r="BI63" i="4"/>
  <c r="BI64" i="4"/>
  <c r="BI65" i="4"/>
  <c r="BI66" i="4"/>
  <c r="BI67" i="4"/>
  <c r="BI68" i="4"/>
  <c r="BI69" i="4"/>
  <c r="BI70" i="4"/>
  <c r="BI71" i="4"/>
  <c r="BI72" i="4"/>
  <c r="BI73" i="4"/>
  <c r="BI74" i="4"/>
  <c r="BI75" i="4"/>
  <c r="BI76" i="4"/>
  <c r="BI77" i="4"/>
  <c r="BI78" i="4"/>
  <c r="BI79" i="4"/>
  <c r="BI80" i="4"/>
  <c r="BI81" i="4"/>
  <c r="BI82" i="4"/>
  <c r="BI83" i="4"/>
  <c r="BI84" i="4"/>
  <c r="BI85" i="4"/>
  <c r="BI86" i="4"/>
  <c r="BI87" i="4"/>
  <c r="BI88" i="4"/>
  <c r="BI89" i="4"/>
  <c r="BI90" i="4"/>
  <c r="BI91" i="4"/>
  <c r="BI92" i="4"/>
  <c r="BI93" i="4"/>
  <c r="BI94" i="4"/>
  <c r="BI95" i="4"/>
  <c r="BI96" i="4"/>
  <c r="BI97" i="4"/>
  <c r="BI98" i="4"/>
  <c r="BI99" i="4"/>
  <c r="BI100" i="4"/>
  <c r="BI101" i="4"/>
  <c r="BI102" i="4"/>
  <c r="BI103" i="4"/>
  <c r="BI104" i="4"/>
  <c r="BI105" i="4"/>
  <c r="BI106" i="4"/>
  <c r="BI107" i="4"/>
  <c r="BI108" i="4"/>
  <c r="BI109" i="4"/>
  <c r="BI110" i="4"/>
  <c r="BI111" i="4"/>
  <c r="BI112" i="4"/>
  <c r="BI113" i="4"/>
  <c r="BI114" i="4"/>
  <c r="BI115" i="4"/>
  <c r="BI116" i="4"/>
  <c r="BI117" i="4"/>
  <c r="BI118" i="4"/>
  <c r="BI119" i="4"/>
  <c r="BI120" i="4"/>
  <c r="BI121" i="4"/>
  <c r="BI122" i="4"/>
  <c r="BI123" i="4"/>
  <c r="BI124" i="4"/>
  <c r="BI125" i="4"/>
  <c r="BI126" i="4"/>
  <c r="BI127" i="4"/>
  <c r="BI128" i="4"/>
  <c r="BI129" i="4"/>
  <c r="BI130" i="4"/>
  <c r="BI131" i="4"/>
  <c r="BI132" i="4"/>
  <c r="BI133" i="4"/>
  <c r="BI134" i="4"/>
  <c r="BI135" i="4"/>
  <c r="BI136" i="4"/>
  <c r="BI137" i="4"/>
  <c r="BI138" i="4"/>
  <c r="BI139" i="4"/>
  <c r="BI140" i="4"/>
  <c r="BI141" i="4"/>
  <c r="BI142" i="4"/>
  <c r="BI143" i="4"/>
  <c r="BI144" i="4"/>
  <c r="BI145" i="4"/>
  <c r="BI146" i="4"/>
  <c r="BI147" i="4"/>
  <c r="BI148" i="4"/>
  <c r="BI149" i="4"/>
  <c r="BI150" i="4"/>
  <c r="BI151" i="4"/>
  <c r="BI152" i="4"/>
  <c r="BI153" i="4"/>
  <c r="BI154" i="4"/>
  <c r="BI155" i="4"/>
  <c r="BI156" i="4"/>
  <c r="BI157" i="4"/>
  <c r="BI158" i="4"/>
  <c r="BI159" i="4"/>
  <c r="BI160" i="4"/>
  <c r="BI161" i="4"/>
  <c r="BI162" i="4"/>
  <c r="BI163" i="4"/>
  <c r="BI164" i="4"/>
  <c r="BI165" i="4"/>
  <c r="BI166" i="4"/>
  <c r="BI167" i="4"/>
  <c r="BI168" i="4"/>
  <c r="BI169" i="4"/>
  <c r="BI170" i="4"/>
  <c r="BI171" i="4"/>
  <c r="BI172" i="4"/>
  <c r="BI173" i="4"/>
  <c r="BI174" i="4"/>
  <c r="BI175" i="4"/>
  <c r="BI176" i="4"/>
  <c r="BI177" i="4"/>
  <c r="BI178" i="4"/>
  <c r="BI179" i="4"/>
  <c r="BI180" i="4"/>
  <c r="BI181" i="4"/>
  <c r="BI182" i="4"/>
  <c r="BI183" i="4"/>
  <c r="BI184" i="4"/>
  <c r="BI185" i="4"/>
  <c r="BI186" i="4"/>
  <c r="BI187" i="4"/>
  <c r="BI188" i="4"/>
  <c r="BI189" i="4"/>
  <c r="BI190" i="4"/>
  <c r="BI191" i="4"/>
  <c r="BI192" i="4"/>
  <c r="BI193" i="4"/>
  <c r="BI194" i="4"/>
  <c r="BI195" i="4"/>
  <c r="BI196" i="4"/>
  <c r="BI197" i="4"/>
  <c r="BI198" i="4"/>
  <c r="BI199" i="4"/>
  <c r="BI200" i="4"/>
  <c r="BI201" i="4"/>
  <c r="BI202" i="4"/>
  <c r="BI203" i="4"/>
  <c r="BI204" i="4"/>
  <c r="BI205" i="4"/>
  <c r="BI206" i="4"/>
  <c r="BI207" i="4"/>
  <c r="BI208" i="4"/>
  <c r="BI209" i="4"/>
  <c r="BI210" i="4"/>
  <c r="BI211" i="4"/>
  <c r="BI212" i="4"/>
  <c r="BI213" i="4"/>
  <c r="BI214" i="4"/>
  <c r="BI215" i="4"/>
  <c r="BI216" i="4"/>
  <c r="BI217" i="4"/>
  <c r="BI218" i="4"/>
  <c r="BI219" i="4"/>
  <c r="BI220" i="4"/>
  <c r="BI221" i="4"/>
  <c r="BI222" i="4"/>
  <c r="BI223" i="4"/>
  <c r="BI224" i="4"/>
  <c r="BI225" i="4"/>
  <c r="BI226" i="4"/>
  <c r="BI227" i="4"/>
  <c r="BI228" i="4"/>
  <c r="BI229" i="4"/>
  <c r="BI230" i="4"/>
  <c r="BI231" i="4"/>
  <c r="BI232" i="4"/>
  <c r="BI233" i="4"/>
  <c r="BI234" i="4"/>
  <c r="BI235" i="4"/>
  <c r="BI236" i="4"/>
  <c r="BI237" i="4"/>
  <c r="BI238" i="4"/>
  <c r="BI239" i="4"/>
  <c r="BI240" i="4"/>
  <c r="BI241" i="4"/>
  <c r="BI242" i="4"/>
  <c r="BI243" i="4"/>
  <c r="BI244" i="4"/>
  <c r="BI245" i="4"/>
  <c r="BI246" i="4"/>
  <c r="BI247" i="4"/>
  <c r="BI248" i="4"/>
  <c r="BI249" i="4"/>
  <c r="BI250" i="4"/>
  <c r="BI251" i="4"/>
  <c r="BI252" i="4"/>
  <c r="BI253" i="4"/>
  <c r="BI254" i="4"/>
  <c r="BI255" i="4"/>
  <c r="BI256" i="4"/>
  <c r="BI257" i="4"/>
  <c r="BI258" i="4"/>
  <c r="U17" i="2" s="1"/>
  <c r="BI259" i="4"/>
  <c r="BI260" i="4"/>
  <c r="BI261" i="4"/>
  <c r="BI262" i="4"/>
  <c r="BI263" i="4"/>
  <c r="BI264" i="4"/>
  <c r="BI265" i="4"/>
  <c r="BI266" i="4"/>
  <c r="BI267" i="4"/>
  <c r="BI268" i="4"/>
  <c r="BI269" i="4"/>
  <c r="BI270" i="4"/>
  <c r="BI271" i="4"/>
  <c r="BI272" i="4"/>
  <c r="BI273" i="4"/>
  <c r="BI274" i="4"/>
  <c r="BI275" i="4"/>
  <c r="BI276" i="4"/>
  <c r="BI277" i="4"/>
  <c r="BI278" i="4"/>
  <c r="BI279" i="4"/>
  <c r="BI280" i="4"/>
  <c r="BI281" i="4"/>
  <c r="BI282" i="4"/>
  <c r="BI283" i="4"/>
  <c r="BI284" i="4"/>
  <c r="BI285" i="4"/>
  <c r="BI286" i="4"/>
  <c r="BI287" i="4"/>
  <c r="BI288" i="4"/>
  <c r="BI289" i="4"/>
  <c r="BI290" i="4"/>
  <c r="BI291" i="4"/>
  <c r="BI292" i="4"/>
  <c r="BI293" i="4"/>
  <c r="BI294" i="4"/>
  <c r="BI295" i="4"/>
  <c r="BI296" i="4"/>
  <c r="BI297" i="4"/>
  <c r="BI298" i="4"/>
  <c r="BI299" i="4"/>
  <c r="BI300" i="4"/>
  <c r="BI301" i="4"/>
  <c r="BI302" i="4"/>
  <c r="BI303" i="4"/>
  <c r="BI304" i="4"/>
  <c r="BI305" i="4"/>
  <c r="BI306" i="4"/>
  <c r="BI307" i="4"/>
  <c r="BJ8" i="4"/>
  <c r="BK8" i="4"/>
  <c r="BL8" i="4"/>
  <c r="AA19" i="2" l="1"/>
  <c r="AA10" i="2"/>
  <c r="U18" i="2"/>
  <c r="U10" i="2"/>
  <c r="W19" i="2"/>
  <c r="X14" i="2"/>
  <c r="U12" i="2"/>
  <c r="V11" i="2"/>
  <c r="W15" i="2"/>
  <c r="X16" i="2"/>
  <c r="AC18" i="2"/>
  <c r="AC13" i="2"/>
  <c r="AC11" i="2"/>
  <c r="Y17" i="2"/>
  <c r="U13" i="2"/>
  <c r="V19" i="2"/>
  <c r="W14" i="2"/>
  <c r="U19" i="2"/>
  <c r="V16" i="2"/>
  <c r="V14" i="2"/>
  <c r="W18" i="2"/>
  <c r="W12" i="2"/>
  <c r="W10" i="2"/>
  <c r="X13" i="2"/>
  <c r="X11" i="2"/>
  <c r="AB9" i="2"/>
  <c r="AC19" i="2"/>
  <c r="AA18" i="2"/>
  <c r="AB13" i="2"/>
  <c r="AB11" i="2"/>
  <c r="AC10" i="2"/>
  <c r="V13" i="2"/>
  <c r="X9" i="2"/>
  <c r="U11" i="2"/>
  <c r="V15" i="2"/>
  <c r="W16" i="2"/>
  <c r="X18" i="2"/>
  <c r="X12" i="2"/>
  <c r="X10" i="2"/>
  <c r="AA9" i="2"/>
  <c r="AB18" i="2"/>
  <c r="W9" i="2"/>
  <c r="U15" i="2"/>
  <c r="V9" i="2"/>
  <c r="U16" i="2"/>
  <c r="U14" i="2"/>
  <c r="V18" i="2"/>
  <c r="V12" i="2"/>
  <c r="V10" i="2"/>
  <c r="W13" i="2"/>
  <c r="W11" i="2"/>
  <c r="X19" i="2"/>
  <c r="X15" i="2"/>
  <c r="AC9" i="2"/>
  <c r="AB19" i="2"/>
  <c r="AA13" i="2"/>
  <c r="AB12" i="2"/>
  <c r="AA11" i="2"/>
  <c r="AB10" i="2"/>
  <c r="BM302" i="4"/>
  <c r="BM290" i="4"/>
  <c r="BM278" i="4"/>
  <c r="BM266" i="4"/>
  <c r="BM254" i="4"/>
  <c r="BM242" i="4"/>
  <c r="BM230" i="4"/>
  <c r="BM218" i="4"/>
  <c r="BM210" i="4"/>
  <c r="BM198" i="4"/>
  <c r="BM186" i="4"/>
  <c r="BM174" i="4"/>
  <c r="BM162" i="4"/>
  <c r="BM150" i="4"/>
  <c r="BM142" i="4"/>
  <c r="BM130" i="4"/>
  <c r="BM114" i="4"/>
  <c r="BM102" i="4"/>
  <c r="BM90" i="4"/>
  <c r="BM78" i="4"/>
  <c r="BM66" i="4"/>
  <c r="BM54" i="4"/>
  <c r="BM42" i="4"/>
  <c r="BM30" i="4"/>
  <c r="BM14" i="4"/>
  <c r="BM306" i="4"/>
  <c r="BM294" i="4"/>
  <c r="BM282" i="4"/>
  <c r="BM270" i="4"/>
  <c r="BM258" i="4"/>
  <c r="BM246" i="4"/>
  <c r="BM234" i="4"/>
  <c r="BM222" i="4"/>
  <c r="BM206" i="4"/>
  <c r="BM190" i="4"/>
  <c r="BM178" i="4"/>
  <c r="BM166" i="4"/>
  <c r="BM154" i="4"/>
  <c r="BM138" i="4"/>
  <c r="BM122" i="4"/>
  <c r="BM110" i="4"/>
  <c r="BM98" i="4"/>
  <c r="BM86" i="4"/>
  <c r="BM74" i="4"/>
  <c r="BM58" i="4"/>
  <c r="BM46" i="4"/>
  <c r="BM34" i="4"/>
  <c r="BM22" i="4"/>
  <c r="BM10" i="4"/>
  <c r="BM298" i="4"/>
  <c r="BM286" i="4"/>
  <c r="BM274" i="4"/>
  <c r="BM262" i="4"/>
  <c r="BM250" i="4"/>
  <c r="BM238" i="4"/>
  <c r="BM226" i="4"/>
  <c r="BM214" i="4"/>
  <c r="BM202" i="4"/>
  <c r="BM194" i="4"/>
  <c r="BM182" i="4"/>
  <c r="BM170" i="4"/>
  <c r="BM158" i="4"/>
  <c r="BM146" i="4"/>
  <c r="BM134" i="4"/>
  <c r="BM126" i="4"/>
  <c r="BM118" i="4"/>
  <c r="BM106" i="4"/>
  <c r="BM94" i="4"/>
  <c r="BM82" i="4"/>
  <c r="BM70" i="4"/>
  <c r="BM62" i="4"/>
  <c r="BM50" i="4"/>
  <c r="BM38" i="4"/>
  <c r="BM26" i="4"/>
  <c r="BM18" i="4"/>
  <c r="BM301" i="4"/>
  <c r="BM289" i="4"/>
  <c r="BM277" i="4"/>
  <c r="BM265" i="4"/>
  <c r="BM249" i="4"/>
  <c r="BM233" i="4"/>
  <c r="BM221" i="4"/>
  <c r="BM205" i="4"/>
  <c r="BM193" i="4"/>
  <c r="BM181" i="4"/>
  <c r="BM169" i="4"/>
  <c r="BM157" i="4"/>
  <c r="BM145" i="4"/>
  <c r="BM141" i="4"/>
  <c r="BM137" i="4"/>
  <c r="BM125" i="4"/>
  <c r="BM121" i="4"/>
  <c r="BM117" i="4"/>
  <c r="BM113" i="4"/>
  <c r="BM109" i="4"/>
  <c r="BM105" i="4"/>
  <c r="BM101" i="4"/>
  <c r="BM97" i="4"/>
  <c r="BM93" i="4"/>
  <c r="BM89" i="4"/>
  <c r="BM85" i="4"/>
  <c r="BM81" i="4"/>
  <c r="BM77" i="4"/>
  <c r="BM73" i="4"/>
  <c r="BM69" i="4"/>
  <c r="BM65" i="4"/>
  <c r="BM61" i="4"/>
  <c r="BM57" i="4"/>
  <c r="BM53" i="4"/>
  <c r="BM49" i="4"/>
  <c r="BM45" i="4"/>
  <c r="BM41" i="4"/>
  <c r="BM37" i="4"/>
  <c r="BM33" i="4"/>
  <c r="BM29" i="4"/>
  <c r="BM25" i="4"/>
  <c r="BM21" i="4"/>
  <c r="BM17" i="4"/>
  <c r="BM13" i="4"/>
  <c r="BM9" i="4"/>
  <c r="BM305" i="4"/>
  <c r="BM293" i="4"/>
  <c r="BM281" i="4"/>
  <c r="BM269" i="4"/>
  <c r="BM257" i="4"/>
  <c r="BM245" i="4"/>
  <c r="BM237" i="4"/>
  <c r="BM225" i="4"/>
  <c r="BM213" i="4"/>
  <c r="BM201" i="4"/>
  <c r="BM189" i="4"/>
  <c r="BM173" i="4"/>
  <c r="BM161" i="4"/>
  <c r="BM153" i="4"/>
  <c r="BM133" i="4"/>
  <c r="BM297" i="4"/>
  <c r="BM285" i="4"/>
  <c r="BM273" i="4"/>
  <c r="BM261" i="4"/>
  <c r="BM253" i="4"/>
  <c r="BM241" i="4"/>
  <c r="BM229" i="4"/>
  <c r="BM217" i="4"/>
  <c r="BM209" i="4"/>
  <c r="BM197" i="4"/>
  <c r="BM185" i="4"/>
  <c r="BM177" i="4"/>
  <c r="BM165" i="4"/>
  <c r="BM149" i="4"/>
  <c r="BM129" i="4"/>
  <c r="BM307" i="4"/>
  <c r="BM303" i="4"/>
  <c r="BM299" i="4"/>
  <c r="BM295" i="4"/>
  <c r="BM291" i="4"/>
  <c r="BM287" i="4"/>
  <c r="BM283" i="4"/>
  <c r="BM279" i="4"/>
  <c r="BM275" i="4"/>
  <c r="BM271" i="4"/>
  <c r="BM267" i="4"/>
  <c r="BM263" i="4"/>
  <c r="BM259" i="4"/>
  <c r="BM255" i="4"/>
  <c r="BM251" i="4"/>
  <c r="BM247" i="4"/>
  <c r="BM243" i="4"/>
  <c r="BM239" i="4"/>
  <c r="BM235" i="4"/>
  <c r="BM231" i="4"/>
  <c r="BM227" i="4"/>
  <c r="BM223" i="4"/>
  <c r="BM219" i="4"/>
  <c r="BM215" i="4"/>
  <c r="BM211" i="4"/>
  <c r="BM207" i="4"/>
  <c r="BM203" i="4"/>
  <c r="BM199" i="4"/>
  <c r="BM195" i="4"/>
  <c r="BM191" i="4"/>
  <c r="BM187" i="4"/>
  <c r="BM183" i="4"/>
  <c r="BM179" i="4"/>
  <c r="BM175" i="4"/>
  <c r="BM171" i="4"/>
  <c r="BM167" i="4"/>
  <c r="BM163" i="4"/>
  <c r="BM159" i="4"/>
  <c r="BM155" i="4"/>
  <c r="BM151" i="4"/>
  <c r="BM147" i="4"/>
  <c r="BM143" i="4"/>
  <c r="BM139" i="4"/>
  <c r="BM135" i="4"/>
  <c r="BM131" i="4"/>
  <c r="BM127" i="4"/>
  <c r="BM123" i="4"/>
  <c r="BM119" i="4"/>
  <c r="BM115" i="4"/>
  <c r="BM111" i="4"/>
  <c r="BM107" i="4"/>
  <c r="BM103" i="4"/>
  <c r="BM99" i="4"/>
  <c r="BM95" i="4"/>
  <c r="BM91" i="4"/>
  <c r="BM87" i="4"/>
  <c r="BM83" i="4"/>
  <c r="BM79" i="4"/>
  <c r="BM75" i="4"/>
  <c r="BM71" i="4"/>
  <c r="BM67" i="4"/>
  <c r="BM63" i="4"/>
  <c r="BM59" i="4"/>
  <c r="BM55" i="4"/>
  <c r="BM51" i="4"/>
  <c r="BM47" i="4"/>
  <c r="BM43" i="4"/>
  <c r="BM39" i="4"/>
  <c r="BM35" i="4"/>
  <c r="BM31" i="4"/>
  <c r="BM27" i="4"/>
  <c r="BM23" i="4"/>
  <c r="BM19" i="4"/>
  <c r="BM15" i="4"/>
  <c r="BM11" i="4"/>
  <c r="BM300" i="4"/>
  <c r="BM292" i="4"/>
  <c r="BM284" i="4"/>
  <c r="BM276" i="4"/>
  <c r="BM268" i="4"/>
  <c r="BM256" i="4"/>
  <c r="BM248" i="4"/>
  <c r="BM240" i="4"/>
  <c r="BM232" i="4"/>
  <c r="BM224" i="4"/>
  <c r="BM212" i="4"/>
  <c r="BM204" i="4"/>
  <c r="BM196" i="4"/>
  <c r="BM188" i="4"/>
  <c r="BM180" i="4"/>
  <c r="BM172" i="4"/>
  <c r="BM164" i="4"/>
  <c r="BM156" i="4"/>
  <c r="BM148" i="4"/>
  <c r="BM140" i="4"/>
  <c r="BM132" i="4"/>
  <c r="BM124" i="4"/>
  <c r="BM116" i="4"/>
  <c r="BM108" i="4"/>
  <c r="BM100" i="4"/>
  <c r="BM92" i="4"/>
  <c r="BM84" i="4"/>
  <c r="BM76" i="4"/>
  <c r="BM72" i="4"/>
  <c r="BM68" i="4"/>
  <c r="BM64" i="4"/>
  <c r="BM56" i="4"/>
  <c r="BM52" i="4"/>
  <c r="BM48" i="4"/>
  <c r="BM44" i="4"/>
  <c r="BM40" i="4"/>
  <c r="BM36" i="4"/>
  <c r="BM32" i="4"/>
  <c r="BM28" i="4"/>
  <c r="BM24" i="4"/>
  <c r="BM20" i="4"/>
  <c r="BM16" i="4"/>
  <c r="BM12" i="4"/>
  <c r="BM304" i="4"/>
  <c r="BM296" i="4"/>
  <c r="BM288" i="4"/>
  <c r="BM280" i="4"/>
  <c r="BM272" i="4"/>
  <c r="BM264" i="4"/>
  <c r="BM260" i="4"/>
  <c r="BM252" i="4"/>
  <c r="BM244" i="4"/>
  <c r="BM236" i="4"/>
  <c r="BM228" i="4"/>
  <c r="BM220" i="4"/>
  <c r="BM216" i="4"/>
  <c r="BM208" i="4"/>
  <c r="BM200" i="4"/>
  <c r="BM192" i="4"/>
  <c r="BM184" i="4"/>
  <c r="BM176" i="4"/>
  <c r="BM168" i="4"/>
  <c r="BM160" i="4"/>
  <c r="BM152" i="4"/>
  <c r="BM144" i="4"/>
  <c r="BM136" i="4"/>
  <c r="BM128" i="4"/>
  <c r="BM120" i="4"/>
  <c r="BM112" i="4"/>
  <c r="BM104" i="4"/>
  <c r="BM96" i="4"/>
  <c r="BM88" i="4"/>
  <c r="BM80" i="4"/>
  <c r="BM60" i="4"/>
  <c r="AI305" i="4"/>
  <c r="AI306" i="4"/>
  <c r="AI307" i="4"/>
  <c r="P8" i="2"/>
  <c r="Y14" i="2" l="1"/>
  <c r="G19" i="2"/>
  <c r="Y18" i="2"/>
  <c r="Y10" i="2"/>
  <c r="Y13" i="2"/>
  <c r="Y12" i="2"/>
  <c r="Y15" i="2"/>
  <c r="W25" i="2"/>
  <c r="Y11" i="2"/>
  <c r="Y19" i="2"/>
  <c r="Y16" i="2"/>
  <c r="X25" i="2"/>
  <c r="V25" i="2"/>
  <c r="BI8" i="4"/>
  <c r="BM8" i="4" l="1"/>
  <c r="BM308" i="4" s="1"/>
  <c r="U9" i="2"/>
  <c r="Y9" i="2" l="1"/>
  <c r="Y25" i="2" s="1"/>
  <c r="U25" i="2"/>
  <c r="AO6" i="48" l="1"/>
  <c r="AN6" i="48"/>
  <c r="AK6" i="48"/>
  <c r="AG6" i="48"/>
  <c r="AF6" i="48"/>
  <c r="F6" i="48"/>
  <c r="G6" i="48"/>
  <c r="AC6" i="48" s="1"/>
  <c r="Q6" i="48"/>
  <c r="B6" i="48" l="1"/>
  <c r="Y3" i="19"/>
  <c r="AU9" i="4" l="1"/>
  <c r="AU10" i="4"/>
  <c r="AU11" i="4"/>
  <c r="AU12" i="4"/>
  <c r="AU13" i="4"/>
  <c r="AU14" i="4"/>
  <c r="AU15" i="4"/>
  <c r="AU16" i="4"/>
  <c r="AU17" i="4"/>
  <c r="AU18" i="4"/>
  <c r="AU19" i="4"/>
  <c r="AU20" i="4"/>
  <c r="AU21" i="4"/>
  <c r="AZ21" i="4" s="1"/>
  <c r="AU22" i="4"/>
  <c r="AZ22" i="4" s="1"/>
  <c r="AU23" i="4"/>
  <c r="AU24" i="4"/>
  <c r="AU25" i="4"/>
  <c r="AU26" i="4"/>
  <c r="AU27" i="4"/>
  <c r="AU28" i="4"/>
  <c r="AU29" i="4"/>
  <c r="AU30" i="4"/>
  <c r="AU31" i="4"/>
  <c r="AU32" i="4"/>
  <c r="AU33" i="4"/>
  <c r="AZ33" i="4" s="1"/>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Z104" i="4" s="1"/>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Z136" i="4" s="1"/>
  <c r="AU138" i="4"/>
  <c r="AZ138" i="4" s="1"/>
  <c r="AU139" i="4"/>
  <c r="AZ139" i="4" s="1"/>
  <c r="AU140" i="4"/>
  <c r="AZ140" i="4" s="1"/>
  <c r="AU141" i="4"/>
  <c r="AZ141" i="4" s="1"/>
  <c r="AU142" i="4"/>
  <c r="AU143" i="4"/>
  <c r="AZ143" i="4" s="1"/>
  <c r="AU144" i="4"/>
  <c r="AZ144" i="4" s="1"/>
  <c r="AU145" i="4"/>
  <c r="AZ145" i="4" s="1"/>
  <c r="AU146" i="4"/>
  <c r="AZ146" i="4" s="1"/>
  <c r="AU147" i="4"/>
  <c r="AU148" i="4"/>
  <c r="AZ148" i="4" s="1"/>
  <c r="AU149" i="4"/>
  <c r="AZ149" i="4" s="1"/>
  <c r="AU150" i="4"/>
  <c r="AU151" i="4"/>
  <c r="AU152" i="4"/>
  <c r="AU153" i="4"/>
  <c r="AZ153" i="4" s="1"/>
  <c r="AU154" i="4"/>
  <c r="AZ154" i="4" s="1"/>
  <c r="AU155" i="4"/>
  <c r="AZ155" i="4" s="1"/>
  <c r="AU156" i="4"/>
  <c r="AU157" i="4"/>
  <c r="AZ157" i="4" s="1"/>
  <c r="AU158" i="4"/>
  <c r="AU159" i="4"/>
  <c r="AU160" i="4"/>
  <c r="AU161" i="4"/>
  <c r="AU162" i="4"/>
  <c r="AU168" i="4"/>
  <c r="AU176" i="4"/>
  <c r="AU179" i="4"/>
  <c r="AU180" i="4"/>
  <c r="AU185" i="4"/>
  <c r="AU188" i="4"/>
  <c r="AU189" i="4"/>
  <c r="AU190" i="4"/>
  <c r="AZ190" i="4" s="1"/>
  <c r="AU191" i="4"/>
  <c r="AU192" i="4"/>
  <c r="AZ192" i="4" s="1"/>
  <c r="AU193" i="4"/>
  <c r="AZ193" i="4" s="1"/>
  <c r="AU194" i="4"/>
  <c r="AZ194" i="4" s="1"/>
  <c r="AU195" i="4"/>
  <c r="AZ195" i="4" s="1"/>
  <c r="AU196" i="4"/>
  <c r="AZ196" i="4" s="1"/>
  <c r="AU197" i="4"/>
  <c r="AZ197" i="4" s="1"/>
  <c r="AU198" i="4"/>
  <c r="AU199" i="4"/>
  <c r="AU200" i="4"/>
  <c r="AU201" i="4"/>
  <c r="AU202" i="4"/>
  <c r="AU203" i="4"/>
  <c r="AU204" i="4"/>
  <c r="AU205" i="4"/>
  <c r="AU206" i="4"/>
  <c r="AU207" i="4"/>
  <c r="AU208" i="4"/>
  <c r="AU209" i="4"/>
  <c r="AU210" i="4"/>
  <c r="AU211" i="4"/>
  <c r="AZ211" i="4" s="1"/>
  <c r="AU212" i="4"/>
  <c r="AZ212" i="4" s="1"/>
  <c r="AU213" i="4"/>
  <c r="AZ213" i="4" s="1"/>
  <c r="AU214" i="4"/>
  <c r="AU215" i="4"/>
  <c r="AU216" i="4"/>
  <c r="AU217" i="4"/>
  <c r="AU218" i="4"/>
  <c r="AZ218" i="4" s="1"/>
  <c r="AU219" i="4"/>
  <c r="AZ219" i="4" s="1"/>
  <c r="AU220" i="4"/>
  <c r="AZ220" i="4" s="1"/>
  <c r="AU221" i="4"/>
  <c r="AZ221" i="4" s="1"/>
  <c r="AU222" i="4"/>
  <c r="AZ222" i="4" s="1"/>
  <c r="AU223" i="4"/>
  <c r="AZ223" i="4" s="1"/>
  <c r="AU224" i="4"/>
  <c r="AZ224" i="4" s="1"/>
  <c r="AU225" i="4"/>
  <c r="AZ225" i="4" s="1"/>
  <c r="AU226" i="4"/>
  <c r="AU227" i="4"/>
  <c r="AU228" i="4"/>
  <c r="AU229" i="4"/>
  <c r="AU230" i="4"/>
  <c r="AU231" i="4"/>
  <c r="AU232" i="4"/>
  <c r="AU233" i="4"/>
  <c r="AU234" i="4"/>
  <c r="AU235" i="4"/>
  <c r="AU236" i="4"/>
  <c r="AU237" i="4"/>
  <c r="AU238" i="4"/>
  <c r="AU239" i="4"/>
  <c r="AU240" i="4"/>
  <c r="AU241" i="4"/>
  <c r="AU242" i="4"/>
  <c r="AU243" i="4"/>
  <c r="AU244" i="4"/>
  <c r="AU245" i="4"/>
  <c r="AU246" i="4"/>
  <c r="AU247" i="4"/>
  <c r="AU248" i="4"/>
  <c r="AU250" i="4"/>
  <c r="AU251" i="4"/>
  <c r="AZ251" i="4" s="1"/>
  <c r="AU252" i="4"/>
  <c r="AU253" i="4"/>
  <c r="AU254" i="4"/>
  <c r="AU255" i="4"/>
  <c r="AU256" i="4"/>
  <c r="AU257" i="4"/>
  <c r="AU258" i="4"/>
  <c r="O17" i="2" s="1"/>
  <c r="AU259" i="4"/>
  <c r="AU260" i="4"/>
  <c r="AU261" i="4"/>
  <c r="AU262" i="4"/>
  <c r="AU263" i="4"/>
  <c r="AU264" i="4"/>
  <c r="AU265" i="4"/>
  <c r="AU266" i="4"/>
  <c r="AU267" i="4"/>
  <c r="AU268" i="4"/>
  <c r="AU269" i="4"/>
  <c r="AU270" i="4"/>
  <c r="AU271" i="4"/>
  <c r="AU272" i="4"/>
  <c r="AU273" i="4"/>
  <c r="AU274" i="4"/>
  <c r="AU275" i="4"/>
  <c r="AU276" i="4"/>
  <c r="AU277" i="4"/>
  <c r="AU278" i="4"/>
  <c r="AU279" i="4"/>
  <c r="AU280" i="4"/>
  <c r="AU281" i="4"/>
  <c r="AU282" i="4"/>
  <c r="AU283" i="4"/>
  <c r="AU284" i="4"/>
  <c r="AU285" i="4"/>
  <c r="AU286" i="4"/>
  <c r="AU287" i="4"/>
  <c r="AU288" i="4"/>
  <c r="AU289" i="4"/>
  <c r="AU290" i="4"/>
  <c r="AU291" i="4"/>
  <c r="AU292" i="4"/>
  <c r="AZ292" i="4" s="1"/>
  <c r="AU293" i="4"/>
  <c r="AZ293" i="4" s="1"/>
  <c r="AU294" i="4"/>
  <c r="AU295" i="4"/>
  <c r="AU296" i="4"/>
  <c r="AU297" i="4"/>
  <c r="AU298" i="4"/>
  <c r="AU299" i="4"/>
  <c r="AU300" i="4"/>
  <c r="AU301" i="4"/>
  <c r="AU302" i="4"/>
  <c r="AU303" i="4"/>
  <c r="AU304" i="4"/>
  <c r="AU305" i="4"/>
  <c r="AU306" i="4"/>
  <c r="AU307" i="4"/>
  <c r="AU8" i="4"/>
  <c r="AO305" i="4"/>
  <c r="AO306" i="4"/>
  <c r="AO307" i="4"/>
  <c r="AO9" i="4"/>
  <c r="AO10" i="4"/>
  <c r="AO11" i="4"/>
  <c r="AO12" i="4"/>
  <c r="AO13" i="4"/>
  <c r="AO14" i="4"/>
  <c r="AO15" i="4"/>
  <c r="AO16" i="4"/>
  <c r="AO17" i="4"/>
  <c r="AO18" i="4"/>
  <c r="AO19" i="4"/>
  <c r="AO20" i="4"/>
  <c r="AO21" i="4"/>
  <c r="AY21" i="4" s="1"/>
  <c r="AO22" i="4"/>
  <c r="AY22" i="4" s="1"/>
  <c r="AO23" i="4"/>
  <c r="AO24" i="4"/>
  <c r="AO25" i="4"/>
  <c r="AO26" i="4"/>
  <c r="AO27" i="4"/>
  <c r="AO28" i="4"/>
  <c r="AO29" i="4"/>
  <c r="AO30" i="4"/>
  <c r="AO31" i="4"/>
  <c r="AO32" i="4"/>
  <c r="AO33" i="4"/>
  <c r="AY33" i="4" s="1"/>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Y104" i="4" s="1"/>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Y136" i="4" s="1"/>
  <c r="AO137" i="4"/>
  <c r="AY137" i="4" s="1"/>
  <c r="AO138" i="4"/>
  <c r="AY138" i="4" s="1"/>
  <c r="AO139" i="4"/>
  <c r="AY139" i="4" s="1"/>
  <c r="AO140" i="4"/>
  <c r="AY140" i="4" s="1"/>
  <c r="AO141" i="4"/>
  <c r="AY141" i="4" s="1"/>
  <c r="AO142" i="4"/>
  <c r="AO143" i="4"/>
  <c r="AY143" i="4" s="1"/>
  <c r="AO144" i="4"/>
  <c r="AY144" i="4" s="1"/>
  <c r="AO145" i="4"/>
  <c r="AY145" i="4" s="1"/>
  <c r="AO146" i="4"/>
  <c r="AY146" i="4" s="1"/>
  <c r="AO147" i="4"/>
  <c r="AO148" i="4"/>
  <c r="AY148" i="4" s="1"/>
  <c r="AO149" i="4"/>
  <c r="AY149" i="4" s="1"/>
  <c r="AO150" i="4"/>
  <c r="AO151" i="4"/>
  <c r="AO152" i="4"/>
  <c r="AO153" i="4"/>
  <c r="AY153" i="4" s="1"/>
  <c r="AO154" i="4"/>
  <c r="AY154" i="4" s="1"/>
  <c r="AO155" i="4"/>
  <c r="AY155" i="4" s="1"/>
  <c r="AO156" i="4"/>
  <c r="AO157" i="4"/>
  <c r="AY157" i="4" s="1"/>
  <c r="AO158" i="4"/>
  <c r="AO159" i="4"/>
  <c r="AO160" i="4"/>
  <c r="AO161" i="4"/>
  <c r="AO162" i="4"/>
  <c r="AO168" i="4"/>
  <c r="AO176" i="4"/>
  <c r="AO179" i="4"/>
  <c r="AO180" i="4"/>
  <c r="AO185" i="4"/>
  <c r="AO188" i="4"/>
  <c r="AO189" i="4"/>
  <c r="AO190" i="4"/>
  <c r="AY190" i="4" s="1"/>
  <c r="AO191" i="4"/>
  <c r="AO192" i="4"/>
  <c r="AY192" i="4" s="1"/>
  <c r="AO193" i="4"/>
  <c r="AY193" i="4" s="1"/>
  <c r="AO194" i="4"/>
  <c r="AY194" i="4" s="1"/>
  <c r="AO195" i="4"/>
  <c r="AY195" i="4" s="1"/>
  <c r="AO196" i="4"/>
  <c r="AY196" i="4" s="1"/>
  <c r="AO197" i="4"/>
  <c r="AY197" i="4" s="1"/>
  <c r="AO198" i="4"/>
  <c r="AO199" i="4"/>
  <c r="AO200" i="4"/>
  <c r="AO201" i="4"/>
  <c r="AO202" i="4"/>
  <c r="AO203" i="4"/>
  <c r="AO204" i="4"/>
  <c r="AO205" i="4"/>
  <c r="AO206" i="4"/>
  <c r="AO207" i="4"/>
  <c r="AO208" i="4"/>
  <c r="AO209" i="4"/>
  <c r="AO210" i="4"/>
  <c r="AO211" i="4"/>
  <c r="AY211" i="4" s="1"/>
  <c r="AO212" i="4"/>
  <c r="AY212" i="4" s="1"/>
  <c r="AO213" i="4"/>
  <c r="AY213" i="4" s="1"/>
  <c r="AO214" i="4"/>
  <c r="AO215" i="4"/>
  <c r="AO216" i="4"/>
  <c r="AO217" i="4"/>
  <c r="AO218" i="4"/>
  <c r="AY218" i="4" s="1"/>
  <c r="AO219" i="4"/>
  <c r="AY219" i="4" s="1"/>
  <c r="AO220" i="4"/>
  <c r="AY220" i="4" s="1"/>
  <c r="AO221" i="4"/>
  <c r="AY221" i="4" s="1"/>
  <c r="AO222" i="4"/>
  <c r="AY222" i="4" s="1"/>
  <c r="AO223" i="4"/>
  <c r="AY223" i="4" s="1"/>
  <c r="AO224" i="4"/>
  <c r="AY224" i="4" s="1"/>
  <c r="AO225" i="4"/>
  <c r="AY225" i="4" s="1"/>
  <c r="AO226" i="4"/>
  <c r="AO227" i="4"/>
  <c r="AO228" i="4"/>
  <c r="AO229" i="4"/>
  <c r="AO230" i="4"/>
  <c r="AO231" i="4"/>
  <c r="AO232" i="4"/>
  <c r="AO233" i="4"/>
  <c r="AO234" i="4"/>
  <c r="AO235" i="4"/>
  <c r="AO236" i="4"/>
  <c r="AO237" i="4"/>
  <c r="AO238" i="4"/>
  <c r="AO239" i="4"/>
  <c r="AO240" i="4"/>
  <c r="AO241" i="4"/>
  <c r="AO242" i="4"/>
  <c r="AO243" i="4"/>
  <c r="AO244" i="4"/>
  <c r="AO245" i="4"/>
  <c r="AO246" i="4"/>
  <c r="AO247" i="4"/>
  <c r="AO248" i="4"/>
  <c r="AO250" i="4"/>
  <c r="AO251" i="4"/>
  <c r="AY251" i="4" s="1"/>
  <c r="AO252" i="4"/>
  <c r="AO253" i="4"/>
  <c r="AO254" i="4"/>
  <c r="AO255" i="4"/>
  <c r="AO256" i="4"/>
  <c r="AO257" i="4"/>
  <c r="AO258" i="4"/>
  <c r="K17" i="2" s="1"/>
  <c r="AO259" i="4"/>
  <c r="AO260" i="4"/>
  <c r="AO261" i="4"/>
  <c r="AO262" i="4"/>
  <c r="AO263" i="4"/>
  <c r="AO264" i="4"/>
  <c r="AO265" i="4"/>
  <c r="AO266" i="4"/>
  <c r="AO267" i="4"/>
  <c r="AO268" i="4"/>
  <c r="AO269" i="4"/>
  <c r="AO270" i="4"/>
  <c r="AO271" i="4"/>
  <c r="AO272" i="4"/>
  <c r="AO273" i="4"/>
  <c r="AO274" i="4"/>
  <c r="AO275" i="4"/>
  <c r="AO276" i="4"/>
  <c r="AO277" i="4"/>
  <c r="AO278" i="4"/>
  <c r="AO279" i="4"/>
  <c r="AO280" i="4"/>
  <c r="AO281" i="4"/>
  <c r="AO282" i="4"/>
  <c r="AO283" i="4"/>
  <c r="AO284" i="4"/>
  <c r="AO285" i="4"/>
  <c r="AO286" i="4"/>
  <c r="AO287" i="4"/>
  <c r="AO288" i="4"/>
  <c r="AO289" i="4"/>
  <c r="AO290" i="4"/>
  <c r="AO291" i="4"/>
  <c r="AO292" i="4"/>
  <c r="AY292" i="4" s="1"/>
  <c r="AO293" i="4"/>
  <c r="AY293" i="4" s="1"/>
  <c r="AO294" i="4"/>
  <c r="AO295" i="4"/>
  <c r="AO296" i="4"/>
  <c r="AO297" i="4"/>
  <c r="AO298" i="4"/>
  <c r="AO299" i="4"/>
  <c r="AO300" i="4"/>
  <c r="AO301" i="4"/>
  <c r="AO302" i="4"/>
  <c r="AO303" i="4"/>
  <c r="AO304" i="4"/>
  <c r="AO8" i="4"/>
  <c r="O9" i="2" l="1"/>
  <c r="K9" i="2"/>
  <c r="K18" i="2"/>
  <c r="AY142" i="4"/>
  <c r="K13" i="2"/>
  <c r="K11" i="2"/>
  <c r="K19" i="2"/>
  <c r="O19" i="2"/>
  <c r="AZ152" i="4"/>
  <c r="O10" i="2"/>
  <c r="AY152" i="4"/>
  <c r="O18" i="2"/>
  <c r="AZ142" i="4"/>
  <c r="O13" i="2"/>
  <c r="O11" i="2"/>
  <c r="K12" i="2"/>
  <c r="K10" i="2"/>
  <c r="AI9" i="4"/>
  <c r="AI10" i="4"/>
  <c r="AI11" i="4"/>
  <c r="AI12" i="4"/>
  <c r="AI13" i="4"/>
  <c r="AI14" i="4"/>
  <c r="AI15" i="4"/>
  <c r="AI16" i="4"/>
  <c r="AI17" i="4"/>
  <c r="AI18" i="4"/>
  <c r="AI19" i="4"/>
  <c r="AI20" i="4"/>
  <c r="AI23" i="4"/>
  <c r="AI24" i="4"/>
  <c r="AI25" i="4"/>
  <c r="AI26" i="4"/>
  <c r="AI27" i="4"/>
  <c r="AI28" i="4"/>
  <c r="AI29" i="4"/>
  <c r="AI30" i="4"/>
  <c r="AI31" i="4"/>
  <c r="AI32" i="4"/>
  <c r="AI34" i="4"/>
  <c r="AI35" i="4"/>
  <c r="AI36" i="4"/>
  <c r="AI37" i="4"/>
  <c r="AI38" i="4"/>
  <c r="AI39" i="4"/>
  <c r="AI40" i="4"/>
  <c r="AI41" i="4"/>
  <c r="AI42" i="4"/>
  <c r="AI43" i="4"/>
  <c r="AI44" i="4"/>
  <c r="AI45" i="4"/>
  <c r="AI46" i="4"/>
  <c r="AI47" i="4"/>
  <c r="AI48" i="4"/>
  <c r="AI49" i="4"/>
  <c r="AI50" i="4"/>
  <c r="AI51" i="4"/>
  <c r="AI52" i="4"/>
  <c r="AI53" i="4"/>
  <c r="AI54" i="4"/>
  <c r="AI55" i="4"/>
  <c r="AI56" i="4"/>
  <c r="AI57" i="4"/>
  <c r="AI58" i="4"/>
  <c r="AI59" i="4"/>
  <c r="AI60" i="4"/>
  <c r="AI61" i="4"/>
  <c r="AI62" i="4"/>
  <c r="AI63" i="4"/>
  <c r="AI64" i="4"/>
  <c r="AI65" i="4"/>
  <c r="AI66" i="4"/>
  <c r="AI67" i="4"/>
  <c r="AI68" i="4"/>
  <c r="AI69" i="4"/>
  <c r="AI70" i="4"/>
  <c r="AI71" i="4"/>
  <c r="AI72" i="4"/>
  <c r="AI73" i="4"/>
  <c r="AI74" i="4"/>
  <c r="AI75" i="4"/>
  <c r="AI76" i="4"/>
  <c r="AI77" i="4"/>
  <c r="AI78" i="4"/>
  <c r="AI79" i="4"/>
  <c r="AI80" i="4"/>
  <c r="AI81" i="4"/>
  <c r="AI82" i="4"/>
  <c r="AI83" i="4"/>
  <c r="AI84" i="4"/>
  <c r="AI85" i="4"/>
  <c r="AI86" i="4"/>
  <c r="AI87" i="4"/>
  <c r="AI88" i="4"/>
  <c r="AI89" i="4"/>
  <c r="AI90" i="4"/>
  <c r="AI91" i="4"/>
  <c r="AI92" i="4"/>
  <c r="AI93" i="4"/>
  <c r="AI94" i="4"/>
  <c r="AI95" i="4"/>
  <c r="AI96" i="4"/>
  <c r="AI97" i="4"/>
  <c r="AI98" i="4"/>
  <c r="AI99" i="4"/>
  <c r="AI100" i="4"/>
  <c r="AI101" i="4"/>
  <c r="AI102" i="4"/>
  <c r="AI103" i="4"/>
  <c r="AI105" i="4"/>
  <c r="AI106" i="4"/>
  <c r="AI107" i="4"/>
  <c r="AI108" i="4"/>
  <c r="AI109" i="4"/>
  <c r="AI110" i="4"/>
  <c r="AI111" i="4"/>
  <c r="AI112" i="4"/>
  <c r="AI113" i="4"/>
  <c r="AI114" i="4"/>
  <c r="AI115" i="4"/>
  <c r="AI116" i="4"/>
  <c r="AI117" i="4"/>
  <c r="AI118" i="4"/>
  <c r="AI119" i="4"/>
  <c r="AI120" i="4"/>
  <c r="AI121" i="4"/>
  <c r="AI122" i="4"/>
  <c r="AI123" i="4"/>
  <c r="AI124" i="4"/>
  <c r="AI125" i="4"/>
  <c r="AI126" i="4"/>
  <c r="AI127" i="4"/>
  <c r="AI128" i="4"/>
  <c r="AI129" i="4"/>
  <c r="AI130" i="4"/>
  <c r="AI131" i="4"/>
  <c r="AI132" i="4"/>
  <c r="AI133" i="4"/>
  <c r="AI134" i="4"/>
  <c r="AI135" i="4"/>
  <c r="AI147" i="4"/>
  <c r="AI150" i="4"/>
  <c r="AI151" i="4"/>
  <c r="AI156" i="4"/>
  <c r="AI158" i="4"/>
  <c r="AI159" i="4"/>
  <c r="AI160" i="4"/>
  <c r="AI161" i="4"/>
  <c r="AI162" i="4"/>
  <c r="AI168" i="4"/>
  <c r="AI176" i="4"/>
  <c r="AI179" i="4"/>
  <c r="AI180" i="4"/>
  <c r="AI185" i="4"/>
  <c r="AI188" i="4"/>
  <c r="AI189" i="4"/>
  <c r="AI191" i="4"/>
  <c r="AI198" i="4"/>
  <c r="AI199" i="4"/>
  <c r="AI200" i="4"/>
  <c r="AI201" i="4"/>
  <c r="AI202" i="4"/>
  <c r="AI203" i="4"/>
  <c r="AI204" i="4"/>
  <c r="AI205" i="4"/>
  <c r="AI206" i="4"/>
  <c r="AI207" i="4"/>
  <c r="AI208" i="4"/>
  <c r="AI209" i="4"/>
  <c r="AI210" i="4"/>
  <c r="AI214" i="4"/>
  <c r="AI215" i="4"/>
  <c r="AI216" i="4"/>
  <c r="AI217"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50" i="4"/>
  <c r="AI252" i="4"/>
  <c r="AI253" i="4"/>
  <c r="AI254" i="4"/>
  <c r="AI255" i="4"/>
  <c r="AI256" i="4"/>
  <c r="AI257" i="4"/>
  <c r="AI258" i="4"/>
  <c r="G17" i="2" s="1"/>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I285" i="4"/>
  <c r="AI286" i="4"/>
  <c r="AI287" i="4"/>
  <c r="AI288" i="4"/>
  <c r="AI289" i="4"/>
  <c r="AI290" i="4"/>
  <c r="AI291" i="4"/>
  <c r="AI294" i="4"/>
  <c r="AI295" i="4"/>
  <c r="AI296" i="4"/>
  <c r="AI297" i="4"/>
  <c r="AI298" i="4"/>
  <c r="AI299" i="4"/>
  <c r="AI300" i="4"/>
  <c r="AI301" i="4"/>
  <c r="AI302" i="4"/>
  <c r="AI303" i="4"/>
  <c r="AI304" i="4"/>
  <c r="AI8" i="4"/>
  <c r="G11" i="2" l="1"/>
  <c r="G10" i="2"/>
  <c r="AS187" i="4"/>
  <c r="AS186" i="4"/>
  <c r="AS178" i="4"/>
  <c r="AS177" i="4"/>
  <c r="AS170" i="4"/>
  <c r="AS169" i="4"/>
  <c r="AM187" i="4"/>
  <c r="AM186" i="4"/>
  <c r="AM178" i="4"/>
  <c r="AM177" i="4"/>
  <c r="AM170" i="4"/>
  <c r="AM169" i="4"/>
  <c r="AI293" i="4"/>
  <c r="AX293" i="4" s="1"/>
  <c r="AI292" i="4"/>
  <c r="AX292" i="4" s="1"/>
  <c r="AI251" i="4"/>
  <c r="AX251" i="4" s="1"/>
  <c r="AI225" i="4"/>
  <c r="AX225" i="4" s="1"/>
  <c r="AI224" i="4"/>
  <c r="AX224" i="4" s="1"/>
  <c r="AI223" i="4"/>
  <c r="AX223" i="4" s="1"/>
  <c r="AI222" i="4"/>
  <c r="AX222" i="4" s="1"/>
  <c r="AI221" i="4"/>
  <c r="AX221" i="4" s="1"/>
  <c r="AI220" i="4"/>
  <c r="AX220" i="4" s="1"/>
  <c r="AI219" i="4"/>
  <c r="AX219" i="4" s="1"/>
  <c r="AI218" i="4"/>
  <c r="AX218" i="4" s="1"/>
  <c r="AI213" i="4"/>
  <c r="AX213" i="4" s="1"/>
  <c r="AI212" i="4"/>
  <c r="AX212" i="4" s="1"/>
  <c r="AI211" i="4"/>
  <c r="AX211" i="4" s="1"/>
  <c r="AI197" i="4"/>
  <c r="AX197" i="4" s="1"/>
  <c r="AI196" i="4"/>
  <c r="AX196" i="4" s="1"/>
  <c r="AI195" i="4"/>
  <c r="AX195" i="4" s="1"/>
  <c r="AI194" i="4"/>
  <c r="AX194" i="4" s="1"/>
  <c r="AI193" i="4"/>
  <c r="AX193" i="4" s="1"/>
  <c r="AI192" i="4"/>
  <c r="AX192" i="4" s="1"/>
  <c r="AI190" i="4"/>
  <c r="AX190" i="4" s="1"/>
  <c r="AG187" i="4"/>
  <c r="AG186" i="4"/>
  <c r="AG178" i="4"/>
  <c r="AG177" i="4"/>
  <c r="AG170" i="4"/>
  <c r="AG169" i="4"/>
  <c r="AI157" i="4"/>
  <c r="AX157" i="4" s="1"/>
  <c r="AI155" i="4"/>
  <c r="AX155" i="4" s="1"/>
  <c r="AI154" i="4"/>
  <c r="AX154" i="4" s="1"/>
  <c r="AI153" i="4"/>
  <c r="AX153" i="4" s="1"/>
  <c r="AI152" i="4"/>
  <c r="AI149" i="4"/>
  <c r="AX149" i="4" s="1"/>
  <c r="AI148" i="4"/>
  <c r="AX148" i="4" s="1"/>
  <c r="AI146" i="4"/>
  <c r="AX146" i="4" s="1"/>
  <c r="AI145" i="4"/>
  <c r="AX145" i="4" s="1"/>
  <c r="AI144" i="4"/>
  <c r="AX144" i="4" s="1"/>
  <c r="AI143" i="4"/>
  <c r="AX143" i="4" s="1"/>
  <c r="AI142" i="4"/>
  <c r="AI141" i="4"/>
  <c r="AX141" i="4" s="1"/>
  <c r="AI140" i="4"/>
  <c r="AX140" i="4" s="1"/>
  <c r="AI139" i="4"/>
  <c r="AX139" i="4" s="1"/>
  <c r="AI138" i="4"/>
  <c r="AX138" i="4" s="1"/>
  <c r="AI136" i="4"/>
  <c r="AX136" i="4" s="1"/>
  <c r="AI104" i="4"/>
  <c r="AX104" i="4" s="1"/>
  <c r="AI33" i="4"/>
  <c r="AX33" i="4" s="1"/>
  <c r="AI22" i="4"/>
  <c r="AX22" i="4" s="1"/>
  <c r="AI21" i="4"/>
  <c r="AX21" i="4" s="1"/>
  <c r="G18" i="2" l="1"/>
  <c r="AX152" i="4"/>
  <c r="AX142" i="4"/>
  <c r="G13" i="2"/>
  <c r="G9" i="2"/>
  <c r="BS169" i="4"/>
  <c r="BU177" i="4"/>
  <c r="BS170" i="4"/>
  <c r="BS187" i="4"/>
  <c r="BT170" i="4"/>
  <c r="BT187" i="4"/>
  <c r="BU178" i="4"/>
  <c r="BS186" i="4"/>
  <c r="AA15" i="2" s="1"/>
  <c r="BT186" i="4"/>
  <c r="BS177" i="4"/>
  <c r="BT177" i="4"/>
  <c r="BU169" i="4"/>
  <c r="BU186" i="4"/>
  <c r="BT169" i="4"/>
  <c r="BS178" i="4"/>
  <c r="BT178" i="4"/>
  <c r="BU170" i="4"/>
  <c r="BU187" i="4"/>
  <c r="AI164" i="4"/>
  <c r="AX164" i="4" s="1"/>
  <c r="AI169" i="4"/>
  <c r="AI173" i="4"/>
  <c r="AX173" i="4" s="1"/>
  <c r="AI178" i="4"/>
  <c r="AI184" i="4"/>
  <c r="AX184" i="4" s="1"/>
  <c r="AO166" i="4"/>
  <c r="AY166" i="4" s="1"/>
  <c r="AO171" i="4"/>
  <c r="AY171" i="4" s="1"/>
  <c r="AO175" i="4"/>
  <c r="AY175" i="4" s="1"/>
  <c r="AO182" i="4"/>
  <c r="AY182" i="4" s="1"/>
  <c r="AO187" i="4"/>
  <c r="AU166" i="4"/>
  <c r="AZ166" i="4" s="1"/>
  <c r="AU171" i="4"/>
  <c r="AZ171" i="4" s="1"/>
  <c r="AU175" i="4"/>
  <c r="AZ175" i="4" s="1"/>
  <c r="AU182" i="4"/>
  <c r="AZ182" i="4" s="1"/>
  <c r="AU187" i="4"/>
  <c r="AI165" i="4"/>
  <c r="AX165" i="4" s="1"/>
  <c r="AI170" i="4"/>
  <c r="AI174" i="4"/>
  <c r="AX174" i="4" s="1"/>
  <c r="AI181" i="4"/>
  <c r="AI186" i="4"/>
  <c r="AO163" i="4"/>
  <c r="AO167" i="4"/>
  <c r="AY167" i="4" s="1"/>
  <c r="AO172" i="4"/>
  <c r="AY172" i="4" s="1"/>
  <c r="AO177" i="4"/>
  <c r="AO183" i="4"/>
  <c r="AY183" i="4" s="1"/>
  <c r="AU163" i="4"/>
  <c r="AU167" i="4"/>
  <c r="AZ167" i="4" s="1"/>
  <c r="AU172" i="4"/>
  <c r="AZ172" i="4" s="1"/>
  <c r="AU177" i="4"/>
  <c r="AU183" i="4"/>
  <c r="AZ183" i="4" s="1"/>
  <c r="AI166" i="4"/>
  <c r="AX166" i="4" s="1"/>
  <c r="AI171" i="4"/>
  <c r="AX171" i="4" s="1"/>
  <c r="AI175" i="4"/>
  <c r="AX175" i="4" s="1"/>
  <c r="AI182" i="4"/>
  <c r="AX182" i="4" s="1"/>
  <c r="AI187" i="4"/>
  <c r="AO164" i="4"/>
  <c r="AY164" i="4" s="1"/>
  <c r="AO169" i="4"/>
  <c r="AO173" i="4"/>
  <c r="AY173" i="4" s="1"/>
  <c r="AO178" i="4"/>
  <c r="AO184" i="4"/>
  <c r="AY184" i="4" s="1"/>
  <c r="AU164" i="4"/>
  <c r="AZ164" i="4" s="1"/>
  <c r="AU169" i="4"/>
  <c r="AU173" i="4"/>
  <c r="AZ173" i="4" s="1"/>
  <c r="AU178" i="4"/>
  <c r="AU184" i="4"/>
  <c r="AZ184" i="4" s="1"/>
  <c r="AI163" i="4"/>
  <c r="AI167" i="4"/>
  <c r="AX167" i="4" s="1"/>
  <c r="AI172" i="4"/>
  <c r="AX172" i="4" s="1"/>
  <c r="AI177" i="4"/>
  <c r="AI183" i="4"/>
  <c r="AX183" i="4" s="1"/>
  <c r="AO165" i="4"/>
  <c r="AY165" i="4" s="1"/>
  <c r="AO170" i="4"/>
  <c r="AO174" i="4"/>
  <c r="AY174" i="4" s="1"/>
  <c r="AO181" i="4"/>
  <c r="AO186" i="4"/>
  <c r="AU165" i="4"/>
  <c r="AZ165" i="4" s="1"/>
  <c r="AU170" i="4"/>
  <c r="AU174" i="4"/>
  <c r="AZ174" i="4" s="1"/>
  <c r="AU181" i="4"/>
  <c r="AU186" i="4"/>
  <c r="C200" i="52"/>
  <c r="D200" i="52"/>
  <c r="AZ181" i="4" l="1"/>
  <c r="O15" i="2"/>
  <c r="AX181" i="4"/>
  <c r="G15" i="2"/>
  <c r="G14" i="2"/>
  <c r="AY181" i="4"/>
  <c r="K15" i="2"/>
  <c r="O14" i="2"/>
  <c r="K14" i="2"/>
  <c r="AC14" i="2"/>
  <c r="AB15" i="2"/>
  <c r="AB14" i="2"/>
  <c r="AC15" i="2"/>
  <c r="AA14" i="2"/>
  <c r="L8" i="52"/>
  <c r="F58" i="39" l="1"/>
  <c r="H67" i="34" l="1"/>
  <c r="H68" i="34"/>
  <c r="H69" i="34"/>
  <c r="H70" i="34"/>
  <c r="H71" i="34"/>
  <c r="H72" i="34"/>
  <c r="H73" i="34"/>
  <c r="H74" i="34"/>
  <c r="H75" i="34"/>
  <c r="H76" i="34"/>
  <c r="H77" i="34"/>
  <c r="H78" i="34"/>
  <c r="H79" i="34"/>
  <c r="H80" i="34"/>
  <c r="H81" i="34"/>
  <c r="H66" i="34"/>
  <c r="H40" i="34"/>
  <c r="H41" i="34"/>
  <c r="H42" i="34"/>
  <c r="H43" i="34"/>
  <c r="H44" i="34"/>
  <c r="H45" i="34"/>
  <c r="H46" i="34"/>
  <c r="H47" i="34"/>
  <c r="H48" i="34"/>
  <c r="H49" i="34"/>
  <c r="H50" i="34"/>
  <c r="H51" i="34"/>
  <c r="H52" i="34"/>
  <c r="H53" i="34"/>
  <c r="H54" i="34"/>
  <c r="H39" i="34"/>
  <c r="AA307" i="4" l="1"/>
  <c r="W307" i="4"/>
  <c r="AZ307" i="4" s="1"/>
  <c r="V307" i="4"/>
  <c r="AY307" i="4" s="1"/>
  <c r="U307" i="4"/>
  <c r="AX307" i="4" s="1"/>
  <c r="T307" i="4"/>
  <c r="K307" i="4"/>
  <c r="Z307" i="4" s="1"/>
  <c r="AA306" i="4"/>
  <c r="W306" i="4"/>
  <c r="AZ306" i="4" s="1"/>
  <c r="V306" i="4"/>
  <c r="AY306" i="4" s="1"/>
  <c r="U306" i="4"/>
  <c r="AX306" i="4" s="1"/>
  <c r="T306" i="4"/>
  <c r="K306" i="4"/>
  <c r="Z306" i="4" s="1"/>
  <c r="AA305" i="4"/>
  <c r="W305" i="4"/>
  <c r="AZ305" i="4" s="1"/>
  <c r="V305" i="4"/>
  <c r="AY305" i="4" s="1"/>
  <c r="U305" i="4"/>
  <c r="AX305" i="4" s="1"/>
  <c r="T305" i="4"/>
  <c r="K305" i="4"/>
  <c r="Z305" i="4" s="1"/>
  <c r="BC304" i="4"/>
  <c r="BB304" i="4"/>
  <c r="AA304" i="4"/>
  <c r="W304" i="4"/>
  <c r="AZ304" i="4" s="1"/>
  <c r="V304" i="4"/>
  <c r="AY304" i="4" s="1"/>
  <c r="U304" i="4"/>
  <c r="AX304" i="4" s="1"/>
  <c r="T304" i="4"/>
  <c r="AW304" i="4" s="1"/>
  <c r="J304" i="4"/>
  <c r="Y304" i="4" s="1"/>
  <c r="D304" i="4"/>
  <c r="BC303" i="4"/>
  <c r="BB303" i="4"/>
  <c r="AA303" i="4"/>
  <c r="W303" i="4"/>
  <c r="AZ303" i="4" s="1"/>
  <c r="V303" i="4"/>
  <c r="AY303" i="4" s="1"/>
  <c r="U303" i="4"/>
  <c r="AX303" i="4" s="1"/>
  <c r="T303" i="4"/>
  <c r="AW303" i="4" s="1"/>
  <c r="J303" i="4"/>
  <c r="Y303" i="4" s="1"/>
  <c r="D303" i="4"/>
  <c r="K303" i="4" s="1"/>
  <c r="Z303" i="4" s="1"/>
  <c r="BC302" i="4"/>
  <c r="BB302" i="4"/>
  <c r="AA302" i="4"/>
  <c r="W302" i="4"/>
  <c r="AZ302" i="4" s="1"/>
  <c r="V302" i="4"/>
  <c r="AY302" i="4" s="1"/>
  <c r="U302" i="4"/>
  <c r="AX302" i="4" s="1"/>
  <c r="T302" i="4"/>
  <c r="J302" i="4"/>
  <c r="Y302" i="4" s="1"/>
  <c r="D302" i="4"/>
  <c r="BC301" i="4"/>
  <c r="BB301" i="4"/>
  <c r="AA301" i="4"/>
  <c r="W301" i="4"/>
  <c r="AZ301" i="4" s="1"/>
  <c r="V301" i="4"/>
  <c r="AY301" i="4" s="1"/>
  <c r="U301" i="4"/>
  <c r="AX301" i="4" s="1"/>
  <c r="T301" i="4"/>
  <c r="AW301" i="4" s="1"/>
  <c r="J301" i="4"/>
  <c r="Y301" i="4" s="1"/>
  <c r="D301" i="4"/>
  <c r="K301" i="4" s="1"/>
  <c r="Z301" i="4" s="1"/>
  <c r="AA300" i="4"/>
  <c r="W300" i="4"/>
  <c r="AZ300" i="4" s="1"/>
  <c r="V300" i="4"/>
  <c r="AY300" i="4" s="1"/>
  <c r="U300" i="4"/>
  <c r="AX300" i="4" s="1"/>
  <c r="T300" i="4"/>
  <c r="AW300" i="4" s="1"/>
  <c r="K300" i="4"/>
  <c r="Z300" i="4" s="1"/>
  <c r="BC299" i="4"/>
  <c r="BB299" i="4"/>
  <c r="AA299" i="4"/>
  <c r="W299" i="4"/>
  <c r="AZ299" i="4" s="1"/>
  <c r="V299" i="4"/>
  <c r="AY299" i="4" s="1"/>
  <c r="U299" i="4"/>
  <c r="AX299" i="4" s="1"/>
  <c r="T299" i="4"/>
  <c r="AW299" i="4" s="1"/>
  <c r="J299" i="4"/>
  <c r="Y299" i="4" s="1"/>
  <c r="D299" i="4"/>
  <c r="BC298" i="4"/>
  <c r="BB298" i="4"/>
  <c r="AA298" i="4"/>
  <c r="W298" i="4"/>
  <c r="AZ298" i="4" s="1"/>
  <c r="V298" i="4"/>
  <c r="AY298" i="4" s="1"/>
  <c r="U298" i="4"/>
  <c r="AX298" i="4" s="1"/>
  <c r="T298" i="4"/>
  <c r="AW298" i="4" s="1"/>
  <c r="J298" i="4"/>
  <c r="Y298" i="4" s="1"/>
  <c r="D298" i="4"/>
  <c r="BC297" i="4"/>
  <c r="BB297" i="4"/>
  <c r="AA297" i="4"/>
  <c r="W297" i="4"/>
  <c r="AZ297" i="4" s="1"/>
  <c r="V297" i="4"/>
  <c r="AY297" i="4" s="1"/>
  <c r="U297" i="4"/>
  <c r="AX297" i="4" s="1"/>
  <c r="T297" i="4"/>
  <c r="AW297" i="4" s="1"/>
  <c r="J297" i="4"/>
  <c r="Y297" i="4" s="1"/>
  <c r="D297" i="4"/>
  <c r="K297" i="4" s="1"/>
  <c r="Z297" i="4" s="1"/>
  <c r="BC296" i="4"/>
  <c r="BB296" i="4"/>
  <c r="AA296" i="4"/>
  <c r="W296" i="4"/>
  <c r="AZ296" i="4" s="1"/>
  <c r="V296" i="4"/>
  <c r="AY296" i="4" s="1"/>
  <c r="U296" i="4"/>
  <c r="AX296" i="4" s="1"/>
  <c r="T296" i="4"/>
  <c r="AW296" i="4" s="1"/>
  <c r="J296" i="4"/>
  <c r="Y296" i="4" s="1"/>
  <c r="D296" i="4"/>
  <c r="K296" i="4" s="1"/>
  <c r="Z296" i="4" s="1"/>
  <c r="BC295" i="4"/>
  <c r="BB295" i="4"/>
  <c r="AA295" i="4"/>
  <c r="W295" i="4"/>
  <c r="AZ295" i="4" s="1"/>
  <c r="V295" i="4"/>
  <c r="AY295" i="4" s="1"/>
  <c r="U295" i="4"/>
  <c r="AX295" i="4" s="1"/>
  <c r="T295" i="4"/>
  <c r="J295" i="4"/>
  <c r="Y295" i="4" s="1"/>
  <c r="D295" i="4"/>
  <c r="AA294" i="4"/>
  <c r="W294" i="4"/>
  <c r="AZ294" i="4" s="1"/>
  <c r="V294" i="4"/>
  <c r="AY294" i="4" s="1"/>
  <c r="U294" i="4"/>
  <c r="AX294" i="4" s="1"/>
  <c r="T294" i="4"/>
  <c r="AW294" i="4" s="1"/>
  <c r="K294" i="4"/>
  <c r="Z294" i="4" s="1"/>
  <c r="BC293" i="4"/>
  <c r="BB293" i="4"/>
  <c r="AA293" i="4"/>
  <c r="W293" i="4"/>
  <c r="V293" i="4"/>
  <c r="U293" i="4"/>
  <c r="T293" i="4"/>
  <c r="J293" i="4"/>
  <c r="Y293" i="4" s="1"/>
  <c r="D293" i="4"/>
  <c r="BC292" i="4"/>
  <c r="BB292" i="4"/>
  <c r="AA292" i="4"/>
  <c r="W292" i="4"/>
  <c r="V292" i="4"/>
  <c r="U292" i="4"/>
  <c r="T292" i="4"/>
  <c r="J292" i="4"/>
  <c r="Y292" i="4" s="1"/>
  <c r="D292" i="4"/>
  <c r="BC291" i="4"/>
  <c r="BB291" i="4"/>
  <c r="AA291" i="4"/>
  <c r="W291" i="4"/>
  <c r="AZ291" i="4" s="1"/>
  <c r="V291" i="4"/>
  <c r="AY291" i="4" s="1"/>
  <c r="U291" i="4"/>
  <c r="AX291" i="4" s="1"/>
  <c r="T291" i="4"/>
  <c r="AW291" i="4" s="1"/>
  <c r="J291" i="4"/>
  <c r="Y291" i="4" s="1"/>
  <c r="D291" i="4"/>
  <c r="K291" i="4" s="1"/>
  <c r="Z291" i="4" s="1"/>
  <c r="BC290" i="4"/>
  <c r="BB290" i="4"/>
  <c r="AA290" i="4"/>
  <c r="W290" i="4"/>
  <c r="AZ290" i="4" s="1"/>
  <c r="V290" i="4"/>
  <c r="AY290" i="4" s="1"/>
  <c r="U290" i="4"/>
  <c r="AX290" i="4" s="1"/>
  <c r="T290" i="4"/>
  <c r="AW290" i="4" s="1"/>
  <c r="J290" i="4"/>
  <c r="Y290" i="4" s="1"/>
  <c r="D290" i="4"/>
  <c r="BC289" i="4"/>
  <c r="BB289" i="4"/>
  <c r="AA289" i="4"/>
  <c r="W289" i="4"/>
  <c r="AZ289" i="4" s="1"/>
  <c r="V289" i="4"/>
  <c r="AY289" i="4" s="1"/>
  <c r="U289" i="4"/>
  <c r="AX289" i="4" s="1"/>
  <c r="T289" i="4"/>
  <c r="AW289" i="4" s="1"/>
  <c r="J289" i="4"/>
  <c r="Y289" i="4" s="1"/>
  <c r="D289" i="4"/>
  <c r="BC288" i="4"/>
  <c r="BB288" i="4"/>
  <c r="AA288" i="4"/>
  <c r="W288" i="4"/>
  <c r="AZ288" i="4" s="1"/>
  <c r="V288" i="4"/>
  <c r="AY288" i="4" s="1"/>
  <c r="U288" i="4"/>
  <c r="AX288" i="4" s="1"/>
  <c r="T288" i="4"/>
  <c r="AW288" i="4" s="1"/>
  <c r="J288" i="4"/>
  <c r="Y288" i="4" s="1"/>
  <c r="D288" i="4"/>
  <c r="K288" i="4" s="1"/>
  <c r="Z288" i="4" s="1"/>
  <c r="BC287" i="4"/>
  <c r="BB287" i="4"/>
  <c r="AA287" i="4"/>
  <c r="W287" i="4"/>
  <c r="AZ287" i="4" s="1"/>
  <c r="V287" i="4"/>
  <c r="AY287" i="4" s="1"/>
  <c r="U287" i="4"/>
  <c r="AX287" i="4" s="1"/>
  <c r="T287" i="4"/>
  <c r="AW287" i="4" s="1"/>
  <c r="J287" i="4"/>
  <c r="Y287" i="4" s="1"/>
  <c r="D287" i="4"/>
  <c r="AA286" i="4"/>
  <c r="W286" i="4"/>
  <c r="AZ286" i="4" s="1"/>
  <c r="V286" i="4"/>
  <c r="AY286" i="4" s="1"/>
  <c r="U286" i="4"/>
  <c r="AX286" i="4" s="1"/>
  <c r="T286" i="4"/>
  <c r="K286" i="4"/>
  <c r="Z286" i="4" s="1"/>
  <c r="BC285" i="4"/>
  <c r="BB285" i="4"/>
  <c r="AA285" i="4"/>
  <c r="W285" i="4"/>
  <c r="AZ285" i="4" s="1"/>
  <c r="V285" i="4"/>
  <c r="AY285" i="4" s="1"/>
  <c r="U285" i="4"/>
  <c r="AX285" i="4" s="1"/>
  <c r="T285" i="4"/>
  <c r="AW285" i="4" s="1"/>
  <c r="J285" i="4"/>
  <c r="Y285" i="4" s="1"/>
  <c r="D285" i="4"/>
  <c r="K285" i="4" s="1"/>
  <c r="Z285" i="4" s="1"/>
  <c r="AA284" i="4"/>
  <c r="W284" i="4"/>
  <c r="AZ284" i="4" s="1"/>
  <c r="V284" i="4"/>
  <c r="AY284" i="4" s="1"/>
  <c r="U284" i="4"/>
  <c r="AX284" i="4" s="1"/>
  <c r="T284" i="4"/>
  <c r="K284" i="4"/>
  <c r="Z284" i="4" s="1"/>
  <c r="AA283" i="4"/>
  <c r="W283" i="4"/>
  <c r="AZ283" i="4" s="1"/>
  <c r="V283" i="4"/>
  <c r="AY283" i="4" s="1"/>
  <c r="U283" i="4"/>
  <c r="AX283" i="4" s="1"/>
  <c r="T283" i="4"/>
  <c r="K283" i="4"/>
  <c r="Z283" i="4" s="1"/>
  <c r="BC282" i="4"/>
  <c r="BB282" i="4"/>
  <c r="AA282" i="4"/>
  <c r="W282" i="4"/>
  <c r="AZ282" i="4" s="1"/>
  <c r="V282" i="4"/>
  <c r="AY282" i="4" s="1"/>
  <c r="U282" i="4"/>
  <c r="AX282" i="4" s="1"/>
  <c r="T282" i="4"/>
  <c r="AW282" i="4" s="1"/>
  <c r="J282" i="4"/>
  <c r="Y282" i="4" s="1"/>
  <c r="D282" i="4"/>
  <c r="BC281" i="4"/>
  <c r="BB281" i="4"/>
  <c r="AA281" i="4"/>
  <c r="W281" i="4"/>
  <c r="AZ281" i="4" s="1"/>
  <c r="V281" i="4"/>
  <c r="AY281" i="4" s="1"/>
  <c r="U281" i="4"/>
  <c r="AX281" i="4" s="1"/>
  <c r="T281" i="4"/>
  <c r="AW281" i="4" s="1"/>
  <c r="J281" i="4"/>
  <c r="Y281" i="4" s="1"/>
  <c r="D281" i="4"/>
  <c r="K281" i="4" s="1"/>
  <c r="Z281" i="4" s="1"/>
  <c r="BC280" i="4"/>
  <c r="BB280" i="4"/>
  <c r="AA280" i="4"/>
  <c r="W280" i="4"/>
  <c r="AZ280" i="4" s="1"/>
  <c r="V280" i="4"/>
  <c r="AY280" i="4" s="1"/>
  <c r="U280" i="4"/>
  <c r="AX280" i="4" s="1"/>
  <c r="T280" i="4"/>
  <c r="AW280" i="4" s="1"/>
  <c r="J280" i="4"/>
  <c r="Y280" i="4" s="1"/>
  <c r="D280" i="4"/>
  <c r="K280" i="4" s="1"/>
  <c r="Z280" i="4" s="1"/>
  <c r="BC279" i="4"/>
  <c r="BB279" i="4"/>
  <c r="AA279" i="4"/>
  <c r="W279" i="4"/>
  <c r="AZ279" i="4" s="1"/>
  <c r="V279" i="4"/>
  <c r="AY279" i="4" s="1"/>
  <c r="U279" i="4"/>
  <c r="AX279" i="4" s="1"/>
  <c r="T279" i="4"/>
  <c r="AW279" i="4" s="1"/>
  <c r="J279" i="4"/>
  <c r="Y279" i="4" s="1"/>
  <c r="D279" i="4"/>
  <c r="K279" i="4" s="1"/>
  <c r="Z279" i="4" s="1"/>
  <c r="BC278" i="4"/>
  <c r="BB278" i="4"/>
  <c r="AA278" i="4"/>
  <c r="W278" i="4"/>
  <c r="AZ278" i="4" s="1"/>
  <c r="V278" i="4"/>
  <c r="AY278" i="4" s="1"/>
  <c r="U278" i="4"/>
  <c r="AX278" i="4" s="1"/>
  <c r="T278" i="4"/>
  <c r="AW278" i="4" s="1"/>
  <c r="J278" i="4"/>
  <c r="Y278" i="4" s="1"/>
  <c r="D278" i="4"/>
  <c r="BC277" i="4"/>
  <c r="BB277" i="4"/>
  <c r="AA277" i="4"/>
  <c r="W277" i="4"/>
  <c r="AZ277" i="4" s="1"/>
  <c r="V277" i="4"/>
  <c r="AY277" i="4" s="1"/>
  <c r="U277" i="4"/>
  <c r="AX277" i="4" s="1"/>
  <c r="T277" i="4"/>
  <c r="AW277" i="4" s="1"/>
  <c r="J277" i="4"/>
  <c r="Y277" i="4" s="1"/>
  <c r="D277" i="4"/>
  <c r="BC276" i="4"/>
  <c r="BB276" i="4"/>
  <c r="AA276" i="4"/>
  <c r="W276" i="4"/>
  <c r="AZ276" i="4" s="1"/>
  <c r="V276" i="4"/>
  <c r="AY276" i="4" s="1"/>
  <c r="U276" i="4"/>
  <c r="AX276" i="4" s="1"/>
  <c r="T276" i="4"/>
  <c r="AW276" i="4" s="1"/>
  <c r="J276" i="4"/>
  <c r="Y276" i="4" s="1"/>
  <c r="D276" i="4"/>
  <c r="BC275" i="4"/>
  <c r="BB275" i="4"/>
  <c r="AA275" i="4"/>
  <c r="W275" i="4"/>
  <c r="AZ275" i="4" s="1"/>
  <c r="V275" i="4"/>
  <c r="AY275" i="4" s="1"/>
  <c r="U275" i="4"/>
  <c r="AX275" i="4" s="1"/>
  <c r="T275" i="4"/>
  <c r="AW275" i="4" s="1"/>
  <c r="J275" i="4"/>
  <c r="Y275" i="4" s="1"/>
  <c r="D275" i="4"/>
  <c r="K275" i="4" s="1"/>
  <c r="Z275" i="4" s="1"/>
  <c r="BC274" i="4"/>
  <c r="BB274" i="4"/>
  <c r="AA274" i="4"/>
  <c r="W274" i="4"/>
  <c r="AZ274" i="4" s="1"/>
  <c r="V274" i="4"/>
  <c r="AY274" i="4" s="1"/>
  <c r="U274" i="4"/>
  <c r="AX274" i="4" s="1"/>
  <c r="T274" i="4"/>
  <c r="AW274" i="4" s="1"/>
  <c r="J274" i="4"/>
  <c r="Y274" i="4" s="1"/>
  <c r="D274" i="4"/>
  <c r="BC273" i="4"/>
  <c r="BB273" i="4"/>
  <c r="AA273" i="4"/>
  <c r="W273" i="4"/>
  <c r="AZ273" i="4" s="1"/>
  <c r="V273" i="4"/>
  <c r="AY273" i="4" s="1"/>
  <c r="U273" i="4"/>
  <c r="AX273" i="4" s="1"/>
  <c r="T273" i="4"/>
  <c r="AW273" i="4" s="1"/>
  <c r="J273" i="4"/>
  <c r="Y273" i="4" s="1"/>
  <c r="D273" i="4"/>
  <c r="BC272" i="4"/>
  <c r="BB272" i="4"/>
  <c r="AA272" i="4"/>
  <c r="W272" i="4"/>
  <c r="AZ272" i="4" s="1"/>
  <c r="V272" i="4"/>
  <c r="AY272" i="4" s="1"/>
  <c r="U272" i="4"/>
  <c r="AX272" i="4" s="1"/>
  <c r="T272" i="4"/>
  <c r="AW272" i="4" s="1"/>
  <c r="J272" i="4"/>
  <c r="Y272" i="4" s="1"/>
  <c r="D272" i="4"/>
  <c r="BC271" i="4"/>
  <c r="BB271" i="4"/>
  <c r="AA271" i="4"/>
  <c r="W271" i="4"/>
  <c r="AZ271" i="4" s="1"/>
  <c r="V271" i="4"/>
  <c r="AY271" i="4" s="1"/>
  <c r="U271" i="4"/>
  <c r="AX271" i="4" s="1"/>
  <c r="T271" i="4"/>
  <c r="AW271" i="4" s="1"/>
  <c r="J271" i="4"/>
  <c r="Y271" i="4" s="1"/>
  <c r="D271" i="4"/>
  <c r="K271" i="4" s="1"/>
  <c r="Z271" i="4" s="1"/>
  <c r="BC270" i="4"/>
  <c r="BB270" i="4"/>
  <c r="AA270" i="4"/>
  <c r="W270" i="4"/>
  <c r="AZ270" i="4" s="1"/>
  <c r="V270" i="4"/>
  <c r="AY270" i="4" s="1"/>
  <c r="U270" i="4"/>
  <c r="AX270" i="4" s="1"/>
  <c r="T270" i="4"/>
  <c r="AW270" i="4" s="1"/>
  <c r="J270" i="4"/>
  <c r="Y270" i="4" s="1"/>
  <c r="D270" i="4"/>
  <c r="BC269" i="4"/>
  <c r="BB269" i="4"/>
  <c r="AA269" i="4"/>
  <c r="W269" i="4"/>
  <c r="AZ269" i="4" s="1"/>
  <c r="V269" i="4"/>
  <c r="AY269" i="4" s="1"/>
  <c r="U269" i="4"/>
  <c r="AX269" i="4" s="1"/>
  <c r="T269" i="4"/>
  <c r="AW269" i="4" s="1"/>
  <c r="J269" i="4"/>
  <c r="Y269" i="4" s="1"/>
  <c r="D269" i="4"/>
  <c r="BC268" i="4"/>
  <c r="BB268" i="4"/>
  <c r="AA268" i="4"/>
  <c r="W268" i="4"/>
  <c r="AZ268" i="4" s="1"/>
  <c r="V268" i="4"/>
  <c r="AY268" i="4" s="1"/>
  <c r="U268" i="4"/>
  <c r="AX268" i="4" s="1"/>
  <c r="T268" i="4"/>
  <c r="AW268" i="4" s="1"/>
  <c r="J268" i="4"/>
  <c r="Y268" i="4" s="1"/>
  <c r="D268" i="4"/>
  <c r="AA267" i="4"/>
  <c r="W267" i="4"/>
  <c r="AZ267" i="4" s="1"/>
  <c r="V267" i="4"/>
  <c r="AY267" i="4" s="1"/>
  <c r="U267" i="4"/>
  <c r="AX267" i="4" s="1"/>
  <c r="T267" i="4"/>
  <c r="AW267" i="4" s="1"/>
  <c r="K267" i="4"/>
  <c r="Z267" i="4" s="1"/>
  <c r="AA266" i="4"/>
  <c r="W266" i="4"/>
  <c r="AZ266" i="4" s="1"/>
  <c r="V266" i="4"/>
  <c r="AY266" i="4" s="1"/>
  <c r="U266" i="4"/>
  <c r="AX266" i="4" s="1"/>
  <c r="T266" i="4"/>
  <c r="K266" i="4"/>
  <c r="Z266" i="4" s="1"/>
  <c r="BC265" i="4"/>
  <c r="BB265" i="4"/>
  <c r="AA265" i="4"/>
  <c r="W265" i="4"/>
  <c r="AZ265" i="4" s="1"/>
  <c r="V265" i="4"/>
  <c r="AY265" i="4" s="1"/>
  <c r="U265" i="4"/>
  <c r="AX265" i="4" s="1"/>
  <c r="T265" i="4"/>
  <c r="AW265" i="4" s="1"/>
  <c r="J265" i="4"/>
  <c r="Y265" i="4" s="1"/>
  <c r="D265" i="4"/>
  <c r="BC264" i="4"/>
  <c r="BB264" i="4"/>
  <c r="AA264" i="4"/>
  <c r="W264" i="4"/>
  <c r="AZ264" i="4" s="1"/>
  <c r="V264" i="4"/>
  <c r="AY264" i="4" s="1"/>
  <c r="U264" i="4"/>
  <c r="AX264" i="4" s="1"/>
  <c r="T264" i="4"/>
  <c r="J264" i="4"/>
  <c r="Y264" i="4" s="1"/>
  <c r="D264" i="4"/>
  <c r="BC263" i="4"/>
  <c r="BB263" i="4"/>
  <c r="AA263" i="4"/>
  <c r="W263" i="4"/>
  <c r="AZ263" i="4" s="1"/>
  <c r="V263" i="4"/>
  <c r="AY263" i="4" s="1"/>
  <c r="U263" i="4"/>
  <c r="AX263" i="4" s="1"/>
  <c r="T263" i="4"/>
  <c r="J263" i="4"/>
  <c r="Y263" i="4" s="1"/>
  <c r="D263" i="4"/>
  <c r="K263" i="4" s="1"/>
  <c r="Z263" i="4" s="1"/>
  <c r="AA262" i="4"/>
  <c r="W262" i="4"/>
  <c r="AZ262" i="4" s="1"/>
  <c r="V262" i="4"/>
  <c r="AY262" i="4" s="1"/>
  <c r="U262" i="4"/>
  <c r="AX262" i="4" s="1"/>
  <c r="T262" i="4"/>
  <c r="AW262" i="4" s="1"/>
  <c r="K262" i="4"/>
  <c r="Z262" i="4" s="1"/>
  <c r="AA261" i="4"/>
  <c r="W261" i="4"/>
  <c r="AZ261" i="4" s="1"/>
  <c r="V261" i="4"/>
  <c r="AY261" i="4" s="1"/>
  <c r="U261" i="4"/>
  <c r="AX261" i="4" s="1"/>
  <c r="T261" i="4"/>
  <c r="K261" i="4"/>
  <c r="Z261" i="4" s="1"/>
  <c r="BC260" i="4"/>
  <c r="BB260" i="4"/>
  <c r="AA260" i="4"/>
  <c r="W260" i="4"/>
  <c r="AZ260" i="4" s="1"/>
  <c r="V260" i="4"/>
  <c r="AY260" i="4" s="1"/>
  <c r="U260" i="4"/>
  <c r="AX260" i="4" s="1"/>
  <c r="T260" i="4"/>
  <c r="AW260" i="4" s="1"/>
  <c r="J260" i="4"/>
  <c r="Y260" i="4" s="1"/>
  <c r="D260" i="4"/>
  <c r="BC259" i="4"/>
  <c r="BB259" i="4"/>
  <c r="AA259" i="4"/>
  <c r="W259" i="4"/>
  <c r="AZ259" i="4" s="1"/>
  <c r="V259" i="4"/>
  <c r="U259" i="4"/>
  <c r="T259" i="4"/>
  <c r="J259" i="4"/>
  <c r="Y259" i="4" s="1"/>
  <c r="D259" i="4"/>
  <c r="AA258" i="4"/>
  <c r="W258" i="4"/>
  <c r="AZ258" i="4" s="1"/>
  <c r="V258" i="4"/>
  <c r="U258" i="4"/>
  <c r="T258" i="4"/>
  <c r="K258" i="4"/>
  <c r="Z258" i="4" s="1"/>
  <c r="AA257" i="4"/>
  <c r="W257" i="4"/>
  <c r="AZ257" i="4" s="1"/>
  <c r="V257" i="4"/>
  <c r="AY257" i="4" s="1"/>
  <c r="U257" i="4"/>
  <c r="AX257" i="4" s="1"/>
  <c r="T257" i="4"/>
  <c r="AW257" i="4" s="1"/>
  <c r="K257" i="4"/>
  <c r="Z257" i="4" s="1"/>
  <c r="AA256" i="4"/>
  <c r="W256" i="4"/>
  <c r="AZ256" i="4" s="1"/>
  <c r="V256" i="4"/>
  <c r="AY256" i="4" s="1"/>
  <c r="U256" i="4"/>
  <c r="AX256" i="4" s="1"/>
  <c r="T256" i="4"/>
  <c r="AW256" i="4" s="1"/>
  <c r="K256" i="4"/>
  <c r="Z256" i="4" s="1"/>
  <c r="BC255" i="4"/>
  <c r="BB255" i="4"/>
  <c r="AA255" i="4"/>
  <c r="W255" i="4"/>
  <c r="AZ255" i="4" s="1"/>
  <c r="V255" i="4"/>
  <c r="AY255" i="4" s="1"/>
  <c r="U255" i="4"/>
  <c r="AX255" i="4" s="1"/>
  <c r="T255" i="4"/>
  <c r="AW255" i="4" s="1"/>
  <c r="J255" i="4"/>
  <c r="Y255" i="4" s="1"/>
  <c r="D255" i="4"/>
  <c r="BC254" i="4"/>
  <c r="BB254" i="4"/>
  <c r="AA254" i="4"/>
  <c r="W254" i="4"/>
  <c r="AZ254" i="4" s="1"/>
  <c r="V254" i="4"/>
  <c r="AY254" i="4" s="1"/>
  <c r="U254" i="4"/>
  <c r="AX254" i="4" s="1"/>
  <c r="T254" i="4"/>
  <c r="AW254" i="4" s="1"/>
  <c r="J254" i="4"/>
  <c r="Y254" i="4" s="1"/>
  <c r="D254" i="4"/>
  <c r="BC253" i="4"/>
  <c r="BB253" i="4"/>
  <c r="AA253" i="4"/>
  <c r="W253" i="4"/>
  <c r="AZ253" i="4" s="1"/>
  <c r="V253" i="4"/>
  <c r="AY253" i="4" s="1"/>
  <c r="U253" i="4"/>
  <c r="AX253" i="4" s="1"/>
  <c r="T253" i="4"/>
  <c r="AW253" i="4" s="1"/>
  <c r="J253" i="4"/>
  <c r="Y253" i="4" s="1"/>
  <c r="D253" i="4"/>
  <c r="BC252" i="4"/>
  <c r="BB252" i="4"/>
  <c r="AA252" i="4"/>
  <c r="W252" i="4"/>
  <c r="AZ252" i="4" s="1"/>
  <c r="V252" i="4"/>
  <c r="AY252" i="4" s="1"/>
  <c r="U252" i="4"/>
  <c r="AX252" i="4" s="1"/>
  <c r="T252" i="4"/>
  <c r="AW252" i="4" s="1"/>
  <c r="J252" i="4"/>
  <c r="Y252" i="4" s="1"/>
  <c r="D252" i="4"/>
  <c r="K252" i="4" s="1"/>
  <c r="Z252" i="4" s="1"/>
  <c r="BC251" i="4"/>
  <c r="BB251" i="4"/>
  <c r="AA251" i="4"/>
  <c r="W251" i="4"/>
  <c r="V251" i="4"/>
  <c r="U251" i="4"/>
  <c r="T251" i="4"/>
  <c r="J251" i="4"/>
  <c r="Y251" i="4" s="1"/>
  <c r="D251" i="4"/>
  <c r="BC250" i="4"/>
  <c r="BB250" i="4"/>
  <c r="AA250" i="4"/>
  <c r="W250" i="4"/>
  <c r="AZ250" i="4" s="1"/>
  <c r="V250" i="4"/>
  <c r="AY250" i="4" s="1"/>
  <c r="U250" i="4"/>
  <c r="AX250" i="4" s="1"/>
  <c r="T250" i="4"/>
  <c r="AW250" i="4" s="1"/>
  <c r="J250" i="4"/>
  <c r="Y250" i="4" s="1"/>
  <c r="D250" i="4"/>
  <c r="BC249" i="4"/>
  <c r="BB249" i="4"/>
  <c r="AA249" i="4"/>
  <c r="W249" i="4"/>
  <c r="V249" i="4"/>
  <c r="U249" i="4"/>
  <c r="T249" i="4"/>
  <c r="J249" i="4"/>
  <c r="Y249" i="4" s="1"/>
  <c r="D249" i="4"/>
  <c r="BC248" i="4"/>
  <c r="BB248" i="4"/>
  <c r="AA248" i="4"/>
  <c r="W248" i="4"/>
  <c r="AZ248" i="4" s="1"/>
  <c r="V248" i="4"/>
  <c r="AY248" i="4" s="1"/>
  <c r="U248" i="4"/>
  <c r="AX248" i="4" s="1"/>
  <c r="T248" i="4"/>
  <c r="AW248" i="4" s="1"/>
  <c r="J248" i="4"/>
  <c r="Y248" i="4" s="1"/>
  <c r="D248" i="4"/>
  <c r="K248" i="4" s="1"/>
  <c r="Z248" i="4" s="1"/>
  <c r="BC247" i="4"/>
  <c r="BB247" i="4"/>
  <c r="AA247" i="4"/>
  <c r="W247" i="4"/>
  <c r="AZ247" i="4" s="1"/>
  <c r="V247" i="4"/>
  <c r="AY247" i="4" s="1"/>
  <c r="U247" i="4"/>
  <c r="AX247" i="4" s="1"/>
  <c r="T247" i="4"/>
  <c r="AW247" i="4" s="1"/>
  <c r="J247" i="4"/>
  <c r="Y247" i="4" s="1"/>
  <c r="D247" i="4"/>
  <c r="BC246" i="4"/>
  <c r="BB246" i="4"/>
  <c r="AA246" i="4"/>
  <c r="W246" i="4"/>
  <c r="AZ246" i="4" s="1"/>
  <c r="V246" i="4"/>
  <c r="AY246" i="4" s="1"/>
  <c r="U246" i="4"/>
  <c r="AX246" i="4" s="1"/>
  <c r="T246" i="4"/>
  <c r="AW246" i="4" s="1"/>
  <c r="J246" i="4"/>
  <c r="Y246" i="4" s="1"/>
  <c r="D246" i="4"/>
  <c r="BC245" i="4"/>
  <c r="BB245" i="4"/>
  <c r="AA245" i="4"/>
  <c r="W245" i="4"/>
  <c r="AZ245" i="4" s="1"/>
  <c r="V245" i="4"/>
  <c r="AY245" i="4" s="1"/>
  <c r="U245" i="4"/>
  <c r="AX245" i="4" s="1"/>
  <c r="T245" i="4"/>
  <c r="AW245" i="4" s="1"/>
  <c r="J245" i="4"/>
  <c r="Y245" i="4" s="1"/>
  <c r="D245" i="4"/>
  <c r="BC244" i="4"/>
  <c r="BB244" i="4"/>
  <c r="AA244" i="4"/>
  <c r="W244" i="4"/>
  <c r="AZ244" i="4" s="1"/>
  <c r="V244" i="4"/>
  <c r="AY244" i="4" s="1"/>
  <c r="U244" i="4"/>
  <c r="AX244" i="4" s="1"/>
  <c r="T244" i="4"/>
  <c r="AW244" i="4" s="1"/>
  <c r="J244" i="4"/>
  <c r="Y244" i="4" s="1"/>
  <c r="D244" i="4"/>
  <c r="K244" i="4" s="1"/>
  <c r="Z244" i="4" s="1"/>
  <c r="BC243" i="4"/>
  <c r="BB243" i="4"/>
  <c r="AA243" i="4"/>
  <c r="W243" i="4"/>
  <c r="AZ243" i="4" s="1"/>
  <c r="V243" i="4"/>
  <c r="AY243" i="4" s="1"/>
  <c r="U243" i="4"/>
  <c r="AX243" i="4" s="1"/>
  <c r="T243" i="4"/>
  <c r="AW243" i="4" s="1"/>
  <c r="J243" i="4"/>
  <c r="Y243" i="4" s="1"/>
  <c r="D243" i="4"/>
  <c r="BC242" i="4"/>
  <c r="BB242" i="4"/>
  <c r="AA242" i="4"/>
  <c r="W242" i="4"/>
  <c r="AZ242" i="4" s="1"/>
  <c r="V242" i="4"/>
  <c r="AY242" i="4" s="1"/>
  <c r="U242" i="4"/>
  <c r="AX242" i="4" s="1"/>
  <c r="T242" i="4"/>
  <c r="AW242" i="4" s="1"/>
  <c r="J242" i="4"/>
  <c r="Y242" i="4" s="1"/>
  <c r="D242" i="4"/>
  <c r="BC241" i="4"/>
  <c r="BB241" i="4"/>
  <c r="AA241" i="4"/>
  <c r="W241" i="4"/>
  <c r="AZ241" i="4" s="1"/>
  <c r="V241" i="4"/>
  <c r="AY241" i="4" s="1"/>
  <c r="U241" i="4"/>
  <c r="AX241" i="4" s="1"/>
  <c r="T241" i="4"/>
  <c r="AW241" i="4" s="1"/>
  <c r="J241" i="4"/>
  <c r="Y241" i="4" s="1"/>
  <c r="D241" i="4"/>
  <c r="BC240" i="4"/>
  <c r="BB240" i="4"/>
  <c r="AA240" i="4"/>
  <c r="W240" i="4"/>
  <c r="AZ240" i="4" s="1"/>
  <c r="V240" i="4"/>
  <c r="AY240" i="4" s="1"/>
  <c r="U240" i="4"/>
  <c r="AX240" i="4" s="1"/>
  <c r="T240" i="4"/>
  <c r="AW240" i="4" s="1"/>
  <c r="J240" i="4"/>
  <c r="Y240" i="4" s="1"/>
  <c r="D240" i="4"/>
  <c r="K240" i="4" s="1"/>
  <c r="Z240" i="4" s="1"/>
  <c r="BC239" i="4"/>
  <c r="BB239" i="4"/>
  <c r="AA239" i="4"/>
  <c r="W239" i="4"/>
  <c r="AZ239" i="4" s="1"/>
  <c r="V239" i="4"/>
  <c r="AY239" i="4" s="1"/>
  <c r="U239" i="4"/>
  <c r="AX239" i="4" s="1"/>
  <c r="T239" i="4"/>
  <c r="AW239" i="4" s="1"/>
  <c r="J239" i="4"/>
  <c r="Y239" i="4" s="1"/>
  <c r="D239" i="4"/>
  <c r="BC238" i="4"/>
  <c r="BB238" i="4"/>
  <c r="AA238" i="4"/>
  <c r="W238" i="4"/>
  <c r="AZ238" i="4" s="1"/>
  <c r="V238" i="4"/>
  <c r="AY238" i="4" s="1"/>
  <c r="U238" i="4"/>
  <c r="AX238" i="4" s="1"/>
  <c r="T238" i="4"/>
  <c r="AW238" i="4" s="1"/>
  <c r="J238" i="4"/>
  <c r="Y238" i="4" s="1"/>
  <c r="D238" i="4"/>
  <c r="BC237" i="4"/>
  <c r="BB237" i="4"/>
  <c r="AA237" i="4"/>
  <c r="W237" i="4"/>
  <c r="AZ237" i="4" s="1"/>
  <c r="V237" i="4"/>
  <c r="AY237" i="4" s="1"/>
  <c r="U237" i="4"/>
  <c r="AX237" i="4" s="1"/>
  <c r="T237" i="4"/>
  <c r="AW237" i="4" s="1"/>
  <c r="J237" i="4"/>
  <c r="Y237" i="4" s="1"/>
  <c r="D237" i="4"/>
  <c r="K237" i="4" s="1"/>
  <c r="Z237" i="4" s="1"/>
  <c r="BC236" i="4"/>
  <c r="BB236" i="4"/>
  <c r="AA236" i="4"/>
  <c r="W236" i="4"/>
  <c r="AZ236" i="4" s="1"/>
  <c r="V236" i="4"/>
  <c r="AY236" i="4" s="1"/>
  <c r="U236" i="4"/>
  <c r="AX236" i="4" s="1"/>
  <c r="T236" i="4"/>
  <c r="AW236" i="4" s="1"/>
  <c r="J236" i="4"/>
  <c r="Y236" i="4" s="1"/>
  <c r="D236" i="4"/>
  <c r="K236" i="4" s="1"/>
  <c r="Z236" i="4" s="1"/>
  <c r="BC235" i="4"/>
  <c r="BB235" i="4"/>
  <c r="AA235" i="4"/>
  <c r="W235" i="4"/>
  <c r="AZ235" i="4" s="1"/>
  <c r="V235" i="4"/>
  <c r="AY235" i="4" s="1"/>
  <c r="U235" i="4"/>
  <c r="AX235" i="4" s="1"/>
  <c r="T235" i="4"/>
  <c r="AW235" i="4" s="1"/>
  <c r="J235" i="4"/>
  <c r="Y235" i="4" s="1"/>
  <c r="D235" i="4"/>
  <c r="AA234" i="4"/>
  <c r="W234" i="4"/>
  <c r="AZ234" i="4" s="1"/>
  <c r="V234" i="4"/>
  <c r="AY234" i="4" s="1"/>
  <c r="U234" i="4"/>
  <c r="AX234" i="4" s="1"/>
  <c r="T234" i="4"/>
  <c r="AW234" i="4" s="1"/>
  <c r="K234" i="4"/>
  <c r="Z234" i="4" s="1"/>
  <c r="AA233" i="4"/>
  <c r="W233" i="4"/>
  <c r="AZ233" i="4" s="1"/>
  <c r="V233" i="4"/>
  <c r="AY233" i="4" s="1"/>
  <c r="U233" i="4"/>
  <c r="AX233" i="4" s="1"/>
  <c r="T233" i="4"/>
  <c r="AW233" i="4" s="1"/>
  <c r="K233" i="4"/>
  <c r="Z233" i="4" s="1"/>
  <c r="AA232" i="4"/>
  <c r="W232" i="4"/>
  <c r="AZ232" i="4" s="1"/>
  <c r="V232" i="4"/>
  <c r="AY232" i="4" s="1"/>
  <c r="U232" i="4"/>
  <c r="AX232" i="4" s="1"/>
  <c r="T232" i="4"/>
  <c r="AW232" i="4" s="1"/>
  <c r="K232" i="4"/>
  <c r="Z232" i="4" s="1"/>
  <c r="AA231" i="4"/>
  <c r="W231" i="4"/>
  <c r="AZ231" i="4" s="1"/>
  <c r="V231" i="4"/>
  <c r="AY231" i="4" s="1"/>
  <c r="U231" i="4"/>
  <c r="AX231" i="4" s="1"/>
  <c r="T231" i="4"/>
  <c r="AW231" i="4" s="1"/>
  <c r="K231" i="4"/>
  <c r="Z231" i="4" s="1"/>
  <c r="BC230" i="4"/>
  <c r="BB230" i="4"/>
  <c r="AA230" i="4"/>
  <c r="W230" i="4"/>
  <c r="AZ230" i="4" s="1"/>
  <c r="V230" i="4"/>
  <c r="AY230" i="4" s="1"/>
  <c r="U230" i="4"/>
  <c r="AX230" i="4" s="1"/>
  <c r="T230" i="4"/>
  <c r="AW230" i="4" s="1"/>
  <c r="J230" i="4"/>
  <c r="Y230" i="4" s="1"/>
  <c r="D230" i="4"/>
  <c r="BC229" i="4"/>
  <c r="BB229" i="4"/>
  <c r="AA229" i="4"/>
  <c r="W229" i="4"/>
  <c r="AZ229" i="4" s="1"/>
  <c r="V229" i="4"/>
  <c r="AY229" i="4" s="1"/>
  <c r="U229" i="4"/>
  <c r="AX229" i="4" s="1"/>
  <c r="T229" i="4"/>
  <c r="AW229" i="4" s="1"/>
  <c r="J229" i="4"/>
  <c r="Y229" i="4" s="1"/>
  <c r="D229" i="4"/>
  <c r="K229" i="4" s="1"/>
  <c r="Z229" i="4" s="1"/>
  <c r="BC228" i="4"/>
  <c r="BB228" i="4"/>
  <c r="AA228" i="4"/>
  <c r="W228" i="4"/>
  <c r="AZ228" i="4" s="1"/>
  <c r="V228" i="4"/>
  <c r="AY228" i="4" s="1"/>
  <c r="U228" i="4"/>
  <c r="AX228" i="4" s="1"/>
  <c r="T228" i="4"/>
  <c r="J228" i="4"/>
  <c r="Y228" i="4" s="1"/>
  <c r="D228" i="4"/>
  <c r="BC227" i="4"/>
  <c r="BB227" i="4"/>
  <c r="AA227" i="4"/>
  <c r="W227" i="4"/>
  <c r="AZ227" i="4" s="1"/>
  <c r="V227" i="4"/>
  <c r="AY227" i="4" s="1"/>
  <c r="U227" i="4"/>
  <c r="AX227" i="4" s="1"/>
  <c r="T227" i="4"/>
  <c r="J227" i="4"/>
  <c r="Y227" i="4" s="1"/>
  <c r="D227" i="4"/>
  <c r="BC226" i="4"/>
  <c r="BB226" i="4"/>
  <c r="AA226" i="4"/>
  <c r="W226" i="4"/>
  <c r="AZ226" i="4" s="1"/>
  <c r="V226" i="4"/>
  <c r="AY226" i="4" s="1"/>
  <c r="U226" i="4"/>
  <c r="AX226" i="4" s="1"/>
  <c r="T226" i="4"/>
  <c r="AW226" i="4" s="1"/>
  <c r="J226" i="4"/>
  <c r="Y226" i="4" s="1"/>
  <c r="D226" i="4"/>
  <c r="BC225" i="4"/>
  <c r="BB225" i="4"/>
  <c r="AA225" i="4"/>
  <c r="W225" i="4"/>
  <c r="V225" i="4"/>
  <c r="U225" i="4"/>
  <c r="T225" i="4"/>
  <c r="J225" i="4"/>
  <c r="Y225" i="4" s="1"/>
  <c r="D225" i="4"/>
  <c r="BC224" i="4"/>
  <c r="BB224" i="4"/>
  <c r="AA224" i="4"/>
  <c r="W224" i="4"/>
  <c r="V224" i="4"/>
  <c r="U224" i="4"/>
  <c r="T224" i="4"/>
  <c r="J224" i="4"/>
  <c r="Y224" i="4" s="1"/>
  <c r="D224" i="4"/>
  <c r="BC223" i="4"/>
  <c r="BB223" i="4"/>
  <c r="AA223" i="4"/>
  <c r="W223" i="4"/>
  <c r="V223" i="4"/>
  <c r="U223" i="4"/>
  <c r="T223" i="4"/>
  <c r="J223" i="4"/>
  <c r="Y223" i="4" s="1"/>
  <c r="D223" i="4"/>
  <c r="BC222" i="4"/>
  <c r="BB222" i="4"/>
  <c r="AA222" i="4"/>
  <c r="W222" i="4"/>
  <c r="V222" i="4"/>
  <c r="U222" i="4"/>
  <c r="T222" i="4"/>
  <c r="J222" i="4"/>
  <c r="Y222" i="4" s="1"/>
  <c r="D222" i="4"/>
  <c r="BC221" i="4"/>
  <c r="BB221" i="4"/>
  <c r="AA221" i="4"/>
  <c r="W221" i="4"/>
  <c r="V221" i="4"/>
  <c r="U221" i="4"/>
  <c r="T221" i="4"/>
  <c r="J221" i="4"/>
  <c r="Y221" i="4" s="1"/>
  <c r="D221" i="4"/>
  <c r="BC220" i="4"/>
  <c r="BB220" i="4"/>
  <c r="AA220" i="4"/>
  <c r="W220" i="4"/>
  <c r="V220" i="4"/>
  <c r="U220" i="4"/>
  <c r="T220" i="4"/>
  <c r="J220" i="4"/>
  <c r="Y220" i="4" s="1"/>
  <c r="D220" i="4"/>
  <c r="BC219" i="4"/>
  <c r="BB219" i="4"/>
  <c r="AA219" i="4"/>
  <c r="W219" i="4"/>
  <c r="V219" i="4"/>
  <c r="U219" i="4"/>
  <c r="T219" i="4"/>
  <c r="J219" i="4"/>
  <c r="Y219" i="4" s="1"/>
  <c r="D219" i="4"/>
  <c r="BC218" i="4"/>
  <c r="BB218" i="4"/>
  <c r="AA218" i="4"/>
  <c r="W218" i="4"/>
  <c r="V218" i="4"/>
  <c r="U218" i="4"/>
  <c r="T218" i="4"/>
  <c r="J218" i="4"/>
  <c r="Y218" i="4" s="1"/>
  <c r="D218" i="4"/>
  <c r="AA217" i="4"/>
  <c r="W217" i="4"/>
  <c r="AZ217" i="4" s="1"/>
  <c r="V217" i="4"/>
  <c r="AY217" i="4" s="1"/>
  <c r="U217" i="4"/>
  <c r="AX217" i="4" s="1"/>
  <c r="T217" i="4"/>
  <c r="K217" i="4"/>
  <c r="Z217" i="4" s="1"/>
  <c r="AA216" i="4"/>
  <c r="W216" i="4"/>
  <c r="AZ216" i="4" s="1"/>
  <c r="V216" i="4"/>
  <c r="AY216" i="4" s="1"/>
  <c r="U216" i="4"/>
  <c r="AX216" i="4" s="1"/>
  <c r="T216" i="4"/>
  <c r="K216" i="4"/>
  <c r="Z216" i="4" s="1"/>
  <c r="AA215" i="4"/>
  <c r="W215" i="4"/>
  <c r="AZ215" i="4" s="1"/>
  <c r="V215" i="4"/>
  <c r="AY215" i="4" s="1"/>
  <c r="U215" i="4"/>
  <c r="AX215" i="4" s="1"/>
  <c r="T215" i="4"/>
  <c r="AW215" i="4" s="1"/>
  <c r="K215" i="4"/>
  <c r="Z215" i="4" s="1"/>
  <c r="BC214" i="4"/>
  <c r="BB214" i="4"/>
  <c r="AA214" i="4"/>
  <c r="W214" i="4"/>
  <c r="AZ214" i="4" s="1"/>
  <c r="V214" i="4"/>
  <c r="AY214" i="4" s="1"/>
  <c r="U214" i="4"/>
  <c r="AX214" i="4" s="1"/>
  <c r="T214" i="4"/>
  <c r="AW214" i="4" s="1"/>
  <c r="J214" i="4"/>
  <c r="Y214" i="4" s="1"/>
  <c r="D214" i="4"/>
  <c r="BC213" i="4"/>
  <c r="BB213" i="4"/>
  <c r="AA213" i="4"/>
  <c r="W213" i="4"/>
  <c r="V213" i="4"/>
  <c r="U213" i="4"/>
  <c r="T213" i="4"/>
  <c r="J213" i="4"/>
  <c r="Y213" i="4" s="1"/>
  <c r="D213" i="4"/>
  <c r="BC212" i="4"/>
  <c r="BB212" i="4"/>
  <c r="AA212" i="4"/>
  <c r="W212" i="4"/>
  <c r="V212" i="4"/>
  <c r="U212" i="4"/>
  <c r="T212" i="4"/>
  <c r="J212" i="4"/>
  <c r="Y212" i="4" s="1"/>
  <c r="D212" i="4"/>
  <c r="BC211" i="4"/>
  <c r="BB211" i="4"/>
  <c r="AA211" i="4"/>
  <c r="W211" i="4"/>
  <c r="V211" i="4"/>
  <c r="U211" i="4"/>
  <c r="T211" i="4"/>
  <c r="J211" i="4"/>
  <c r="Y211" i="4" s="1"/>
  <c r="D211" i="4"/>
  <c r="AA210" i="4"/>
  <c r="W210" i="4"/>
  <c r="AZ210" i="4" s="1"/>
  <c r="V210" i="4"/>
  <c r="AY210" i="4" s="1"/>
  <c r="U210" i="4"/>
  <c r="AX210" i="4" s="1"/>
  <c r="T210" i="4"/>
  <c r="AW210" i="4" s="1"/>
  <c r="K210" i="4"/>
  <c r="Z210" i="4" s="1"/>
  <c r="AA209" i="4"/>
  <c r="W209" i="4"/>
  <c r="AZ209" i="4" s="1"/>
  <c r="V209" i="4"/>
  <c r="AY209" i="4" s="1"/>
  <c r="U209" i="4"/>
  <c r="AX209" i="4" s="1"/>
  <c r="T209" i="4"/>
  <c r="AW209" i="4" s="1"/>
  <c r="K209" i="4"/>
  <c r="Z209" i="4" s="1"/>
  <c r="AA208" i="4"/>
  <c r="W208" i="4"/>
  <c r="AZ208" i="4" s="1"/>
  <c r="V208" i="4"/>
  <c r="AY208" i="4" s="1"/>
  <c r="U208" i="4"/>
  <c r="AX208" i="4" s="1"/>
  <c r="T208" i="4"/>
  <c r="K208" i="4"/>
  <c r="Z208" i="4" s="1"/>
  <c r="AA207" i="4"/>
  <c r="W207" i="4"/>
  <c r="AZ207" i="4" s="1"/>
  <c r="V207" i="4"/>
  <c r="AY207" i="4" s="1"/>
  <c r="U207" i="4"/>
  <c r="AX207" i="4" s="1"/>
  <c r="T207" i="4"/>
  <c r="K207" i="4"/>
  <c r="Z207" i="4" s="1"/>
  <c r="BC206" i="4"/>
  <c r="BB206" i="4"/>
  <c r="AA206" i="4"/>
  <c r="W206" i="4"/>
  <c r="AZ206" i="4" s="1"/>
  <c r="V206" i="4"/>
  <c r="AY206" i="4" s="1"/>
  <c r="U206" i="4"/>
  <c r="AX206" i="4" s="1"/>
  <c r="T206" i="4"/>
  <c r="AW206" i="4" s="1"/>
  <c r="J206" i="4"/>
  <c r="Y206" i="4" s="1"/>
  <c r="D206" i="4"/>
  <c r="K206" i="4" s="1"/>
  <c r="Z206" i="4" s="1"/>
  <c r="BC205" i="4"/>
  <c r="BB205" i="4"/>
  <c r="AA205" i="4"/>
  <c r="W205" i="4"/>
  <c r="AZ205" i="4" s="1"/>
  <c r="V205" i="4"/>
  <c r="AY205" i="4" s="1"/>
  <c r="U205" i="4"/>
  <c r="AX205" i="4" s="1"/>
  <c r="T205" i="4"/>
  <c r="AW205" i="4" s="1"/>
  <c r="J205" i="4"/>
  <c r="Y205" i="4" s="1"/>
  <c r="D205" i="4"/>
  <c r="BC204" i="4"/>
  <c r="BB204" i="4"/>
  <c r="AA204" i="4"/>
  <c r="W204" i="4"/>
  <c r="AZ204" i="4" s="1"/>
  <c r="V204" i="4"/>
  <c r="AY204" i="4" s="1"/>
  <c r="U204" i="4"/>
  <c r="AX204" i="4" s="1"/>
  <c r="T204" i="4"/>
  <c r="AW204" i="4" s="1"/>
  <c r="J204" i="4"/>
  <c r="Y204" i="4" s="1"/>
  <c r="D204" i="4"/>
  <c r="K204" i="4" s="1"/>
  <c r="Z204" i="4" s="1"/>
  <c r="BC203" i="4"/>
  <c r="BB203" i="4"/>
  <c r="AA203" i="4"/>
  <c r="W203" i="4"/>
  <c r="AZ203" i="4" s="1"/>
  <c r="V203" i="4"/>
  <c r="AY203" i="4" s="1"/>
  <c r="U203" i="4"/>
  <c r="AX203" i="4" s="1"/>
  <c r="T203" i="4"/>
  <c r="AW203" i="4" s="1"/>
  <c r="J203" i="4"/>
  <c r="Y203" i="4" s="1"/>
  <c r="D203" i="4"/>
  <c r="BC202" i="4"/>
  <c r="BB202" i="4"/>
  <c r="AA202" i="4"/>
  <c r="W202" i="4"/>
  <c r="AZ202" i="4" s="1"/>
  <c r="V202" i="4"/>
  <c r="AY202" i="4" s="1"/>
  <c r="U202" i="4"/>
  <c r="AX202" i="4" s="1"/>
  <c r="T202" i="4"/>
  <c r="AW202" i="4" s="1"/>
  <c r="J202" i="4"/>
  <c r="Y202" i="4" s="1"/>
  <c r="D202" i="4"/>
  <c r="BC201" i="4"/>
  <c r="BB201" i="4"/>
  <c r="AA201" i="4"/>
  <c r="W201" i="4"/>
  <c r="AZ201" i="4" s="1"/>
  <c r="V201" i="4"/>
  <c r="AY201" i="4" s="1"/>
  <c r="U201" i="4"/>
  <c r="AX201" i="4" s="1"/>
  <c r="T201" i="4"/>
  <c r="AW201" i="4" s="1"/>
  <c r="J201" i="4"/>
  <c r="Y201" i="4" s="1"/>
  <c r="D201" i="4"/>
  <c r="BC200" i="4"/>
  <c r="BB200" i="4"/>
  <c r="AA200" i="4"/>
  <c r="W200" i="4"/>
  <c r="AZ200" i="4" s="1"/>
  <c r="V200" i="4"/>
  <c r="AY200" i="4" s="1"/>
  <c r="U200" i="4"/>
  <c r="AX200" i="4" s="1"/>
  <c r="T200" i="4"/>
  <c r="AW200" i="4" s="1"/>
  <c r="J200" i="4"/>
  <c r="Y200" i="4" s="1"/>
  <c r="D200" i="4"/>
  <c r="K200" i="4" s="1"/>
  <c r="Z200" i="4" s="1"/>
  <c r="BC199" i="4"/>
  <c r="BB199" i="4"/>
  <c r="AA199" i="4"/>
  <c r="W199" i="4"/>
  <c r="AZ199" i="4" s="1"/>
  <c r="V199" i="4"/>
  <c r="AY199" i="4" s="1"/>
  <c r="U199" i="4"/>
  <c r="AX199" i="4" s="1"/>
  <c r="T199" i="4"/>
  <c r="AW199" i="4" s="1"/>
  <c r="J199" i="4"/>
  <c r="Y199" i="4" s="1"/>
  <c r="D199" i="4"/>
  <c r="AA198" i="4"/>
  <c r="W198" i="4"/>
  <c r="AZ198" i="4" s="1"/>
  <c r="V198" i="4"/>
  <c r="AY198" i="4" s="1"/>
  <c r="U198" i="4"/>
  <c r="AX198" i="4" s="1"/>
  <c r="T198" i="4"/>
  <c r="AW198" i="4" s="1"/>
  <c r="K198" i="4"/>
  <c r="Z198" i="4" s="1"/>
  <c r="BC197" i="4"/>
  <c r="BB197" i="4"/>
  <c r="AA197" i="4"/>
  <c r="W197" i="4"/>
  <c r="V197" i="4"/>
  <c r="U197" i="4"/>
  <c r="T197" i="4"/>
  <c r="J197" i="4"/>
  <c r="Y197" i="4" s="1"/>
  <c r="D197" i="4"/>
  <c r="K197" i="4" s="1"/>
  <c r="Z197" i="4" s="1"/>
  <c r="BC196" i="4"/>
  <c r="BB196" i="4"/>
  <c r="AA196" i="4"/>
  <c r="W196" i="4"/>
  <c r="V196" i="4"/>
  <c r="U196" i="4"/>
  <c r="T196" i="4"/>
  <c r="J196" i="4"/>
  <c r="Y196" i="4" s="1"/>
  <c r="D196" i="4"/>
  <c r="BC195" i="4"/>
  <c r="BB195" i="4"/>
  <c r="AA195" i="4"/>
  <c r="W195" i="4"/>
  <c r="V195" i="4"/>
  <c r="U195" i="4"/>
  <c r="T195" i="4"/>
  <c r="J195" i="4"/>
  <c r="Y195" i="4" s="1"/>
  <c r="D195" i="4"/>
  <c r="BC194" i="4"/>
  <c r="BB194" i="4"/>
  <c r="AA194" i="4"/>
  <c r="W194" i="4"/>
  <c r="V194" i="4"/>
  <c r="U194" i="4"/>
  <c r="T194" i="4"/>
  <c r="J194" i="4"/>
  <c r="Y194" i="4" s="1"/>
  <c r="D194" i="4"/>
  <c r="BC193" i="4"/>
  <c r="BB193" i="4"/>
  <c r="AA193" i="4"/>
  <c r="W193" i="4"/>
  <c r="V193" i="4"/>
  <c r="U193" i="4"/>
  <c r="T193" i="4"/>
  <c r="J193" i="4"/>
  <c r="Y193" i="4" s="1"/>
  <c r="D193" i="4"/>
  <c r="BC192" i="4"/>
  <c r="BB192" i="4"/>
  <c r="AA192" i="4"/>
  <c r="W192" i="4"/>
  <c r="V192" i="4"/>
  <c r="U192" i="4"/>
  <c r="T192" i="4"/>
  <c r="J192" i="4"/>
  <c r="Y192" i="4" s="1"/>
  <c r="D192" i="4"/>
  <c r="AA191" i="4"/>
  <c r="W191" i="4"/>
  <c r="AZ191" i="4" s="1"/>
  <c r="V191" i="4"/>
  <c r="AY191" i="4" s="1"/>
  <c r="U191" i="4"/>
  <c r="AX191" i="4" s="1"/>
  <c r="T191" i="4"/>
  <c r="AW191" i="4" s="1"/>
  <c r="K191" i="4"/>
  <c r="Z191" i="4" s="1"/>
  <c r="BC190" i="4"/>
  <c r="BB190" i="4"/>
  <c r="AA190" i="4"/>
  <c r="W190" i="4"/>
  <c r="V190" i="4"/>
  <c r="U190" i="4"/>
  <c r="T190" i="4"/>
  <c r="J190" i="4"/>
  <c r="Y190" i="4" s="1"/>
  <c r="D190" i="4"/>
  <c r="BC189" i="4"/>
  <c r="BB189" i="4"/>
  <c r="AA189" i="4"/>
  <c r="W189" i="4"/>
  <c r="AZ189" i="4" s="1"/>
  <c r="V189" i="4"/>
  <c r="AY189" i="4" s="1"/>
  <c r="U189" i="4"/>
  <c r="AX189" i="4" s="1"/>
  <c r="T189" i="4"/>
  <c r="AW189" i="4" s="1"/>
  <c r="J189" i="4"/>
  <c r="Y189" i="4" s="1"/>
  <c r="D189" i="4"/>
  <c r="BC188" i="4"/>
  <c r="BB188" i="4"/>
  <c r="AA188" i="4"/>
  <c r="W188" i="4"/>
  <c r="AZ188" i="4" s="1"/>
  <c r="V188" i="4"/>
  <c r="AY188" i="4" s="1"/>
  <c r="U188" i="4"/>
  <c r="AX188" i="4" s="1"/>
  <c r="T188" i="4"/>
  <c r="J188" i="4"/>
  <c r="Y188" i="4" s="1"/>
  <c r="D188" i="4"/>
  <c r="BC187" i="4"/>
  <c r="BB187" i="4"/>
  <c r="AA187" i="4"/>
  <c r="W187" i="4"/>
  <c r="AZ187" i="4" s="1"/>
  <c r="V187" i="4"/>
  <c r="AY187" i="4" s="1"/>
  <c r="U187" i="4"/>
  <c r="AX187" i="4" s="1"/>
  <c r="T187" i="4"/>
  <c r="J187" i="4"/>
  <c r="Y187" i="4" s="1"/>
  <c r="D187" i="4"/>
  <c r="BC186" i="4"/>
  <c r="BB186" i="4"/>
  <c r="AA186" i="4"/>
  <c r="W186" i="4"/>
  <c r="AZ186" i="4" s="1"/>
  <c r="V186" i="4"/>
  <c r="AY186" i="4" s="1"/>
  <c r="U186" i="4"/>
  <c r="AX186" i="4" s="1"/>
  <c r="T186" i="4"/>
  <c r="J186" i="4"/>
  <c r="Y186" i="4" s="1"/>
  <c r="D186" i="4"/>
  <c r="BC185" i="4"/>
  <c r="BB185" i="4"/>
  <c r="AA185" i="4"/>
  <c r="W185" i="4"/>
  <c r="AZ185" i="4" s="1"/>
  <c r="V185" i="4"/>
  <c r="AY185" i="4" s="1"/>
  <c r="U185" i="4"/>
  <c r="AX185" i="4" s="1"/>
  <c r="T185" i="4"/>
  <c r="J185" i="4"/>
  <c r="Y185" i="4" s="1"/>
  <c r="D185" i="4"/>
  <c r="BC184" i="4"/>
  <c r="BB184" i="4"/>
  <c r="AA184" i="4"/>
  <c r="W184" i="4"/>
  <c r="V184" i="4"/>
  <c r="U184" i="4"/>
  <c r="T184" i="4"/>
  <c r="J184" i="4"/>
  <c r="Y184" i="4" s="1"/>
  <c r="D184" i="4"/>
  <c r="BC183" i="4"/>
  <c r="BB183" i="4"/>
  <c r="AA183" i="4"/>
  <c r="W183" i="4"/>
  <c r="V183" i="4"/>
  <c r="U183" i="4"/>
  <c r="T183" i="4"/>
  <c r="J183" i="4"/>
  <c r="Y183" i="4" s="1"/>
  <c r="D183" i="4"/>
  <c r="BC182" i="4"/>
  <c r="BB182" i="4"/>
  <c r="AA182" i="4"/>
  <c r="W182" i="4"/>
  <c r="V182" i="4"/>
  <c r="U182" i="4"/>
  <c r="T182" i="4"/>
  <c r="J182" i="4"/>
  <c r="Y182" i="4" s="1"/>
  <c r="D182" i="4"/>
  <c r="BC181" i="4"/>
  <c r="BB181" i="4"/>
  <c r="AA181" i="4"/>
  <c r="W181" i="4"/>
  <c r="V181" i="4"/>
  <c r="U181" i="4"/>
  <c r="T181" i="4"/>
  <c r="J181" i="4"/>
  <c r="Y181" i="4" s="1"/>
  <c r="D181" i="4"/>
  <c r="AA180" i="4"/>
  <c r="W180" i="4"/>
  <c r="AZ180" i="4" s="1"/>
  <c r="V180" i="4"/>
  <c r="AY180" i="4" s="1"/>
  <c r="U180" i="4"/>
  <c r="AX180" i="4" s="1"/>
  <c r="T180" i="4"/>
  <c r="K180" i="4"/>
  <c r="Z180" i="4" s="1"/>
  <c r="AA179" i="4"/>
  <c r="W179" i="4"/>
  <c r="AZ179" i="4" s="1"/>
  <c r="V179" i="4"/>
  <c r="AY179" i="4" s="1"/>
  <c r="U179" i="4"/>
  <c r="AX179" i="4" s="1"/>
  <c r="T179" i="4"/>
  <c r="AW179" i="4" s="1"/>
  <c r="K179" i="4"/>
  <c r="Z179" i="4" s="1"/>
  <c r="BC178" i="4"/>
  <c r="BB178" i="4"/>
  <c r="AA178" i="4"/>
  <c r="W178" i="4"/>
  <c r="AZ178" i="4" s="1"/>
  <c r="V178" i="4"/>
  <c r="AY178" i="4" s="1"/>
  <c r="U178" i="4"/>
  <c r="AX178" i="4" s="1"/>
  <c r="T178" i="4"/>
  <c r="J178" i="4"/>
  <c r="Y178" i="4" s="1"/>
  <c r="D178" i="4"/>
  <c r="BC177" i="4"/>
  <c r="BB177" i="4"/>
  <c r="AA177" i="4"/>
  <c r="W177" i="4"/>
  <c r="AZ177" i="4" s="1"/>
  <c r="V177" i="4"/>
  <c r="AY177" i="4" s="1"/>
  <c r="U177" i="4"/>
  <c r="AX177" i="4" s="1"/>
  <c r="T177" i="4"/>
  <c r="J177" i="4"/>
  <c r="Y177" i="4" s="1"/>
  <c r="D177" i="4"/>
  <c r="BC176" i="4"/>
  <c r="BB176" i="4"/>
  <c r="AA176" i="4"/>
  <c r="W176" i="4"/>
  <c r="AZ176" i="4" s="1"/>
  <c r="V176" i="4"/>
  <c r="AY176" i="4" s="1"/>
  <c r="U176" i="4"/>
  <c r="AX176" i="4" s="1"/>
  <c r="T176" i="4"/>
  <c r="AW176" i="4" s="1"/>
  <c r="J176" i="4"/>
  <c r="Y176" i="4" s="1"/>
  <c r="D176" i="4"/>
  <c r="BC175" i="4"/>
  <c r="BB175" i="4"/>
  <c r="AA175" i="4"/>
  <c r="W175" i="4"/>
  <c r="V175" i="4"/>
  <c r="U175" i="4"/>
  <c r="T175" i="4"/>
  <c r="J175" i="4"/>
  <c r="Y175" i="4" s="1"/>
  <c r="D175" i="4"/>
  <c r="BC174" i="4"/>
  <c r="BB174" i="4"/>
  <c r="AA174" i="4"/>
  <c r="W174" i="4"/>
  <c r="V174" i="4"/>
  <c r="U174" i="4"/>
  <c r="T174" i="4"/>
  <c r="J174" i="4"/>
  <c r="Y174" i="4" s="1"/>
  <c r="D174" i="4"/>
  <c r="BC173" i="4"/>
  <c r="BB173" i="4"/>
  <c r="AA173" i="4"/>
  <c r="W173" i="4"/>
  <c r="V173" i="4"/>
  <c r="U173" i="4"/>
  <c r="T173" i="4"/>
  <c r="J173" i="4"/>
  <c r="Y173" i="4" s="1"/>
  <c r="D173" i="4"/>
  <c r="BC172" i="4"/>
  <c r="BB172" i="4"/>
  <c r="AA172" i="4"/>
  <c r="W172" i="4"/>
  <c r="V172" i="4"/>
  <c r="U172" i="4"/>
  <c r="T172" i="4"/>
  <c r="J172" i="4"/>
  <c r="Y172" i="4" s="1"/>
  <c r="D172" i="4"/>
  <c r="BC171" i="4"/>
  <c r="BB171" i="4"/>
  <c r="AA171" i="4"/>
  <c r="W171" i="4"/>
  <c r="V171" i="4"/>
  <c r="U171" i="4"/>
  <c r="T171" i="4"/>
  <c r="J171" i="4"/>
  <c r="Y171" i="4" s="1"/>
  <c r="D171" i="4"/>
  <c r="BC170" i="4"/>
  <c r="BB170" i="4"/>
  <c r="AA170" i="4"/>
  <c r="W170" i="4"/>
  <c r="AZ170" i="4" s="1"/>
  <c r="V170" i="4"/>
  <c r="AY170" i="4" s="1"/>
  <c r="U170" i="4"/>
  <c r="AX170" i="4" s="1"/>
  <c r="T170" i="4"/>
  <c r="J170" i="4"/>
  <c r="Y170" i="4" s="1"/>
  <c r="D170" i="4"/>
  <c r="BC169" i="4"/>
  <c r="BB169" i="4"/>
  <c r="AA169" i="4"/>
  <c r="W169" i="4"/>
  <c r="AZ169" i="4" s="1"/>
  <c r="V169" i="4"/>
  <c r="AY169" i="4" s="1"/>
  <c r="U169" i="4"/>
  <c r="AX169" i="4" s="1"/>
  <c r="T169" i="4"/>
  <c r="J169" i="4"/>
  <c r="Y169" i="4" s="1"/>
  <c r="D169" i="4"/>
  <c r="BC168" i="4"/>
  <c r="BB168" i="4"/>
  <c r="AA168" i="4"/>
  <c r="W168" i="4"/>
  <c r="AZ168" i="4" s="1"/>
  <c r="V168" i="4"/>
  <c r="AY168" i="4" s="1"/>
  <c r="U168" i="4"/>
  <c r="AX168" i="4" s="1"/>
  <c r="T168" i="4"/>
  <c r="AW168" i="4" s="1"/>
  <c r="J168" i="4"/>
  <c r="Y168" i="4" s="1"/>
  <c r="D168" i="4"/>
  <c r="BC167" i="4"/>
  <c r="BB167" i="4"/>
  <c r="AA167" i="4"/>
  <c r="W167" i="4"/>
  <c r="V167" i="4"/>
  <c r="U167" i="4"/>
  <c r="T167" i="4"/>
  <c r="J167" i="4"/>
  <c r="Y167" i="4" s="1"/>
  <c r="D167" i="4"/>
  <c r="BC166" i="4"/>
  <c r="BB166" i="4"/>
  <c r="AA166" i="4"/>
  <c r="W166" i="4"/>
  <c r="V166" i="4"/>
  <c r="U166" i="4"/>
  <c r="T166" i="4"/>
  <c r="J166" i="4"/>
  <c r="Y166" i="4" s="1"/>
  <c r="D166" i="4"/>
  <c r="BC165" i="4"/>
  <c r="BB165" i="4"/>
  <c r="AA165" i="4"/>
  <c r="W165" i="4"/>
  <c r="V165" i="4"/>
  <c r="U165" i="4"/>
  <c r="T165" i="4"/>
  <c r="J165" i="4"/>
  <c r="Y165" i="4" s="1"/>
  <c r="D165" i="4"/>
  <c r="BC164" i="4"/>
  <c r="BB164" i="4"/>
  <c r="AA164" i="4"/>
  <c r="W164" i="4"/>
  <c r="V164" i="4"/>
  <c r="U164" i="4"/>
  <c r="T164" i="4"/>
  <c r="J164" i="4"/>
  <c r="Y164" i="4" s="1"/>
  <c r="D164" i="4"/>
  <c r="BC163" i="4"/>
  <c r="BB163" i="4"/>
  <c r="AA163" i="4"/>
  <c r="W163" i="4"/>
  <c r="AZ163" i="4" s="1"/>
  <c r="V163" i="4"/>
  <c r="AY163" i="4" s="1"/>
  <c r="U163" i="4"/>
  <c r="AX163" i="4" s="1"/>
  <c r="T163" i="4"/>
  <c r="J163" i="4"/>
  <c r="Y163" i="4" s="1"/>
  <c r="D163" i="4"/>
  <c r="AA162" i="4"/>
  <c r="W162" i="4"/>
  <c r="AZ162" i="4" s="1"/>
  <c r="V162" i="4"/>
  <c r="AY162" i="4" s="1"/>
  <c r="U162" i="4"/>
  <c r="AX162" i="4" s="1"/>
  <c r="T162" i="4"/>
  <c r="AW162" i="4" s="1"/>
  <c r="K162" i="4"/>
  <c r="Z162" i="4" s="1"/>
  <c r="BC161" i="4"/>
  <c r="BB161" i="4"/>
  <c r="AA161" i="4"/>
  <c r="W161" i="4"/>
  <c r="AZ161" i="4" s="1"/>
  <c r="V161" i="4"/>
  <c r="AY161" i="4" s="1"/>
  <c r="U161" i="4"/>
  <c r="AX161" i="4" s="1"/>
  <c r="T161" i="4"/>
  <c r="J161" i="4"/>
  <c r="Y161" i="4" s="1"/>
  <c r="D161" i="4"/>
  <c r="BC160" i="4"/>
  <c r="BB160" i="4"/>
  <c r="AA160" i="4"/>
  <c r="W160" i="4"/>
  <c r="AZ160" i="4" s="1"/>
  <c r="V160" i="4"/>
  <c r="AY160" i="4" s="1"/>
  <c r="U160" i="4"/>
  <c r="AX160" i="4" s="1"/>
  <c r="T160" i="4"/>
  <c r="J160" i="4"/>
  <c r="Y160" i="4" s="1"/>
  <c r="D160" i="4"/>
  <c r="K160" i="4" s="1"/>
  <c r="Z160" i="4" s="1"/>
  <c r="BC159" i="4"/>
  <c r="BB159" i="4"/>
  <c r="AA159" i="4"/>
  <c r="W159" i="4"/>
  <c r="AZ159" i="4" s="1"/>
  <c r="V159" i="4"/>
  <c r="AY159" i="4" s="1"/>
  <c r="U159" i="4"/>
  <c r="AX159" i="4" s="1"/>
  <c r="T159" i="4"/>
  <c r="AW159" i="4" s="1"/>
  <c r="J159" i="4"/>
  <c r="Y159" i="4" s="1"/>
  <c r="D159" i="4"/>
  <c r="AA158" i="4"/>
  <c r="W158" i="4"/>
  <c r="AZ158" i="4" s="1"/>
  <c r="V158" i="4"/>
  <c r="AY158" i="4" s="1"/>
  <c r="U158" i="4"/>
  <c r="AX158" i="4" s="1"/>
  <c r="T158" i="4"/>
  <c r="AW158" i="4" s="1"/>
  <c r="K158" i="4"/>
  <c r="Z158" i="4" s="1"/>
  <c r="BC157" i="4"/>
  <c r="BB157" i="4"/>
  <c r="AA157" i="4"/>
  <c r="W157" i="4"/>
  <c r="V157" i="4"/>
  <c r="U157" i="4"/>
  <c r="T157" i="4"/>
  <c r="J157" i="4"/>
  <c r="Y157" i="4" s="1"/>
  <c r="D157" i="4"/>
  <c r="BC156" i="4"/>
  <c r="BB156" i="4"/>
  <c r="AA156" i="4"/>
  <c r="W156" i="4"/>
  <c r="AZ156" i="4" s="1"/>
  <c r="V156" i="4"/>
  <c r="AY156" i="4" s="1"/>
  <c r="U156" i="4"/>
  <c r="AX156" i="4" s="1"/>
  <c r="T156" i="4"/>
  <c r="AW156" i="4" s="1"/>
  <c r="J156" i="4"/>
  <c r="Y156" i="4" s="1"/>
  <c r="D156" i="4"/>
  <c r="BC155" i="4"/>
  <c r="BB155" i="4"/>
  <c r="AA155" i="4"/>
  <c r="W155" i="4"/>
  <c r="V155" i="4"/>
  <c r="U155" i="4"/>
  <c r="T155" i="4"/>
  <c r="J155" i="4"/>
  <c r="Y155" i="4" s="1"/>
  <c r="D155" i="4"/>
  <c r="BC154" i="4"/>
  <c r="BB154" i="4"/>
  <c r="AA154" i="4"/>
  <c r="W154" i="4"/>
  <c r="V154" i="4"/>
  <c r="U154" i="4"/>
  <c r="T154" i="4"/>
  <c r="J154" i="4"/>
  <c r="Y154" i="4" s="1"/>
  <c r="D154" i="4"/>
  <c r="K154" i="4" s="1"/>
  <c r="Z154" i="4" s="1"/>
  <c r="BC153" i="4"/>
  <c r="BB153" i="4"/>
  <c r="AA153" i="4"/>
  <c r="W153" i="4"/>
  <c r="V153" i="4"/>
  <c r="U153" i="4"/>
  <c r="T153" i="4"/>
  <c r="J153" i="4"/>
  <c r="Y153" i="4" s="1"/>
  <c r="D153" i="4"/>
  <c r="BC152" i="4"/>
  <c r="BB152" i="4"/>
  <c r="AA152" i="4"/>
  <c r="W152" i="4"/>
  <c r="V152" i="4"/>
  <c r="U152" i="4"/>
  <c r="T152" i="4"/>
  <c r="J152" i="4"/>
  <c r="Y152" i="4" s="1"/>
  <c r="D152" i="4"/>
  <c r="BC151" i="4"/>
  <c r="BB151" i="4"/>
  <c r="AA151" i="4"/>
  <c r="W151" i="4"/>
  <c r="AZ151" i="4" s="1"/>
  <c r="V151" i="4"/>
  <c r="AY151" i="4" s="1"/>
  <c r="U151" i="4"/>
  <c r="AX151" i="4" s="1"/>
  <c r="T151" i="4"/>
  <c r="J151" i="4"/>
  <c r="Y151" i="4" s="1"/>
  <c r="D151" i="4"/>
  <c r="BC150" i="4"/>
  <c r="BB150" i="4"/>
  <c r="AA150" i="4"/>
  <c r="W150" i="4"/>
  <c r="AZ150" i="4" s="1"/>
  <c r="V150" i="4"/>
  <c r="AY150" i="4" s="1"/>
  <c r="U150" i="4"/>
  <c r="AX150" i="4" s="1"/>
  <c r="T150" i="4"/>
  <c r="J150" i="4"/>
  <c r="Y150" i="4" s="1"/>
  <c r="D150" i="4"/>
  <c r="K150" i="4" s="1"/>
  <c r="Z150" i="4" s="1"/>
  <c r="BC149" i="4"/>
  <c r="BB149" i="4"/>
  <c r="AA149" i="4"/>
  <c r="W149" i="4"/>
  <c r="V149" i="4"/>
  <c r="U149" i="4"/>
  <c r="T149" i="4"/>
  <c r="J149" i="4"/>
  <c r="Y149" i="4" s="1"/>
  <c r="D149" i="4"/>
  <c r="BC148" i="4"/>
  <c r="BB148" i="4"/>
  <c r="AA148" i="4"/>
  <c r="W148" i="4"/>
  <c r="V148" i="4"/>
  <c r="U148" i="4"/>
  <c r="T148" i="4"/>
  <c r="J148" i="4"/>
  <c r="Y148" i="4" s="1"/>
  <c r="D148" i="4"/>
  <c r="BC147" i="4"/>
  <c r="BB147" i="4"/>
  <c r="AA147" i="4"/>
  <c r="W147" i="4"/>
  <c r="AZ147" i="4" s="1"/>
  <c r="V147" i="4"/>
  <c r="AY147" i="4" s="1"/>
  <c r="U147" i="4"/>
  <c r="AX147" i="4" s="1"/>
  <c r="T147" i="4"/>
  <c r="AW147" i="4" s="1"/>
  <c r="J147" i="4"/>
  <c r="Y147" i="4" s="1"/>
  <c r="D147" i="4"/>
  <c r="BC146" i="4"/>
  <c r="BB146" i="4"/>
  <c r="AA146" i="4"/>
  <c r="W146" i="4"/>
  <c r="V146" i="4"/>
  <c r="U146" i="4"/>
  <c r="T146" i="4"/>
  <c r="J146" i="4"/>
  <c r="Y146" i="4" s="1"/>
  <c r="D146" i="4"/>
  <c r="K146" i="4" s="1"/>
  <c r="Z146" i="4" s="1"/>
  <c r="BC145" i="4"/>
  <c r="BB145" i="4"/>
  <c r="AA145" i="4"/>
  <c r="W145" i="4"/>
  <c r="V145" i="4"/>
  <c r="U145" i="4"/>
  <c r="T145" i="4"/>
  <c r="J145" i="4"/>
  <c r="Y145" i="4" s="1"/>
  <c r="D145" i="4"/>
  <c r="BC144" i="4"/>
  <c r="BB144" i="4"/>
  <c r="AA144" i="4"/>
  <c r="W144" i="4"/>
  <c r="V144" i="4"/>
  <c r="U144" i="4"/>
  <c r="T144" i="4"/>
  <c r="J144" i="4"/>
  <c r="Y144" i="4" s="1"/>
  <c r="D144" i="4"/>
  <c r="BC143" i="4"/>
  <c r="BB143" i="4"/>
  <c r="AA143" i="4"/>
  <c r="W143" i="4"/>
  <c r="V143" i="4"/>
  <c r="U143" i="4"/>
  <c r="T143" i="4"/>
  <c r="J143" i="4"/>
  <c r="Y143" i="4" s="1"/>
  <c r="D143" i="4"/>
  <c r="BC142" i="4"/>
  <c r="BB142" i="4"/>
  <c r="AA142" i="4"/>
  <c r="W142" i="4"/>
  <c r="V142" i="4"/>
  <c r="U142" i="4"/>
  <c r="T142" i="4"/>
  <c r="J142" i="4"/>
  <c r="Y142" i="4" s="1"/>
  <c r="D142" i="4"/>
  <c r="K142" i="4" s="1"/>
  <c r="Z142" i="4" s="1"/>
  <c r="AA141" i="4"/>
  <c r="Y141" i="4"/>
  <c r="W141" i="4"/>
  <c r="V141" i="4"/>
  <c r="U141" i="4"/>
  <c r="T141" i="4"/>
  <c r="K141" i="4"/>
  <c r="Z141" i="4" s="1"/>
  <c r="AA140" i="4"/>
  <c r="Y140" i="4"/>
  <c r="W140" i="4"/>
  <c r="V140" i="4"/>
  <c r="U140" i="4"/>
  <c r="T140" i="4"/>
  <c r="K140" i="4"/>
  <c r="Z140" i="4" s="1"/>
  <c r="AA139" i="4"/>
  <c r="Y139" i="4"/>
  <c r="W139" i="4"/>
  <c r="V139" i="4"/>
  <c r="U139" i="4"/>
  <c r="T139" i="4"/>
  <c r="K139" i="4"/>
  <c r="Z139" i="4" s="1"/>
  <c r="AA138" i="4"/>
  <c r="Y138" i="4"/>
  <c r="W138" i="4"/>
  <c r="V138" i="4"/>
  <c r="U138" i="4"/>
  <c r="T138" i="4"/>
  <c r="K138" i="4"/>
  <c r="Z138" i="4" s="1"/>
  <c r="AA137" i="4"/>
  <c r="Y137" i="4"/>
  <c r="W137" i="4"/>
  <c r="V137" i="4"/>
  <c r="U137" i="4"/>
  <c r="T137" i="4"/>
  <c r="K137" i="4"/>
  <c r="Z137" i="4" s="1"/>
  <c r="AA136" i="4"/>
  <c r="Y136" i="4"/>
  <c r="W136" i="4"/>
  <c r="V136" i="4"/>
  <c r="U136" i="4"/>
  <c r="T136" i="4"/>
  <c r="K136" i="4"/>
  <c r="Z136" i="4" s="1"/>
  <c r="AA135" i="4"/>
  <c r="W135" i="4"/>
  <c r="AZ135" i="4" s="1"/>
  <c r="V135" i="4"/>
  <c r="AY135" i="4" s="1"/>
  <c r="U135" i="4"/>
  <c r="AX135" i="4" s="1"/>
  <c r="T135" i="4"/>
  <c r="K135" i="4"/>
  <c r="Z135" i="4" s="1"/>
  <c r="AA134" i="4"/>
  <c r="W134" i="4"/>
  <c r="AZ134" i="4" s="1"/>
  <c r="V134" i="4"/>
  <c r="AY134" i="4" s="1"/>
  <c r="U134" i="4"/>
  <c r="AX134" i="4" s="1"/>
  <c r="T134" i="4"/>
  <c r="AW134" i="4" s="1"/>
  <c r="K134" i="4"/>
  <c r="Z134" i="4" s="1"/>
  <c r="AA133" i="4"/>
  <c r="W133" i="4"/>
  <c r="AZ133" i="4" s="1"/>
  <c r="V133" i="4"/>
  <c r="AY133" i="4" s="1"/>
  <c r="U133" i="4"/>
  <c r="AX133" i="4" s="1"/>
  <c r="T133" i="4"/>
  <c r="AW133" i="4" s="1"/>
  <c r="K133" i="4"/>
  <c r="Z133" i="4" s="1"/>
  <c r="AA132" i="4"/>
  <c r="W132" i="4"/>
  <c r="AZ132" i="4" s="1"/>
  <c r="V132" i="4"/>
  <c r="AY132" i="4" s="1"/>
  <c r="U132" i="4"/>
  <c r="AX132" i="4" s="1"/>
  <c r="T132" i="4"/>
  <c r="AW132" i="4" s="1"/>
  <c r="K132" i="4"/>
  <c r="Z132" i="4" s="1"/>
  <c r="AA131" i="4"/>
  <c r="W131" i="4"/>
  <c r="AZ131" i="4" s="1"/>
  <c r="V131" i="4"/>
  <c r="AY131" i="4" s="1"/>
  <c r="U131" i="4"/>
  <c r="AX131" i="4" s="1"/>
  <c r="T131" i="4"/>
  <c r="AW131" i="4" s="1"/>
  <c r="K131" i="4"/>
  <c r="Z131" i="4" s="1"/>
  <c r="AA130" i="4"/>
  <c r="W130" i="4"/>
  <c r="AZ130" i="4" s="1"/>
  <c r="V130" i="4"/>
  <c r="AY130" i="4" s="1"/>
  <c r="U130" i="4"/>
  <c r="AX130" i="4" s="1"/>
  <c r="T130" i="4"/>
  <c r="AW130" i="4" s="1"/>
  <c r="K130" i="4"/>
  <c r="Z130" i="4" s="1"/>
  <c r="AA129" i="4"/>
  <c r="W129" i="4"/>
  <c r="AZ129" i="4" s="1"/>
  <c r="V129" i="4"/>
  <c r="AY129" i="4" s="1"/>
  <c r="U129" i="4"/>
  <c r="AX129" i="4" s="1"/>
  <c r="T129" i="4"/>
  <c r="AW129" i="4" s="1"/>
  <c r="K129" i="4"/>
  <c r="Z129" i="4" s="1"/>
  <c r="AA128" i="4"/>
  <c r="W128" i="4"/>
  <c r="AZ128" i="4" s="1"/>
  <c r="V128" i="4"/>
  <c r="AY128" i="4" s="1"/>
  <c r="U128" i="4"/>
  <c r="AX128" i="4" s="1"/>
  <c r="T128" i="4"/>
  <c r="AW128" i="4" s="1"/>
  <c r="K128" i="4"/>
  <c r="Z128" i="4" s="1"/>
  <c r="AA127" i="4"/>
  <c r="W127" i="4"/>
  <c r="AZ127" i="4" s="1"/>
  <c r="V127" i="4"/>
  <c r="AY127" i="4" s="1"/>
  <c r="U127" i="4"/>
  <c r="AX127" i="4" s="1"/>
  <c r="T127" i="4"/>
  <c r="AW127" i="4" s="1"/>
  <c r="K127" i="4"/>
  <c r="Z127" i="4" s="1"/>
  <c r="AA126" i="4"/>
  <c r="W126" i="4"/>
  <c r="AZ126" i="4" s="1"/>
  <c r="V126" i="4"/>
  <c r="AY126" i="4" s="1"/>
  <c r="U126" i="4"/>
  <c r="AX126" i="4" s="1"/>
  <c r="T126" i="4"/>
  <c r="AW126" i="4" s="1"/>
  <c r="K126" i="4"/>
  <c r="Z126" i="4" s="1"/>
  <c r="AA125" i="4"/>
  <c r="W125" i="4"/>
  <c r="AZ125" i="4" s="1"/>
  <c r="V125" i="4"/>
  <c r="AY125" i="4" s="1"/>
  <c r="U125" i="4"/>
  <c r="AX125" i="4" s="1"/>
  <c r="T125" i="4"/>
  <c r="AW125" i="4" s="1"/>
  <c r="K125" i="4"/>
  <c r="Z125" i="4" s="1"/>
  <c r="AA124" i="4"/>
  <c r="W124" i="4"/>
  <c r="AZ124" i="4" s="1"/>
  <c r="V124" i="4"/>
  <c r="AY124" i="4" s="1"/>
  <c r="U124" i="4"/>
  <c r="AX124" i="4" s="1"/>
  <c r="T124" i="4"/>
  <c r="AW124" i="4" s="1"/>
  <c r="K124" i="4"/>
  <c r="Z124" i="4" s="1"/>
  <c r="AA123" i="4"/>
  <c r="W123" i="4"/>
  <c r="AZ123" i="4" s="1"/>
  <c r="V123" i="4"/>
  <c r="AY123" i="4" s="1"/>
  <c r="U123" i="4"/>
  <c r="AX123" i="4" s="1"/>
  <c r="T123" i="4"/>
  <c r="AW123" i="4" s="1"/>
  <c r="K123" i="4"/>
  <c r="Z123" i="4" s="1"/>
  <c r="AA122" i="4"/>
  <c r="W122" i="4"/>
  <c r="AZ122" i="4" s="1"/>
  <c r="V122" i="4"/>
  <c r="U122" i="4"/>
  <c r="T122" i="4"/>
  <c r="K122" i="4"/>
  <c r="Z122" i="4" s="1"/>
  <c r="AA121" i="4"/>
  <c r="W121" i="4"/>
  <c r="AZ121" i="4" s="1"/>
  <c r="V121" i="4"/>
  <c r="AY121" i="4" s="1"/>
  <c r="U121" i="4"/>
  <c r="AX121" i="4" s="1"/>
  <c r="T121" i="4"/>
  <c r="K121" i="4"/>
  <c r="Z121" i="4" s="1"/>
  <c r="AA120" i="4"/>
  <c r="W120" i="4"/>
  <c r="AZ120" i="4" s="1"/>
  <c r="V120" i="4"/>
  <c r="AY120" i="4" s="1"/>
  <c r="U120" i="4"/>
  <c r="AX120" i="4" s="1"/>
  <c r="T120" i="4"/>
  <c r="K120" i="4"/>
  <c r="Z120" i="4" s="1"/>
  <c r="AA119" i="4"/>
  <c r="W119" i="4"/>
  <c r="AZ119" i="4" s="1"/>
  <c r="V119" i="4"/>
  <c r="AY119" i="4" s="1"/>
  <c r="U119" i="4"/>
  <c r="T119" i="4"/>
  <c r="K119" i="4"/>
  <c r="Z119" i="4" s="1"/>
  <c r="BC118" i="4"/>
  <c r="BB118" i="4"/>
  <c r="AA118" i="4"/>
  <c r="W118" i="4"/>
  <c r="AZ118" i="4" s="1"/>
  <c r="V118" i="4"/>
  <c r="AY118" i="4" s="1"/>
  <c r="U118" i="4"/>
  <c r="AX118" i="4" s="1"/>
  <c r="T118" i="4"/>
  <c r="AW118" i="4" s="1"/>
  <c r="J118" i="4"/>
  <c r="Y118" i="4" s="1"/>
  <c r="D118" i="4"/>
  <c r="BC117" i="4"/>
  <c r="BB117" i="4"/>
  <c r="AA117" i="4"/>
  <c r="W117" i="4"/>
  <c r="AZ117" i="4" s="1"/>
  <c r="V117" i="4"/>
  <c r="AY117" i="4" s="1"/>
  <c r="U117" i="4"/>
  <c r="AX117" i="4" s="1"/>
  <c r="T117" i="4"/>
  <c r="AW117" i="4" s="1"/>
  <c r="J117" i="4"/>
  <c r="Y117" i="4" s="1"/>
  <c r="D117" i="4"/>
  <c r="K117" i="4" s="1"/>
  <c r="Z117" i="4" s="1"/>
  <c r="BC116" i="4"/>
  <c r="BB116" i="4"/>
  <c r="AA116" i="4"/>
  <c r="W116" i="4"/>
  <c r="AZ116" i="4" s="1"/>
  <c r="V116" i="4"/>
  <c r="AY116" i="4" s="1"/>
  <c r="U116" i="4"/>
  <c r="AX116" i="4" s="1"/>
  <c r="T116" i="4"/>
  <c r="AW116" i="4" s="1"/>
  <c r="J116" i="4"/>
  <c r="Y116" i="4" s="1"/>
  <c r="D116" i="4"/>
  <c r="BC115" i="4"/>
  <c r="BB115" i="4"/>
  <c r="AA115" i="4"/>
  <c r="W115" i="4"/>
  <c r="AZ115" i="4" s="1"/>
  <c r="V115" i="4"/>
  <c r="AY115" i="4" s="1"/>
  <c r="U115" i="4"/>
  <c r="AX115" i="4" s="1"/>
  <c r="T115" i="4"/>
  <c r="AW115" i="4" s="1"/>
  <c r="J115" i="4"/>
  <c r="Y115" i="4" s="1"/>
  <c r="D115" i="4"/>
  <c r="BC114" i="4"/>
  <c r="BB114" i="4"/>
  <c r="AA114" i="4"/>
  <c r="W114" i="4"/>
  <c r="AZ114" i="4" s="1"/>
  <c r="V114" i="4"/>
  <c r="AY114" i="4" s="1"/>
  <c r="U114" i="4"/>
  <c r="AX114" i="4" s="1"/>
  <c r="T114" i="4"/>
  <c r="AW114" i="4" s="1"/>
  <c r="J114" i="4"/>
  <c r="Y114" i="4" s="1"/>
  <c r="D114" i="4"/>
  <c r="BC113" i="4"/>
  <c r="BB113" i="4"/>
  <c r="AA113" i="4"/>
  <c r="W113" i="4"/>
  <c r="AZ113" i="4" s="1"/>
  <c r="V113" i="4"/>
  <c r="AY113" i="4" s="1"/>
  <c r="U113" i="4"/>
  <c r="AX113" i="4" s="1"/>
  <c r="T113" i="4"/>
  <c r="J113" i="4"/>
  <c r="Y113" i="4" s="1"/>
  <c r="D113" i="4"/>
  <c r="AA112" i="4"/>
  <c r="W112" i="4"/>
  <c r="AZ112" i="4" s="1"/>
  <c r="V112" i="4"/>
  <c r="AY112" i="4" s="1"/>
  <c r="U112" i="4"/>
  <c r="AX112" i="4" s="1"/>
  <c r="T112" i="4"/>
  <c r="AW112" i="4" s="1"/>
  <c r="K112" i="4"/>
  <c r="Z112" i="4" s="1"/>
  <c r="BC111" i="4"/>
  <c r="BB111" i="4"/>
  <c r="AA111" i="4"/>
  <c r="W111" i="4"/>
  <c r="AZ111" i="4" s="1"/>
  <c r="V111" i="4"/>
  <c r="AY111" i="4" s="1"/>
  <c r="U111" i="4"/>
  <c r="AX111" i="4" s="1"/>
  <c r="T111" i="4"/>
  <c r="AW111" i="4" s="1"/>
  <c r="J111" i="4"/>
  <c r="Y111" i="4" s="1"/>
  <c r="D111" i="4"/>
  <c r="BC110" i="4"/>
  <c r="BB110" i="4"/>
  <c r="AA110" i="4"/>
  <c r="W110" i="4"/>
  <c r="AZ110" i="4" s="1"/>
  <c r="V110" i="4"/>
  <c r="AY110" i="4" s="1"/>
  <c r="U110" i="4"/>
  <c r="AX110" i="4" s="1"/>
  <c r="T110" i="4"/>
  <c r="AW110" i="4" s="1"/>
  <c r="J110" i="4"/>
  <c r="Y110" i="4" s="1"/>
  <c r="D110" i="4"/>
  <c r="BC109" i="4"/>
  <c r="BB109" i="4"/>
  <c r="AA109" i="4"/>
  <c r="W109" i="4"/>
  <c r="AZ109" i="4" s="1"/>
  <c r="V109" i="4"/>
  <c r="AY109" i="4" s="1"/>
  <c r="U109" i="4"/>
  <c r="AX109" i="4" s="1"/>
  <c r="T109" i="4"/>
  <c r="AW109" i="4" s="1"/>
  <c r="J109" i="4"/>
  <c r="Y109" i="4" s="1"/>
  <c r="D109" i="4"/>
  <c r="BC108" i="4"/>
  <c r="BB108" i="4"/>
  <c r="AA108" i="4"/>
  <c r="W108" i="4"/>
  <c r="AZ108" i="4" s="1"/>
  <c r="V108" i="4"/>
  <c r="AY108" i="4" s="1"/>
  <c r="U108" i="4"/>
  <c r="AX108" i="4" s="1"/>
  <c r="T108" i="4"/>
  <c r="AW108" i="4" s="1"/>
  <c r="J108" i="4"/>
  <c r="Y108" i="4" s="1"/>
  <c r="D108" i="4"/>
  <c r="BC107" i="4"/>
  <c r="BB107" i="4"/>
  <c r="AA107" i="4"/>
  <c r="W107" i="4"/>
  <c r="AZ107" i="4" s="1"/>
  <c r="V107" i="4"/>
  <c r="AY107" i="4" s="1"/>
  <c r="U107" i="4"/>
  <c r="AX107" i="4" s="1"/>
  <c r="T107" i="4"/>
  <c r="AW107" i="4" s="1"/>
  <c r="J107" i="4"/>
  <c r="Y107" i="4" s="1"/>
  <c r="D107" i="4"/>
  <c r="K107" i="4" s="1"/>
  <c r="Z107" i="4" s="1"/>
  <c r="BC106" i="4"/>
  <c r="BB106" i="4"/>
  <c r="AA106" i="4"/>
  <c r="W106" i="4"/>
  <c r="AZ106" i="4" s="1"/>
  <c r="V106" i="4"/>
  <c r="AY106" i="4" s="1"/>
  <c r="U106" i="4"/>
  <c r="AX106" i="4" s="1"/>
  <c r="T106" i="4"/>
  <c r="AW106" i="4" s="1"/>
  <c r="J106" i="4"/>
  <c r="Y106" i="4" s="1"/>
  <c r="D106" i="4"/>
  <c r="BC105" i="4"/>
  <c r="BB105" i="4"/>
  <c r="AA105" i="4"/>
  <c r="W105" i="4"/>
  <c r="AZ105" i="4" s="1"/>
  <c r="V105" i="4"/>
  <c r="AY105" i="4" s="1"/>
  <c r="U105" i="4"/>
  <c r="AX105" i="4" s="1"/>
  <c r="T105" i="4"/>
  <c r="AW105" i="4" s="1"/>
  <c r="J105" i="4"/>
  <c r="Y105" i="4" s="1"/>
  <c r="D105" i="4"/>
  <c r="BC104" i="4"/>
  <c r="BB104" i="4"/>
  <c r="AA104" i="4"/>
  <c r="W104" i="4"/>
  <c r="V104" i="4"/>
  <c r="U104" i="4"/>
  <c r="T104" i="4"/>
  <c r="J104" i="4"/>
  <c r="Y104" i="4" s="1"/>
  <c r="D104" i="4"/>
  <c r="BC103" i="4"/>
  <c r="BB103" i="4"/>
  <c r="AA103" i="4"/>
  <c r="W103" i="4"/>
  <c r="AZ103" i="4" s="1"/>
  <c r="V103" i="4"/>
  <c r="AY103" i="4" s="1"/>
  <c r="U103" i="4"/>
  <c r="AX103" i="4" s="1"/>
  <c r="T103" i="4"/>
  <c r="AW103" i="4" s="1"/>
  <c r="J103" i="4"/>
  <c r="Y103" i="4" s="1"/>
  <c r="D103" i="4"/>
  <c r="BC102" i="4"/>
  <c r="BB102" i="4"/>
  <c r="AA102" i="4"/>
  <c r="W102" i="4"/>
  <c r="AZ102" i="4" s="1"/>
  <c r="V102" i="4"/>
  <c r="AY102" i="4" s="1"/>
  <c r="U102" i="4"/>
  <c r="AX102" i="4" s="1"/>
  <c r="T102" i="4"/>
  <c r="AW102" i="4" s="1"/>
  <c r="J102" i="4"/>
  <c r="Y102" i="4" s="1"/>
  <c r="D102" i="4"/>
  <c r="BC101" i="4"/>
  <c r="BB101" i="4"/>
  <c r="AA101" i="4"/>
  <c r="W101" i="4"/>
  <c r="AZ101" i="4" s="1"/>
  <c r="V101" i="4"/>
  <c r="AY101" i="4" s="1"/>
  <c r="U101" i="4"/>
  <c r="AX101" i="4" s="1"/>
  <c r="T101" i="4"/>
  <c r="AW101" i="4" s="1"/>
  <c r="J101" i="4"/>
  <c r="Y101" i="4" s="1"/>
  <c r="D101" i="4"/>
  <c r="K101" i="4" s="1"/>
  <c r="Z101" i="4" s="1"/>
  <c r="BC100" i="4"/>
  <c r="BB100" i="4"/>
  <c r="AA100" i="4"/>
  <c r="W100" i="4"/>
  <c r="AZ100" i="4" s="1"/>
  <c r="V100" i="4"/>
  <c r="AY100" i="4" s="1"/>
  <c r="U100" i="4"/>
  <c r="AX100" i="4" s="1"/>
  <c r="T100" i="4"/>
  <c r="AW100" i="4" s="1"/>
  <c r="J100" i="4"/>
  <c r="Y100" i="4" s="1"/>
  <c r="D100" i="4"/>
  <c r="K100" i="4" s="1"/>
  <c r="Z100" i="4" s="1"/>
  <c r="BC99" i="4"/>
  <c r="BB99" i="4"/>
  <c r="AA99" i="4"/>
  <c r="W99" i="4"/>
  <c r="AZ99" i="4" s="1"/>
  <c r="V99" i="4"/>
  <c r="AY99" i="4" s="1"/>
  <c r="U99" i="4"/>
  <c r="AX99" i="4" s="1"/>
  <c r="T99" i="4"/>
  <c r="AW99" i="4" s="1"/>
  <c r="J99" i="4"/>
  <c r="Y99" i="4" s="1"/>
  <c r="D99" i="4"/>
  <c r="K99" i="4" s="1"/>
  <c r="Z99" i="4" s="1"/>
  <c r="BC98" i="4"/>
  <c r="BB98" i="4"/>
  <c r="AA98" i="4"/>
  <c r="W98" i="4"/>
  <c r="AZ98" i="4" s="1"/>
  <c r="V98" i="4"/>
  <c r="AY98" i="4" s="1"/>
  <c r="U98" i="4"/>
  <c r="AX98" i="4" s="1"/>
  <c r="T98" i="4"/>
  <c r="AW98" i="4" s="1"/>
  <c r="J98" i="4"/>
  <c r="Y98" i="4" s="1"/>
  <c r="D98" i="4"/>
  <c r="BC97" i="4"/>
  <c r="BB97" i="4"/>
  <c r="AA97" i="4"/>
  <c r="W97" i="4"/>
  <c r="AZ97" i="4" s="1"/>
  <c r="V97" i="4"/>
  <c r="AY97" i="4" s="1"/>
  <c r="U97" i="4"/>
  <c r="AX97" i="4" s="1"/>
  <c r="T97" i="4"/>
  <c r="J97" i="4"/>
  <c r="Y97" i="4" s="1"/>
  <c r="D97" i="4"/>
  <c r="BC96" i="4"/>
  <c r="BB96" i="4"/>
  <c r="AA96" i="4"/>
  <c r="W96" i="4"/>
  <c r="AZ96" i="4" s="1"/>
  <c r="V96" i="4"/>
  <c r="AY96" i="4" s="1"/>
  <c r="U96" i="4"/>
  <c r="AX96" i="4" s="1"/>
  <c r="T96" i="4"/>
  <c r="AW96" i="4" s="1"/>
  <c r="J96" i="4"/>
  <c r="Y96" i="4" s="1"/>
  <c r="D96" i="4"/>
  <c r="K96" i="4" s="1"/>
  <c r="Z96" i="4" s="1"/>
  <c r="BC95" i="4"/>
  <c r="BB95" i="4"/>
  <c r="AA95" i="4"/>
  <c r="W95" i="4"/>
  <c r="AZ95" i="4" s="1"/>
  <c r="V95" i="4"/>
  <c r="AY95" i="4" s="1"/>
  <c r="U95" i="4"/>
  <c r="AX95" i="4" s="1"/>
  <c r="T95" i="4"/>
  <c r="J95" i="4"/>
  <c r="Y95" i="4" s="1"/>
  <c r="D95" i="4"/>
  <c r="BC94" i="4"/>
  <c r="BB94" i="4"/>
  <c r="AA94" i="4"/>
  <c r="W94" i="4"/>
  <c r="AZ94" i="4" s="1"/>
  <c r="V94" i="4"/>
  <c r="AY94" i="4" s="1"/>
  <c r="U94" i="4"/>
  <c r="AX94" i="4" s="1"/>
  <c r="T94" i="4"/>
  <c r="J94" i="4"/>
  <c r="Y94" i="4" s="1"/>
  <c r="D94" i="4"/>
  <c r="BC93" i="4"/>
  <c r="BB93" i="4"/>
  <c r="AA93" i="4"/>
  <c r="W93" i="4"/>
  <c r="AZ93" i="4" s="1"/>
  <c r="V93" i="4"/>
  <c r="AY93" i="4" s="1"/>
  <c r="U93" i="4"/>
  <c r="AX93" i="4" s="1"/>
  <c r="T93" i="4"/>
  <c r="AW93" i="4" s="1"/>
  <c r="J93" i="4"/>
  <c r="Y93" i="4" s="1"/>
  <c r="D93" i="4"/>
  <c r="K93" i="4" s="1"/>
  <c r="Z93" i="4" s="1"/>
  <c r="BC92" i="4"/>
  <c r="BB92" i="4"/>
  <c r="AA92" i="4"/>
  <c r="W92" i="4"/>
  <c r="AZ92" i="4" s="1"/>
  <c r="V92" i="4"/>
  <c r="AY92" i="4" s="1"/>
  <c r="U92" i="4"/>
  <c r="AX92" i="4" s="1"/>
  <c r="T92" i="4"/>
  <c r="AW92" i="4" s="1"/>
  <c r="J92" i="4"/>
  <c r="Y92" i="4" s="1"/>
  <c r="D92" i="4"/>
  <c r="K92" i="4" s="1"/>
  <c r="Z92" i="4" s="1"/>
  <c r="BC91" i="4"/>
  <c r="BB91" i="4"/>
  <c r="AA91" i="4"/>
  <c r="W91" i="4"/>
  <c r="AZ91" i="4" s="1"/>
  <c r="V91" i="4"/>
  <c r="AY91" i="4" s="1"/>
  <c r="U91" i="4"/>
  <c r="AX91" i="4" s="1"/>
  <c r="T91" i="4"/>
  <c r="AW91" i="4" s="1"/>
  <c r="J91" i="4"/>
  <c r="Y91" i="4" s="1"/>
  <c r="D91" i="4"/>
  <c r="K91" i="4" s="1"/>
  <c r="Z91" i="4" s="1"/>
  <c r="AA90" i="4"/>
  <c r="W90" i="4"/>
  <c r="AZ90" i="4" s="1"/>
  <c r="V90" i="4"/>
  <c r="AY90" i="4" s="1"/>
  <c r="U90" i="4"/>
  <c r="AX90" i="4" s="1"/>
  <c r="T90" i="4"/>
  <c r="AW90" i="4" s="1"/>
  <c r="K90" i="4"/>
  <c r="Z90" i="4" s="1"/>
  <c r="AA89" i="4"/>
  <c r="W89" i="4"/>
  <c r="AZ89" i="4" s="1"/>
  <c r="V89" i="4"/>
  <c r="AY89" i="4" s="1"/>
  <c r="U89" i="4"/>
  <c r="AX89" i="4" s="1"/>
  <c r="T89" i="4"/>
  <c r="AW89" i="4" s="1"/>
  <c r="K89" i="4"/>
  <c r="Z89" i="4" s="1"/>
  <c r="AA88" i="4"/>
  <c r="W88" i="4"/>
  <c r="AZ88" i="4" s="1"/>
  <c r="V88" i="4"/>
  <c r="AY88" i="4" s="1"/>
  <c r="U88" i="4"/>
  <c r="AX88" i="4" s="1"/>
  <c r="T88" i="4"/>
  <c r="AW88" i="4" s="1"/>
  <c r="K88" i="4"/>
  <c r="Z88" i="4" s="1"/>
  <c r="BC87" i="4"/>
  <c r="BB87" i="4"/>
  <c r="AA87" i="4"/>
  <c r="W87" i="4"/>
  <c r="AZ87" i="4" s="1"/>
  <c r="V87" i="4"/>
  <c r="AY87" i="4" s="1"/>
  <c r="U87" i="4"/>
  <c r="AX87" i="4" s="1"/>
  <c r="T87" i="4"/>
  <c r="AW87" i="4" s="1"/>
  <c r="J87" i="4"/>
  <c r="Y87" i="4" s="1"/>
  <c r="D87" i="4"/>
  <c r="BC86" i="4"/>
  <c r="BB86" i="4"/>
  <c r="AA86" i="4"/>
  <c r="W86" i="4"/>
  <c r="AZ86" i="4" s="1"/>
  <c r="V86" i="4"/>
  <c r="AY86" i="4" s="1"/>
  <c r="U86" i="4"/>
  <c r="AX86" i="4" s="1"/>
  <c r="T86" i="4"/>
  <c r="AW86" i="4" s="1"/>
  <c r="J86" i="4"/>
  <c r="Y86" i="4" s="1"/>
  <c r="D86" i="4"/>
  <c r="BC85" i="4"/>
  <c r="BB85" i="4"/>
  <c r="AA85" i="4"/>
  <c r="W85" i="4"/>
  <c r="AZ85" i="4" s="1"/>
  <c r="V85" i="4"/>
  <c r="AY85" i="4" s="1"/>
  <c r="U85" i="4"/>
  <c r="AX85" i="4" s="1"/>
  <c r="T85" i="4"/>
  <c r="AW85" i="4" s="1"/>
  <c r="J85" i="4"/>
  <c r="Y85" i="4" s="1"/>
  <c r="D85" i="4"/>
  <c r="BC84" i="4"/>
  <c r="BB84" i="4"/>
  <c r="AA84" i="4"/>
  <c r="W84" i="4"/>
  <c r="AZ84" i="4" s="1"/>
  <c r="V84" i="4"/>
  <c r="AY84" i="4" s="1"/>
  <c r="U84" i="4"/>
  <c r="AX84" i="4" s="1"/>
  <c r="T84" i="4"/>
  <c r="AW84" i="4" s="1"/>
  <c r="J84" i="4"/>
  <c r="Y84" i="4" s="1"/>
  <c r="D84" i="4"/>
  <c r="BC83" i="4"/>
  <c r="BB83" i="4"/>
  <c r="AA83" i="4"/>
  <c r="W83" i="4"/>
  <c r="AZ83" i="4" s="1"/>
  <c r="V83" i="4"/>
  <c r="AY83" i="4" s="1"/>
  <c r="U83" i="4"/>
  <c r="AX83" i="4" s="1"/>
  <c r="T83" i="4"/>
  <c r="AW83" i="4" s="1"/>
  <c r="J83" i="4"/>
  <c r="Y83" i="4" s="1"/>
  <c r="D83" i="4"/>
  <c r="BC82" i="4"/>
  <c r="BB82" i="4"/>
  <c r="AA82" i="4"/>
  <c r="W82" i="4"/>
  <c r="AZ82" i="4" s="1"/>
  <c r="V82" i="4"/>
  <c r="AY82" i="4" s="1"/>
  <c r="U82" i="4"/>
  <c r="AX82" i="4" s="1"/>
  <c r="T82" i="4"/>
  <c r="AW82" i="4" s="1"/>
  <c r="J82" i="4"/>
  <c r="Y82" i="4" s="1"/>
  <c r="D82" i="4"/>
  <c r="K82" i="4" s="1"/>
  <c r="Z82" i="4" s="1"/>
  <c r="BC81" i="4"/>
  <c r="BB81" i="4"/>
  <c r="AA81" i="4"/>
  <c r="W81" i="4"/>
  <c r="AZ81" i="4" s="1"/>
  <c r="V81" i="4"/>
  <c r="AY81" i="4" s="1"/>
  <c r="U81" i="4"/>
  <c r="AX81" i="4" s="1"/>
  <c r="T81" i="4"/>
  <c r="AW81" i="4" s="1"/>
  <c r="J81" i="4"/>
  <c r="Y81" i="4" s="1"/>
  <c r="D81" i="4"/>
  <c r="K81" i="4" s="1"/>
  <c r="Z81" i="4" s="1"/>
  <c r="BC80" i="4"/>
  <c r="BB80" i="4"/>
  <c r="AA80" i="4"/>
  <c r="W80" i="4"/>
  <c r="AZ80" i="4" s="1"/>
  <c r="V80" i="4"/>
  <c r="AY80" i="4" s="1"/>
  <c r="U80" i="4"/>
  <c r="AX80" i="4" s="1"/>
  <c r="T80" i="4"/>
  <c r="AW80" i="4" s="1"/>
  <c r="J80" i="4"/>
  <c r="Y80" i="4" s="1"/>
  <c r="D80" i="4"/>
  <c r="K80" i="4" s="1"/>
  <c r="Z80" i="4" s="1"/>
  <c r="BC79" i="4"/>
  <c r="BB79" i="4"/>
  <c r="AA79" i="4"/>
  <c r="W79" i="4"/>
  <c r="AZ79" i="4" s="1"/>
  <c r="V79" i="4"/>
  <c r="AY79" i="4" s="1"/>
  <c r="U79" i="4"/>
  <c r="AX79" i="4" s="1"/>
  <c r="T79" i="4"/>
  <c r="AW79" i="4" s="1"/>
  <c r="J79" i="4"/>
  <c r="Y79" i="4" s="1"/>
  <c r="D79" i="4"/>
  <c r="BC78" i="4"/>
  <c r="BB78" i="4"/>
  <c r="AA78" i="4"/>
  <c r="W78" i="4"/>
  <c r="AZ78" i="4" s="1"/>
  <c r="V78" i="4"/>
  <c r="AY78" i="4" s="1"/>
  <c r="U78" i="4"/>
  <c r="AX78" i="4" s="1"/>
  <c r="T78" i="4"/>
  <c r="AW78" i="4" s="1"/>
  <c r="J78" i="4"/>
  <c r="Y78" i="4" s="1"/>
  <c r="D78" i="4"/>
  <c r="BC77" i="4"/>
  <c r="BB77" i="4"/>
  <c r="AA77" i="4"/>
  <c r="W77" i="4"/>
  <c r="AZ77" i="4" s="1"/>
  <c r="V77" i="4"/>
  <c r="AY77" i="4" s="1"/>
  <c r="U77" i="4"/>
  <c r="AX77" i="4" s="1"/>
  <c r="T77" i="4"/>
  <c r="J77" i="4"/>
  <c r="Y77" i="4" s="1"/>
  <c r="D77" i="4"/>
  <c r="BC76" i="4"/>
  <c r="BB76" i="4"/>
  <c r="AA76" i="4"/>
  <c r="W76" i="4"/>
  <c r="AZ76" i="4" s="1"/>
  <c r="V76" i="4"/>
  <c r="AY76" i="4" s="1"/>
  <c r="U76" i="4"/>
  <c r="AX76" i="4" s="1"/>
  <c r="T76" i="4"/>
  <c r="AW76" i="4" s="1"/>
  <c r="J76" i="4"/>
  <c r="Y76" i="4" s="1"/>
  <c r="D76" i="4"/>
  <c r="BC75" i="4"/>
  <c r="BB75" i="4"/>
  <c r="AA75" i="4"/>
  <c r="W75" i="4"/>
  <c r="AZ75" i="4" s="1"/>
  <c r="V75" i="4"/>
  <c r="AY75" i="4" s="1"/>
  <c r="U75" i="4"/>
  <c r="AX75" i="4" s="1"/>
  <c r="T75" i="4"/>
  <c r="AW75" i="4" s="1"/>
  <c r="J75" i="4"/>
  <c r="Y75" i="4" s="1"/>
  <c r="D75" i="4"/>
  <c r="BC74" i="4"/>
  <c r="BB74" i="4"/>
  <c r="AA74" i="4"/>
  <c r="W74" i="4"/>
  <c r="AZ74" i="4" s="1"/>
  <c r="V74" i="4"/>
  <c r="AY74" i="4" s="1"/>
  <c r="U74" i="4"/>
  <c r="AX74" i="4" s="1"/>
  <c r="T74" i="4"/>
  <c r="AW74" i="4" s="1"/>
  <c r="J74" i="4"/>
  <c r="Y74" i="4" s="1"/>
  <c r="D74" i="4"/>
  <c r="BC73" i="4"/>
  <c r="BB73" i="4"/>
  <c r="AA73" i="4"/>
  <c r="W73" i="4"/>
  <c r="AZ73" i="4" s="1"/>
  <c r="V73" i="4"/>
  <c r="AY73" i="4" s="1"/>
  <c r="U73" i="4"/>
  <c r="AX73" i="4" s="1"/>
  <c r="T73" i="4"/>
  <c r="AW73" i="4" s="1"/>
  <c r="J73" i="4"/>
  <c r="Y73" i="4" s="1"/>
  <c r="D73" i="4"/>
  <c r="BC72" i="4"/>
  <c r="BB72" i="4"/>
  <c r="AA72" i="4"/>
  <c r="W72" i="4"/>
  <c r="AZ72" i="4" s="1"/>
  <c r="V72" i="4"/>
  <c r="AY72" i="4" s="1"/>
  <c r="U72" i="4"/>
  <c r="AX72" i="4" s="1"/>
  <c r="T72" i="4"/>
  <c r="AW72" i="4" s="1"/>
  <c r="J72" i="4"/>
  <c r="Y72" i="4" s="1"/>
  <c r="D72" i="4"/>
  <c r="K72" i="4" s="1"/>
  <c r="Z72" i="4" s="1"/>
  <c r="BC71" i="4"/>
  <c r="BB71" i="4"/>
  <c r="AA71" i="4"/>
  <c r="W71" i="4"/>
  <c r="AZ71" i="4" s="1"/>
  <c r="V71" i="4"/>
  <c r="AY71" i="4" s="1"/>
  <c r="U71" i="4"/>
  <c r="AX71" i="4" s="1"/>
  <c r="T71" i="4"/>
  <c r="AW71" i="4" s="1"/>
  <c r="J71" i="4"/>
  <c r="Y71" i="4" s="1"/>
  <c r="D71" i="4"/>
  <c r="K71" i="4" s="1"/>
  <c r="Z71" i="4" s="1"/>
  <c r="BC70" i="4"/>
  <c r="BB70" i="4"/>
  <c r="AA70" i="4"/>
  <c r="W70" i="4"/>
  <c r="AZ70" i="4" s="1"/>
  <c r="V70" i="4"/>
  <c r="AY70" i="4" s="1"/>
  <c r="U70" i="4"/>
  <c r="AX70" i="4" s="1"/>
  <c r="T70" i="4"/>
  <c r="AW70" i="4" s="1"/>
  <c r="J70" i="4"/>
  <c r="Y70" i="4" s="1"/>
  <c r="D70" i="4"/>
  <c r="K70" i="4" s="1"/>
  <c r="Z70" i="4" s="1"/>
  <c r="BC69" i="4"/>
  <c r="BB69" i="4"/>
  <c r="AA69" i="4"/>
  <c r="W69" i="4"/>
  <c r="AZ69" i="4" s="1"/>
  <c r="V69" i="4"/>
  <c r="AY69" i="4" s="1"/>
  <c r="U69" i="4"/>
  <c r="AX69" i="4" s="1"/>
  <c r="T69" i="4"/>
  <c r="AW69" i="4" s="1"/>
  <c r="J69" i="4"/>
  <c r="Y69" i="4" s="1"/>
  <c r="D69" i="4"/>
  <c r="BC68" i="4"/>
  <c r="BB68" i="4"/>
  <c r="AA68" i="4"/>
  <c r="W68" i="4"/>
  <c r="AZ68" i="4" s="1"/>
  <c r="V68" i="4"/>
  <c r="AY68" i="4" s="1"/>
  <c r="U68" i="4"/>
  <c r="AX68" i="4" s="1"/>
  <c r="T68" i="4"/>
  <c r="AW68" i="4" s="1"/>
  <c r="J68" i="4"/>
  <c r="Y68" i="4" s="1"/>
  <c r="D68" i="4"/>
  <c r="K68" i="4" s="1"/>
  <c r="Z68" i="4" s="1"/>
  <c r="AA67" i="4"/>
  <c r="W67" i="4"/>
  <c r="AZ67" i="4" s="1"/>
  <c r="V67" i="4"/>
  <c r="AY67" i="4" s="1"/>
  <c r="U67" i="4"/>
  <c r="AX67" i="4" s="1"/>
  <c r="T67" i="4"/>
  <c r="AW67" i="4" s="1"/>
  <c r="K67" i="4"/>
  <c r="Z67" i="4" s="1"/>
  <c r="AA66" i="4"/>
  <c r="W66" i="4"/>
  <c r="AZ66" i="4" s="1"/>
  <c r="V66" i="4"/>
  <c r="AY66" i="4" s="1"/>
  <c r="U66" i="4"/>
  <c r="AX66" i="4" s="1"/>
  <c r="T66" i="4"/>
  <c r="AW66" i="4" s="1"/>
  <c r="K66" i="4"/>
  <c r="Z66" i="4" s="1"/>
  <c r="BC65" i="4"/>
  <c r="BB65" i="4"/>
  <c r="AA65" i="4"/>
  <c r="W65" i="4"/>
  <c r="AZ65" i="4" s="1"/>
  <c r="V65" i="4"/>
  <c r="AY65" i="4" s="1"/>
  <c r="U65" i="4"/>
  <c r="AX65" i="4" s="1"/>
  <c r="T65" i="4"/>
  <c r="AW65" i="4" s="1"/>
  <c r="J65" i="4"/>
  <c r="Y65" i="4" s="1"/>
  <c r="D65" i="4"/>
  <c r="BC64" i="4"/>
  <c r="BB64" i="4"/>
  <c r="AA64" i="4"/>
  <c r="W64" i="4"/>
  <c r="AZ64" i="4" s="1"/>
  <c r="V64" i="4"/>
  <c r="AY64" i="4" s="1"/>
  <c r="U64" i="4"/>
  <c r="AX64" i="4" s="1"/>
  <c r="T64" i="4"/>
  <c r="AW64" i="4" s="1"/>
  <c r="J64" i="4"/>
  <c r="Y64" i="4" s="1"/>
  <c r="D64" i="4"/>
  <c r="K64" i="4" s="1"/>
  <c r="Z64" i="4" s="1"/>
  <c r="BC63" i="4"/>
  <c r="BB63" i="4"/>
  <c r="AA63" i="4"/>
  <c r="W63" i="4"/>
  <c r="AZ63" i="4" s="1"/>
  <c r="V63" i="4"/>
  <c r="AY63" i="4" s="1"/>
  <c r="U63" i="4"/>
  <c r="AX63" i="4" s="1"/>
  <c r="T63" i="4"/>
  <c r="J63" i="4"/>
  <c r="Y63" i="4" s="1"/>
  <c r="D63" i="4"/>
  <c r="AA62" i="4"/>
  <c r="W62" i="4"/>
  <c r="AZ62" i="4" s="1"/>
  <c r="V62" i="4"/>
  <c r="AY62" i="4" s="1"/>
  <c r="U62" i="4"/>
  <c r="AX62" i="4" s="1"/>
  <c r="T62" i="4"/>
  <c r="K62" i="4"/>
  <c r="Z62" i="4" s="1"/>
  <c r="BC61" i="4"/>
  <c r="BB61" i="4"/>
  <c r="AA61" i="4"/>
  <c r="W61" i="4"/>
  <c r="AZ61" i="4" s="1"/>
  <c r="V61" i="4"/>
  <c r="AY61" i="4" s="1"/>
  <c r="U61" i="4"/>
  <c r="AX61" i="4" s="1"/>
  <c r="T61" i="4"/>
  <c r="AW61" i="4" s="1"/>
  <c r="J61" i="4"/>
  <c r="Y61" i="4" s="1"/>
  <c r="D61" i="4"/>
  <c r="AA60" i="4"/>
  <c r="W60" i="4"/>
  <c r="AZ60" i="4" s="1"/>
  <c r="V60" i="4"/>
  <c r="AY60" i="4" s="1"/>
  <c r="U60" i="4"/>
  <c r="AX60" i="4" s="1"/>
  <c r="T60" i="4"/>
  <c r="K60" i="4"/>
  <c r="Z60" i="4" s="1"/>
  <c r="BC59" i="4"/>
  <c r="BB59" i="4"/>
  <c r="AA59" i="4"/>
  <c r="W59" i="4"/>
  <c r="AZ59" i="4" s="1"/>
  <c r="V59" i="4"/>
  <c r="AY59" i="4" s="1"/>
  <c r="U59" i="4"/>
  <c r="AX59" i="4" s="1"/>
  <c r="T59" i="4"/>
  <c r="J59" i="4"/>
  <c r="Y59" i="4" s="1"/>
  <c r="D59" i="4"/>
  <c r="K59" i="4" s="1"/>
  <c r="Z59" i="4" s="1"/>
  <c r="BC58" i="4"/>
  <c r="BB58" i="4"/>
  <c r="AA58" i="4"/>
  <c r="W58" i="4"/>
  <c r="AZ58" i="4" s="1"/>
  <c r="V58" i="4"/>
  <c r="AY58" i="4" s="1"/>
  <c r="U58" i="4"/>
  <c r="AX58" i="4" s="1"/>
  <c r="T58" i="4"/>
  <c r="AW58" i="4" s="1"/>
  <c r="J58" i="4"/>
  <c r="Y58" i="4" s="1"/>
  <c r="D58" i="4"/>
  <c r="K58" i="4" s="1"/>
  <c r="Z58" i="4" s="1"/>
  <c r="BC57" i="4"/>
  <c r="BB57" i="4"/>
  <c r="AA57" i="4"/>
  <c r="W57" i="4"/>
  <c r="AZ57" i="4" s="1"/>
  <c r="V57" i="4"/>
  <c r="AY57" i="4" s="1"/>
  <c r="U57" i="4"/>
  <c r="AX57" i="4" s="1"/>
  <c r="T57" i="4"/>
  <c r="AW57" i="4" s="1"/>
  <c r="J57" i="4"/>
  <c r="Y57" i="4" s="1"/>
  <c r="D57" i="4"/>
  <c r="BC56" i="4"/>
  <c r="BB56" i="4"/>
  <c r="AA56" i="4"/>
  <c r="W56" i="4"/>
  <c r="AZ56" i="4" s="1"/>
  <c r="V56" i="4"/>
  <c r="AY56" i="4" s="1"/>
  <c r="U56" i="4"/>
  <c r="AX56" i="4" s="1"/>
  <c r="T56" i="4"/>
  <c r="AW56" i="4" s="1"/>
  <c r="J56" i="4"/>
  <c r="Y56" i="4" s="1"/>
  <c r="D56" i="4"/>
  <c r="BC55" i="4"/>
  <c r="BB55" i="4"/>
  <c r="AA55" i="4"/>
  <c r="W55" i="4"/>
  <c r="AZ55" i="4" s="1"/>
  <c r="V55" i="4"/>
  <c r="AY55" i="4" s="1"/>
  <c r="U55" i="4"/>
  <c r="AX55" i="4" s="1"/>
  <c r="T55" i="4"/>
  <c r="AW55" i="4" s="1"/>
  <c r="J55" i="4"/>
  <c r="Y55" i="4" s="1"/>
  <c r="D55" i="4"/>
  <c r="K55" i="4" s="1"/>
  <c r="Z55" i="4" s="1"/>
  <c r="BC54" i="4"/>
  <c r="BB54" i="4"/>
  <c r="AA54" i="4"/>
  <c r="W54" i="4"/>
  <c r="AZ54" i="4" s="1"/>
  <c r="V54" i="4"/>
  <c r="AY54" i="4" s="1"/>
  <c r="U54" i="4"/>
  <c r="AX54" i="4" s="1"/>
  <c r="T54" i="4"/>
  <c r="AW54" i="4" s="1"/>
  <c r="J54" i="4"/>
  <c r="Y54" i="4" s="1"/>
  <c r="D54" i="4"/>
  <c r="K54" i="4" s="1"/>
  <c r="Z54" i="4" s="1"/>
  <c r="BC53" i="4"/>
  <c r="BB53" i="4"/>
  <c r="AA53" i="4"/>
  <c r="W53" i="4"/>
  <c r="AZ53" i="4" s="1"/>
  <c r="V53" i="4"/>
  <c r="AY53" i="4" s="1"/>
  <c r="U53" i="4"/>
  <c r="AX53" i="4" s="1"/>
  <c r="T53" i="4"/>
  <c r="AW53" i="4" s="1"/>
  <c r="J53" i="4"/>
  <c r="Y53" i="4" s="1"/>
  <c r="D53" i="4"/>
  <c r="BC52" i="4"/>
  <c r="BB52" i="4"/>
  <c r="AA52" i="4"/>
  <c r="W52" i="4"/>
  <c r="AZ52" i="4" s="1"/>
  <c r="V52" i="4"/>
  <c r="AY52" i="4" s="1"/>
  <c r="U52" i="4"/>
  <c r="AX52" i="4" s="1"/>
  <c r="T52" i="4"/>
  <c r="AW52" i="4" s="1"/>
  <c r="J52" i="4"/>
  <c r="Y52" i="4" s="1"/>
  <c r="D52" i="4"/>
  <c r="BC51" i="4"/>
  <c r="BB51" i="4"/>
  <c r="AA51" i="4"/>
  <c r="W51" i="4"/>
  <c r="AZ51" i="4" s="1"/>
  <c r="V51" i="4"/>
  <c r="AY51" i="4" s="1"/>
  <c r="U51" i="4"/>
  <c r="AX51" i="4" s="1"/>
  <c r="T51" i="4"/>
  <c r="AW51" i="4" s="1"/>
  <c r="J51" i="4"/>
  <c r="Y51" i="4" s="1"/>
  <c r="D51" i="4"/>
  <c r="K51" i="4" s="1"/>
  <c r="Z51" i="4" s="1"/>
  <c r="BC50" i="4"/>
  <c r="BB50" i="4"/>
  <c r="AA50" i="4"/>
  <c r="W50" i="4"/>
  <c r="AZ50" i="4" s="1"/>
  <c r="V50" i="4"/>
  <c r="AY50" i="4" s="1"/>
  <c r="U50" i="4"/>
  <c r="AX50" i="4" s="1"/>
  <c r="T50" i="4"/>
  <c r="AW50" i="4" s="1"/>
  <c r="J50" i="4"/>
  <c r="Y50" i="4" s="1"/>
  <c r="D50" i="4"/>
  <c r="K50" i="4" s="1"/>
  <c r="Z50" i="4" s="1"/>
  <c r="BC49" i="4"/>
  <c r="BB49" i="4"/>
  <c r="AA49" i="4"/>
  <c r="W49" i="4"/>
  <c r="AZ49" i="4" s="1"/>
  <c r="V49" i="4"/>
  <c r="AY49" i="4" s="1"/>
  <c r="U49" i="4"/>
  <c r="AX49" i="4" s="1"/>
  <c r="T49" i="4"/>
  <c r="AW49" i="4" s="1"/>
  <c r="J49" i="4"/>
  <c r="Y49" i="4" s="1"/>
  <c r="D49" i="4"/>
  <c r="BC48" i="4"/>
  <c r="BB48" i="4"/>
  <c r="AA48" i="4"/>
  <c r="W48" i="4"/>
  <c r="AZ48" i="4" s="1"/>
  <c r="V48" i="4"/>
  <c r="AY48" i="4" s="1"/>
  <c r="U48" i="4"/>
  <c r="AX48" i="4" s="1"/>
  <c r="T48" i="4"/>
  <c r="AW48" i="4" s="1"/>
  <c r="J48" i="4"/>
  <c r="Y48" i="4" s="1"/>
  <c r="D48" i="4"/>
  <c r="K48" i="4" s="1"/>
  <c r="Z48" i="4" s="1"/>
  <c r="BC47" i="4"/>
  <c r="BB47" i="4"/>
  <c r="AA47" i="4"/>
  <c r="W47" i="4"/>
  <c r="AZ47" i="4" s="1"/>
  <c r="V47" i="4"/>
  <c r="AY47" i="4" s="1"/>
  <c r="U47" i="4"/>
  <c r="AX47" i="4" s="1"/>
  <c r="T47" i="4"/>
  <c r="AW47" i="4" s="1"/>
  <c r="J47" i="4"/>
  <c r="Y47" i="4" s="1"/>
  <c r="D47" i="4"/>
  <c r="BC46" i="4"/>
  <c r="BB46" i="4"/>
  <c r="AA46" i="4"/>
  <c r="W46" i="4"/>
  <c r="AZ46" i="4" s="1"/>
  <c r="V46" i="4"/>
  <c r="AY46" i="4" s="1"/>
  <c r="U46" i="4"/>
  <c r="AX46" i="4" s="1"/>
  <c r="T46" i="4"/>
  <c r="AW46" i="4" s="1"/>
  <c r="J46" i="4"/>
  <c r="Y46" i="4" s="1"/>
  <c r="D46" i="4"/>
  <c r="BC45" i="4"/>
  <c r="BB45" i="4"/>
  <c r="AA45" i="4"/>
  <c r="W45" i="4"/>
  <c r="AZ45" i="4" s="1"/>
  <c r="V45" i="4"/>
  <c r="AY45" i="4" s="1"/>
  <c r="U45" i="4"/>
  <c r="AX45" i="4" s="1"/>
  <c r="T45" i="4"/>
  <c r="AW45" i="4" s="1"/>
  <c r="J45" i="4"/>
  <c r="Y45" i="4" s="1"/>
  <c r="D45" i="4"/>
  <c r="K45" i="4" s="1"/>
  <c r="Z45" i="4" s="1"/>
  <c r="BC44" i="4"/>
  <c r="BB44" i="4"/>
  <c r="AA44" i="4"/>
  <c r="W44" i="4"/>
  <c r="AZ44" i="4" s="1"/>
  <c r="V44" i="4"/>
  <c r="AY44" i="4" s="1"/>
  <c r="U44" i="4"/>
  <c r="AX44" i="4" s="1"/>
  <c r="T44" i="4"/>
  <c r="AW44" i="4" s="1"/>
  <c r="J44" i="4"/>
  <c r="Y44" i="4" s="1"/>
  <c r="D44" i="4"/>
  <c r="K44" i="4" s="1"/>
  <c r="Z44" i="4" s="1"/>
  <c r="BC43" i="4"/>
  <c r="BB43" i="4"/>
  <c r="AA43" i="4"/>
  <c r="W43" i="4"/>
  <c r="AZ43" i="4" s="1"/>
  <c r="V43" i="4"/>
  <c r="AY43" i="4" s="1"/>
  <c r="U43" i="4"/>
  <c r="AX43" i="4" s="1"/>
  <c r="T43" i="4"/>
  <c r="AW43" i="4" s="1"/>
  <c r="J43" i="4"/>
  <c r="Y43" i="4" s="1"/>
  <c r="D43" i="4"/>
  <c r="BC42" i="4"/>
  <c r="BB42" i="4"/>
  <c r="AA42" i="4"/>
  <c r="W42" i="4"/>
  <c r="AZ42" i="4" s="1"/>
  <c r="V42" i="4"/>
  <c r="AY42" i="4" s="1"/>
  <c r="U42" i="4"/>
  <c r="AX42" i="4" s="1"/>
  <c r="T42" i="4"/>
  <c r="AW42" i="4" s="1"/>
  <c r="J42" i="4"/>
  <c r="Y42" i="4" s="1"/>
  <c r="D42" i="4"/>
  <c r="BC41" i="4"/>
  <c r="BB41" i="4"/>
  <c r="AA41" i="4"/>
  <c r="W41" i="4"/>
  <c r="AZ41" i="4" s="1"/>
  <c r="V41" i="4"/>
  <c r="AY41" i="4" s="1"/>
  <c r="U41" i="4"/>
  <c r="AX41" i="4" s="1"/>
  <c r="T41" i="4"/>
  <c r="AW41" i="4" s="1"/>
  <c r="J41" i="4"/>
  <c r="Y41" i="4" s="1"/>
  <c r="D41" i="4"/>
  <c r="BC40" i="4"/>
  <c r="BB40" i="4"/>
  <c r="AA40" i="4"/>
  <c r="W40" i="4"/>
  <c r="AZ40" i="4" s="1"/>
  <c r="V40" i="4"/>
  <c r="AY40" i="4" s="1"/>
  <c r="U40" i="4"/>
  <c r="AX40" i="4" s="1"/>
  <c r="T40" i="4"/>
  <c r="AW40" i="4" s="1"/>
  <c r="J40" i="4"/>
  <c r="Y40" i="4" s="1"/>
  <c r="D40" i="4"/>
  <c r="BC39" i="4"/>
  <c r="BB39" i="4"/>
  <c r="AA39" i="4"/>
  <c r="W39" i="4"/>
  <c r="AZ39" i="4" s="1"/>
  <c r="V39" i="4"/>
  <c r="AY39" i="4" s="1"/>
  <c r="U39" i="4"/>
  <c r="AX39" i="4" s="1"/>
  <c r="T39" i="4"/>
  <c r="AW39" i="4" s="1"/>
  <c r="J39" i="4"/>
  <c r="Y39" i="4" s="1"/>
  <c r="D39" i="4"/>
  <c r="K39" i="4" s="1"/>
  <c r="Z39" i="4" s="1"/>
  <c r="BC38" i="4"/>
  <c r="BB38" i="4"/>
  <c r="AA38" i="4"/>
  <c r="W38" i="4"/>
  <c r="AZ38" i="4" s="1"/>
  <c r="V38" i="4"/>
  <c r="AY38" i="4" s="1"/>
  <c r="U38" i="4"/>
  <c r="AX38" i="4" s="1"/>
  <c r="T38" i="4"/>
  <c r="AW38" i="4" s="1"/>
  <c r="J38" i="4"/>
  <c r="Y38" i="4" s="1"/>
  <c r="D38" i="4"/>
  <c r="K38" i="4" s="1"/>
  <c r="Z38" i="4" s="1"/>
  <c r="BC37" i="4"/>
  <c r="BB37" i="4"/>
  <c r="AA37" i="4"/>
  <c r="W37" i="4"/>
  <c r="AZ37" i="4" s="1"/>
  <c r="V37" i="4"/>
  <c r="AY37" i="4" s="1"/>
  <c r="U37" i="4"/>
  <c r="AX37" i="4" s="1"/>
  <c r="T37" i="4"/>
  <c r="AW37" i="4" s="1"/>
  <c r="J37" i="4"/>
  <c r="Y37" i="4" s="1"/>
  <c r="D37" i="4"/>
  <c r="K37" i="4" s="1"/>
  <c r="Z37" i="4" s="1"/>
  <c r="BC36" i="4"/>
  <c r="BB36" i="4"/>
  <c r="AA36" i="4"/>
  <c r="W36" i="4"/>
  <c r="AZ36" i="4" s="1"/>
  <c r="V36" i="4"/>
  <c r="AY36" i="4" s="1"/>
  <c r="U36" i="4"/>
  <c r="AX36" i="4" s="1"/>
  <c r="T36" i="4"/>
  <c r="AW36" i="4" s="1"/>
  <c r="J36" i="4"/>
  <c r="Y36" i="4" s="1"/>
  <c r="D36" i="4"/>
  <c r="BC35" i="4"/>
  <c r="BB35" i="4"/>
  <c r="AA35" i="4"/>
  <c r="W35" i="4"/>
  <c r="AZ35" i="4" s="1"/>
  <c r="V35" i="4"/>
  <c r="AY35" i="4" s="1"/>
  <c r="U35" i="4"/>
  <c r="AX35" i="4" s="1"/>
  <c r="T35" i="4"/>
  <c r="AW35" i="4" s="1"/>
  <c r="J35" i="4"/>
  <c r="Y35" i="4" s="1"/>
  <c r="D35" i="4"/>
  <c r="K35" i="4" s="1"/>
  <c r="Z35" i="4" s="1"/>
  <c r="BC34" i="4"/>
  <c r="BB34" i="4"/>
  <c r="AA34" i="4"/>
  <c r="W34" i="4"/>
  <c r="AZ34" i="4" s="1"/>
  <c r="V34" i="4"/>
  <c r="AY34" i="4" s="1"/>
  <c r="U34" i="4"/>
  <c r="AX34" i="4" s="1"/>
  <c r="T34" i="4"/>
  <c r="AW34" i="4" s="1"/>
  <c r="J34" i="4"/>
  <c r="Y34" i="4" s="1"/>
  <c r="D34" i="4"/>
  <c r="BC33" i="4"/>
  <c r="BB33" i="4"/>
  <c r="AA33" i="4"/>
  <c r="W33" i="4"/>
  <c r="V33" i="4"/>
  <c r="U33" i="4"/>
  <c r="T33" i="4"/>
  <c r="J33" i="4"/>
  <c r="Y33" i="4" s="1"/>
  <c r="D33" i="4"/>
  <c r="K33" i="4" s="1"/>
  <c r="Z33" i="4" s="1"/>
  <c r="AA32" i="4"/>
  <c r="W32" i="4"/>
  <c r="AZ32" i="4" s="1"/>
  <c r="V32" i="4"/>
  <c r="AY32" i="4" s="1"/>
  <c r="U32" i="4"/>
  <c r="AX32" i="4" s="1"/>
  <c r="T32" i="4"/>
  <c r="K32" i="4"/>
  <c r="Z32" i="4" s="1"/>
  <c r="AA31" i="4"/>
  <c r="W31" i="4"/>
  <c r="AZ31" i="4" s="1"/>
  <c r="V31" i="4"/>
  <c r="AY31" i="4" s="1"/>
  <c r="U31" i="4"/>
  <c r="AX31" i="4" s="1"/>
  <c r="T31" i="4"/>
  <c r="K31" i="4"/>
  <c r="Z31" i="4" s="1"/>
  <c r="AA30" i="4"/>
  <c r="W30" i="4"/>
  <c r="AZ30" i="4" s="1"/>
  <c r="V30" i="4"/>
  <c r="AY30" i="4" s="1"/>
  <c r="U30" i="4"/>
  <c r="AX30" i="4" s="1"/>
  <c r="T30" i="4"/>
  <c r="K30" i="4"/>
  <c r="Z30" i="4" s="1"/>
  <c r="AA29" i="4"/>
  <c r="W29" i="4"/>
  <c r="AZ29" i="4" s="1"/>
  <c r="V29" i="4"/>
  <c r="AY29" i="4" s="1"/>
  <c r="U29" i="4"/>
  <c r="AX29" i="4" s="1"/>
  <c r="T29" i="4"/>
  <c r="K29" i="4"/>
  <c r="Z29" i="4" s="1"/>
  <c r="BC28" i="4"/>
  <c r="BB28" i="4"/>
  <c r="AA28" i="4"/>
  <c r="W28" i="4"/>
  <c r="AZ28" i="4" s="1"/>
  <c r="V28" i="4"/>
  <c r="AY28" i="4" s="1"/>
  <c r="U28" i="4"/>
  <c r="AX28" i="4" s="1"/>
  <c r="T28" i="4"/>
  <c r="AW28" i="4" s="1"/>
  <c r="J28" i="4"/>
  <c r="Y28" i="4" s="1"/>
  <c r="D28" i="4"/>
  <c r="BC27" i="4"/>
  <c r="BB27" i="4"/>
  <c r="AA27" i="4"/>
  <c r="W27" i="4"/>
  <c r="AZ27" i="4" s="1"/>
  <c r="V27" i="4"/>
  <c r="AY27" i="4" s="1"/>
  <c r="U27" i="4"/>
  <c r="AX27" i="4" s="1"/>
  <c r="T27" i="4"/>
  <c r="AW27" i="4" s="1"/>
  <c r="J27" i="4"/>
  <c r="Y27" i="4" s="1"/>
  <c r="D27" i="4"/>
  <c r="K27" i="4" s="1"/>
  <c r="Z27" i="4" s="1"/>
  <c r="BC26" i="4"/>
  <c r="BB26" i="4"/>
  <c r="AA26" i="4"/>
  <c r="W26" i="4"/>
  <c r="AZ26" i="4" s="1"/>
  <c r="V26" i="4"/>
  <c r="AY26" i="4" s="1"/>
  <c r="U26" i="4"/>
  <c r="AX26" i="4" s="1"/>
  <c r="T26" i="4"/>
  <c r="AW26" i="4" s="1"/>
  <c r="J26" i="4"/>
  <c r="Y26" i="4" s="1"/>
  <c r="D26" i="4"/>
  <c r="BC25" i="4"/>
  <c r="BB25" i="4"/>
  <c r="AA25" i="4"/>
  <c r="W25" i="4"/>
  <c r="AZ25" i="4" s="1"/>
  <c r="V25" i="4"/>
  <c r="AY25" i="4" s="1"/>
  <c r="U25" i="4"/>
  <c r="AX25" i="4" s="1"/>
  <c r="T25" i="4"/>
  <c r="AW25" i="4" s="1"/>
  <c r="J25" i="4"/>
  <c r="Y25" i="4" s="1"/>
  <c r="D25" i="4"/>
  <c r="BC24" i="4"/>
  <c r="BB24" i="4"/>
  <c r="AA24" i="4"/>
  <c r="W24" i="4"/>
  <c r="AZ24" i="4" s="1"/>
  <c r="V24" i="4"/>
  <c r="AY24" i="4" s="1"/>
  <c r="U24" i="4"/>
  <c r="AX24" i="4" s="1"/>
  <c r="T24" i="4"/>
  <c r="AW24" i="4" s="1"/>
  <c r="J24" i="4"/>
  <c r="Y24" i="4" s="1"/>
  <c r="D24" i="4"/>
  <c r="K24" i="4" s="1"/>
  <c r="Z24" i="4" s="1"/>
  <c r="AA23" i="4"/>
  <c r="Y23" i="4"/>
  <c r="W23" i="4"/>
  <c r="AZ23" i="4" s="1"/>
  <c r="V23" i="4"/>
  <c r="AY23" i="4" s="1"/>
  <c r="U23" i="4"/>
  <c r="AX23" i="4" s="1"/>
  <c r="T23" i="4"/>
  <c r="K23" i="4"/>
  <c r="Z23" i="4" s="1"/>
  <c r="BC22" i="4"/>
  <c r="BB22" i="4"/>
  <c r="AA22" i="4"/>
  <c r="Y22" i="4"/>
  <c r="W22" i="4"/>
  <c r="V22" i="4"/>
  <c r="U22" i="4"/>
  <c r="T22" i="4"/>
  <c r="D22" i="4"/>
  <c r="BC21" i="4"/>
  <c r="BB21" i="4"/>
  <c r="AA21" i="4"/>
  <c r="Y21" i="4"/>
  <c r="W21" i="4"/>
  <c r="V21" i="4"/>
  <c r="U21" i="4"/>
  <c r="T21" i="4"/>
  <c r="D21" i="4"/>
  <c r="BC20" i="4"/>
  <c r="BB20" i="4"/>
  <c r="AA20" i="4"/>
  <c r="W20" i="4"/>
  <c r="AZ20" i="4" s="1"/>
  <c r="V20" i="4"/>
  <c r="AY20" i="4" s="1"/>
  <c r="U20" i="4"/>
  <c r="AX20" i="4" s="1"/>
  <c r="T20" i="4"/>
  <c r="AW20" i="4" s="1"/>
  <c r="J20" i="4"/>
  <c r="Y20" i="4" s="1"/>
  <c r="D20" i="4"/>
  <c r="K20" i="4" s="1"/>
  <c r="Z20" i="4" s="1"/>
  <c r="BC19" i="4"/>
  <c r="BB19" i="4"/>
  <c r="AA19" i="4"/>
  <c r="W19" i="4"/>
  <c r="AZ19" i="4" s="1"/>
  <c r="V19" i="4"/>
  <c r="AY19" i="4" s="1"/>
  <c r="U19" i="4"/>
  <c r="AX19" i="4" s="1"/>
  <c r="T19" i="4"/>
  <c r="AW19" i="4" s="1"/>
  <c r="J19" i="4"/>
  <c r="Y19" i="4" s="1"/>
  <c r="D19" i="4"/>
  <c r="BC18" i="4"/>
  <c r="BB18" i="4"/>
  <c r="AA18" i="4"/>
  <c r="W18" i="4"/>
  <c r="AZ18" i="4" s="1"/>
  <c r="V18" i="4"/>
  <c r="AY18" i="4" s="1"/>
  <c r="U18" i="4"/>
  <c r="AX18" i="4" s="1"/>
  <c r="T18" i="4"/>
  <c r="AW18" i="4" s="1"/>
  <c r="J18" i="4"/>
  <c r="Y18" i="4" s="1"/>
  <c r="D18" i="4"/>
  <c r="BC17" i="4"/>
  <c r="BB17" i="4"/>
  <c r="AA17" i="4"/>
  <c r="W17" i="4"/>
  <c r="AZ17" i="4" s="1"/>
  <c r="V17" i="4"/>
  <c r="AY17" i="4" s="1"/>
  <c r="U17" i="4"/>
  <c r="AX17" i="4" s="1"/>
  <c r="T17" i="4"/>
  <c r="AW17" i="4" s="1"/>
  <c r="J17" i="4"/>
  <c r="Y17" i="4" s="1"/>
  <c r="D17" i="4"/>
  <c r="BC16" i="4"/>
  <c r="BB16" i="4"/>
  <c r="AA16" i="4"/>
  <c r="W16" i="4"/>
  <c r="AZ16" i="4" s="1"/>
  <c r="V16" i="4"/>
  <c r="AY16" i="4" s="1"/>
  <c r="U16" i="4"/>
  <c r="AX16" i="4" s="1"/>
  <c r="T16" i="4"/>
  <c r="AW16" i="4" s="1"/>
  <c r="J16" i="4"/>
  <c r="Y16" i="4" s="1"/>
  <c r="D16" i="4"/>
  <c r="K16" i="4" s="1"/>
  <c r="Z16" i="4" s="1"/>
  <c r="BC15" i="4"/>
  <c r="BB15" i="4"/>
  <c r="AA15" i="4"/>
  <c r="W15" i="4"/>
  <c r="AZ15" i="4" s="1"/>
  <c r="V15" i="4"/>
  <c r="AY15" i="4" s="1"/>
  <c r="U15" i="4"/>
  <c r="AX15" i="4" s="1"/>
  <c r="T15" i="4"/>
  <c r="AW15" i="4" s="1"/>
  <c r="J15" i="4"/>
  <c r="Y15" i="4" s="1"/>
  <c r="D15" i="4"/>
  <c r="BC14" i="4"/>
  <c r="BB14" i="4"/>
  <c r="AA14" i="4"/>
  <c r="W14" i="4"/>
  <c r="AZ14" i="4" s="1"/>
  <c r="V14" i="4"/>
  <c r="AY14" i="4" s="1"/>
  <c r="U14" i="4"/>
  <c r="AX14" i="4" s="1"/>
  <c r="T14" i="4"/>
  <c r="AW14" i="4" s="1"/>
  <c r="J14" i="4"/>
  <c r="Y14" i="4" s="1"/>
  <c r="D14" i="4"/>
  <c r="BC13" i="4"/>
  <c r="BB13" i="4"/>
  <c r="AA13" i="4"/>
  <c r="W13" i="4"/>
  <c r="AZ13" i="4" s="1"/>
  <c r="V13" i="4"/>
  <c r="AY13" i="4" s="1"/>
  <c r="U13" i="4"/>
  <c r="AX13" i="4" s="1"/>
  <c r="T13" i="4"/>
  <c r="AW13" i="4" s="1"/>
  <c r="BA13" i="4" s="1"/>
  <c r="J13" i="4"/>
  <c r="Y13" i="4" s="1"/>
  <c r="D13" i="4"/>
  <c r="K13" i="4" s="1"/>
  <c r="Z13" i="4" s="1"/>
  <c r="BC12" i="4"/>
  <c r="BB12" i="4"/>
  <c r="AA12" i="4"/>
  <c r="W12" i="4"/>
  <c r="AZ12" i="4" s="1"/>
  <c r="V12" i="4"/>
  <c r="AY12" i="4" s="1"/>
  <c r="U12" i="4"/>
  <c r="AX12" i="4" s="1"/>
  <c r="T12" i="4"/>
  <c r="AW12" i="4" s="1"/>
  <c r="J12" i="4"/>
  <c r="Y12" i="4" s="1"/>
  <c r="D12" i="4"/>
  <c r="K12" i="4" s="1"/>
  <c r="Z12" i="4" s="1"/>
  <c r="BC11" i="4"/>
  <c r="BB11" i="4"/>
  <c r="AA11" i="4"/>
  <c r="W11" i="4"/>
  <c r="AZ11" i="4" s="1"/>
  <c r="V11" i="4"/>
  <c r="AY11" i="4" s="1"/>
  <c r="U11" i="4"/>
  <c r="AX11" i="4" s="1"/>
  <c r="T11" i="4"/>
  <c r="AW11" i="4" s="1"/>
  <c r="J11" i="4"/>
  <c r="Y11" i="4" s="1"/>
  <c r="D11" i="4"/>
  <c r="BC10" i="4"/>
  <c r="BB10" i="4"/>
  <c r="AA10" i="4"/>
  <c r="W10" i="4"/>
  <c r="AZ10" i="4" s="1"/>
  <c r="V10" i="4"/>
  <c r="AY10" i="4" s="1"/>
  <c r="U10" i="4"/>
  <c r="AX10" i="4" s="1"/>
  <c r="T10" i="4"/>
  <c r="AW10" i="4" s="1"/>
  <c r="J10" i="4"/>
  <c r="Y10" i="4" s="1"/>
  <c r="D10" i="4"/>
  <c r="K10" i="4" s="1"/>
  <c r="Z10" i="4" s="1"/>
  <c r="BC9" i="4"/>
  <c r="BB9" i="4"/>
  <c r="AA9" i="4"/>
  <c r="W9" i="4"/>
  <c r="AZ9" i="4" s="1"/>
  <c r="V9" i="4"/>
  <c r="AY9" i="4" s="1"/>
  <c r="U9" i="4"/>
  <c r="AX9" i="4" s="1"/>
  <c r="T9" i="4"/>
  <c r="AW9" i="4" s="1"/>
  <c r="J9" i="4"/>
  <c r="Y9" i="4" s="1"/>
  <c r="D9" i="4"/>
  <c r="K9" i="4" s="1"/>
  <c r="Z9" i="4" s="1"/>
  <c r="BC8" i="4"/>
  <c r="BB8" i="4"/>
  <c r="AA8" i="4"/>
  <c r="W8" i="4"/>
  <c r="AZ8" i="4" s="1"/>
  <c r="V8" i="4"/>
  <c r="U8" i="4"/>
  <c r="T8" i="4"/>
  <c r="J8" i="4"/>
  <c r="Y8" i="4" s="1"/>
  <c r="D8" i="4"/>
  <c r="K8" i="4" s="1"/>
  <c r="Z8" i="4" s="1"/>
  <c r="BA9" i="4" l="1"/>
  <c r="BA17" i="4"/>
  <c r="F10" i="2"/>
  <c r="AX119" i="4"/>
  <c r="B19" i="2"/>
  <c r="BA27" i="4"/>
  <c r="BA35" i="4"/>
  <c r="BA39" i="4"/>
  <c r="BA43" i="4"/>
  <c r="BA47" i="4"/>
  <c r="BA51" i="4"/>
  <c r="BA55" i="4"/>
  <c r="BA65" i="4"/>
  <c r="BA66" i="4"/>
  <c r="BA71" i="4"/>
  <c r="BA75" i="4"/>
  <c r="BA79" i="4"/>
  <c r="BA83" i="4"/>
  <c r="BA87" i="4"/>
  <c r="BA88" i="4"/>
  <c r="BA90" i="4"/>
  <c r="BA92" i="4"/>
  <c r="BA96" i="4"/>
  <c r="BA100" i="4"/>
  <c r="BA108" i="4"/>
  <c r="BA115" i="4"/>
  <c r="F12" i="2"/>
  <c r="B13" i="2"/>
  <c r="F15" i="2"/>
  <c r="B16" i="2"/>
  <c r="BA298" i="4"/>
  <c r="BA301" i="4"/>
  <c r="B10" i="2"/>
  <c r="F19" i="2"/>
  <c r="H19" i="2" s="1"/>
  <c r="F16" i="2"/>
  <c r="N14" i="2"/>
  <c r="P14" i="2" s="1"/>
  <c r="J14" i="2"/>
  <c r="AY258" i="4"/>
  <c r="J17" i="2"/>
  <c r="N17" i="2"/>
  <c r="P17" i="2" s="1"/>
  <c r="AX8" i="4"/>
  <c r="F9" i="2"/>
  <c r="H9" i="2" s="1"/>
  <c r="AY8" i="4"/>
  <c r="J9" i="2"/>
  <c r="N9" i="2"/>
  <c r="N10" i="2"/>
  <c r="P10" i="2" s="1"/>
  <c r="J10" i="2"/>
  <c r="AW122" i="4"/>
  <c r="B11" i="2"/>
  <c r="J12" i="2"/>
  <c r="N12" i="2"/>
  <c r="F13" i="2"/>
  <c r="N15" i="2"/>
  <c r="J15" i="2"/>
  <c r="AW259" i="4"/>
  <c r="B18" i="2"/>
  <c r="N19" i="2"/>
  <c r="P19" i="2" s="1"/>
  <c r="J19" i="2"/>
  <c r="AX122" i="4"/>
  <c r="F11" i="2"/>
  <c r="J13" i="2"/>
  <c r="N13" i="2"/>
  <c r="P13" i="2" s="1"/>
  <c r="B14" i="2"/>
  <c r="J16" i="2"/>
  <c r="N16" i="2"/>
  <c r="AW258" i="4"/>
  <c r="B17" i="2"/>
  <c r="AX259" i="4"/>
  <c r="F18" i="2"/>
  <c r="AW8" i="4"/>
  <c r="B9" i="2"/>
  <c r="AY122" i="4"/>
  <c r="N11" i="2"/>
  <c r="P11" i="2" s="1"/>
  <c r="J11" i="2"/>
  <c r="B12" i="2"/>
  <c r="F14" i="2"/>
  <c r="B15" i="2"/>
  <c r="AX258" i="4"/>
  <c r="F17" i="2"/>
  <c r="AY259" i="4"/>
  <c r="N18" i="2"/>
  <c r="P18" i="2" s="1"/>
  <c r="J18" i="2"/>
  <c r="L18" i="2" s="1"/>
  <c r="BA201" i="4"/>
  <c r="BA205" i="4"/>
  <c r="BA226" i="4"/>
  <c r="BA230" i="4"/>
  <c r="BA231" i="4"/>
  <c r="BA233" i="4"/>
  <c r="BA238" i="4"/>
  <c r="BA242" i="4"/>
  <c r="BA246" i="4"/>
  <c r="BA250" i="4"/>
  <c r="BA254" i="4"/>
  <c r="BA265" i="4"/>
  <c r="BA271" i="4"/>
  <c r="BA275" i="4"/>
  <c r="BA279" i="4"/>
  <c r="BA285" i="4"/>
  <c r="BA288" i="4"/>
  <c r="BA162" i="4"/>
  <c r="BA168" i="4"/>
  <c r="BA176" i="4"/>
  <c r="BA191" i="4"/>
  <c r="BA198" i="4"/>
  <c r="BA200" i="4"/>
  <c r="BA204" i="4"/>
  <c r="BA210" i="4"/>
  <c r="BA229" i="4"/>
  <c r="BA237" i="4"/>
  <c r="BA241" i="4"/>
  <c r="BA245" i="4"/>
  <c r="BA253" i="4"/>
  <c r="BA257" i="4"/>
  <c r="BA262" i="4"/>
  <c r="BA270" i="4"/>
  <c r="BA274" i="4"/>
  <c r="BA278" i="4"/>
  <c r="BA282" i="4"/>
  <c r="BA287" i="4"/>
  <c r="BA291" i="4"/>
  <c r="BA28" i="4"/>
  <c r="BA40" i="4"/>
  <c r="BA44" i="4"/>
  <c r="BA48" i="4"/>
  <c r="BA52" i="4"/>
  <c r="BA56" i="4"/>
  <c r="BA68" i="4"/>
  <c r="BA72" i="4"/>
  <c r="BA76" i="4"/>
  <c r="BA80" i="4"/>
  <c r="BA84" i="4"/>
  <c r="BA93" i="4"/>
  <c r="BA101" i="4"/>
  <c r="BA105" i="4"/>
  <c r="BA109" i="4"/>
  <c r="BA116" i="4"/>
  <c r="BA124" i="4"/>
  <c r="BA126" i="4"/>
  <c r="BA128" i="4"/>
  <c r="BA130" i="4"/>
  <c r="BA132" i="4"/>
  <c r="BA134" i="4"/>
  <c r="BA147" i="4"/>
  <c r="BA299" i="4"/>
  <c r="BA300" i="4"/>
  <c r="BA14" i="4"/>
  <c r="BA24" i="4"/>
  <c r="BA11" i="4"/>
  <c r="BA15" i="4"/>
  <c r="BA19" i="4"/>
  <c r="BA25" i="4"/>
  <c r="BA37" i="4"/>
  <c r="BA41" i="4"/>
  <c r="BA45" i="4"/>
  <c r="BA49" i="4"/>
  <c r="BA53" i="4"/>
  <c r="BA57" i="4"/>
  <c r="BA67" i="4"/>
  <c r="BA69" i="4"/>
  <c r="BA73" i="4"/>
  <c r="BA81" i="4"/>
  <c r="BA85" i="4"/>
  <c r="BA89" i="4"/>
  <c r="BA98" i="4"/>
  <c r="BA102" i="4"/>
  <c r="BA106" i="4"/>
  <c r="BA110" i="4"/>
  <c r="BA117" i="4"/>
  <c r="BA156" i="4"/>
  <c r="BA159" i="4"/>
  <c r="BA179" i="4"/>
  <c r="BA202" i="4"/>
  <c r="BA206" i="4"/>
  <c r="BA209" i="4"/>
  <c r="BA214" i="4"/>
  <c r="BA215" i="4"/>
  <c r="BA235" i="4"/>
  <c r="BA239" i="4"/>
  <c r="BA243" i="4"/>
  <c r="BA247" i="4"/>
  <c r="BA255" i="4"/>
  <c r="BA256" i="4"/>
  <c r="BA260" i="4"/>
  <c r="BA268" i="4"/>
  <c r="BA272" i="4"/>
  <c r="BA276" i="4"/>
  <c r="BA280" i="4"/>
  <c r="BA289" i="4"/>
  <c r="BA294" i="4"/>
  <c r="BA296" i="4"/>
  <c r="BA303" i="4"/>
  <c r="BA10" i="4"/>
  <c r="BA18" i="4"/>
  <c r="BA36" i="4"/>
  <c r="BA12" i="4"/>
  <c r="BA16" i="4"/>
  <c r="BA20" i="4"/>
  <c r="BA26" i="4"/>
  <c r="BA34" i="4"/>
  <c r="BA38" i="4"/>
  <c r="BA42" i="4"/>
  <c r="BA46" i="4"/>
  <c r="BA50" i="4"/>
  <c r="BA54" i="4"/>
  <c r="BA58" i="4"/>
  <c r="BA61" i="4"/>
  <c r="BA64" i="4"/>
  <c r="BA70" i="4"/>
  <c r="BA74" i="4"/>
  <c r="BA78" i="4"/>
  <c r="BA82" i="4"/>
  <c r="BA86" i="4"/>
  <c r="BA91" i="4"/>
  <c r="BA99" i="4"/>
  <c r="BA103" i="4"/>
  <c r="BA107" i="4"/>
  <c r="BA111" i="4"/>
  <c r="BA112" i="4"/>
  <c r="BA114" i="4"/>
  <c r="BA118" i="4"/>
  <c r="BA123" i="4"/>
  <c r="BA125" i="4"/>
  <c r="BA127" i="4"/>
  <c r="BA129" i="4"/>
  <c r="BA131" i="4"/>
  <c r="BA133" i="4"/>
  <c r="BA158" i="4"/>
  <c r="BA189" i="4"/>
  <c r="BA199" i="4"/>
  <c r="BA203" i="4"/>
  <c r="BA232" i="4"/>
  <c r="BA234" i="4"/>
  <c r="BA236" i="4"/>
  <c r="BA240" i="4"/>
  <c r="BA244" i="4"/>
  <c r="BA248" i="4"/>
  <c r="BA252" i="4"/>
  <c r="BA267" i="4"/>
  <c r="BA269" i="4"/>
  <c r="BA273" i="4"/>
  <c r="BA277" i="4"/>
  <c r="BA281" i="4"/>
  <c r="BA290" i="4"/>
  <c r="BA297" i="4"/>
  <c r="BA304" i="4"/>
  <c r="AJ8" i="4"/>
  <c r="AV10" i="4"/>
  <c r="AP11" i="4"/>
  <c r="AJ12" i="4"/>
  <c r="AV14" i="4"/>
  <c r="AP15" i="4"/>
  <c r="AJ16" i="4"/>
  <c r="AV18" i="4"/>
  <c r="AP19" i="4"/>
  <c r="AJ20" i="4"/>
  <c r="AJ21" i="4"/>
  <c r="AV23" i="4"/>
  <c r="AV24" i="4"/>
  <c r="AP25" i="4"/>
  <c r="AJ26" i="4"/>
  <c r="AV28" i="4"/>
  <c r="AV29" i="4"/>
  <c r="AJ30" i="4"/>
  <c r="AV31" i="4"/>
  <c r="AJ32" i="4"/>
  <c r="AP33" i="4"/>
  <c r="AJ34" i="4"/>
  <c r="AV36" i="4"/>
  <c r="AP37" i="4"/>
  <c r="AJ38" i="4"/>
  <c r="AV40" i="4"/>
  <c r="AP41" i="4"/>
  <c r="AJ42" i="4"/>
  <c r="AV44" i="4"/>
  <c r="AP45" i="4"/>
  <c r="AJ46" i="4"/>
  <c r="AV48" i="4"/>
  <c r="AP49" i="4"/>
  <c r="AJ50" i="4"/>
  <c r="AV52" i="4"/>
  <c r="AP53" i="4"/>
  <c r="AJ54" i="4"/>
  <c r="AV56" i="4"/>
  <c r="AP57" i="4"/>
  <c r="AJ58" i="4"/>
  <c r="AJ61" i="4"/>
  <c r="AJ62" i="4"/>
  <c r="AP63" i="4"/>
  <c r="AJ64" i="4"/>
  <c r="AP67" i="4"/>
  <c r="AV68" i="4"/>
  <c r="AP69" i="4"/>
  <c r="AJ70" i="4"/>
  <c r="AV72" i="4"/>
  <c r="AP73" i="4"/>
  <c r="AJ74" i="4"/>
  <c r="AV76" i="4"/>
  <c r="AP77" i="4"/>
  <c r="AJ78" i="4"/>
  <c r="AV80" i="4"/>
  <c r="AP81" i="4"/>
  <c r="AJ82" i="4"/>
  <c r="AV84" i="4"/>
  <c r="AP85" i="4"/>
  <c r="AJ86" i="4"/>
  <c r="AP89" i="4"/>
  <c r="AJ91" i="4"/>
  <c r="AV93" i="4"/>
  <c r="AP94" i="4"/>
  <c r="AJ95" i="4"/>
  <c r="AV97" i="4"/>
  <c r="AP98" i="4"/>
  <c r="AJ99" i="4"/>
  <c r="AV101" i="4"/>
  <c r="AP102" i="4"/>
  <c r="AJ103" i="4"/>
  <c r="AV105" i="4"/>
  <c r="AP106" i="4"/>
  <c r="AJ107" i="4"/>
  <c r="AV109" i="4"/>
  <c r="AP110" i="4"/>
  <c r="AJ111" i="4"/>
  <c r="AJ112" i="4"/>
  <c r="AP113" i="4"/>
  <c r="AJ114" i="4"/>
  <c r="AV116" i="4"/>
  <c r="AP117" i="4"/>
  <c r="AJ118" i="4"/>
  <c r="AJ119" i="4"/>
  <c r="AV120" i="4"/>
  <c r="AJ121" i="4"/>
  <c r="AV122" i="4"/>
  <c r="AJ123" i="4"/>
  <c r="AV124" i="4"/>
  <c r="AJ125" i="4"/>
  <c r="AV126" i="4"/>
  <c r="AJ127" i="4"/>
  <c r="AV128" i="4"/>
  <c r="AJ129" i="4"/>
  <c r="AV130" i="4"/>
  <c r="AJ131" i="4"/>
  <c r="AV132" i="4"/>
  <c r="AJ133" i="4"/>
  <c r="AV134" i="4"/>
  <c r="AJ135" i="4"/>
  <c r="AV136" i="4"/>
  <c r="AJ138" i="4"/>
  <c r="AP139" i="4"/>
  <c r="AV140" i="4"/>
  <c r="AP8" i="4"/>
  <c r="AJ9" i="4"/>
  <c r="AV11" i="4"/>
  <c r="AP12" i="4"/>
  <c r="AJ13" i="4"/>
  <c r="AV15" i="4"/>
  <c r="AP16" i="4"/>
  <c r="AJ17" i="4"/>
  <c r="AV19" i="4"/>
  <c r="AP20" i="4"/>
  <c r="AP21" i="4"/>
  <c r="AJ22" i="4"/>
  <c r="AV25" i="4"/>
  <c r="AP26" i="4"/>
  <c r="AJ27" i="4"/>
  <c r="AP30" i="4"/>
  <c r="AP32" i="4"/>
  <c r="AV33" i="4"/>
  <c r="AP34" i="4"/>
  <c r="AJ35" i="4"/>
  <c r="AV37" i="4"/>
  <c r="AP38" i="4"/>
  <c r="AJ39" i="4"/>
  <c r="AV41" i="4"/>
  <c r="AP42" i="4"/>
  <c r="AJ43" i="4"/>
  <c r="AV45" i="4"/>
  <c r="AP46" i="4"/>
  <c r="AJ47" i="4"/>
  <c r="AV49" i="4"/>
  <c r="AP50" i="4"/>
  <c r="AJ51" i="4"/>
  <c r="AV53" i="4"/>
  <c r="AP54" i="4"/>
  <c r="AJ55" i="4"/>
  <c r="AV57" i="4"/>
  <c r="AP58" i="4"/>
  <c r="AJ59" i="4"/>
  <c r="AJ60" i="4"/>
  <c r="AP61" i="4"/>
  <c r="AP62" i="4"/>
  <c r="AV63" i="4"/>
  <c r="AP64" i="4"/>
  <c r="AJ65" i="4"/>
  <c r="AJ66" i="4"/>
  <c r="AV67" i="4"/>
  <c r="AV69" i="4"/>
  <c r="AP70" i="4"/>
  <c r="AJ71" i="4"/>
  <c r="AV73" i="4"/>
  <c r="AP74" i="4"/>
  <c r="AJ75" i="4"/>
  <c r="AV77" i="4"/>
  <c r="AP78" i="4"/>
  <c r="AJ79" i="4"/>
  <c r="AV81" i="4"/>
  <c r="AP82" i="4"/>
  <c r="AJ83" i="4"/>
  <c r="AV85" i="4"/>
  <c r="AP86" i="4"/>
  <c r="AJ87" i="4"/>
  <c r="AJ88" i="4"/>
  <c r="AV89" i="4"/>
  <c r="AJ90" i="4"/>
  <c r="AP91" i="4"/>
  <c r="AJ92" i="4"/>
  <c r="AV94" i="4"/>
  <c r="AP95" i="4"/>
  <c r="AJ96" i="4"/>
  <c r="AV98" i="4"/>
  <c r="AP99" i="4"/>
  <c r="AJ100" i="4"/>
  <c r="AV102" i="4"/>
  <c r="AP103" i="4"/>
  <c r="AJ104" i="4"/>
  <c r="AV106" i="4"/>
  <c r="AV8" i="4"/>
  <c r="AP9" i="4"/>
  <c r="AJ10" i="4"/>
  <c r="AV12" i="4"/>
  <c r="AP13" i="4"/>
  <c r="AJ14" i="4"/>
  <c r="AV16" i="4"/>
  <c r="AP17" i="4"/>
  <c r="AJ18" i="4"/>
  <c r="AV20" i="4"/>
  <c r="AV21" i="4"/>
  <c r="AP22" i="4"/>
  <c r="AJ23" i="4"/>
  <c r="AJ24" i="4"/>
  <c r="AV26" i="4"/>
  <c r="AP27" i="4"/>
  <c r="AJ28" i="4"/>
  <c r="AJ29" i="4"/>
  <c r="AV30" i="4"/>
  <c r="AJ31" i="4"/>
  <c r="AV32" i="4"/>
  <c r="AV34" i="4"/>
  <c r="AP35" i="4"/>
  <c r="AJ36" i="4"/>
  <c r="AV38" i="4"/>
  <c r="AP39" i="4"/>
  <c r="AJ40" i="4"/>
  <c r="AV42" i="4"/>
  <c r="AP43" i="4"/>
  <c r="AJ44" i="4"/>
  <c r="AV46" i="4"/>
  <c r="AP47" i="4"/>
  <c r="AJ48" i="4"/>
  <c r="AV50" i="4"/>
  <c r="AP51" i="4"/>
  <c r="AJ52" i="4"/>
  <c r="AV54" i="4"/>
  <c r="AP55" i="4"/>
  <c r="AJ56" i="4"/>
  <c r="AV58" i="4"/>
  <c r="AP59" i="4"/>
  <c r="AP60" i="4"/>
  <c r="AV61" i="4"/>
  <c r="AV62" i="4"/>
  <c r="AV64" i="4"/>
  <c r="AP65" i="4"/>
  <c r="AP66" i="4"/>
  <c r="AJ68" i="4"/>
  <c r="AV70" i="4"/>
  <c r="AP71" i="4"/>
  <c r="AJ72" i="4"/>
  <c r="AV74" i="4"/>
  <c r="AP75" i="4"/>
  <c r="AJ76" i="4"/>
  <c r="AV78" i="4"/>
  <c r="AP79" i="4"/>
  <c r="AJ80" i="4"/>
  <c r="AV82" i="4"/>
  <c r="AP83" i="4"/>
  <c r="AJ84" i="4"/>
  <c r="AV86" i="4"/>
  <c r="AP87" i="4"/>
  <c r="AP88" i="4"/>
  <c r="AP90" i="4"/>
  <c r="AV91" i="4"/>
  <c r="AP92" i="4"/>
  <c r="AJ93" i="4"/>
  <c r="AV95" i="4"/>
  <c r="AP96" i="4"/>
  <c r="AJ97" i="4"/>
  <c r="AV99" i="4"/>
  <c r="AP100" i="4"/>
  <c r="AJ101" i="4"/>
  <c r="AV103" i="4"/>
  <c r="AP104" i="4"/>
  <c r="AJ105" i="4"/>
  <c r="AV107" i="4"/>
  <c r="AP108" i="4"/>
  <c r="AJ109" i="4"/>
  <c r="AV111" i="4"/>
  <c r="AV112" i="4"/>
  <c r="AV9" i="4"/>
  <c r="AP10" i="4"/>
  <c r="AJ11" i="4"/>
  <c r="AV13" i="4"/>
  <c r="AP14" i="4"/>
  <c r="AJ15" i="4"/>
  <c r="AV17" i="4"/>
  <c r="AP18" i="4"/>
  <c r="AJ19" i="4"/>
  <c r="AV22" i="4"/>
  <c r="AP23" i="4"/>
  <c r="AP24" i="4"/>
  <c r="AJ25" i="4"/>
  <c r="AV27" i="4"/>
  <c r="AP28" i="4"/>
  <c r="AP29" i="4"/>
  <c r="AP31" i="4"/>
  <c r="AJ33" i="4"/>
  <c r="AV35" i="4"/>
  <c r="AP36" i="4"/>
  <c r="AJ37" i="4"/>
  <c r="AV39" i="4"/>
  <c r="AP40" i="4"/>
  <c r="AJ41" i="4"/>
  <c r="AV43" i="4"/>
  <c r="AP44" i="4"/>
  <c r="AJ45" i="4"/>
  <c r="AV47" i="4"/>
  <c r="AP48" i="4"/>
  <c r="AJ49" i="4"/>
  <c r="AV51" i="4"/>
  <c r="AP52" i="4"/>
  <c r="AJ53" i="4"/>
  <c r="AV55" i="4"/>
  <c r="AP56" i="4"/>
  <c r="AJ57" i="4"/>
  <c r="AV59" i="4"/>
  <c r="AV60" i="4"/>
  <c r="AJ63" i="4"/>
  <c r="AV65" i="4"/>
  <c r="AV66" i="4"/>
  <c r="AJ67" i="4"/>
  <c r="AP68" i="4"/>
  <c r="AJ69" i="4"/>
  <c r="AV71" i="4"/>
  <c r="AP72" i="4"/>
  <c r="AJ73" i="4"/>
  <c r="AV75" i="4"/>
  <c r="AP76" i="4"/>
  <c r="AJ77" i="4"/>
  <c r="AV79" i="4"/>
  <c r="AP80" i="4"/>
  <c r="AJ81" i="4"/>
  <c r="AV83" i="4"/>
  <c r="AP84" i="4"/>
  <c r="AJ85" i="4"/>
  <c r="AV87" i="4"/>
  <c r="AV88" i="4"/>
  <c r="AJ89" i="4"/>
  <c r="AV90" i="4"/>
  <c r="AV92" i="4"/>
  <c r="AP93" i="4"/>
  <c r="AJ94" i="4"/>
  <c r="AV96" i="4"/>
  <c r="AP97" i="4"/>
  <c r="AJ98" i="4"/>
  <c r="AV100" i="4"/>
  <c r="AP101" i="4"/>
  <c r="AJ102" i="4"/>
  <c r="AV104" i="4"/>
  <c r="AP105" i="4"/>
  <c r="AJ106" i="4"/>
  <c r="AV143" i="4"/>
  <c r="AP144" i="4"/>
  <c r="AJ145" i="4"/>
  <c r="AV147" i="4"/>
  <c r="AP148" i="4"/>
  <c r="AJ149" i="4"/>
  <c r="AV151" i="4"/>
  <c r="AP152" i="4"/>
  <c r="AJ153" i="4"/>
  <c r="AV155" i="4"/>
  <c r="AP156" i="4"/>
  <c r="AJ157" i="4"/>
  <c r="AJ158" i="4"/>
  <c r="AP159" i="4"/>
  <c r="AJ160" i="4"/>
  <c r="AJ163" i="4"/>
  <c r="AV165" i="4"/>
  <c r="AP166" i="4"/>
  <c r="AJ167" i="4"/>
  <c r="AV169" i="4"/>
  <c r="AP170" i="4"/>
  <c r="AJ171" i="4"/>
  <c r="AV173" i="4"/>
  <c r="AP174" i="4"/>
  <c r="AJ175" i="4"/>
  <c r="AV177" i="4"/>
  <c r="AP178" i="4"/>
  <c r="AP179" i="4"/>
  <c r="AJ181" i="4"/>
  <c r="AV183" i="4"/>
  <c r="AP184" i="4"/>
  <c r="AJ185" i="4"/>
  <c r="AV187" i="4"/>
  <c r="AP188" i="4"/>
  <c r="AJ189" i="4"/>
  <c r="AJ192" i="4"/>
  <c r="AV194" i="4"/>
  <c r="AP195" i="4"/>
  <c r="AJ196" i="4"/>
  <c r="AJ199" i="4"/>
  <c r="AV201" i="4"/>
  <c r="AP202" i="4"/>
  <c r="AJ203" i="4"/>
  <c r="AV205" i="4"/>
  <c r="AP206" i="4"/>
  <c r="AP207" i="4"/>
  <c r="AP209" i="4"/>
  <c r="AJ211" i="4"/>
  <c r="AV213" i="4"/>
  <c r="AP214" i="4"/>
  <c r="AP215" i="4"/>
  <c r="AP217" i="4"/>
  <c r="AV218" i="4"/>
  <c r="AP219" i="4"/>
  <c r="AJ220" i="4"/>
  <c r="AV222" i="4"/>
  <c r="AP223" i="4"/>
  <c r="AJ224" i="4"/>
  <c r="AV226" i="4"/>
  <c r="AP227" i="4"/>
  <c r="AJ228" i="4"/>
  <c r="AV230" i="4"/>
  <c r="AV231" i="4"/>
  <c r="AJ232" i="4"/>
  <c r="AV233" i="4"/>
  <c r="AJ234" i="4"/>
  <c r="AP235" i="4"/>
  <c r="AJ236" i="4"/>
  <c r="AV238" i="4"/>
  <c r="AP239" i="4"/>
  <c r="AJ240" i="4"/>
  <c r="AV242" i="4"/>
  <c r="AP243" i="4"/>
  <c r="AJ244" i="4"/>
  <c r="AV246" i="4"/>
  <c r="AP247" i="4"/>
  <c r="AJ248" i="4"/>
  <c r="AV250" i="4"/>
  <c r="AP251" i="4"/>
  <c r="AJ252" i="4"/>
  <c r="AV254" i="4"/>
  <c r="AP255" i="4"/>
  <c r="AP256" i="4"/>
  <c r="AP258" i="4"/>
  <c r="AV259" i="4"/>
  <c r="AP260" i="4"/>
  <c r="AP261" i="4"/>
  <c r="AJ263" i="4"/>
  <c r="AV265" i="4"/>
  <c r="AV266" i="4"/>
  <c r="AJ267" i="4"/>
  <c r="AP268" i="4"/>
  <c r="AJ269" i="4"/>
  <c r="AV271" i="4"/>
  <c r="AP272" i="4"/>
  <c r="AJ273" i="4"/>
  <c r="AV275" i="4"/>
  <c r="AP276" i="4"/>
  <c r="AJ277" i="4"/>
  <c r="AV279" i="4"/>
  <c r="AP280" i="4"/>
  <c r="AJ281" i="4"/>
  <c r="AP284" i="4"/>
  <c r="AV285" i="4"/>
  <c r="AV286" i="4"/>
  <c r="AV288" i="4"/>
  <c r="AP289" i="4"/>
  <c r="AJ290" i="4"/>
  <c r="AV292" i="4"/>
  <c r="AP293" i="4"/>
  <c r="AP294" i="4"/>
  <c r="AV295" i="4"/>
  <c r="AP296" i="4"/>
  <c r="AJ297" i="4"/>
  <c r="AV299" i="4"/>
  <c r="AV300" i="4"/>
  <c r="AV302" i="4"/>
  <c r="AP303" i="4"/>
  <c r="AJ304" i="4"/>
  <c r="AJ305" i="4"/>
  <c r="AV306" i="4"/>
  <c r="AJ307" i="4"/>
  <c r="AP107" i="4"/>
  <c r="AJ108" i="4"/>
  <c r="AV110" i="4"/>
  <c r="AP111" i="4"/>
  <c r="AP112" i="4"/>
  <c r="AV113" i="4"/>
  <c r="AP114" i="4"/>
  <c r="AJ115" i="4"/>
  <c r="AV117" i="4"/>
  <c r="AP118" i="4"/>
  <c r="AP119" i="4"/>
  <c r="AP121" i="4"/>
  <c r="AP123" i="4"/>
  <c r="AP125" i="4"/>
  <c r="AP127" i="4"/>
  <c r="AP129" i="4"/>
  <c r="AP131" i="4"/>
  <c r="AP133" i="4"/>
  <c r="AP135" i="4"/>
  <c r="AP138" i="4"/>
  <c r="AV139" i="4"/>
  <c r="AJ141" i="4"/>
  <c r="AJ142" i="4"/>
  <c r="AV144" i="4"/>
  <c r="AP145" i="4"/>
  <c r="AJ146" i="4"/>
  <c r="AV148" i="4"/>
  <c r="AP149" i="4"/>
  <c r="AJ150" i="4"/>
  <c r="AV152" i="4"/>
  <c r="AP153" i="4"/>
  <c r="AJ154" i="4"/>
  <c r="AV156" i="4"/>
  <c r="AP157" i="4"/>
  <c r="AP158" i="4"/>
  <c r="AV159" i="4"/>
  <c r="AP160" i="4"/>
  <c r="AJ161" i="4"/>
  <c r="AJ162" i="4"/>
  <c r="AP163" i="4"/>
  <c r="AJ164" i="4"/>
  <c r="AV166" i="4"/>
  <c r="AP167" i="4"/>
  <c r="AJ168" i="4"/>
  <c r="AV170" i="4"/>
  <c r="AP171" i="4"/>
  <c r="AJ172" i="4"/>
  <c r="AV174" i="4"/>
  <c r="AP175" i="4"/>
  <c r="AJ176" i="4"/>
  <c r="AV178" i="4"/>
  <c r="AV179" i="4"/>
  <c r="AJ180" i="4"/>
  <c r="AP181" i="4"/>
  <c r="AJ182" i="4"/>
  <c r="AV184" i="4"/>
  <c r="AP185" i="4"/>
  <c r="AJ186" i="4"/>
  <c r="AV188" i="4"/>
  <c r="AP189" i="4"/>
  <c r="AJ190" i="4"/>
  <c r="AJ191" i="4"/>
  <c r="AP192" i="4"/>
  <c r="AJ193" i="4"/>
  <c r="AV195" i="4"/>
  <c r="AP196" i="4"/>
  <c r="AJ197" i="4"/>
  <c r="AJ198" i="4"/>
  <c r="AP199" i="4"/>
  <c r="AJ200" i="4"/>
  <c r="AV202" i="4"/>
  <c r="AP203" i="4"/>
  <c r="AJ204" i="4"/>
  <c r="AV206" i="4"/>
  <c r="AV207" i="4"/>
  <c r="AJ208" i="4"/>
  <c r="AV209" i="4"/>
  <c r="AJ210" i="4"/>
  <c r="AP211" i="4"/>
  <c r="AJ212" i="4"/>
  <c r="AV214" i="4"/>
  <c r="AV215" i="4"/>
  <c r="AJ216" i="4"/>
  <c r="AV217" i="4"/>
  <c r="AV219" i="4"/>
  <c r="AP220" i="4"/>
  <c r="AJ221" i="4"/>
  <c r="AV223" i="4"/>
  <c r="AP224" i="4"/>
  <c r="AJ225" i="4"/>
  <c r="AV227" i="4"/>
  <c r="AP228" i="4"/>
  <c r="AJ229" i="4"/>
  <c r="AP232" i="4"/>
  <c r="AP234" i="4"/>
  <c r="AV235" i="4"/>
  <c r="AP236" i="4"/>
  <c r="AJ237" i="4"/>
  <c r="AV239" i="4"/>
  <c r="AP240" i="4"/>
  <c r="AJ241" i="4"/>
  <c r="AV243" i="4"/>
  <c r="AP244" i="4"/>
  <c r="AJ245" i="4"/>
  <c r="AV247" i="4"/>
  <c r="AP248" i="4"/>
  <c r="AV251" i="4"/>
  <c r="AP252" i="4"/>
  <c r="AJ253" i="4"/>
  <c r="AV255" i="4"/>
  <c r="AV256" i="4"/>
  <c r="AJ257" i="4"/>
  <c r="AV258" i="4"/>
  <c r="AV260" i="4"/>
  <c r="AV261" i="4"/>
  <c r="AJ262" i="4"/>
  <c r="AP263" i="4"/>
  <c r="AJ264" i="4"/>
  <c r="AP267" i="4"/>
  <c r="AV268" i="4"/>
  <c r="AP269" i="4"/>
  <c r="AJ270" i="4"/>
  <c r="AV272" i="4"/>
  <c r="AP273" i="4"/>
  <c r="AJ274" i="4"/>
  <c r="AV276" i="4"/>
  <c r="AP277" i="4"/>
  <c r="AJ278" i="4"/>
  <c r="AV280" i="4"/>
  <c r="AP281" i="4"/>
  <c r="AJ282" i="4"/>
  <c r="AJ283" i="4"/>
  <c r="AV284" i="4"/>
  <c r="AJ287" i="4"/>
  <c r="AV289" i="4"/>
  <c r="AP290" i="4"/>
  <c r="AJ291" i="4"/>
  <c r="AV293" i="4"/>
  <c r="AV294" i="4"/>
  <c r="AV296" i="4"/>
  <c r="AP297" i="4"/>
  <c r="AJ298" i="4"/>
  <c r="AJ301" i="4"/>
  <c r="AV303" i="4"/>
  <c r="AP304" i="4"/>
  <c r="AP305" i="4"/>
  <c r="AP307" i="4"/>
  <c r="AV114" i="4"/>
  <c r="AP115" i="4"/>
  <c r="AJ116" i="4"/>
  <c r="AV118" i="4"/>
  <c r="AV119" i="4"/>
  <c r="AJ120" i="4"/>
  <c r="AV121" i="4"/>
  <c r="AJ122" i="4"/>
  <c r="AV123" i="4"/>
  <c r="AJ124" i="4"/>
  <c r="AV125" i="4"/>
  <c r="AJ126" i="4"/>
  <c r="AV127" i="4"/>
  <c r="AJ128" i="4"/>
  <c r="AV129" i="4"/>
  <c r="AJ130" i="4"/>
  <c r="AV131" i="4"/>
  <c r="AJ132" i="4"/>
  <c r="AV133" i="4"/>
  <c r="AJ134" i="4"/>
  <c r="AV135" i="4"/>
  <c r="AJ136" i="4"/>
  <c r="AP137" i="4"/>
  <c r="AV138" i="4"/>
  <c r="AJ140" i="4"/>
  <c r="AP141" i="4"/>
  <c r="AP142" i="4"/>
  <c r="AJ143" i="4"/>
  <c r="AV145" i="4"/>
  <c r="AP146" i="4"/>
  <c r="AJ147" i="4"/>
  <c r="AV149" i="4"/>
  <c r="AP150" i="4"/>
  <c r="AJ151" i="4"/>
  <c r="AV153" i="4"/>
  <c r="AP154" i="4"/>
  <c r="AJ155" i="4"/>
  <c r="AV157" i="4"/>
  <c r="AV158" i="4"/>
  <c r="AV160" i="4"/>
  <c r="AP161" i="4"/>
  <c r="AP162" i="4"/>
  <c r="AV163" i="4"/>
  <c r="AP164" i="4"/>
  <c r="AJ165" i="4"/>
  <c r="AV167" i="4"/>
  <c r="AP168" i="4"/>
  <c r="AJ169" i="4"/>
  <c r="AV171" i="4"/>
  <c r="AP172" i="4"/>
  <c r="AJ173" i="4"/>
  <c r="AV175" i="4"/>
  <c r="AP176" i="4"/>
  <c r="AJ177" i="4"/>
  <c r="AP180" i="4"/>
  <c r="AV181" i="4"/>
  <c r="AP182" i="4"/>
  <c r="AJ183" i="4"/>
  <c r="AV185" i="4"/>
  <c r="AP186" i="4"/>
  <c r="AJ187" i="4"/>
  <c r="AV189" i="4"/>
  <c r="AP190" i="4"/>
  <c r="AP191" i="4"/>
  <c r="AV192" i="4"/>
  <c r="AP193" i="4"/>
  <c r="AJ194" i="4"/>
  <c r="AV196" i="4"/>
  <c r="AP197" i="4"/>
  <c r="AP198" i="4"/>
  <c r="AV199" i="4"/>
  <c r="AP200" i="4"/>
  <c r="AJ201" i="4"/>
  <c r="AV203" i="4"/>
  <c r="AP204" i="4"/>
  <c r="AJ205" i="4"/>
  <c r="AP208" i="4"/>
  <c r="AP210" i="4"/>
  <c r="AV211" i="4"/>
  <c r="AP212" i="4"/>
  <c r="AJ213" i="4"/>
  <c r="AP216" i="4"/>
  <c r="AJ218" i="4"/>
  <c r="AV220" i="4"/>
  <c r="AP221" i="4"/>
  <c r="AJ222" i="4"/>
  <c r="AV224" i="4"/>
  <c r="AP225" i="4"/>
  <c r="AJ226" i="4"/>
  <c r="AV228" i="4"/>
  <c r="AP229" i="4"/>
  <c r="AJ230" i="4"/>
  <c r="AJ231" i="4"/>
  <c r="AV232" i="4"/>
  <c r="AJ233" i="4"/>
  <c r="AV234" i="4"/>
  <c r="AV236" i="4"/>
  <c r="AP237" i="4"/>
  <c r="AJ238" i="4"/>
  <c r="AV240" i="4"/>
  <c r="AP241" i="4"/>
  <c r="AJ242" i="4"/>
  <c r="AV244" i="4"/>
  <c r="AP245" i="4"/>
  <c r="AJ246" i="4"/>
  <c r="AV248" i="4"/>
  <c r="AJ250" i="4"/>
  <c r="AV252" i="4"/>
  <c r="AP253" i="4"/>
  <c r="AJ254" i="4"/>
  <c r="AP257" i="4"/>
  <c r="AJ259" i="4"/>
  <c r="AP262" i="4"/>
  <c r="AV263" i="4"/>
  <c r="AP264" i="4"/>
  <c r="AJ265" i="4"/>
  <c r="AJ266" i="4"/>
  <c r="AV267" i="4"/>
  <c r="AV269" i="4"/>
  <c r="AP270" i="4"/>
  <c r="AJ271" i="4"/>
  <c r="AV273" i="4"/>
  <c r="AP274" i="4"/>
  <c r="AJ275" i="4"/>
  <c r="AV277" i="4"/>
  <c r="AP278" i="4"/>
  <c r="AJ279" i="4"/>
  <c r="AV281" i="4"/>
  <c r="AP282" i="4"/>
  <c r="AP283" i="4"/>
  <c r="AJ285" i="4"/>
  <c r="AJ286" i="4"/>
  <c r="AP287" i="4"/>
  <c r="AJ288" i="4"/>
  <c r="AV290" i="4"/>
  <c r="AP291" i="4"/>
  <c r="AJ292" i="4"/>
  <c r="AJ295" i="4"/>
  <c r="AV297" i="4"/>
  <c r="AP298" i="4"/>
  <c r="AJ299" i="4"/>
  <c r="AJ300" i="4"/>
  <c r="AP301" i="4"/>
  <c r="AJ302" i="4"/>
  <c r="AV304" i="4"/>
  <c r="AV305" i="4"/>
  <c r="AJ306" i="4"/>
  <c r="AV307" i="4"/>
  <c r="AV108" i="4"/>
  <c r="AP109" i="4"/>
  <c r="AJ110" i="4"/>
  <c r="AJ113" i="4"/>
  <c r="AV115" i="4"/>
  <c r="AP116" i="4"/>
  <c r="AJ117" i="4"/>
  <c r="AP120" i="4"/>
  <c r="AP122" i="4"/>
  <c r="AP124" i="4"/>
  <c r="AP126" i="4"/>
  <c r="AP128" i="4"/>
  <c r="AP130" i="4"/>
  <c r="AP132" i="4"/>
  <c r="AP134" i="4"/>
  <c r="AP136" i="4"/>
  <c r="AJ139" i="4"/>
  <c r="AP140" i="4"/>
  <c r="AV141" i="4"/>
  <c r="AV142" i="4"/>
  <c r="AP143" i="4"/>
  <c r="AJ144" i="4"/>
  <c r="AV146" i="4"/>
  <c r="AP147" i="4"/>
  <c r="AJ148" i="4"/>
  <c r="AV150" i="4"/>
  <c r="AP151" i="4"/>
  <c r="AJ152" i="4"/>
  <c r="AV154" i="4"/>
  <c r="AP155" i="4"/>
  <c r="AJ156" i="4"/>
  <c r="AJ159" i="4"/>
  <c r="AV161" i="4"/>
  <c r="AV162" i="4"/>
  <c r="AV164" i="4"/>
  <c r="AP165" i="4"/>
  <c r="AJ166" i="4"/>
  <c r="AV168" i="4"/>
  <c r="AP169" i="4"/>
  <c r="AJ170" i="4"/>
  <c r="AV172" i="4"/>
  <c r="AP173" i="4"/>
  <c r="AJ174" i="4"/>
  <c r="AV176" i="4"/>
  <c r="AP177" i="4"/>
  <c r="AJ178" i="4"/>
  <c r="AJ179" i="4"/>
  <c r="AV180" i="4"/>
  <c r="AV182" i="4"/>
  <c r="AP183" i="4"/>
  <c r="AJ184" i="4"/>
  <c r="AV186" i="4"/>
  <c r="AP187" i="4"/>
  <c r="AJ188" i="4"/>
  <c r="AV190" i="4"/>
  <c r="AV191" i="4"/>
  <c r="AV193" i="4"/>
  <c r="AP194" i="4"/>
  <c r="AJ195" i="4"/>
  <c r="AV197" i="4"/>
  <c r="AV198" i="4"/>
  <c r="AV200" i="4"/>
  <c r="AP201" i="4"/>
  <c r="AJ202" i="4"/>
  <c r="AV204" i="4"/>
  <c r="AP205" i="4"/>
  <c r="AJ206" i="4"/>
  <c r="AJ207" i="4"/>
  <c r="AV208" i="4"/>
  <c r="AJ209" i="4"/>
  <c r="AV210" i="4"/>
  <c r="AV212" i="4"/>
  <c r="AP213" i="4"/>
  <c r="AJ214" i="4"/>
  <c r="AJ215" i="4"/>
  <c r="AV216" i="4"/>
  <c r="AJ217" i="4"/>
  <c r="AP218" i="4"/>
  <c r="AJ219" i="4"/>
  <c r="AV221" i="4"/>
  <c r="AP222" i="4"/>
  <c r="AJ223" i="4"/>
  <c r="AV225" i="4"/>
  <c r="AP226" i="4"/>
  <c r="AJ227" i="4"/>
  <c r="AV229" i="4"/>
  <c r="AP230" i="4"/>
  <c r="AP231" i="4"/>
  <c r="AP233" i="4"/>
  <c r="AJ235" i="4"/>
  <c r="AV237" i="4"/>
  <c r="AP238" i="4"/>
  <c r="AJ239" i="4"/>
  <c r="AV241" i="4"/>
  <c r="AP242" i="4"/>
  <c r="AJ243" i="4"/>
  <c r="AV245" i="4"/>
  <c r="AP246" i="4"/>
  <c r="AJ247" i="4"/>
  <c r="AP250" i="4"/>
  <c r="AJ251" i="4"/>
  <c r="AV253" i="4"/>
  <c r="AP254" i="4"/>
  <c r="AJ255" i="4"/>
  <c r="AJ256" i="4"/>
  <c r="AV257" i="4"/>
  <c r="AJ258" i="4"/>
  <c r="AP259" i="4"/>
  <c r="AJ260" i="4"/>
  <c r="AJ261" i="4"/>
  <c r="AV262" i="4"/>
  <c r="AV264" i="4"/>
  <c r="AP265" i="4"/>
  <c r="AP266" i="4"/>
  <c r="AJ268" i="4"/>
  <c r="AV270" i="4"/>
  <c r="AP271" i="4"/>
  <c r="AJ272" i="4"/>
  <c r="AV274" i="4"/>
  <c r="AP275" i="4"/>
  <c r="AJ276" i="4"/>
  <c r="AV278" i="4"/>
  <c r="AP279" i="4"/>
  <c r="AJ280" i="4"/>
  <c r="AV282" i="4"/>
  <c r="AV283" i="4"/>
  <c r="AJ284" i="4"/>
  <c r="AP285" i="4"/>
  <c r="AP286" i="4"/>
  <c r="AV287" i="4"/>
  <c r="AP288" i="4"/>
  <c r="AJ289" i="4"/>
  <c r="AV291" i="4"/>
  <c r="AP292" i="4"/>
  <c r="AJ293" i="4"/>
  <c r="AJ294" i="4"/>
  <c r="AP295" i="4"/>
  <c r="AJ296" i="4"/>
  <c r="AV298" i="4"/>
  <c r="AP299" i="4"/>
  <c r="AP300" i="4"/>
  <c r="AV301" i="4"/>
  <c r="AP302" i="4"/>
  <c r="AJ303" i="4"/>
  <c r="AP306" i="4"/>
  <c r="BR21" i="4"/>
  <c r="BV21" i="4" s="1"/>
  <c r="BR26" i="4"/>
  <c r="BV26" i="4" s="1"/>
  <c r="BR32" i="4"/>
  <c r="BV32" i="4" s="1"/>
  <c r="BR42" i="4"/>
  <c r="BV42" i="4" s="1"/>
  <c r="BR58" i="4"/>
  <c r="BV58" i="4" s="1"/>
  <c r="BR66" i="4"/>
  <c r="BV66" i="4" s="1"/>
  <c r="BR78" i="4"/>
  <c r="BV78" i="4" s="1"/>
  <c r="BR82" i="4"/>
  <c r="BV82" i="4" s="1"/>
  <c r="BR96" i="4"/>
  <c r="BV96" i="4" s="1"/>
  <c r="BR100" i="4"/>
  <c r="BV100" i="4" s="1"/>
  <c r="BR118" i="4"/>
  <c r="BV118" i="4" s="1"/>
  <c r="BR142" i="4"/>
  <c r="BR146" i="4"/>
  <c r="BV146" i="4" s="1"/>
  <c r="BR154" i="4"/>
  <c r="BV154" i="4" s="1"/>
  <c r="BR160" i="4"/>
  <c r="BV160" i="4" s="1"/>
  <c r="BR166" i="4"/>
  <c r="BV166" i="4" s="1"/>
  <c r="BR180" i="4"/>
  <c r="BV180" i="4" s="1"/>
  <c r="BR192" i="4"/>
  <c r="BV192" i="4" s="1"/>
  <c r="BR196" i="4"/>
  <c r="BV196" i="4" s="1"/>
  <c r="BR208" i="4"/>
  <c r="BV208" i="4" s="1"/>
  <c r="BR214" i="4"/>
  <c r="BV214" i="4" s="1"/>
  <c r="BR220" i="4"/>
  <c r="BV220" i="4" s="1"/>
  <c r="BR236" i="4"/>
  <c r="BV236" i="4" s="1"/>
  <c r="BR244" i="4"/>
  <c r="BV244" i="4" s="1"/>
  <c r="BR274" i="4"/>
  <c r="BV274" i="4" s="1"/>
  <c r="BR288" i="4"/>
  <c r="BV288" i="4" s="1"/>
  <c r="BR292" i="4"/>
  <c r="BV292" i="4" s="1"/>
  <c r="BR10" i="4"/>
  <c r="BV10" i="4" s="1"/>
  <c r="BR14" i="4"/>
  <c r="BV14" i="4" s="1"/>
  <c r="BR18" i="4"/>
  <c r="BV18" i="4" s="1"/>
  <c r="BR22" i="4"/>
  <c r="BV22" i="4" s="1"/>
  <c r="BR27" i="4"/>
  <c r="BV27" i="4" s="1"/>
  <c r="BR31" i="4"/>
  <c r="BV31" i="4" s="1"/>
  <c r="BR35" i="4"/>
  <c r="BV35" i="4" s="1"/>
  <c r="BR39" i="4"/>
  <c r="BV39" i="4" s="1"/>
  <c r="BR43" i="4"/>
  <c r="BV43" i="4" s="1"/>
  <c r="BR47" i="4"/>
  <c r="BV47" i="4" s="1"/>
  <c r="BR51" i="4"/>
  <c r="BV51" i="4" s="1"/>
  <c r="BR55" i="4"/>
  <c r="BV55" i="4" s="1"/>
  <c r="BR59" i="4"/>
  <c r="BV59" i="4" s="1"/>
  <c r="BR61" i="4"/>
  <c r="BV61" i="4" s="1"/>
  <c r="BR63" i="4"/>
  <c r="BV63" i="4" s="1"/>
  <c r="BR71" i="4"/>
  <c r="BV71" i="4" s="1"/>
  <c r="BR75" i="4"/>
  <c r="BV75" i="4" s="1"/>
  <c r="BR79" i="4"/>
  <c r="BV79" i="4" s="1"/>
  <c r="BR83" i="4"/>
  <c r="BV83" i="4" s="1"/>
  <c r="BR87" i="4"/>
  <c r="BV87" i="4" s="1"/>
  <c r="BR89" i="4"/>
  <c r="BV89" i="4" s="1"/>
  <c r="BR93" i="4"/>
  <c r="BV93" i="4" s="1"/>
  <c r="BR97" i="4"/>
  <c r="BV97" i="4" s="1"/>
  <c r="BR101" i="4"/>
  <c r="BV101" i="4" s="1"/>
  <c r="BR105" i="4"/>
  <c r="BV105" i="4" s="1"/>
  <c r="BR109" i="4"/>
  <c r="BV109" i="4" s="1"/>
  <c r="BR115" i="4"/>
  <c r="BV115" i="4" s="1"/>
  <c r="BR119" i="4"/>
  <c r="BR123" i="4"/>
  <c r="BV123" i="4" s="1"/>
  <c r="BR127" i="4"/>
  <c r="BV127" i="4" s="1"/>
  <c r="BR131" i="4"/>
  <c r="BV131" i="4" s="1"/>
  <c r="BR135" i="4"/>
  <c r="BR136" i="4"/>
  <c r="BV136" i="4" s="1"/>
  <c r="BR137" i="4"/>
  <c r="BR138" i="4"/>
  <c r="BV138" i="4" s="1"/>
  <c r="BR139" i="4"/>
  <c r="BV139" i="4" s="1"/>
  <c r="BR140" i="4"/>
  <c r="BV140" i="4" s="1"/>
  <c r="BR141" i="4"/>
  <c r="BV141" i="4" s="1"/>
  <c r="BR143" i="4"/>
  <c r="BV143" i="4" s="1"/>
  <c r="BR147" i="4"/>
  <c r="BV147" i="4" s="1"/>
  <c r="BR151" i="4"/>
  <c r="BV151" i="4" s="1"/>
  <c r="BR155" i="4"/>
  <c r="BV155" i="4" s="1"/>
  <c r="BR161" i="4"/>
  <c r="BV161" i="4" s="1"/>
  <c r="BR163" i="4"/>
  <c r="BV163" i="4" s="1"/>
  <c r="BR167" i="4"/>
  <c r="BV167" i="4" s="1"/>
  <c r="BR171" i="4"/>
  <c r="BV171" i="4" s="1"/>
  <c r="BR175" i="4"/>
  <c r="BV175" i="4" s="1"/>
  <c r="BR179" i="4"/>
  <c r="BV179" i="4" s="1"/>
  <c r="BR183" i="4"/>
  <c r="BV183" i="4" s="1"/>
  <c r="BR187" i="4"/>
  <c r="BV187" i="4" s="1"/>
  <c r="BR191" i="4"/>
  <c r="BV191" i="4" s="1"/>
  <c r="BR193" i="4"/>
  <c r="BV193" i="4" s="1"/>
  <c r="BR197" i="4"/>
  <c r="BV197" i="4" s="1"/>
  <c r="BR199" i="4"/>
  <c r="BV199" i="4" s="1"/>
  <c r="BR203" i="4"/>
  <c r="BV203" i="4" s="1"/>
  <c r="BR207" i="4"/>
  <c r="BV207" i="4" s="1"/>
  <c r="BR211" i="4"/>
  <c r="BV211" i="4" s="1"/>
  <c r="BR215" i="4"/>
  <c r="BV215" i="4" s="1"/>
  <c r="BR221" i="4"/>
  <c r="BV221" i="4" s="1"/>
  <c r="BR225" i="4"/>
  <c r="BV225" i="4" s="1"/>
  <c r="BR229" i="4"/>
  <c r="BV229" i="4" s="1"/>
  <c r="BR233" i="4"/>
  <c r="BV233" i="4" s="1"/>
  <c r="BR237" i="4"/>
  <c r="BV237" i="4" s="1"/>
  <c r="BR241" i="4"/>
  <c r="BV241" i="4" s="1"/>
  <c r="BR245" i="4"/>
  <c r="BV245" i="4" s="1"/>
  <c r="BR249" i="4"/>
  <c r="BR253" i="4"/>
  <c r="BV253" i="4" s="1"/>
  <c r="BR259" i="4"/>
  <c r="BR263" i="4"/>
  <c r="BV263" i="4" s="1"/>
  <c r="BR271" i="4"/>
  <c r="BV271" i="4" s="1"/>
  <c r="BR275" i="4"/>
  <c r="BV275" i="4" s="1"/>
  <c r="BR279" i="4"/>
  <c r="BV279" i="4" s="1"/>
  <c r="BR283" i="4"/>
  <c r="BV283" i="4" s="1"/>
  <c r="BR289" i="4"/>
  <c r="BV289" i="4" s="1"/>
  <c r="BR293" i="4"/>
  <c r="BV293" i="4" s="1"/>
  <c r="BR295" i="4"/>
  <c r="BV295" i="4" s="1"/>
  <c r="BR299" i="4"/>
  <c r="BV299" i="4" s="1"/>
  <c r="BR301" i="4"/>
  <c r="BV301" i="4" s="1"/>
  <c r="BR305" i="4"/>
  <c r="BR9" i="4"/>
  <c r="BV9" i="4" s="1"/>
  <c r="BR34" i="4"/>
  <c r="BV34" i="4" s="1"/>
  <c r="BR38" i="4"/>
  <c r="BV38" i="4" s="1"/>
  <c r="BR54" i="4"/>
  <c r="BV54" i="4" s="1"/>
  <c r="BR70" i="4"/>
  <c r="BV70" i="4" s="1"/>
  <c r="BR74" i="4"/>
  <c r="BV74" i="4" s="1"/>
  <c r="BR86" i="4"/>
  <c r="BV86" i="4" s="1"/>
  <c r="BR90" i="4"/>
  <c r="BV90" i="4" s="1"/>
  <c r="BR104" i="4"/>
  <c r="BV104" i="4" s="1"/>
  <c r="BR120" i="4"/>
  <c r="BV120" i="4" s="1"/>
  <c r="BR132" i="4"/>
  <c r="BV132" i="4" s="1"/>
  <c r="BR150" i="4"/>
  <c r="BV150" i="4" s="1"/>
  <c r="BR158" i="4"/>
  <c r="BV158" i="4" s="1"/>
  <c r="BR170" i="4"/>
  <c r="BV170" i="4" s="1"/>
  <c r="BR202" i="4"/>
  <c r="BV202" i="4" s="1"/>
  <c r="BR206" i="4"/>
  <c r="BV206" i="4" s="1"/>
  <c r="BR228" i="4"/>
  <c r="BV228" i="4" s="1"/>
  <c r="BR234" i="4"/>
  <c r="BV234" i="4" s="1"/>
  <c r="BR240" i="4"/>
  <c r="BV240" i="4" s="1"/>
  <c r="BR256" i="4"/>
  <c r="BV256" i="4" s="1"/>
  <c r="BR270" i="4"/>
  <c r="BV270" i="4" s="1"/>
  <c r="BR278" i="4"/>
  <c r="BV278" i="4" s="1"/>
  <c r="BR282" i="4"/>
  <c r="BV282" i="4" s="1"/>
  <c r="BR284" i="4"/>
  <c r="BV284" i="4" s="1"/>
  <c r="BR286" i="4"/>
  <c r="BV286" i="4" s="1"/>
  <c r="BR306" i="4"/>
  <c r="BV306" i="4" s="1"/>
  <c r="BR11" i="4"/>
  <c r="BV11" i="4" s="1"/>
  <c r="BR15" i="4"/>
  <c r="BV15" i="4" s="1"/>
  <c r="BR19" i="4"/>
  <c r="BV19" i="4" s="1"/>
  <c r="BR24" i="4"/>
  <c r="BV24" i="4" s="1"/>
  <c r="BR28" i="4"/>
  <c r="BV28" i="4" s="1"/>
  <c r="BR30" i="4"/>
  <c r="BV30" i="4" s="1"/>
  <c r="BR36" i="4"/>
  <c r="BV36" i="4" s="1"/>
  <c r="BR40" i="4"/>
  <c r="BV40" i="4" s="1"/>
  <c r="BR44" i="4"/>
  <c r="BV44" i="4" s="1"/>
  <c r="BR48" i="4"/>
  <c r="BV48" i="4" s="1"/>
  <c r="BR52" i="4"/>
  <c r="BV52" i="4" s="1"/>
  <c r="BR56" i="4"/>
  <c r="BV56" i="4" s="1"/>
  <c r="BR60" i="4"/>
  <c r="BV60" i="4" s="1"/>
  <c r="BR62" i="4"/>
  <c r="BV62" i="4" s="1"/>
  <c r="BR64" i="4"/>
  <c r="BV64" i="4" s="1"/>
  <c r="BR68" i="4"/>
  <c r="BV68" i="4" s="1"/>
  <c r="BR72" i="4"/>
  <c r="BV72" i="4" s="1"/>
  <c r="BR76" i="4"/>
  <c r="BV76" i="4" s="1"/>
  <c r="BR80" i="4"/>
  <c r="BV80" i="4" s="1"/>
  <c r="BR84" i="4"/>
  <c r="BV84" i="4" s="1"/>
  <c r="BR88" i="4"/>
  <c r="BV88" i="4" s="1"/>
  <c r="BR94" i="4"/>
  <c r="BV94" i="4" s="1"/>
  <c r="BR98" i="4"/>
  <c r="BV98" i="4" s="1"/>
  <c r="BR102" i="4"/>
  <c r="BV102" i="4" s="1"/>
  <c r="BR106" i="4"/>
  <c r="BV106" i="4" s="1"/>
  <c r="BR110" i="4"/>
  <c r="BV110" i="4" s="1"/>
  <c r="BR116" i="4"/>
  <c r="BV116" i="4" s="1"/>
  <c r="BR122" i="4"/>
  <c r="BR126" i="4"/>
  <c r="BV126" i="4" s="1"/>
  <c r="BR130" i="4"/>
  <c r="BV130" i="4" s="1"/>
  <c r="BR134" i="4"/>
  <c r="BV134" i="4" s="1"/>
  <c r="BR144" i="4"/>
  <c r="BV144" i="4" s="1"/>
  <c r="BR148" i="4"/>
  <c r="BV148" i="4" s="1"/>
  <c r="BR152" i="4"/>
  <c r="BR156" i="4"/>
  <c r="BV156" i="4" s="1"/>
  <c r="BR162" i="4"/>
  <c r="BV162" i="4" s="1"/>
  <c r="BR164" i="4"/>
  <c r="BV164" i="4" s="1"/>
  <c r="BR168" i="4"/>
  <c r="BV168" i="4" s="1"/>
  <c r="BR172" i="4"/>
  <c r="BV172" i="4" s="1"/>
  <c r="BR176" i="4"/>
  <c r="BV176" i="4" s="1"/>
  <c r="BR184" i="4"/>
  <c r="BV184" i="4" s="1"/>
  <c r="BR188" i="4"/>
  <c r="BV188" i="4" s="1"/>
  <c r="BR194" i="4"/>
  <c r="BV194" i="4" s="1"/>
  <c r="BR198" i="4"/>
  <c r="BV198" i="4" s="1"/>
  <c r="BR200" i="4"/>
  <c r="BV200" i="4" s="1"/>
  <c r="BR204" i="4"/>
  <c r="BV204" i="4" s="1"/>
  <c r="BR210" i="4"/>
  <c r="BV210" i="4" s="1"/>
  <c r="BR212" i="4"/>
  <c r="BV212" i="4" s="1"/>
  <c r="BR218" i="4"/>
  <c r="BV218" i="4" s="1"/>
  <c r="BR222" i="4"/>
  <c r="BV222" i="4" s="1"/>
  <c r="BR226" i="4"/>
  <c r="BV226" i="4" s="1"/>
  <c r="BR230" i="4"/>
  <c r="BV230" i="4" s="1"/>
  <c r="BR232" i="4"/>
  <c r="BV232" i="4" s="1"/>
  <c r="BR238" i="4"/>
  <c r="BV238" i="4" s="1"/>
  <c r="BR242" i="4"/>
  <c r="BV242" i="4" s="1"/>
  <c r="BR246" i="4"/>
  <c r="BV246" i="4" s="1"/>
  <c r="BR250" i="4"/>
  <c r="BV250" i="4" s="1"/>
  <c r="BR254" i="4"/>
  <c r="BV254" i="4" s="1"/>
  <c r="BR258" i="4"/>
  <c r="BR260" i="4"/>
  <c r="BV260" i="4" s="1"/>
  <c r="BR262" i="4"/>
  <c r="BV262" i="4" s="1"/>
  <c r="BR264" i="4"/>
  <c r="BV264" i="4" s="1"/>
  <c r="BR268" i="4"/>
  <c r="BV268" i="4" s="1"/>
  <c r="BR272" i="4"/>
  <c r="BV272" i="4" s="1"/>
  <c r="BR276" i="4"/>
  <c r="BV276" i="4" s="1"/>
  <c r="BR280" i="4"/>
  <c r="BV280" i="4" s="1"/>
  <c r="BR290" i="4"/>
  <c r="BV290" i="4" s="1"/>
  <c r="BR294" i="4"/>
  <c r="BV294" i="4" s="1"/>
  <c r="BR296" i="4"/>
  <c r="BV296" i="4" s="1"/>
  <c r="BR300" i="4"/>
  <c r="BV300" i="4" s="1"/>
  <c r="BR302" i="4"/>
  <c r="BV302" i="4" s="1"/>
  <c r="BR13" i="4"/>
  <c r="BV13" i="4" s="1"/>
  <c r="BR17" i="4"/>
  <c r="BV17" i="4" s="1"/>
  <c r="BR46" i="4"/>
  <c r="BV46" i="4" s="1"/>
  <c r="BR50" i="4"/>
  <c r="BV50" i="4" s="1"/>
  <c r="BR92" i="4"/>
  <c r="BV92" i="4" s="1"/>
  <c r="BR108" i="4"/>
  <c r="BV108" i="4" s="1"/>
  <c r="BR112" i="4"/>
  <c r="BV112" i="4" s="1"/>
  <c r="BR114" i="4"/>
  <c r="BV114" i="4" s="1"/>
  <c r="BR124" i="4"/>
  <c r="BV124" i="4" s="1"/>
  <c r="BR128" i="4"/>
  <c r="BV128" i="4" s="1"/>
  <c r="BR174" i="4"/>
  <c r="BV174" i="4" s="1"/>
  <c r="BR178" i="4"/>
  <c r="BV178" i="4" s="1"/>
  <c r="BR182" i="4"/>
  <c r="BV182" i="4" s="1"/>
  <c r="BR186" i="4"/>
  <c r="BV186" i="4" s="1"/>
  <c r="BR190" i="4"/>
  <c r="BV190" i="4" s="1"/>
  <c r="BR216" i="4"/>
  <c r="BR224" i="4"/>
  <c r="BV224" i="4" s="1"/>
  <c r="BR248" i="4"/>
  <c r="BV248" i="4" s="1"/>
  <c r="BR252" i="4"/>
  <c r="BV252" i="4" s="1"/>
  <c r="BR266" i="4"/>
  <c r="BV266" i="4" s="1"/>
  <c r="BR298" i="4"/>
  <c r="BV298" i="4" s="1"/>
  <c r="BR304" i="4"/>
  <c r="BV304" i="4" s="1"/>
  <c r="BR8" i="4"/>
  <c r="BV8" i="4" s="1"/>
  <c r="BR12" i="4"/>
  <c r="BV12" i="4" s="1"/>
  <c r="BR16" i="4"/>
  <c r="BV16" i="4" s="1"/>
  <c r="BR20" i="4"/>
  <c r="BV20" i="4" s="1"/>
  <c r="BR23" i="4"/>
  <c r="BV23" i="4" s="1"/>
  <c r="BR25" i="4"/>
  <c r="BV25" i="4" s="1"/>
  <c r="BR29" i="4"/>
  <c r="BV29" i="4" s="1"/>
  <c r="BR33" i="4"/>
  <c r="BV33" i="4" s="1"/>
  <c r="BR37" i="4"/>
  <c r="BV37" i="4" s="1"/>
  <c r="BR41" i="4"/>
  <c r="BV41" i="4" s="1"/>
  <c r="BR45" i="4"/>
  <c r="BV45" i="4" s="1"/>
  <c r="BR49" i="4"/>
  <c r="BV49" i="4" s="1"/>
  <c r="BR53" i="4"/>
  <c r="BV53" i="4" s="1"/>
  <c r="BR57" i="4"/>
  <c r="BV57" i="4" s="1"/>
  <c r="BR65" i="4"/>
  <c r="BV65" i="4" s="1"/>
  <c r="BR67" i="4"/>
  <c r="BV67" i="4" s="1"/>
  <c r="BR69" i="4"/>
  <c r="BV69" i="4" s="1"/>
  <c r="BR73" i="4"/>
  <c r="BV73" i="4" s="1"/>
  <c r="BR77" i="4"/>
  <c r="BV77" i="4" s="1"/>
  <c r="BR81" i="4"/>
  <c r="BV81" i="4" s="1"/>
  <c r="BR85" i="4"/>
  <c r="BV85" i="4" s="1"/>
  <c r="BR91" i="4"/>
  <c r="BV91" i="4" s="1"/>
  <c r="BR95" i="4"/>
  <c r="BV95" i="4" s="1"/>
  <c r="BR99" i="4"/>
  <c r="BV99" i="4" s="1"/>
  <c r="BR103" i="4"/>
  <c r="BV103" i="4" s="1"/>
  <c r="BR107" i="4"/>
  <c r="BV107" i="4" s="1"/>
  <c r="BR111" i="4"/>
  <c r="BV111" i="4" s="1"/>
  <c r="BR113" i="4"/>
  <c r="BV113" i="4" s="1"/>
  <c r="BR117" i="4"/>
  <c r="BV117" i="4" s="1"/>
  <c r="BR121" i="4"/>
  <c r="BV121" i="4" s="1"/>
  <c r="BR125" i="4"/>
  <c r="BV125" i="4" s="1"/>
  <c r="BR129" i="4"/>
  <c r="BV129" i="4" s="1"/>
  <c r="BR133" i="4"/>
  <c r="BV133" i="4" s="1"/>
  <c r="BR145" i="4"/>
  <c r="BV145" i="4" s="1"/>
  <c r="BR149" i="4"/>
  <c r="BV149" i="4" s="1"/>
  <c r="BR153" i="4"/>
  <c r="BV153" i="4" s="1"/>
  <c r="BR157" i="4"/>
  <c r="BV157" i="4" s="1"/>
  <c r="BR159" i="4"/>
  <c r="BV159" i="4" s="1"/>
  <c r="BR165" i="4"/>
  <c r="BV165" i="4" s="1"/>
  <c r="BR169" i="4"/>
  <c r="BV169" i="4" s="1"/>
  <c r="BR173" i="4"/>
  <c r="BV173" i="4" s="1"/>
  <c r="BR177" i="4"/>
  <c r="BV177" i="4" s="1"/>
  <c r="BR181" i="4"/>
  <c r="BR185" i="4"/>
  <c r="BV185" i="4" s="1"/>
  <c r="BR189" i="4"/>
  <c r="BV189" i="4" s="1"/>
  <c r="BR195" i="4"/>
  <c r="BV195" i="4" s="1"/>
  <c r="BR201" i="4"/>
  <c r="BV201" i="4" s="1"/>
  <c r="BR205" i="4"/>
  <c r="BV205" i="4" s="1"/>
  <c r="BR209" i="4"/>
  <c r="BV209" i="4" s="1"/>
  <c r="BR213" i="4"/>
  <c r="BV213" i="4" s="1"/>
  <c r="BR217" i="4"/>
  <c r="BV217" i="4" s="1"/>
  <c r="BR219" i="4"/>
  <c r="BV219" i="4" s="1"/>
  <c r="BR223" i="4"/>
  <c r="BV223" i="4" s="1"/>
  <c r="BR227" i="4"/>
  <c r="BV227" i="4" s="1"/>
  <c r="BR231" i="4"/>
  <c r="BV231" i="4" s="1"/>
  <c r="BR235" i="4"/>
  <c r="BV235" i="4" s="1"/>
  <c r="BR239" i="4"/>
  <c r="BV239" i="4" s="1"/>
  <c r="BR243" i="4"/>
  <c r="BV243" i="4" s="1"/>
  <c r="BR247" i="4"/>
  <c r="BV247" i="4" s="1"/>
  <c r="BR251" i="4"/>
  <c r="BV251" i="4" s="1"/>
  <c r="BR255" i="4"/>
  <c r="BV255" i="4" s="1"/>
  <c r="BR257" i="4"/>
  <c r="BV257" i="4" s="1"/>
  <c r="BR261" i="4"/>
  <c r="BV261" i="4" s="1"/>
  <c r="BR265" i="4"/>
  <c r="BV265" i="4" s="1"/>
  <c r="BR267" i="4"/>
  <c r="BV267" i="4" s="1"/>
  <c r="BR269" i="4"/>
  <c r="BV269" i="4" s="1"/>
  <c r="BR273" i="4"/>
  <c r="BV273" i="4" s="1"/>
  <c r="BR277" i="4"/>
  <c r="BV277" i="4" s="1"/>
  <c r="BR281" i="4"/>
  <c r="BV281" i="4" s="1"/>
  <c r="BR285" i="4"/>
  <c r="BV285" i="4" s="1"/>
  <c r="BR287" i="4"/>
  <c r="BV287" i="4" s="1"/>
  <c r="BR291" i="4"/>
  <c r="BV291" i="4" s="1"/>
  <c r="BR297" i="4"/>
  <c r="BV297" i="4" s="1"/>
  <c r="BR303" i="4"/>
  <c r="BV303" i="4" s="1"/>
  <c r="BR307" i="4"/>
  <c r="BV307" i="4" s="1"/>
  <c r="K214" i="4"/>
  <c r="Z214" i="4" s="1"/>
  <c r="K18" i="4"/>
  <c r="Z18" i="4" s="1"/>
  <c r="K61" i="4"/>
  <c r="Z61" i="4" s="1"/>
  <c r="K151" i="4"/>
  <c r="Z151" i="4" s="1"/>
  <c r="K260" i="4"/>
  <c r="Z260" i="4" s="1"/>
  <c r="K269" i="4"/>
  <c r="Z269" i="4" s="1"/>
  <c r="K276" i="4"/>
  <c r="Z276" i="4" s="1"/>
  <c r="AC22" i="4"/>
  <c r="AC30" i="4"/>
  <c r="AC36" i="4"/>
  <c r="AD36" i="4" s="1"/>
  <c r="AC41" i="4"/>
  <c r="AD41" i="4" s="1"/>
  <c r="AC43" i="4"/>
  <c r="AD43" i="4" s="1"/>
  <c r="AC50" i="4"/>
  <c r="AD50" i="4" s="1"/>
  <c r="AC51" i="4"/>
  <c r="AD51" i="4" s="1"/>
  <c r="AC59" i="4"/>
  <c r="AC62" i="4"/>
  <c r="AC68" i="4"/>
  <c r="AD68" i="4" s="1"/>
  <c r="AC78" i="4"/>
  <c r="AD78" i="4" s="1"/>
  <c r="AC86" i="4"/>
  <c r="AD86" i="4" s="1"/>
  <c r="AC90" i="4"/>
  <c r="AD90" i="4" s="1"/>
  <c r="AC92" i="4"/>
  <c r="AD92" i="4" s="1"/>
  <c r="AC96" i="4"/>
  <c r="AD96" i="4" s="1"/>
  <c r="AC100" i="4"/>
  <c r="AD100" i="4" s="1"/>
  <c r="AC104" i="4"/>
  <c r="AW104" i="4" s="1"/>
  <c r="BA104" i="4" s="1"/>
  <c r="AC108" i="4"/>
  <c r="AD108" i="4" s="1"/>
  <c r="AC112" i="4"/>
  <c r="AD112" i="4" s="1"/>
  <c r="AC114" i="4"/>
  <c r="AD114" i="4" s="1"/>
  <c r="AC118" i="4"/>
  <c r="AD118" i="4" s="1"/>
  <c r="AC120" i="4"/>
  <c r="AC124" i="4"/>
  <c r="AD124" i="4" s="1"/>
  <c r="AC128" i="4"/>
  <c r="AD128" i="4" s="1"/>
  <c r="AC132" i="4"/>
  <c r="AD132" i="4" s="1"/>
  <c r="AC142" i="4"/>
  <c r="AC147" i="4"/>
  <c r="AD147" i="4" s="1"/>
  <c r="AC153" i="4"/>
  <c r="AC157" i="4"/>
  <c r="AC159" i="4"/>
  <c r="AD159" i="4" s="1"/>
  <c r="AC160" i="4"/>
  <c r="AC166" i="4"/>
  <c r="AC170" i="4"/>
  <c r="AC174" i="4"/>
  <c r="AC178" i="4"/>
  <c r="AC180" i="4"/>
  <c r="AC182" i="4"/>
  <c r="AC186" i="4"/>
  <c r="AC190" i="4"/>
  <c r="AC193" i="4"/>
  <c r="AC198" i="4"/>
  <c r="AD198" i="4" s="1"/>
  <c r="AC202" i="4"/>
  <c r="AD202" i="4" s="1"/>
  <c r="AC207" i="4"/>
  <c r="AC211" i="4"/>
  <c r="AC218" i="4"/>
  <c r="AC223" i="4"/>
  <c r="AC227" i="4"/>
  <c r="AC231" i="4"/>
  <c r="AD231" i="4" s="1"/>
  <c r="AC235" i="4"/>
  <c r="AD235" i="4" s="1"/>
  <c r="AC239" i="4"/>
  <c r="AD239" i="4" s="1"/>
  <c r="AC243" i="4"/>
  <c r="AD243" i="4" s="1"/>
  <c r="AC247" i="4"/>
  <c r="AD247" i="4" s="1"/>
  <c r="AC249" i="4"/>
  <c r="AC253" i="4"/>
  <c r="AD253" i="4" s="1"/>
  <c r="AC259" i="4"/>
  <c r="AC261" i="4"/>
  <c r="AC265" i="4"/>
  <c r="AD265" i="4" s="1"/>
  <c r="AC267" i="4"/>
  <c r="AD267" i="4" s="1"/>
  <c r="AC270" i="4"/>
  <c r="AD270" i="4" s="1"/>
  <c r="AC274" i="4"/>
  <c r="AD274" i="4" s="1"/>
  <c r="AC275" i="4"/>
  <c r="AD275" i="4" s="1"/>
  <c r="AC276" i="4"/>
  <c r="AD276" i="4" s="1"/>
  <c r="AC280" i="4"/>
  <c r="AD280" i="4" s="1"/>
  <c r="AC289" i="4"/>
  <c r="AD289" i="4" s="1"/>
  <c r="AC293" i="4"/>
  <c r="AC295" i="4"/>
  <c r="AC299" i="4"/>
  <c r="AD299" i="4" s="1"/>
  <c r="AC301" i="4"/>
  <c r="AD301" i="4" s="1"/>
  <c r="AC8" i="4"/>
  <c r="AC10" i="4"/>
  <c r="AD10" i="4" s="1"/>
  <c r="AC13" i="4"/>
  <c r="AD13" i="4" s="1"/>
  <c r="AC18" i="4"/>
  <c r="AD18" i="4" s="1"/>
  <c r="AC23" i="4"/>
  <c r="AC28" i="4"/>
  <c r="AD28" i="4" s="1"/>
  <c r="AC35" i="4"/>
  <c r="AD35" i="4" s="1"/>
  <c r="AC37" i="4"/>
  <c r="AD37" i="4" s="1"/>
  <c r="AC42" i="4"/>
  <c r="AD42" i="4" s="1"/>
  <c r="AC55" i="4"/>
  <c r="AD55" i="4" s="1"/>
  <c r="AC64" i="4"/>
  <c r="AD64" i="4" s="1"/>
  <c r="AC82" i="4"/>
  <c r="AD82" i="4" s="1"/>
  <c r="AC9" i="4"/>
  <c r="AD9" i="4" s="1"/>
  <c r="AC16" i="4"/>
  <c r="AD16" i="4" s="1"/>
  <c r="AC21" i="4"/>
  <c r="AC24" i="4"/>
  <c r="AD24" i="4" s="1"/>
  <c r="AC27" i="4"/>
  <c r="AD27" i="4" s="1"/>
  <c r="AC31" i="4"/>
  <c r="AC34" i="4"/>
  <c r="AD34" i="4" s="1"/>
  <c r="AC38" i="4"/>
  <c r="AD38" i="4" s="1"/>
  <c r="AC39" i="4"/>
  <c r="AD39" i="4" s="1"/>
  <c r="AC40" i="4"/>
  <c r="AD40" i="4" s="1"/>
  <c r="AC54" i="4"/>
  <c r="AD54" i="4" s="1"/>
  <c r="AC58" i="4"/>
  <c r="AD58" i="4" s="1"/>
  <c r="AC61" i="4"/>
  <c r="AD61" i="4" s="1"/>
  <c r="AC63" i="4"/>
  <c r="AC77" i="4"/>
  <c r="AC81" i="4"/>
  <c r="AD81" i="4" s="1"/>
  <c r="AC85" i="4"/>
  <c r="AD85" i="4" s="1"/>
  <c r="AC91" i="4"/>
  <c r="AD91" i="4" s="1"/>
  <c r="AC95" i="4"/>
  <c r="AC99" i="4"/>
  <c r="AD99" i="4" s="1"/>
  <c r="AC103" i="4"/>
  <c r="AD103" i="4" s="1"/>
  <c r="AC107" i="4"/>
  <c r="AD107" i="4" s="1"/>
  <c r="AC111" i="4"/>
  <c r="AD111" i="4" s="1"/>
  <c r="AC113" i="4"/>
  <c r="AC117" i="4"/>
  <c r="AD117" i="4" s="1"/>
  <c r="AC121" i="4"/>
  <c r="AC125" i="4"/>
  <c r="AD125" i="4" s="1"/>
  <c r="AC129" i="4"/>
  <c r="AD129" i="4" s="1"/>
  <c r="AC133" i="4"/>
  <c r="AD133" i="4" s="1"/>
  <c r="AC136" i="4"/>
  <c r="AC138" i="4"/>
  <c r="AC140" i="4"/>
  <c r="AC146" i="4"/>
  <c r="AC150" i="4"/>
  <c r="AC152" i="4"/>
  <c r="AC156" i="4"/>
  <c r="AD156" i="4" s="1"/>
  <c r="AC165" i="4"/>
  <c r="AC169" i="4"/>
  <c r="AC173" i="4"/>
  <c r="AC177" i="4"/>
  <c r="AC181" i="4"/>
  <c r="AC185" i="4"/>
  <c r="AC189" i="4"/>
  <c r="AD189" i="4" s="1"/>
  <c r="AC192" i="4"/>
  <c r="AC196" i="4"/>
  <c r="AC197" i="4"/>
  <c r="AC199" i="4"/>
  <c r="AD199" i="4" s="1"/>
  <c r="AC200" i="4"/>
  <c r="AD200" i="4" s="1"/>
  <c r="AC201" i="4"/>
  <c r="AD201" i="4" s="1"/>
  <c r="AC205" i="4"/>
  <c r="AD205" i="4" s="1"/>
  <c r="AC206" i="4"/>
  <c r="AD206" i="4" s="1"/>
  <c r="AC208" i="4"/>
  <c r="AC215" i="4"/>
  <c r="AD215" i="4" s="1"/>
  <c r="AC222" i="4"/>
  <c r="AC226" i="4"/>
  <c r="AD226" i="4" s="1"/>
  <c r="AC230" i="4"/>
  <c r="AD230" i="4" s="1"/>
  <c r="AC232" i="4"/>
  <c r="AD232" i="4" s="1"/>
  <c r="AC238" i="4"/>
  <c r="AD238" i="4" s="1"/>
  <c r="AC242" i="4"/>
  <c r="AD242" i="4" s="1"/>
  <c r="AC246" i="4"/>
  <c r="AD246" i="4" s="1"/>
  <c r="AC248" i="4"/>
  <c r="AD248" i="4" s="1"/>
  <c r="AC252" i="4"/>
  <c r="AD252" i="4" s="1"/>
  <c r="AC256" i="4"/>
  <c r="AD256" i="4" s="1"/>
  <c r="AC260" i="4"/>
  <c r="AD260" i="4" s="1"/>
  <c r="AC262" i="4"/>
  <c r="AD262" i="4" s="1"/>
  <c r="AC264" i="4"/>
  <c r="AC268" i="4"/>
  <c r="AD268" i="4" s="1"/>
  <c r="AC269" i="4"/>
  <c r="AD269" i="4" s="1"/>
  <c r="AC273" i="4"/>
  <c r="AD273" i="4" s="1"/>
  <c r="AC279" i="4"/>
  <c r="AD279" i="4" s="1"/>
  <c r="AC283" i="4"/>
  <c r="AC286" i="4"/>
  <c r="AC288" i="4"/>
  <c r="AD288" i="4" s="1"/>
  <c r="AC292" i="4"/>
  <c r="AC298" i="4"/>
  <c r="AD298" i="4" s="1"/>
  <c r="AC305" i="4"/>
  <c r="AC17" i="4"/>
  <c r="AD17" i="4" s="1"/>
  <c r="AC25" i="4"/>
  <c r="AD25" i="4" s="1"/>
  <c r="AC15" i="4"/>
  <c r="AD15" i="4" s="1"/>
  <c r="AC20" i="4"/>
  <c r="AD20" i="4" s="1"/>
  <c r="AC26" i="4"/>
  <c r="AD26" i="4" s="1"/>
  <c r="AC32" i="4"/>
  <c r="AC53" i="4"/>
  <c r="AD53" i="4" s="1"/>
  <c r="AC57" i="4"/>
  <c r="AD57" i="4" s="1"/>
  <c r="AC66" i="4"/>
  <c r="AD66" i="4" s="1"/>
  <c r="AC80" i="4"/>
  <c r="AD80" i="4" s="1"/>
  <c r="AC84" i="4"/>
  <c r="AD84" i="4" s="1"/>
  <c r="AC88" i="4"/>
  <c r="AD88" i="4" s="1"/>
  <c r="AC94" i="4"/>
  <c r="AC98" i="4"/>
  <c r="AD98" i="4" s="1"/>
  <c r="AC102" i="4"/>
  <c r="AD102" i="4" s="1"/>
  <c r="AC106" i="4"/>
  <c r="AD106" i="4" s="1"/>
  <c r="AC110" i="4"/>
  <c r="AD110" i="4" s="1"/>
  <c r="AC116" i="4"/>
  <c r="AD116" i="4" s="1"/>
  <c r="AC122" i="4"/>
  <c r="AC126" i="4"/>
  <c r="AD126" i="4" s="1"/>
  <c r="AC130" i="4"/>
  <c r="AD130" i="4" s="1"/>
  <c r="AC134" i="4"/>
  <c r="AD134" i="4" s="1"/>
  <c r="AC144" i="4"/>
  <c r="AC145" i="4"/>
  <c r="AC149" i="4"/>
  <c r="AC151" i="4"/>
  <c r="AC155" i="4"/>
  <c r="AC162" i="4"/>
  <c r="AD162" i="4" s="1"/>
  <c r="AC164" i="4"/>
  <c r="AC168" i="4"/>
  <c r="AD168" i="4" s="1"/>
  <c r="AC172" i="4"/>
  <c r="AC176" i="4"/>
  <c r="AD176" i="4" s="1"/>
  <c r="AC184" i="4"/>
  <c r="AC188" i="4"/>
  <c r="AC195" i="4"/>
  <c r="AC204" i="4"/>
  <c r="AD204" i="4" s="1"/>
  <c r="AC209" i="4"/>
  <c r="AD209" i="4" s="1"/>
  <c r="AC213" i="4"/>
  <c r="AC214" i="4"/>
  <c r="AD214" i="4" s="1"/>
  <c r="AC216" i="4"/>
  <c r="AC221" i="4"/>
  <c r="AC225" i="4"/>
  <c r="AC229" i="4"/>
  <c r="AD229" i="4" s="1"/>
  <c r="AC233" i="4"/>
  <c r="AD233" i="4" s="1"/>
  <c r="AC237" i="4"/>
  <c r="AD237" i="4" s="1"/>
  <c r="AC241" i="4"/>
  <c r="AD241" i="4" s="1"/>
  <c r="AC245" i="4"/>
  <c r="AD245" i="4" s="1"/>
  <c r="AC251" i="4"/>
  <c r="AC255" i="4"/>
  <c r="AD255" i="4" s="1"/>
  <c r="AC257" i="4"/>
  <c r="AD257" i="4" s="1"/>
  <c r="AC263" i="4"/>
  <c r="AC272" i="4"/>
  <c r="AD272" i="4" s="1"/>
  <c r="AC278" i="4"/>
  <c r="AD278" i="4" s="1"/>
  <c r="AC282" i="4"/>
  <c r="AD282" i="4" s="1"/>
  <c r="AC284" i="4"/>
  <c r="AC287" i="4"/>
  <c r="AD287" i="4" s="1"/>
  <c r="AC291" i="4"/>
  <c r="AD291" i="4" s="1"/>
  <c r="AC297" i="4"/>
  <c r="AD297" i="4" s="1"/>
  <c r="AC304" i="4"/>
  <c r="AD304" i="4" s="1"/>
  <c r="AC306" i="4"/>
  <c r="AC11" i="4"/>
  <c r="AD11" i="4" s="1"/>
  <c r="AC12" i="4"/>
  <c r="AD12" i="4" s="1"/>
  <c r="AC14" i="4"/>
  <c r="AD14" i="4" s="1"/>
  <c r="AC19" i="4"/>
  <c r="AD19" i="4" s="1"/>
  <c r="AC29" i="4"/>
  <c r="AC33" i="4"/>
  <c r="AC44" i="4"/>
  <c r="AD44" i="4" s="1"/>
  <c r="AC45" i="4"/>
  <c r="AD45" i="4" s="1"/>
  <c r="AC46" i="4"/>
  <c r="AD46" i="4" s="1"/>
  <c r="AC47" i="4"/>
  <c r="AD47" i="4" s="1"/>
  <c r="AC48" i="4"/>
  <c r="AD48" i="4" s="1"/>
  <c r="AC49" i="4"/>
  <c r="AD49" i="4" s="1"/>
  <c r="AC52" i="4"/>
  <c r="AD52" i="4" s="1"/>
  <c r="AC56" i="4"/>
  <c r="AD56" i="4" s="1"/>
  <c r="AC60" i="4"/>
  <c r="AC65" i="4"/>
  <c r="AD65" i="4" s="1"/>
  <c r="AC67" i="4"/>
  <c r="AD67" i="4" s="1"/>
  <c r="AC69" i="4"/>
  <c r="AD69" i="4" s="1"/>
  <c r="AC70" i="4"/>
  <c r="AD70" i="4" s="1"/>
  <c r="AC71" i="4"/>
  <c r="AD71" i="4" s="1"/>
  <c r="AC72" i="4"/>
  <c r="AD72" i="4" s="1"/>
  <c r="AC73" i="4"/>
  <c r="AD73" i="4" s="1"/>
  <c r="AC74" i="4"/>
  <c r="AD74" i="4" s="1"/>
  <c r="AC75" i="4"/>
  <c r="AD75" i="4" s="1"/>
  <c r="AC76" i="4"/>
  <c r="AD76" i="4" s="1"/>
  <c r="AC79" i="4"/>
  <c r="AD79" i="4" s="1"/>
  <c r="AC83" i="4"/>
  <c r="AD83" i="4" s="1"/>
  <c r="AC87" i="4"/>
  <c r="AD87" i="4" s="1"/>
  <c r="AC89" i="4"/>
  <c r="AD89" i="4" s="1"/>
  <c r="AC93" i="4"/>
  <c r="AD93" i="4" s="1"/>
  <c r="AC97" i="4"/>
  <c r="AC101" i="4"/>
  <c r="AD101" i="4" s="1"/>
  <c r="AC105" i="4"/>
  <c r="AD105" i="4" s="1"/>
  <c r="AC109" i="4"/>
  <c r="AD109" i="4" s="1"/>
  <c r="AC115" i="4"/>
  <c r="AD115" i="4" s="1"/>
  <c r="AC119" i="4"/>
  <c r="AC123" i="4"/>
  <c r="AD123" i="4" s="1"/>
  <c r="AC127" i="4"/>
  <c r="AD127" i="4" s="1"/>
  <c r="AC131" i="4"/>
  <c r="AD131" i="4" s="1"/>
  <c r="AC135" i="4"/>
  <c r="AC137" i="4"/>
  <c r="AC139" i="4"/>
  <c r="AC141" i="4"/>
  <c r="AC143" i="4"/>
  <c r="AC148" i="4"/>
  <c r="AC154" i="4"/>
  <c r="AC158" i="4"/>
  <c r="AD158" i="4" s="1"/>
  <c r="AC161" i="4"/>
  <c r="AC163" i="4"/>
  <c r="AC167" i="4"/>
  <c r="AC171" i="4"/>
  <c r="AC175" i="4"/>
  <c r="AC179" i="4"/>
  <c r="AD179" i="4" s="1"/>
  <c r="AC183" i="4"/>
  <c r="AC187" i="4"/>
  <c r="AC191" i="4"/>
  <c r="AD191" i="4" s="1"/>
  <c r="AC194" i="4"/>
  <c r="AC203" i="4"/>
  <c r="AD203" i="4" s="1"/>
  <c r="AC210" i="4"/>
  <c r="AD210" i="4" s="1"/>
  <c r="AC212" i="4"/>
  <c r="AC217" i="4"/>
  <c r="AC219" i="4"/>
  <c r="AC220" i="4"/>
  <c r="AC224" i="4"/>
  <c r="AC228" i="4"/>
  <c r="AC234" i="4"/>
  <c r="AD234" i="4" s="1"/>
  <c r="AC236" i="4"/>
  <c r="AD236" i="4" s="1"/>
  <c r="AC240" i="4"/>
  <c r="AD240" i="4" s="1"/>
  <c r="AC244" i="4"/>
  <c r="AD244" i="4" s="1"/>
  <c r="AC250" i="4"/>
  <c r="AD250" i="4" s="1"/>
  <c r="AC254" i="4"/>
  <c r="AD254" i="4" s="1"/>
  <c r="AC258" i="4"/>
  <c r="AC266" i="4"/>
  <c r="AC271" i="4"/>
  <c r="AD271" i="4" s="1"/>
  <c r="AC277" i="4"/>
  <c r="AD277" i="4" s="1"/>
  <c r="AC281" i="4"/>
  <c r="AD281" i="4" s="1"/>
  <c r="AC285" i="4"/>
  <c r="AD285" i="4" s="1"/>
  <c r="AC290" i="4"/>
  <c r="AD290" i="4" s="1"/>
  <c r="AC294" i="4"/>
  <c r="AD294" i="4" s="1"/>
  <c r="AC296" i="4"/>
  <c r="AD296" i="4" s="1"/>
  <c r="AC300" i="4"/>
  <c r="AD300" i="4" s="1"/>
  <c r="AC302" i="4"/>
  <c r="AC303" i="4"/>
  <c r="AD303" i="4" s="1"/>
  <c r="AC307" i="4"/>
  <c r="K118" i="4"/>
  <c r="Z118" i="4" s="1"/>
  <c r="K155" i="4"/>
  <c r="Z155" i="4" s="1"/>
  <c r="K56" i="4"/>
  <c r="Z56" i="4" s="1"/>
  <c r="K245" i="4"/>
  <c r="Z245" i="4" s="1"/>
  <c r="K298" i="4"/>
  <c r="Z298" i="4" s="1"/>
  <c r="K40" i="4"/>
  <c r="Z40" i="4" s="1"/>
  <c r="K282" i="4"/>
  <c r="Z282" i="4" s="1"/>
  <c r="K42" i="4"/>
  <c r="Z42" i="4" s="1"/>
  <c r="K74" i="4"/>
  <c r="Z74" i="4" s="1"/>
  <c r="K78" i="4"/>
  <c r="Z78" i="4" s="1"/>
  <c r="K52" i="4"/>
  <c r="Z52" i="4" s="1"/>
  <c r="K238" i="4"/>
  <c r="Z238" i="4" s="1"/>
  <c r="K254" i="4"/>
  <c r="Z254" i="4" s="1"/>
  <c r="K47" i="4"/>
  <c r="Z47" i="4" s="1"/>
  <c r="K65" i="4"/>
  <c r="Z65" i="4" s="1"/>
  <c r="K85" i="4"/>
  <c r="Z85" i="4" s="1"/>
  <c r="K104" i="4"/>
  <c r="Z104" i="4" s="1"/>
  <c r="K143" i="4"/>
  <c r="Z143" i="4" s="1"/>
  <c r="K148" i="4"/>
  <c r="Z148" i="4" s="1"/>
  <c r="K152" i="4"/>
  <c r="Z152" i="4" s="1"/>
  <c r="K161" i="4"/>
  <c r="Z161" i="4" s="1"/>
  <c r="K196" i="4"/>
  <c r="Z196" i="4" s="1"/>
  <c r="K228" i="4"/>
  <c r="Z228" i="4" s="1"/>
  <c r="K246" i="4"/>
  <c r="Z246" i="4" s="1"/>
  <c r="K277" i="4"/>
  <c r="Z277" i="4" s="1"/>
  <c r="K289" i="4"/>
  <c r="Z289" i="4" s="1"/>
  <c r="K105" i="4"/>
  <c r="Z105" i="4" s="1"/>
  <c r="K253" i="4"/>
  <c r="Z253" i="4" s="1"/>
  <c r="K268" i="4"/>
  <c r="Z268" i="4" s="1"/>
  <c r="K14" i="4"/>
  <c r="Z14" i="4" s="1"/>
  <c r="K17" i="4"/>
  <c r="Z17" i="4" s="1"/>
  <c r="K28" i="4"/>
  <c r="Z28" i="4" s="1"/>
  <c r="K46" i="4"/>
  <c r="Z46" i="4" s="1"/>
  <c r="K49" i="4"/>
  <c r="Z49" i="4" s="1"/>
  <c r="K76" i="4"/>
  <c r="Z76" i="4" s="1"/>
  <c r="K77" i="4"/>
  <c r="Z77" i="4" s="1"/>
  <c r="K95" i="4"/>
  <c r="Z95" i="4" s="1"/>
  <c r="K111" i="4"/>
  <c r="Z111" i="4" s="1"/>
  <c r="K21" i="4"/>
  <c r="Z21" i="4" s="1"/>
  <c r="K22" i="4"/>
  <c r="Z22" i="4" s="1"/>
  <c r="K36" i="4"/>
  <c r="Z36" i="4" s="1"/>
  <c r="K86" i="4"/>
  <c r="Z86" i="4" s="1"/>
  <c r="K103" i="4"/>
  <c r="Z103" i="4" s="1"/>
  <c r="K113" i="4"/>
  <c r="Z113" i="4" s="1"/>
  <c r="K114" i="4"/>
  <c r="Z114" i="4" s="1"/>
  <c r="K73" i="4"/>
  <c r="Z73" i="4" s="1"/>
  <c r="K84" i="4"/>
  <c r="Z84" i="4" s="1"/>
  <c r="K97" i="4"/>
  <c r="Z97" i="4" s="1"/>
  <c r="K108" i="4"/>
  <c r="Z108" i="4" s="1"/>
  <c r="K109" i="4"/>
  <c r="Z109" i="4" s="1"/>
  <c r="K116" i="4"/>
  <c r="Z116" i="4" s="1"/>
  <c r="K144" i="4"/>
  <c r="Z144" i="4" s="1"/>
  <c r="K156" i="4"/>
  <c r="Z156" i="4" s="1"/>
  <c r="K165" i="4"/>
  <c r="Z165" i="4" s="1"/>
  <c r="K169" i="4"/>
  <c r="Z169" i="4" s="1"/>
  <c r="K173" i="4"/>
  <c r="Z173" i="4" s="1"/>
  <c r="K177" i="4"/>
  <c r="Z177" i="4" s="1"/>
  <c r="K183" i="4"/>
  <c r="Z183" i="4" s="1"/>
  <c r="K187" i="4"/>
  <c r="Z187" i="4" s="1"/>
  <c r="K193" i="4"/>
  <c r="Z193" i="4" s="1"/>
  <c r="K211" i="4"/>
  <c r="Z211" i="4" s="1"/>
  <c r="K295" i="4"/>
  <c r="Z295" i="4" s="1"/>
  <c r="K147" i="4"/>
  <c r="Z147" i="4" s="1"/>
  <c r="K166" i="4"/>
  <c r="Z166" i="4" s="1"/>
  <c r="K170" i="4"/>
  <c r="Z170" i="4" s="1"/>
  <c r="K174" i="4"/>
  <c r="Z174" i="4" s="1"/>
  <c r="K178" i="4"/>
  <c r="Z178" i="4" s="1"/>
  <c r="K184" i="4"/>
  <c r="Z184" i="4" s="1"/>
  <c r="K188" i="4"/>
  <c r="Z188" i="4" s="1"/>
  <c r="K192" i="4"/>
  <c r="Z192" i="4" s="1"/>
  <c r="K202" i="4"/>
  <c r="Z202" i="4" s="1"/>
  <c r="K221" i="4"/>
  <c r="Z221" i="4" s="1"/>
  <c r="K225" i="4"/>
  <c r="Z225" i="4" s="1"/>
  <c r="K241" i="4"/>
  <c r="Z241" i="4" s="1"/>
  <c r="K249" i="4"/>
  <c r="Z249" i="4" s="1"/>
  <c r="K259" i="4"/>
  <c r="Z259" i="4" s="1"/>
  <c r="K265" i="4"/>
  <c r="Z265" i="4" s="1"/>
  <c r="K272" i="4"/>
  <c r="Z272" i="4" s="1"/>
  <c r="K278" i="4"/>
  <c r="Z278" i="4" s="1"/>
  <c r="K293" i="4"/>
  <c r="Z293" i="4" s="1"/>
  <c r="K203" i="4"/>
  <c r="Z203" i="4" s="1"/>
  <c r="K218" i="4"/>
  <c r="Z218" i="4" s="1"/>
  <c r="K222" i="4"/>
  <c r="Z222" i="4" s="1"/>
  <c r="K226" i="4"/>
  <c r="Z226" i="4" s="1"/>
  <c r="K242" i="4"/>
  <c r="Z242" i="4" s="1"/>
  <c r="K250" i="4"/>
  <c r="Z250" i="4" s="1"/>
  <c r="K273" i="4"/>
  <c r="Z273" i="4" s="1"/>
  <c r="K292" i="4"/>
  <c r="Z292" i="4" s="1"/>
  <c r="K302" i="4"/>
  <c r="Z302" i="4" s="1"/>
  <c r="K299" i="4"/>
  <c r="Z299" i="4" s="1"/>
  <c r="X39" i="4"/>
  <c r="X229" i="4"/>
  <c r="X32" i="4"/>
  <c r="X115" i="4"/>
  <c r="X305" i="4"/>
  <c r="X181" i="4"/>
  <c r="X30" i="4"/>
  <c r="X53" i="4"/>
  <c r="X60" i="4"/>
  <c r="X288" i="4"/>
  <c r="X10" i="4"/>
  <c r="X49" i="4"/>
  <c r="X50" i="4"/>
  <c r="X218" i="4"/>
  <c r="X251" i="4"/>
  <c r="X9" i="4"/>
  <c r="X27" i="4"/>
  <c r="X28" i="4"/>
  <c r="X147" i="4"/>
  <c r="X74" i="4"/>
  <c r="X86" i="4"/>
  <c r="X92" i="4"/>
  <c r="X37" i="4"/>
  <c r="X160" i="4"/>
  <c r="X189" i="4"/>
  <c r="X192" i="4"/>
  <c r="X252" i="4"/>
  <c r="X253" i="4"/>
  <c r="X262" i="4"/>
  <c r="X270" i="4"/>
  <c r="X284" i="4"/>
  <c r="X303" i="4"/>
  <c r="X158" i="4"/>
  <c r="X186" i="4"/>
  <c r="X258" i="4"/>
  <c r="X259" i="4"/>
  <c r="X260" i="4"/>
  <c r="X261" i="4"/>
  <c r="X280" i="4"/>
  <c r="X283" i="4"/>
  <c r="X294" i="4"/>
  <c r="X56" i="4"/>
  <c r="X111" i="4"/>
  <c r="X116" i="4"/>
  <c r="X207" i="4"/>
  <c r="X226" i="4"/>
  <c r="X300" i="4"/>
  <c r="X17" i="4"/>
  <c r="X36" i="4"/>
  <c r="X45" i="4"/>
  <c r="X46" i="4"/>
  <c r="X66" i="4"/>
  <c r="X72" i="4"/>
  <c r="X77" i="4"/>
  <c r="X13" i="4"/>
  <c r="X20" i="4"/>
  <c r="X21" i="4"/>
  <c r="X22" i="4"/>
  <c r="X29" i="4"/>
  <c r="X42" i="4"/>
  <c r="X54" i="4"/>
  <c r="X70" i="4"/>
  <c r="X12" i="4"/>
  <c r="X14" i="4"/>
  <c r="X16" i="4"/>
  <c r="X26" i="4"/>
  <c r="X31" i="4"/>
  <c r="X35" i="4"/>
  <c r="X44" i="4"/>
  <c r="X85" i="4"/>
  <c r="X94" i="4"/>
  <c r="X95" i="4"/>
  <c r="X99" i="4"/>
  <c r="X110" i="4"/>
  <c r="X140" i="4"/>
  <c r="X143" i="4"/>
  <c r="X150" i="4"/>
  <c r="X154" i="4"/>
  <c r="X162" i="4"/>
  <c r="X164" i="4"/>
  <c r="X165" i="4"/>
  <c r="X168" i="4"/>
  <c r="X177" i="4"/>
  <c r="X180" i="4"/>
  <c r="X183" i="4"/>
  <c r="X187" i="4"/>
  <c r="X200" i="4"/>
  <c r="X205" i="4"/>
  <c r="X254" i="4"/>
  <c r="X48" i="4"/>
  <c r="X69" i="4"/>
  <c r="X76" i="4"/>
  <c r="X80" i="4"/>
  <c r="X87" i="4"/>
  <c r="X90" i="4"/>
  <c r="X91" i="4"/>
  <c r="X97" i="4"/>
  <c r="X103" i="4"/>
  <c r="X119" i="4"/>
  <c r="X120" i="4"/>
  <c r="X121" i="4"/>
  <c r="X122" i="4"/>
  <c r="X123" i="4"/>
  <c r="X124" i="4"/>
  <c r="X125" i="4"/>
  <c r="X126" i="4"/>
  <c r="X127" i="4"/>
  <c r="X128" i="4"/>
  <c r="X129" i="4"/>
  <c r="X130" i="4"/>
  <c r="X131" i="4"/>
  <c r="X132" i="4"/>
  <c r="X133" i="4"/>
  <c r="X134" i="4"/>
  <c r="X135" i="4"/>
  <c r="X136" i="4"/>
  <c r="X139" i="4"/>
  <c r="X141" i="4"/>
  <c r="X146" i="4"/>
  <c r="X151" i="4"/>
  <c r="X161" i="4"/>
  <c r="X167" i="4"/>
  <c r="X169" i="4"/>
  <c r="X172" i="4"/>
  <c r="X179" i="4"/>
  <c r="X182" i="4"/>
  <c r="X24" i="4"/>
  <c r="X57" i="4"/>
  <c r="X58" i="4"/>
  <c r="X62" i="4"/>
  <c r="X63" i="4"/>
  <c r="X64" i="4"/>
  <c r="X67" i="4"/>
  <c r="X71" i="4"/>
  <c r="X78" i="4"/>
  <c r="X84" i="4"/>
  <c r="X93" i="4"/>
  <c r="X100" i="4"/>
  <c r="X102" i="4"/>
  <c r="X106" i="4"/>
  <c r="X107" i="4"/>
  <c r="X142" i="4"/>
  <c r="X145" i="4"/>
  <c r="X155" i="4"/>
  <c r="X173" i="4"/>
  <c r="X175" i="4"/>
  <c r="X217" i="4"/>
  <c r="X220" i="4"/>
  <c r="X232" i="4"/>
  <c r="X233" i="4"/>
  <c r="X235" i="4"/>
  <c r="X236" i="4"/>
  <c r="X247" i="4"/>
  <c r="X248" i="4"/>
  <c r="X249" i="4"/>
  <c r="X250" i="4"/>
  <c r="X266" i="4"/>
  <c r="X274" i="4"/>
  <c r="X275" i="4"/>
  <c r="X277" i="4"/>
  <c r="X289" i="4"/>
  <c r="X301" i="4"/>
  <c r="X307" i="4"/>
  <c r="X176" i="4"/>
  <c r="X196" i="4"/>
  <c r="X212" i="4"/>
  <c r="X214" i="4"/>
  <c r="X221" i="4"/>
  <c r="X223" i="4"/>
  <c r="X225" i="4"/>
  <c r="X231" i="4"/>
  <c r="X234" i="4"/>
  <c r="X239" i="4"/>
  <c r="X240" i="4"/>
  <c r="X243" i="4"/>
  <c r="X244" i="4"/>
  <c r="X245" i="4"/>
  <c r="X246" i="4"/>
  <c r="X269" i="4"/>
  <c r="X276" i="4"/>
  <c r="X293" i="4"/>
  <c r="X302" i="4"/>
  <c r="X304" i="4"/>
  <c r="X210" i="4"/>
  <c r="X216" i="4"/>
  <c r="X237" i="4"/>
  <c r="X238" i="4"/>
  <c r="X241" i="4"/>
  <c r="X242" i="4"/>
  <c r="X255" i="4"/>
  <c r="X267" i="4"/>
  <c r="X268" i="4"/>
  <c r="X271" i="4"/>
  <c r="X272" i="4"/>
  <c r="X273" i="4"/>
  <c r="X285" i="4"/>
  <c r="X296" i="4"/>
  <c r="X297" i="4"/>
  <c r="X306" i="4"/>
  <c r="T308" i="4"/>
  <c r="X8" i="4"/>
  <c r="X11" i="4"/>
  <c r="K15" i="4"/>
  <c r="Z15" i="4" s="1"/>
  <c r="X19" i="4"/>
  <c r="K25" i="4"/>
  <c r="Z25" i="4" s="1"/>
  <c r="X38" i="4"/>
  <c r="X41" i="4"/>
  <c r="X47" i="4"/>
  <c r="X52" i="4"/>
  <c r="X55" i="4"/>
  <c r="X61" i="4"/>
  <c r="X68" i="4"/>
  <c r="K34" i="4"/>
  <c r="Z34" i="4" s="1"/>
  <c r="K43" i="4"/>
  <c r="Z43" i="4" s="1"/>
  <c r="U308" i="4"/>
  <c r="X18" i="4"/>
  <c r="X23" i="4"/>
  <c r="K26" i="4"/>
  <c r="Z26" i="4" s="1"/>
  <c r="X34" i="4"/>
  <c r="X40" i="4"/>
  <c r="X43" i="4"/>
  <c r="K57" i="4"/>
  <c r="Z57" i="4" s="1"/>
  <c r="K63" i="4"/>
  <c r="Z63" i="4" s="1"/>
  <c r="K53" i="4"/>
  <c r="Z53" i="4" s="1"/>
  <c r="K11" i="4"/>
  <c r="Z11" i="4" s="1"/>
  <c r="X15" i="4"/>
  <c r="K19" i="4"/>
  <c r="Z19" i="4" s="1"/>
  <c r="X25" i="4"/>
  <c r="X33" i="4"/>
  <c r="K41" i="4"/>
  <c r="Z41" i="4" s="1"/>
  <c r="X51" i="4"/>
  <c r="X59" i="4"/>
  <c r="X65" i="4"/>
  <c r="K102" i="4"/>
  <c r="Z102" i="4" s="1"/>
  <c r="K106" i="4"/>
  <c r="Z106" i="4" s="1"/>
  <c r="K110" i="4"/>
  <c r="Z110" i="4" s="1"/>
  <c r="K115" i="4"/>
  <c r="Z115" i="4" s="1"/>
  <c r="X88" i="4"/>
  <c r="X98" i="4"/>
  <c r="X101" i="4"/>
  <c r="X104" i="4"/>
  <c r="X105" i="4"/>
  <c r="X108" i="4"/>
  <c r="X109" i="4"/>
  <c r="X113" i="4"/>
  <c r="X114" i="4"/>
  <c r="X117" i="4"/>
  <c r="X118" i="4"/>
  <c r="K149" i="4"/>
  <c r="Z149" i="4" s="1"/>
  <c r="K153" i="4"/>
  <c r="Z153" i="4" s="1"/>
  <c r="K75" i="4"/>
  <c r="Z75" i="4" s="1"/>
  <c r="V308" i="4"/>
  <c r="K69" i="4"/>
  <c r="Z69" i="4" s="1"/>
  <c r="X73" i="4"/>
  <c r="X82" i="4"/>
  <c r="K87" i="4"/>
  <c r="Z87" i="4" s="1"/>
  <c r="X89" i="4"/>
  <c r="K94" i="4"/>
  <c r="Z94" i="4" s="1"/>
  <c r="X137" i="4"/>
  <c r="K157" i="4"/>
  <c r="Z157" i="4" s="1"/>
  <c r="K182" i="4"/>
  <c r="Z182" i="4" s="1"/>
  <c r="K190" i="4"/>
  <c r="Z190" i="4" s="1"/>
  <c r="K79" i="4"/>
  <c r="Z79" i="4" s="1"/>
  <c r="X81" i="4"/>
  <c r="K83" i="4"/>
  <c r="Z83" i="4" s="1"/>
  <c r="W308" i="4"/>
  <c r="X75" i="4"/>
  <c r="X79" i="4"/>
  <c r="X83" i="4"/>
  <c r="X96" i="4"/>
  <c r="K98" i="4"/>
  <c r="Z98" i="4" s="1"/>
  <c r="X112" i="4"/>
  <c r="X138" i="4"/>
  <c r="K168" i="4"/>
  <c r="Z168" i="4" s="1"/>
  <c r="K176" i="4"/>
  <c r="Z176" i="4" s="1"/>
  <c r="K159" i="4"/>
  <c r="Z159" i="4" s="1"/>
  <c r="X166" i="4"/>
  <c r="X174" i="4"/>
  <c r="X188" i="4"/>
  <c r="K195" i="4"/>
  <c r="Z195" i="4" s="1"/>
  <c r="K199" i="4"/>
  <c r="Z199" i="4" s="1"/>
  <c r="K224" i="4"/>
  <c r="Z224" i="4" s="1"/>
  <c r="K145" i="4"/>
  <c r="Z145" i="4" s="1"/>
  <c r="X149" i="4"/>
  <c r="X153" i="4"/>
  <c r="X157" i="4"/>
  <c r="X163" i="4"/>
  <c r="K164" i="4"/>
  <c r="Z164" i="4" s="1"/>
  <c r="X171" i="4"/>
  <c r="K172" i="4"/>
  <c r="Z172" i="4" s="1"/>
  <c r="X185" i="4"/>
  <c r="K186" i="4"/>
  <c r="Z186" i="4" s="1"/>
  <c r="X190" i="4"/>
  <c r="X193" i="4"/>
  <c r="X144" i="4"/>
  <c r="X148" i="4"/>
  <c r="X152" i="4"/>
  <c r="X156" i="4"/>
  <c r="X159" i="4"/>
  <c r="X170" i="4"/>
  <c r="X178" i="4"/>
  <c r="X184" i="4"/>
  <c r="X195" i="4"/>
  <c r="X197" i="4"/>
  <c r="K163" i="4"/>
  <c r="Z163" i="4" s="1"/>
  <c r="K167" i="4"/>
  <c r="Z167" i="4" s="1"/>
  <c r="K171" i="4"/>
  <c r="Z171" i="4" s="1"/>
  <c r="K175" i="4"/>
  <c r="Z175" i="4" s="1"/>
  <c r="K181" i="4"/>
  <c r="Z181" i="4" s="1"/>
  <c r="K185" i="4"/>
  <c r="Z185" i="4" s="1"/>
  <c r="K189" i="4"/>
  <c r="Z189" i="4" s="1"/>
  <c r="K194" i="4"/>
  <c r="Z194" i="4" s="1"/>
  <c r="K201" i="4"/>
  <c r="Z201" i="4" s="1"/>
  <c r="X203" i="4"/>
  <c r="X204" i="4"/>
  <c r="X206" i="4"/>
  <c r="K213" i="4"/>
  <c r="Z213" i="4" s="1"/>
  <c r="X222" i="4"/>
  <c r="X228" i="4"/>
  <c r="X194" i="4"/>
  <c r="X201" i="4"/>
  <c r="X208" i="4"/>
  <c r="X211" i="4"/>
  <c r="X219" i="4"/>
  <c r="K220" i="4"/>
  <c r="Z220" i="4" s="1"/>
  <c r="X224" i="4"/>
  <c r="X227" i="4"/>
  <c r="X191" i="4"/>
  <c r="X198" i="4"/>
  <c r="X199" i="4"/>
  <c r="X202" i="4"/>
  <c r="K205" i="4"/>
  <c r="Z205" i="4" s="1"/>
  <c r="X209" i="4"/>
  <c r="X213" i="4"/>
  <c r="X215" i="4"/>
  <c r="X265" i="4"/>
  <c r="K212" i="4"/>
  <c r="Z212" i="4" s="1"/>
  <c r="K219" i="4"/>
  <c r="Z219" i="4" s="1"/>
  <c r="K223" i="4"/>
  <c r="Z223" i="4" s="1"/>
  <c r="K227" i="4"/>
  <c r="Z227" i="4" s="1"/>
  <c r="K230" i="4"/>
  <c r="Z230" i="4" s="1"/>
  <c r="X230" i="4"/>
  <c r="X256" i="4"/>
  <c r="X263" i="4"/>
  <c r="K264" i="4"/>
  <c r="Z264" i="4" s="1"/>
  <c r="K235" i="4"/>
  <c r="Z235" i="4" s="1"/>
  <c r="K239" i="4"/>
  <c r="Z239" i="4" s="1"/>
  <c r="K243" i="4"/>
  <c r="Z243" i="4" s="1"/>
  <c r="K247" i="4"/>
  <c r="Z247" i="4" s="1"/>
  <c r="K251" i="4"/>
  <c r="Z251" i="4" s="1"/>
  <c r="K255" i="4"/>
  <c r="Z255" i="4" s="1"/>
  <c r="X257" i="4"/>
  <c r="K287" i="4"/>
  <c r="Z287" i="4" s="1"/>
  <c r="X264" i="4"/>
  <c r="K270" i="4"/>
  <c r="Z270" i="4" s="1"/>
  <c r="K274" i="4"/>
  <c r="Z274" i="4" s="1"/>
  <c r="X286" i="4"/>
  <c r="X278" i="4"/>
  <c r="X279" i="4"/>
  <c r="X281" i="4"/>
  <c r="X282" i="4"/>
  <c r="X292" i="4"/>
  <c r="X287" i="4"/>
  <c r="K290" i="4"/>
  <c r="Z290" i="4" s="1"/>
  <c r="X291" i="4"/>
  <c r="X295" i="4"/>
  <c r="X298" i="4"/>
  <c r="X299" i="4"/>
  <c r="X290" i="4"/>
  <c r="K304" i="4"/>
  <c r="Z304" i="4" s="1"/>
  <c r="B4" i="40"/>
  <c r="AB4" i="40"/>
  <c r="AA4" i="40"/>
  <c r="Z4" i="40"/>
  <c r="Y4" i="40"/>
  <c r="Q4" i="40"/>
  <c r="T4" i="40" s="1"/>
  <c r="X4" i="40"/>
  <c r="W4" i="40"/>
  <c r="V4" i="40"/>
  <c r="U4" i="40"/>
  <c r="F4" i="40"/>
  <c r="H18" i="2"/>
  <c r="L17" i="2"/>
  <c r="H17" i="2"/>
  <c r="P15" i="2"/>
  <c r="H15" i="2"/>
  <c r="B13" i="50"/>
  <c r="B24" i="50"/>
  <c r="B23" i="50"/>
  <c r="AG3" i="50"/>
  <c r="AE3" i="50"/>
  <c r="AB3" i="50"/>
  <c r="F3" i="50"/>
  <c r="AM3" i="50"/>
  <c r="Z3" i="50"/>
  <c r="Y3" i="50" s="1"/>
  <c r="AA3" i="50"/>
  <c r="AL3" i="50"/>
  <c r="AK3" i="50"/>
  <c r="AJ3" i="50"/>
  <c r="AI3" i="50"/>
  <c r="AH3" i="50"/>
  <c r="AF3" i="50"/>
  <c r="AD3" i="50"/>
  <c r="AC3" i="50"/>
  <c r="B3" i="50"/>
  <c r="X3" i="50"/>
  <c r="T3" i="50"/>
  <c r="W3" i="50" s="1"/>
  <c r="T3" i="26"/>
  <c r="S3" i="26"/>
  <c r="R3" i="26"/>
  <c r="F3" i="26"/>
  <c r="B3" i="26"/>
  <c r="B13" i="44"/>
  <c r="B18" i="44"/>
  <c r="AA3" i="44"/>
  <c r="S3" i="44" s="1"/>
  <c r="Z3" i="44"/>
  <c r="T3" i="44"/>
  <c r="O3" i="44" s="1"/>
  <c r="R3" i="44" s="1"/>
  <c r="C3" i="44"/>
  <c r="B3" i="44"/>
  <c r="B12" i="41"/>
  <c r="B55" i="41"/>
  <c r="V3" i="41" s="1"/>
  <c r="Q3" i="41" s="1"/>
  <c r="T3" i="41" s="1"/>
  <c r="Z3" i="41"/>
  <c r="Y3" i="41"/>
  <c r="W3" i="41"/>
  <c r="N3" i="41"/>
  <c r="B3" i="41" s="1"/>
  <c r="F3" i="41"/>
  <c r="X3" i="41"/>
  <c r="B10" i="36"/>
  <c r="Q4" i="36"/>
  <c r="P4" i="36"/>
  <c r="G4" i="36"/>
  <c r="Q3" i="36"/>
  <c r="P3" i="36"/>
  <c r="L3" i="36" s="1"/>
  <c r="O3" i="36" s="1"/>
  <c r="G3" i="36"/>
  <c r="B3" i="36"/>
  <c r="B9" i="34"/>
  <c r="B118" i="34"/>
  <c r="B116" i="34"/>
  <c r="D116" i="34" s="1"/>
  <c r="B115" i="34"/>
  <c r="D115" i="34"/>
  <c r="B114" i="34"/>
  <c r="D114" i="34"/>
  <c r="B113" i="34"/>
  <c r="D113" i="34" s="1"/>
  <c r="D112" i="34"/>
  <c r="C112" i="34"/>
  <c r="D111" i="34"/>
  <c r="C111" i="34"/>
  <c r="D110" i="34"/>
  <c r="C110" i="34"/>
  <c r="D109" i="34"/>
  <c r="C109" i="34"/>
  <c r="D108" i="34"/>
  <c r="C108" i="34"/>
  <c r="C118" i="34" s="1"/>
  <c r="D107" i="34"/>
  <c r="C107" i="34"/>
  <c r="D106" i="34"/>
  <c r="C106" i="34"/>
  <c r="D105" i="34"/>
  <c r="C105" i="34"/>
  <c r="D104" i="34"/>
  <c r="C104" i="34"/>
  <c r="D103" i="34"/>
  <c r="C103" i="34"/>
  <c r="D102" i="34"/>
  <c r="C102" i="34"/>
  <c r="D101" i="34"/>
  <c r="C101" i="34"/>
  <c r="D100" i="34"/>
  <c r="C100" i="34"/>
  <c r="D99" i="34"/>
  <c r="C99" i="34"/>
  <c r="D98" i="34"/>
  <c r="C98" i="34"/>
  <c r="G86" i="34"/>
  <c r="F86" i="34"/>
  <c r="E86" i="34"/>
  <c r="D86" i="34"/>
  <c r="C86" i="34"/>
  <c r="G85" i="34"/>
  <c r="F85" i="34"/>
  <c r="E85" i="34"/>
  <c r="D85" i="34"/>
  <c r="H85" i="34" s="1"/>
  <c r="C85" i="34"/>
  <c r="G84" i="34"/>
  <c r="G87" i="34" s="1"/>
  <c r="F84" i="34"/>
  <c r="F87" i="34" s="1"/>
  <c r="E84" i="34"/>
  <c r="E87" i="34" s="1"/>
  <c r="D84" i="34"/>
  <c r="D87" i="34"/>
  <c r="C84" i="34"/>
  <c r="C87" i="34" s="1"/>
  <c r="G83" i="34"/>
  <c r="F83" i="34"/>
  <c r="E83" i="34"/>
  <c r="H83" i="34" s="1"/>
  <c r="D83" i="34"/>
  <c r="C83" i="34"/>
  <c r="G82" i="34"/>
  <c r="F82" i="34"/>
  <c r="E82" i="34"/>
  <c r="D82" i="34"/>
  <c r="C82" i="34"/>
  <c r="H82" i="34" s="1"/>
  <c r="G59" i="34"/>
  <c r="F59" i="34"/>
  <c r="E59" i="34"/>
  <c r="D59" i="34"/>
  <c r="C59" i="34"/>
  <c r="H59" i="34" s="1"/>
  <c r="G58" i="34"/>
  <c r="F58" i="34"/>
  <c r="E58" i="34"/>
  <c r="D58" i="34"/>
  <c r="C58" i="34"/>
  <c r="G57" i="34"/>
  <c r="G60" i="34" s="1"/>
  <c r="F57" i="34"/>
  <c r="F60" i="34" s="1"/>
  <c r="E57" i="34"/>
  <c r="E60" i="34"/>
  <c r="D57" i="34"/>
  <c r="D60" i="34" s="1"/>
  <c r="C57" i="34"/>
  <c r="C60" i="34" s="1"/>
  <c r="G56" i="34"/>
  <c r="F56" i="34"/>
  <c r="E56" i="34"/>
  <c r="D56" i="34"/>
  <c r="C56" i="34"/>
  <c r="G55" i="34"/>
  <c r="F55" i="34"/>
  <c r="E55" i="34"/>
  <c r="D55" i="34"/>
  <c r="H55" i="34" s="1"/>
  <c r="C55" i="34"/>
  <c r="Y3" i="34"/>
  <c r="X3" i="34"/>
  <c r="T3" i="34"/>
  <c r="V3" i="34" s="1"/>
  <c r="Z3" i="34" s="1"/>
  <c r="B3" i="34"/>
  <c r="L4" i="36"/>
  <c r="O4" i="36"/>
  <c r="C115" i="34"/>
  <c r="C114" i="34"/>
  <c r="H56" i="34"/>
  <c r="H86" i="34"/>
  <c r="C113" i="34"/>
  <c r="M3" i="34" s="1"/>
  <c r="J3" i="34"/>
  <c r="W3" i="34"/>
  <c r="U3" i="34"/>
  <c r="B18" i="33"/>
  <c r="Z3" i="33"/>
  <c r="AD3" i="33"/>
  <c r="AF3" i="33"/>
  <c r="Z4" i="33"/>
  <c r="AD4" i="33"/>
  <c r="AF4" i="33"/>
  <c r="Z5" i="33"/>
  <c r="AD5" i="33"/>
  <c r="AF5" i="33"/>
  <c r="Z6" i="33"/>
  <c r="AD6" i="33"/>
  <c r="AF6" i="33"/>
  <c r="Z7" i="33"/>
  <c r="AD7" i="33"/>
  <c r="AF7" i="33"/>
  <c r="Z8" i="33"/>
  <c r="AD8" i="33"/>
  <c r="AF8" i="33"/>
  <c r="Z9" i="33"/>
  <c r="AD9" i="33"/>
  <c r="AF9" i="33"/>
  <c r="Z10" i="33"/>
  <c r="AD10" i="33"/>
  <c r="AF10" i="33"/>
  <c r="B3" i="33"/>
  <c r="C3" i="33" s="1"/>
  <c r="F3" i="33"/>
  <c r="X3" i="33" s="1"/>
  <c r="G3" i="33"/>
  <c r="P3" i="33"/>
  <c r="AE3" i="33" s="1"/>
  <c r="Q3" i="33"/>
  <c r="AB3" i="33" s="1"/>
  <c r="R3" i="33"/>
  <c r="AC3" i="33" s="1"/>
  <c r="B4" i="33"/>
  <c r="C4" i="33" s="1"/>
  <c r="F4" i="33"/>
  <c r="X4" i="33" s="1"/>
  <c r="G4" i="33"/>
  <c r="P4" i="33"/>
  <c r="AE4" i="33" s="1"/>
  <c r="Q4" i="33"/>
  <c r="AB4" i="33" s="1"/>
  <c r="R4" i="33"/>
  <c r="AC4" i="33" s="1"/>
  <c r="B5" i="33"/>
  <c r="C5" i="33" s="1"/>
  <c r="F5" i="33"/>
  <c r="X5" i="33" s="1"/>
  <c r="G5" i="33"/>
  <c r="P5" i="33"/>
  <c r="AE5" i="33" s="1"/>
  <c r="Q5" i="33"/>
  <c r="W5" i="33"/>
  <c r="R5" i="33"/>
  <c r="B6" i="33"/>
  <c r="C6" i="33" s="1"/>
  <c r="F6" i="33"/>
  <c r="X6" i="33" s="1"/>
  <c r="G6" i="33"/>
  <c r="P6" i="33"/>
  <c r="AE6" i="33" s="1"/>
  <c r="Q6" i="33"/>
  <c r="AB6" i="33" s="1"/>
  <c r="R6" i="33"/>
  <c r="AC6" i="33" s="1"/>
  <c r="B7" i="33"/>
  <c r="C7" i="33" s="1"/>
  <c r="F7" i="33"/>
  <c r="X7" i="33" s="1"/>
  <c r="G7" i="33"/>
  <c r="P7" i="33"/>
  <c r="AE7" i="33" s="1"/>
  <c r="Q7" i="33"/>
  <c r="AB7" i="33" s="1"/>
  <c r="R7" i="33"/>
  <c r="AC7" i="33" s="1"/>
  <c r="B8" i="33"/>
  <c r="C8" i="33" s="1"/>
  <c r="F8" i="33"/>
  <c r="X8" i="33" s="1"/>
  <c r="G8" i="33"/>
  <c r="P8" i="33"/>
  <c r="AE8" i="33" s="1"/>
  <c r="Q8" i="33"/>
  <c r="AB8" i="33" s="1"/>
  <c r="R8" i="33"/>
  <c r="AC8" i="33" s="1"/>
  <c r="B9" i="33"/>
  <c r="C9" i="33" s="1"/>
  <c r="F9" i="33"/>
  <c r="P9" i="33"/>
  <c r="AE9" i="33" s="1"/>
  <c r="Q9" i="33"/>
  <c r="AB9" i="33" s="1"/>
  <c r="R9" i="33"/>
  <c r="AC9" i="33" s="1"/>
  <c r="B10" i="33"/>
  <c r="C10" i="33" s="1"/>
  <c r="F10" i="33"/>
  <c r="P10" i="33"/>
  <c r="AE10" i="33" s="1"/>
  <c r="Q10" i="33"/>
  <c r="AB10" i="33" s="1"/>
  <c r="R10" i="33"/>
  <c r="AC10" i="33" s="1"/>
  <c r="H80" i="33"/>
  <c r="H79" i="33"/>
  <c r="H78" i="33"/>
  <c r="H77" i="33"/>
  <c r="H76" i="33"/>
  <c r="H75" i="33"/>
  <c r="H74" i="33"/>
  <c r="H73" i="33"/>
  <c r="H69" i="33"/>
  <c r="H68" i="33"/>
  <c r="H67" i="33"/>
  <c r="H66" i="33"/>
  <c r="H65" i="33"/>
  <c r="H64" i="33"/>
  <c r="H63" i="33"/>
  <c r="H62" i="33"/>
  <c r="B11" i="33"/>
  <c r="C11" i="33" s="1"/>
  <c r="AB5" i="33"/>
  <c r="AC5" i="33"/>
  <c r="W6" i="33"/>
  <c r="B17" i="51"/>
  <c r="B16" i="51"/>
  <c r="B15" i="51"/>
  <c r="T17" i="51"/>
  <c r="T16" i="51"/>
  <c r="T15" i="51"/>
  <c r="L5" i="52"/>
  <c r="B28" i="51"/>
  <c r="B13" i="49"/>
  <c r="B24" i="48"/>
  <c r="B15" i="42"/>
  <c r="B11" i="40"/>
  <c r="B12" i="47"/>
  <c r="B15" i="46"/>
  <c r="B16" i="45"/>
  <c r="B11" i="43"/>
  <c r="B15" i="39"/>
  <c r="B8" i="38"/>
  <c r="B29" i="37"/>
  <c r="B13" i="35"/>
  <c r="B21" i="32"/>
  <c r="B26" i="31"/>
  <c r="B15" i="30"/>
  <c r="B13" i="29"/>
  <c r="B21" i="28"/>
  <c r="B8" i="27"/>
  <c r="B10" i="26"/>
  <c r="B9" i="25"/>
  <c r="B15" i="24"/>
  <c r="B11" i="23"/>
  <c r="B9" i="22"/>
  <c r="B12" i="21"/>
  <c r="B14" i="20"/>
  <c r="B17" i="19"/>
  <c r="B7" i="18"/>
  <c r="B11" i="17"/>
  <c r="B7" i="16"/>
  <c r="B7" i="15"/>
  <c r="B7" i="14"/>
  <c r="B7" i="13"/>
  <c r="B16" i="12"/>
  <c r="B15" i="11"/>
  <c r="B11" i="10"/>
  <c r="B10" i="9"/>
  <c r="B13" i="8"/>
  <c r="B15" i="7"/>
  <c r="B11" i="6"/>
  <c r="L7" i="52"/>
  <c r="L6" i="52"/>
  <c r="C272" i="52"/>
  <c r="C269" i="52"/>
  <c r="C268" i="52"/>
  <c r="C266" i="52"/>
  <c r="C265" i="52"/>
  <c r="C258" i="52"/>
  <c r="C257" i="52"/>
  <c r="C253" i="52"/>
  <c r="C245" i="52"/>
  <c r="C242" i="52"/>
  <c r="C241" i="52"/>
  <c r="C240" i="52"/>
  <c r="C238" i="52"/>
  <c r="B231" i="52" s="1"/>
  <c r="B53" i="52" s="1"/>
  <c r="C237" i="52"/>
  <c r="C236" i="52"/>
  <c r="C235" i="52"/>
  <c r="C233" i="52"/>
  <c r="B230" i="52" s="1"/>
  <c r="C53" i="52" s="1"/>
  <c r="G53" i="52" s="1"/>
  <c r="C223" i="52"/>
  <c r="D222" i="52"/>
  <c r="C222" i="52"/>
  <c r="C219" i="52"/>
  <c r="D218" i="52"/>
  <c r="C218" i="52"/>
  <c r="D217" i="52"/>
  <c r="C217" i="52"/>
  <c r="D215" i="52"/>
  <c r="C215" i="52"/>
  <c r="D214" i="52"/>
  <c r="C214" i="52"/>
  <c r="D213" i="52"/>
  <c r="C213" i="52"/>
  <c r="D212" i="52"/>
  <c r="C212" i="52"/>
  <c r="D210" i="52"/>
  <c r="C210" i="52"/>
  <c r="D197" i="52"/>
  <c r="C197" i="52"/>
  <c r="D196" i="52"/>
  <c r="C196" i="52"/>
  <c r="D193" i="52"/>
  <c r="C193" i="52"/>
  <c r="D192" i="52"/>
  <c r="C192" i="52"/>
  <c r="D191" i="52"/>
  <c r="C191" i="52"/>
  <c r="D190" i="52"/>
  <c r="C190" i="52"/>
  <c r="D188" i="52"/>
  <c r="C188" i="52"/>
  <c r="C169" i="52"/>
  <c r="C162" i="52" s="1"/>
  <c r="C168" i="52"/>
  <c r="B163" i="52" s="1"/>
  <c r="C157" i="52"/>
  <c r="C154" i="52"/>
  <c r="C152" i="52"/>
  <c r="C151" i="52"/>
  <c r="C150" i="52"/>
  <c r="C148" i="52"/>
  <c r="C147" i="52"/>
  <c r="B139" i="52" s="1"/>
  <c r="C10" i="52" s="1"/>
  <c r="C146" i="52"/>
  <c r="B140" i="52" s="1"/>
  <c r="C145" i="52"/>
  <c r="C144" i="52"/>
  <c r="C142" i="52"/>
  <c r="C132" i="52"/>
  <c r="C129" i="52"/>
  <c r="C127" i="52"/>
  <c r="C126" i="52"/>
  <c r="C114" i="52" s="1"/>
  <c r="C125" i="52"/>
  <c r="C124" i="52"/>
  <c r="C121" i="52"/>
  <c r="C120" i="52"/>
  <c r="C119" i="52"/>
  <c r="C118" i="52"/>
  <c r="C117" i="52"/>
  <c r="C116" i="52"/>
  <c r="C105" i="52"/>
  <c r="C104" i="52"/>
  <c r="C103" i="52"/>
  <c r="C101" i="52"/>
  <c r="C99" i="52"/>
  <c r="C98" i="52"/>
  <c r="C97" i="52"/>
  <c r="C94" i="52"/>
  <c r="C86" i="52" s="1"/>
  <c r="C93" i="52"/>
  <c r="B86" i="52" s="1"/>
  <c r="C92" i="52"/>
  <c r="C91" i="52"/>
  <c r="C90" i="52"/>
  <c r="C88" i="52"/>
  <c r="B83" i="52" s="1"/>
  <c r="C7" i="52" s="1"/>
  <c r="D54" i="52"/>
  <c r="E49" i="52"/>
  <c r="D34" i="52"/>
  <c r="D26" i="52"/>
  <c r="D19" i="52"/>
  <c r="D11" i="52"/>
  <c r="B3" i="52"/>
  <c r="C3" i="52"/>
  <c r="D3" i="52" s="1"/>
  <c r="E3" i="52" s="1"/>
  <c r="F3" i="52" s="1"/>
  <c r="G3" i="52" s="1"/>
  <c r="H3" i="52" s="1"/>
  <c r="I3" i="52" s="1"/>
  <c r="J3" i="52" s="1"/>
  <c r="K3" i="52" s="1"/>
  <c r="L3" i="52" s="1"/>
  <c r="M3" i="52" s="1"/>
  <c r="B85" i="52"/>
  <c r="B113" i="52"/>
  <c r="C9" i="52" s="1"/>
  <c r="B250" i="52"/>
  <c r="C52" i="52" s="1"/>
  <c r="G52" i="52" s="1"/>
  <c r="B7" i="52"/>
  <c r="B84" i="52"/>
  <c r="C14" i="52" s="1"/>
  <c r="T14" i="51"/>
  <c r="C15" i="52"/>
  <c r="AU14" i="51"/>
  <c r="AT14" i="51"/>
  <c r="AR14" i="51"/>
  <c r="AP14" i="51"/>
  <c r="AO14" i="51"/>
  <c r="AM14" i="51"/>
  <c r="AL14" i="51"/>
  <c r="AJ14" i="51"/>
  <c r="AI14" i="51"/>
  <c r="B14" i="51"/>
  <c r="AG5" i="48"/>
  <c r="AO5" i="48"/>
  <c r="AN5" i="48"/>
  <c r="AK5" i="48"/>
  <c r="AF5" i="48"/>
  <c r="Q5" i="48"/>
  <c r="G5" i="48"/>
  <c r="AC5" i="48"/>
  <c r="F5" i="48"/>
  <c r="B5" i="48" s="1"/>
  <c r="J52" i="39"/>
  <c r="J54" i="39"/>
  <c r="Z10" i="39"/>
  <c r="Z9" i="39"/>
  <c r="Y4" i="39"/>
  <c r="X10" i="39"/>
  <c r="V10" i="39"/>
  <c r="U10" i="39"/>
  <c r="T10" i="39"/>
  <c r="E10" i="39"/>
  <c r="X9" i="39"/>
  <c r="V9" i="39"/>
  <c r="U9" i="39"/>
  <c r="T9" i="39"/>
  <c r="E9" i="39"/>
  <c r="K4" i="30"/>
  <c r="N4" i="30" s="1"/>
  <c r="F4" i="30"/>
  <c r="J5" i="27"/>
  <c r="F5" i="27"/>
  <c r="M5" i="27" s="1"/>
  <c r="S4" i="25"/>
  <c r="R4" i="25"/>
  <c r="Q4" i="25"/>
  <c r="P4" i="25"/>
  <c r="G4" i="25"/>
  <c r="E4" i="25"/>
  <c r="AB4" i="23"/>
  <c r="AA4" i="23"/>
  <c r="Z4" i="23"/>
  <c r="X4" i="23"/>
  <c r="Y4" i="23"/>
  <c r="W4" i="23"/>
  <c r="V4" i="23"/>
  <c r="U4" i="23"/>
  <c r="T4" i="23"/>
  <c r="S4" i="23"/>
  <c r="G4" i="23"/>
  <c r="R4" i="23" s="1"/>
  <c r="AF4" i="21"/>
  <c r="AE4" i="21"/>
  <c r="AD4" i="21"/>
  <c r="AB4" i="21"/>
  <c r="AA4" i="21"/>
  <c r="Z4" i="21"/>
  <c r="Y4" i="21"/>
  <c r="X4" i="21"/>
  <c r="AC4" i="21" s="1"/>
  <c r="W4" i="21"/>
  <c r="V4" i="21"/>
  <c r="U4" i="21"/>
  <c r="I4" i="21"/>
  <c r="AD7" i="20"/>
  <c r="O7" i="20" s="1"/>
  <c r="S7" i="20" s="1"/>
  <c r="AC7" i="20"/>
  <c r="AB7" i="20"/>
  <c r="N7" i="20" s="1"/>
  <c r="R7" i="20" s="1"/>
  <c r="AA7" i="20"/>
  <c r="Z7" i="20"/>
  <c r="Y7" i="20"/>
  <c r="X7" i="20"/>
  <c r="U7" i="20"/>
  <c r="H7" i="20"/>
  <c r="AC6" i="20"/>
  <c r="AB6" i="20"/>
  <c r="N6" i="20" s="1"/>
  <c r="R6" i="20" s="1"/>
  <c r="Y6" i="20"/>
  <c r="X6" i="20"/>
  <c r="W6" i="20"/>
  <c r="V6" i="20"/>
  <c r="U6" i="20"/>
  <c r="H6" i="20"/>
  <c r="G86" i="19"/>
  <c r="W3" i="19"/>
  <c r="Q3" i="19" s="1"/>
  <c r="T3" i="19" s="1"/>
  <c r="AK5" i="19"/>
  <c r="AJ5" i="19"/>
  <c r="AI5" i="19"/>
  <c r="AH5" i="19"/>
  <c r="AF5" i="19"/>
  <c r="AD5" i="19"/>
  <c r="AB5" i="19"/>
  <c r="AA5" i="19"/>
  <c r="Y5" i="19" s="1"/>
  <c r="Z5" i="19"/>
  <c r="X5" i="19"/>
  <c r="V5" i="19"/>
  <c r="U5" i="19"/>
  <c r="L5" i="19"/>
  <c r="F4" i="18"/>
  <c r="F3" i="18"/>
  <c r="U4" i="18"/>
  <c r="T4" i="18"/>
  <c r="L4" i="18" s="1"/>
  <c r="O4" i="18" s="1"/>
  <c r="S4" i="18"/>
  <c r="R4" i="18"/>
  <c r="Q4" i="18"/>
  <c r="P4" i="18"/>
  <c r="U3" i="18"/>
  <c r="T3" i="18"/>
  <c r="S3" i="18"/>
  <c r="R3" i="18"/>
  <c r="L3" i="18" s="1"/>
  <c r="O3" i="18" s="1"/>
  <c r="Q3" i="18"/>
  <c r="P3" i="18"/>
  <c r="F4" i="16"/>
  <c r="F3" i="16"/>
  <c r="T4" i="16"/>
  <c r="S4" i="16"/>
  <c r="R4" i="16"/>
  <c r="Q4" i="16"/>
  <c r="L4" i="16" s="1"/>
  <c r="O4" i="16" s="1"/>
  <c r="P4" i="16"/>
  <c r="T3" i="16"/>
  <c r="S3" i="16"/>
  <c r="R3" i="16"/>
  <c r="Q3" i="16"/>
  <c r="P3" i="16"/>
  <c r="L3" i="16" s="1"/>
  <c r="O3" i="16" s="1"/>
  <c r="T4" i="15"/>
  <c r="T3" i="15"/>
  <c r="S4" i="15"/>
  <c r="S3" i="15"/>
  <c r="R4" i="15"/>
  <c r="R3" i="15"/>
  <c r="Q4" i="15"/>
  <c r="Q3" i="15"/>
  <c r="L3" i="15"/>
  <c r="O3" i="15" s="1"/>
  <c r="P4" i="15"/>
  <c r="L4" i="15" s="1"/>
  <c r="O4" i="15" s="1"/>
  <c r="P3" i="15"/>
  <c r="F4" i="15"/>
  <c r="F3" i="15"/>
  <c r="T4" i="14"/>
  <c r="T3" i="14"/>
  <c r="S4" i="14"/>
  <c r="S3" i="14"/>
  <c r="R4" i="14"/>
  <c r="R3" i="14"/>
  <c r="Q4" i="14"/>
  <c r="Q3" i="14"/>
  <c r="P4" i="14"/>
  <c r="L4" i="14" s="1"/>
  <c r="O4" i="14" s="1"/>
  <c r="P3" i="14"/>
  <c r="L3" i="14" s="1"/>
  <c r="O3" i="14" s="1"/>
  <c r="F4" i="14"/>
  <c r="F3" i="14"/>
  <c r="AB4" i="13"/>
  <c r="AB3" i="13"/>
  <c r="AA4" i="13"/>
  <c r="AA3" i="13"/>
  <c r="Z4" i="13"/>
  <c r="Z3" i="13"/>
  <c r="Y4" i="13"/>
  <c r="Y3" i="13"/>
  <c r="Q3" i="13" s="1"/>
  <c r="X4" i="13"/>
  <c r="X3" i="13"/>
  <c r="W4" i="13"/>
  <c r="Q4" i="13" s="1"/>
  <c r="W3" i="13"/>
  <c r="V4" i="13"/>
  <c r="V3" i="13"/>
  <c r="U4" i="13"/>
  <c r="P4" i="13" s="1"/>
  <c r="L4" i="13" s="1"/>
  <c r="O4" i="13" s="1"/>
  <c r="U3" i="13"/>
  <c r="T4" i="13"/>
  <c r="T3" i="13"/>
  <c r="S4" i="13"/>
  <c r="S3" i="13"/>
  <c r="P3" i="13" s="1"/>
  <c r="R4" i="13"/>
  <c r="R3" i="13"/>
  <c r="F4" i="13"/>
  <c r="F3" i="13"/>
  <c r="F7" i="35"/>
  <c r="AF11" i="32"/>
  <c r="AE11" i="32" s="1"/>
  <c r="AD11" i="32"/>
  <c r="AB11" i="32"/>
  <c r="AA11" i="32"/>
  <c r="T11" i="32"/>
  <c r="G11" i="32"/>
  <c r="AF13" i="32"/>
  <c r="AE13" i="32"/>
  <c r="AD13" i="32"/>
  <c r="AB13" i="32"/>
  <c r="AA13" i="32"/>
  <c r="T13" i="32"/>
  <c r="G15" i="32"/>
  <c r="G14" i="32"/>
  <c r="G13" i="32"/>
  <c r="F20" i="31"/>
  <c r="F19" i="31"/>
  <c r="F18" i="31"/>
  <c r="AF6" i="29"/>
  <c r="AE6" i="29"/>
  <c r="AD6" i="29"/>
  <c r="AA6" i="29"/>
  <c r="Y6" i="29"/>
  <c r="X6" i="29"/>
  <c r="W6" i="29"/>
  <c r="V6" i="29"/>
  <c r="F6" i="29"/>
  <c r="AF5" i="29"/>
  <c r="AE5" i="29"/>
  <c r="AD5" i="29"/>
  <c r="AA5" i="29"/>
  <c r="Y5" i="29"/>
  <c r="X5" i="29"/>
  <c r="W5" i="29"/>
  <c r="V5" i="29"/>
  <c r="F5" i="29"/>
  <c r="T15" i="28"/>
  <c r="V15" i="28"/>
  <c r="W15" i="28"/>
  <c r="X15" i="28"/>
  <c r="F15" i="28"/>
  <c r="F14" i="28"/>
  <c r="F13" i="28"/>
  <c r="B12" i="28"/>
  <c r="K32" i="53"/>
  <c r="K31" i="53"/>
  <c r="K30" i="53"/>
  <c r="K29" i="53"/>
  <c r="K28" i="53"/>
  <c r="K27" i="53"/>
  <c r="K26" i="53"/>
  <c r="K25" i="53"/>
  <c r="K24" i="53"/>
  <c r="K23" i="53"/>
  <c r="K33" i="53" s="1"/>
  <c r="L21" i="53"/>
  <c r="L25" i="53" s="1"/>
  <c r="T5" i="26"/>
  <c r="S5" i="26"/>
  <c r="R5" i="26"/>
  <c r="F5" i="26"/>
  <c r="W10" i="24"/>
  <c r="V10" i="24"/>
  <c r="T10" i="24"/>
  <c r="S10" i="24"/>
  <c r="H10" i="24"/>
  <c r="G10" i="24"/>
  <c r="E10" i="24"/>
  <c r="W9" i="24"/>
  <c r="V9" i="24"/>
  <c r="S9" i="24"/>
  <c r="H9" i="24"/>
  <c r="G9" i="24"/>
  <c r="E9" i="24"/>
  <c r="W8" i="24"/>
  <c r="V8" i="24"/>
  <c r="T8" i="24"/>
  <c r="S8" i="24"/>
  <c r="H8" i="24"/>
  <c r="G8" i="24"/>
  <c r="E8" i="24"/>
  <c r="W7" i="24"/>
  <c r="V7" i="24"/>
  <c r="T7" i="24"/>
  <c r="S7" i="24"/>
  <c r="H7" i="24"/>
  <c r="G7" i="24"/>
  <c r="E7" i="24"/>
  <c r="W6" i="24"/>
  <c r="V6" i="24"/>
  <c r="T6" i="24"/>
  <c r="S6" i="24"/>
  <c r="U6" i="24" s="1"/>
  <c r="H6" i="24"/>
  <c r="G6" i="24"/>
  <c r="E6" i="24"/>
  <c r="W5" i="24"/>
  <c r="V5" i="24"/>
  <c r="T5" i="24"/>
  <c r="S5" i="24"/>
  <c r="U5" i="24" s="1"/>
  <c r="H5" i="24"/>
  <c r="G5" i="24"/>
  <c r="E5" i="24"/>
  <c r="H11" i="24"/>
  <c r="G11" i="24"/>
  <c r="E11" i="24"/>
  <c r="H10" i="12"/>
  <c r="L26" i="53"/>
  <c r="L30" i="53"/>
  <c r="L23" i="53"/>
  <c r="L27" i="53"/>
  <c r="L31" i="53"/>
  <c r="L28" i="53"/>
  <c r="L32" i="53"/>
  <c r="B38" i="43"/>
  <c r="W3" i="43" s="1"/>
  <c r="Z3" i="43"/>
  <c r="Y3" i="43"/>
  <c r="X3" i="43"/>
  <c r="V3" i="43"/>
  <c r="U3" i="43"/>
  <c r="T3" i="43"/>
  <c r="F3" i="43"/>
  <c r="B3" i="43"/>
  <c r="V6" i="35"/>
  <c r="V5" i="35"/>
  <c r="AC17" i="31"/>
  <c r="Z17" i="31"/>
  <c r="AC16" i="31"/>
  <c r="Z16" i="31"/>
  <c r="AC15" i="31"/>
  <c r="Z15" i="31"/>
  <c r="AC14" i="31"/>
  <c r="Z14" i="31"/>
  <c r="AC13" i="31"/>
  <c r="Z13" i="31"/>
  <c r="AC12" i="31"/>
  <c r="Z12" i="31"/>
  <c r="AC11" i="31"/>
  <c r="AC10" i="31"/>
  <c r="AC9" i="31"/>
  <c r="AC8" i="31"/>
  <c r="Z8" i="31"/>
  <c r="AC7" i="31"/>
  <c r="AC6" i="31"/>
  <c r="AC5" i="31"/>
  <c r="AC4" i="31"/>
  <c r="AC3" i="31"/>
  <c r="R4" i="26"/>
  <c r="S4" i="24"/>
  <c r="S3" i="24"/>
  <c r="V4" i="29"/>
  <c r="V3" i="29"/>
  <c r="G47" i="53"/>
  <c r="F47" i="53"/>
  <c r="E47" i="53"/>
  <c r="D47" i="53"/>
  <c r="C47" i="53"/>
  <c r="G46" i="53"/>
  <c r="F46" i="53"/>
  <c r="E46" i="53"/>
  <c r="D46" i="53"/>
  <c r="C46" i="53"/>
  <c r="G45" i="53"/>
  <c r="F45" i="53"/>
  <c r="E45" i="53"/>
  <c r="D45" i="53"/>
  <c r="C45" i="53"/>
  <c r="G41" i="53"/>
  <c r="F41" i="53"/>
  <c r="E41" i="53"/>
  <c r="D41" i="53"/>
  <c r="C41" i="53"/>
  <c r="H40" i="53"/>
  <c r="H39" i="53"/>
  <c r="H38" i="53"/>
  <c r="H37" i="53"/>
  <c r="H36" i="53"/>
  <c r="H35" i="53"/>
  <c r="H34" i="53"/>
  <c r="H33" i="53"/>
  <c r="H32" i="53"/>
  <c r="H31" i="53"/>
  <c r="H30" i="53"/>
  <c r="H29" i="53"/>
  <c r="H47" i="53" s="1"/>
  <c r="H28" i="53"/>
  <c r="H27" i="53"/>
  <c r="H26" i="53"/>
  <c r="H25" i="53"/>
  <c r="H24" i="53"/>
  <c r="H23" i="53"/>
  <c r="H22" i="53"/>
  <c r="H21" i="53"/>
  <c r="H20" i="53"/>
  <c r="H19" i="53"/>
  <c r="H18" i="53"/>
  <c r="H17" i="53"/>
  <c r="H16" i="53"/>
  <c r="H15" i="53"/>
  <c r="H14" i="53"/>
  <c r="H13" i="53"/>
  <c r="H12" i="53"/>
  <c r="H11" i="53"/>
  <c r="H10" i="53"/>
  <c r="H9" i="53"/>
  <c r="H8" i="53"/>
  <c r="H7" i="53"/>
  <c r="H41" i="53" s="1"/>
  <c r="H45" i="53"/>
  <c r="U3" i="26"/>
  <c r="N3" i="26" s="1"/>
  <c r="Q3" i="26" s="1"/>
  <c r="U8" i="24"/>
  <c r="U4" i="26"/>
  <c r="H46" i="53"/>
  <c r="D142" i="37"/>
  <c r="AO4" i="37" s="1"/>
  <c r="AV4" i="37" s="1"/>
  <c r="T4" i="37" s="1"/>
  <c r="W4" i="37" s="1"/>
  <c r="C142" i="37"/>
  <c r="B142" i="37"/>
  <c r="E129" i="37"/>
  <c r="E124" i="37"/>
  <c r="E111" i="37"/>
  <c r="D111" i="37"/>
  <c r="C111" i="37"/>
  <c r="B51" i="37"/>
  <c r="BH4" i="37"/>
  <c r="BG4" i="37"/>
  <c r="BF4" i="37"/>
  <c r="BE4" i="37"/>
  <c r="BD4" i="37"/>
  <c r="BC4" i="37"/>
  <c r="BB4" i="37"/>
  <c r="BA4" i="37"/>
  <c r="AZ4" i="37"/>
  <c r="AY4" i="37"/>
  <c r="AW4" i="37"/>
  <c r="G124" i="37" s="1"/>
  <c r="AX4" i="37" s="1"/>
  <c r="AR4" i="37"/>
  <c r="AL4" i="37"/>
  <c r="AK4" i="37"/>
  <c r="AT4" i="37" s="1"/>
  <c r="AJ4" i="37"/>
  <c r="AI4" i="37"/>
  <c r="AH4" i="37"/>
  <c r="AG4" i="37"/>
  <c r="AF4" i="37"/>
  <c r="AE4" i="37"/>
  <c r="AD4" i="37"/>
  <c r="AC4" i="37"/>
  <c r="X4" i="37" s="1"/>
  <c r="AB4" i="37"/>
  <c r="Y4" i="37" s="1"/>
  <c r="AA4" i="37"/>
  <c r="F4" i="37"/>
  <c r="B4" i="37"/>
  <c r="Z6" i="40"/>
  <c r="W6" i="40"/>
  <c r="AB6" i="40"/>
  <c r="AA6" i="40"/>
  <c r="Q6" i="40" s="1"/>
  <c r="T6" i="40" s="1"/>
  <c r="Y6" i="40"/>
  <c r="X6" i="40"/>
  <c r="V6" i="40"/>
  <c r="U6" i="40"/>
  <c r="F6" i="40"/>
  <c r="B6" i="40"/>
  <c r="AH14" i="51"/>
  <c r="AG14" i="51"/>
  <c r="AF14" i="51"/>
  <c r="AE14" i="51"/>
  <c r="AD14" i="51"/>
  <c r="H73" i="49"/>
  <c r="G73" i="49"/>
  <c r="AU3" i="49"/>
  <c r="F73" i="49"/>
  <c r="AS3" i="49"/>
  <c r="E73" i="49"/>
  <c r="D73" i="49"/>
  <c r="C73" i="49"/>
  <c r="AW3" i="49"/>
  <c r="AV3" i="49"/>
  <c r="AT3" i="49"/>
  <c r="AR3" i="49"/>
  <c r="AQ3" i="49"/>
  <c r="AP3" i="49"/>
  <c r="AO3" i="49"/>
  <c r="AN3" i="49"/>
  <c r="AM3" i="49"/>
  <c r="AL3" i="49"/>
  <c r="AK3" i="49"/>
  <c r="AJ3" i="49"/>
  <c r="AI3" i="49"/>
  <c r="AA3" i="49" s="1"/>
  <c r="AD3" i="49" s="1"/>
  <c r="AH3" i="49"/>
  <c r="AG3" i="49"/>
  <c r="W3" i="49"/>
  <c r="E3" i="49"/>
  <c r="B3" i="49" s="1"/>
  <c r="Y4" i="47"/>
  <c r="X4" i="47"/>
  <c r="W4" i="47"/>
  <c r="V4" i="47"/>
  <c r="U4" i="47"/>
  <c r="T4" i="47"/>
  <c r="S4" i="47"/>
  <c r="F4" i="47"/>
  <c r="B4" i="47"/>
  <c r="Y3" i="47"/>
  <c r="X3" i="47"/>
  <c r="O3" i="47" s="1"/>
  <c r="R3" i="47" s="1"/>
  <c r="W3" i="47"/>
  <c r="V3" i="47"/>
  <c r="U3" i="47"/>
  <c r="T3" i="47"/>
  <c r="S3" i="47"/>
  <c r="F3" i="47"/>
  <c r="B3" i="47"/>
  <c r="E75" i="45"/>
  <c r="D75" i="45"/>
  <c r="B48" i="45"/>
  <c r="AI8" i="45"/>
  <c r="AD8" i="45" s="1"/>
  <c r="AH8" i="45"/>
  <c r="AG8" i="45"/>
  <c r="AF8" i="45"/>
  <c r="AE8" i="45"/>
  <c r="AC8" i="45"/>
  <c r="AB8" i="45"/>
  <c r="O8" i="45" s="1"/>
  <c r="S8" i="45" s="1"/>
  <c r="AA8" i="45"/>
  <c r="Z8" i="45"/>
  <c r="Y8" i="45"/>
  <c r="X8" i="45"/>
  <c r="W8" i="45"/>
  <c r="U8" i="45"/>
  <c r="F8" i="45"/>
  <c r="B8" i="45"/>
  <c r="AI7" i="45"/>
  <c r="AD7" i="45" s="1"/>
  <c r="AH7" i="45"/>
  <c r="AG7" i="45"/>
  <c r="AF7" i="45"/>
  <c r="AE7" i="45"/>
  <c r="AC7" i="45"/>
  <c r="AB7" i="45"/>
  <c r="AA7" i="45"/>
  <c r="O7" i="45" s="1"/>
  <c r="S7" i="45" s="1"/>
  <c r="Z7" i="45"/>
  <c r="Y7" i="45"/>
  <c r="X7" i="45"/>
  <c r="W7" i="45"/>
  <c r="U7" i="45"/>
  <c r="F7" i="45"/>
  <c r="B7" i="45"/>
  <c r="AI6" i="45"/>
  <c r="AD6" i="45" s="1"/>
  <c r="AH6" i="45"/>
  <c r="AG6" i="45"/>
  <c r="AF6" i="45"/>
  <c r="AE6" i="45"/>
  <c r="AC6" i="45"/>
  <c r="AB6" i="45"/>
  <c r="AA6" i="45"/>
  <c r="Z6" i="45"/>
  <c r="O6" i="45" s="1"/>
  <c r="S6" i="45" s="1"/>
  <c r="Y6" i="45"/>
  <c r="X6" i="45"/>
  <c r="W6" i="45"/>
  <c r="V6" i="45"/>
  <c r="U6" i="45"/>
  <c r="F6" i="45"/>
  <c r="B6" i="45"/>
  <c r="AI5" i="45"/>
  <c r="AD5" i="45" s="1"/>
  <c r="AH5" i="45"/>
  <c r="AG5" i="45"/>
  <c r="AF5" i="45"/>
  <c r="AE5" i="45"/>
  <c r="AC5" i="45"/>
  <c r="AB5" i="45"/>
  <c r="AA5" i="45"/>
  <c r="Z5" i="45"/>
  <c r="P5" i="45" s="1"/>
  <c r="T5" i="45" s="1"/>
  <c r="Y5" i="45"/>
  <c r="X5" i="45"/>
  <c r="W5" i="45"/>
  <c r="V5" i="45"/>
  <c r="U5" i="45"/>
  <c r="F5" i="45"/>
  <c r="B5" i="45"/>
  <c r="AI4" i="45"/>
  <c r="AD4" i="45" s="1"/>
  <c r="AH4" i="45"/>
  <c r="AG4" i="45"/>
  <c r="AF4" i="45"/>
  <c r="AE4" i="45"/>
  <c r="AC4" i="45"/>
  <c r="AB4" i="45"/>
  <c r="AA4" i="45"/>
  <c r="Z4" i="45"/>
  <c r="O4" i="45" s="1"/>
  <c r="S4" i="45" s="1"/>
  <c r="Y4" i="45"/>
  <c r="X4" i="45"/>
  <c r="P4" i="45" s="1"/>
  <c r="T4" i="45" s="1"/>
  <c r="W4" i="45"/>
  <c r="U4" i="45"/>
  <c r="F4" i="45"/>
  <c r="B4" i="45"/>
  <c r="AI3" i="45"/>
  <c r="AD3" i="45" s="1"/>
  <c r="AH3" i="45"/>
  <c r="AG3" i="45"/>
  <c r="AF3" i="45"/>
  <c r="AE3" i="45"/>
  <c r="AC3" i="45"/>
  <c r="AB3" i="45"/>
  <c r="AA3" i="45"/>
  <c r="Z3" i="45"/>
  <c r="Y3" i="45"/>
  <c r="P3" i="45" s="1"/>
  <c r="T3" i="45" s="1"/>
  <c r="X3" i="45"/>
  <c r="W3" i="45"/>
  <c r="O3" i="45" s="1"/>
  <c r="S3" i="45" s="1"/>
  <c r="V3" i="45"/>
  <c r="U3" i="45"/>
  <c r="F3" i="45"/>
  <c r="B3" i="45"/>
  <c r="B12" i="38"/>
  <c r="B19" i="38"/>
  <c r="V3" i="38"/>
  <c r="U3" i="38"/>
  <c r="T3" i="38"/>
  <c r="E3" i="38"/>
  <c r="B3" i="38"/>
  <c r="AN4" i="37"/>
  <c r="AP4" i="37"/>
  <c r="AM4" i="37"/>
  <c r="O4" i="47"/>
  <c r="R4" i="47"/>
  <c r="P6" i="45"/>
  <c r="T6" i="45" s="1"/>
  <c r="O5" i="45"/>
  <c r="S5" i="45" s="1"/>
  <c r="AC5" i="20"/>
  <c r="K3" i="30"/>
  <c r="F3" i="30"/>
  <c r="J4" i="27"/>
  <c r="F4" i="27"/>
  <c r="M4" i="27"/>
  <c r="S3" i="25"/>
  <c r="L3" i="25" s="1"/>
  <c r="O3" i="25" s="1"/>
  <c r="R3" i="25"/>
  <c r="Q3" i="25"/>
  <c r="P3" i="25"/>
  <c r="G3" i="25"/>
  <c r="E3" i="25"/>
  <c r="B3" i="25"/>
  <c r="AB3" i="23"/>
  <c r="AA3" i="23"/>
  <c r="X3" i="23" s="1"/>
  <c r="B29" i="23" s="1"/>
  <c r="B30" i="23" s="1"/>
  <c r="B31" i="23" s="1"/>
  <c r="Z3" i="23"/>
  <c r="Y3" i="23"/>
  <c r="W3" i="23"/>
  <c r="V3" i="23"/>
  <c r="U3" i="23"/>
  <c r="T3" i="23"/>
  <c r="S3" i="23"/>
  <c r="G3" i="23"/>
  <c r="R3" i="23" s="1"/>
  <c r="B3" i="23"/>
  <c r="T4" i="22"/>
  <c r="N4" i="22" s="1"/>
  <c r="R4" i="22" s="1"/>
  <c r="S4" i="22"/>
  <c r="M4" i="22"/>
  <c r="E4" i="22"/>
  <c r="Q4" i="22" s="1"/>
  <c r="B4" i="22"/>
  <c r="T3" i="22"/>
  <c r="N3" i="22"/>
  <c r="R3" i="22" s="1"/>
  <c r="S3" i="22"/>
  <c r="M3" i="22" s="1"/>
  <c r="Q3" i="22" s="1"/>
  <c r="E3" i="22"/>
  <c r="B3" i="22"/>
  <c r="B26" i="21"/>
  <c r="AF3" i="21"/>
  <c r="AE3" i="21"/>
  <c r="AD3" i="21"/>
  <c r="AB3" i="21"/>
  <c r="AA3" i="21"/>
  <c r="Z3" i="21"/>
  <c r="Y3" i="21"/>
  <c r="X3" i="21"/>
  <c r="P3" i="21" s="1"/>
  <c r="T3" i="21" s="1"/>
  <c r="W3" i="21"/>
  <c r="V3" i="21"/>
  <c r="U3" i="21"/>
  <c r="I3" i="21"/>
  <c r="B3" i="21"/>
  <c r="K85" i="20"/>
  <c r="AA4" i="20" s="1"/>
  <c r="AA6" i="20"/>
  <c r="J85" i="20"/>
  <c r="Z4" i="20" s="1"/>
  <c r="I85" i="20"/>
  <c r="H85" i="20"/>
  <c r="F85" i="20"/>
  <c r="E85" i="20"/>
  <c r="C85" i="20"/>
  <c r="AD5" i="20"/>
  <c r="AB5" i="20"/>
  <c r="N5" i="20" s="1"/>
  <c r="R5" i="20" s="1"/>
  <c r="AA5" i="20"/>
  <c r="Z5" i="20"/>
  <c r="Y5" i="20"/>
  <c r="X5" i="20"/>
  <c r="U5" i="20"/>
  <c r="H5" i="20"/>
  <c r="B5" i="20"/>
  <c r="AC4" i="20"/>
  <c r="AB4" i="20"/>
  <c r="Y4" i="20"/>
  <c r="X4" i="20"/>
  <c r="W4" i="20"/>
  <c r="V4" i="20"/>
  <c r="U4" i="20"/>
  <c r="H4" i="20"/>
  <c r="B4" i="20"/>
  <c r="AC3" i="20"/>
  <c r="AB3" i="20"/>
  <c r="AA3" i="20"/>
  <c r="Y3" i="20"/>
  <c r="X3" i="20"/>
  <c r="W3" i="20"/>
  <c r="V3" i="20"/>
  <c r="O3" i="20" s="1"/>
  <c r="S3" i="20" s="1"/>
  <c r="U3" i="20"/>
  <c r="H3" i="20"/>
  <c r="B3" i="20"/>
  <c r="AK4" i="19"/>
  <c r="AJ4" i="19"/>
  <c r="AI4" i="19"/>
  <c r="AH4" i="19"/>
  <c r="AF4" i="19"/>
  <c r="AD4" i="19"/>
  <c r="AB4" i="19" s="1"/>
  <c r="AA4" i="19"/>
  <c r="Y4" i="19" s="1"/>
  <c r="Z4" i="19"/>
  <c r="X4" i="19"/>
  <c r="V4" i="19"/>
  <c r="U4" i="19"/>
  <c r="L4" i="19"/>
  <c r="B4" i="19"/>
  <c r="Z3" i="19"/>
  <c r="X3" i="19"/>
  <c r="V3" i="19"/>
  <c r="U3" i="19"/>
  <c r="L3" i="19"/>
  <c r="B3" i="19"/>
  <c r="B4" i="18"/>
  <c r="B3" i="18"/>
  <c r="L4" i="17"/>
  <c r="F4" i="17"/>
  <c r="L3" i="17"/>
  <c r="F3" i="17"/>
  <c r="N4" i="14"/>
  <c r="M4" i="14"/>
  <c r="N3" i="14"/>
  <c r="M3" i="14"/>
  <c r="C62" i="11"/>
  <c r="F3" i="11" s="1"/>
  <c r="C54" i="11"/>
  <c r="B54" i="11"/>
  <c r="C52" i="11"/>
  <c r="B52" i="11"/>
  <c r="C21" i="11" s="1"/>
  <c r="C42" i="11"/>
  <c r="D20" i="11"/>
  <c r="N3" i="11" s="1"/>
  <c r="Q3" i="11" s="1"/>
  <c r="B42" i="11"/>
  <c r="C40" i="11"/>
  <c r="B40" i="11"/>
  <c r="C25" i="11"/>
  <c r="D19" i="11"/>
  <c r="B25" i="11"/>
  <c r="C19" i="11"/>
  <c r="D22" i="11"/>
  <c r="C22" i="11"/>
  <c r="D21" i="11"/>
  <c r="B55" i="10"/>
  <c r="B53" i="10"/>
  <c r="B16" i="10"/>
  <c r="L3" i="10"/>
  <c r="B18" i="10"/>
  <c r="B17" i="10"/>
  <c r="F3" i="10"/>
  <c r="B54" i="9"/>
  <c r="B51" i="9"/>
  <c r="C16" i="9"/>
  <c r="C15" i="9"/>
  <c r="F3" i="9"/>
  <c r="L3" i="8"/>
  <c r="F3" i="8"/>
  <c r="K67" i="6"/>
  <c r="K66" i="6"/>
  <c r="K62" i="6"/>
  <c r="K61" i="6"/>
  <c r="K60" i="6"/>
  <c r="AM4" i="6"/>
  <c r="AL4" i="6"/>
  <c r="AK4" i="6"/>
  <c r="AJ4" i="6"/>
  <c r="AI4" i="6"/>
  <c r="AH4" i="6"/>
  <c r="AG4" i="6"/>
  <c r="AF4" i="6"/>
  <c r="AD4" i="6"/>
  <c r="AE4" i="6" s="1"/>
  <c r="T4" i="6" s="1"/>
  <c r="AC4" i="6"/>
  <c r="AA4" i="6"/>
  <c r="Z4" i="6"/>
  <c r="Y4" i="6"/>
  <c r="X4" i="6"/>
  <c r="W4" i="6"/>
  <c r="V4" i="6"/>
  <c r="U4" i="6"/>
  <c r="O4" i="6"/>
  <c r="F4" i="6"/>
  <c r="AM3" i="6"/>
  <c r="AL3" i="6"/>
  <c r="AK3" i="6"/>
  <c r="AJ3" i="6"/>
  <c r="S3" i="6" s="1"/>
  <c r="AI3" i="6"/>
  <c r="T3" i="6" s="1"/>
  <c r="AH3" i="6"/>
  <c r="AG3" i="6"/>
  <c r="AF3" i="6"/>
  <c r="AD3" i="6"/>
  <c r="AE3" i="6"/>
  <c r="AC3" i="6"/>
  <c r="AA3" i="6"/>
  <c r="Z3" i="6"/>
  <c r="Y3" i="6"/>
  <c r="X3" i="6"/>
  <c r="W3" i="6"/>
  <c r="V3" i="6"/>
  <c r="U3" i="6"/>
  <c r="O3" i="6"/>
  <c r="F3" i="6"/>
  <c r="I158" i="35"/>
  <c r="B158" i="35"/>
  <c r="I157" i="35"/>
  <c r="I156" i="35"/>
  <c r="I155" i="35"/>
  <c r="I154" i="35"/>
  <c r="I153" i="35"/>
  <c r="I152" i="35"/>
  <c r="I151" i="35"/>
  <c r="I150" i="35"/>
  <c r="I149" i="35"/>
  <c r="I148" i="35"/>
  <c r="I147" i="35"/>
  <c r="I146" i="35"/>
  <c r="I145" i="35"/>
  <c r="I144" i="35"/>
  <c r="I143" i="35"/>
  <c r="I142" i="35"/>
  <c r="I141" i="35"/>
  <c r="I140" i="35"/>
  <c r="I139" i="35"/>
  <c r="I138" i="35"/>
  <c r="I137" i="35"/>
  <c r="I136" i="35"/>
  <c r="I135" i="35"/>
  <c r="I134" i="35"/>
  <c r="I133" i="35"/>
  <c r="I132" i="35"/>
  <c r="I131" i="35"/>
  <c r="I130" i="35"/>
  <c r="I129" i="35"/>
  <c r="I128" i="35"/>
  <c r="I127" i="35"/>
  <c r="I126" i="35"/>
  <c r="I125" i="35"/>
  <c r="I124" i="35"/>
  <c r="I123" i="35"/>
  <c r="I122" i="35"/>
  <c r="I114" i="35"/>
  <c r="B114" i="35"/>
  <c r="I113" i="35"/>
  <c r="B113" i="35"/>
  <c r="I112" i="35"/>
  <c r="B112" i="35"/>
  <c r="I111" i="35"/>
  <c r="I110" i="35"/>
  <c r="I109" i="35"/>
  <c r="I108" i="35"/>
  <c r="I107" i="35"/>
  <c r="I106" i="35"/>
  <c r="I105" i="35"/>
  <c r="I104" i="35"/>
  <c r="I103" i="35"/>
  <c r="I102" i="35"/>
  <c r="I101" i="35"/>
  <c r="I100" i="35"/>
  <c r="I99" i="35"/>
  <c r="I98" i="35"/>
  <c r="I97" i="35"/>
  <c r="I96" i="35"/>
  <c r="I95" i="35"/>
  <c r="I94" i="35"/>
  <c r="I93" i="35"/>
  <c r="I92" i="35"/>
  <c r="I91" i="35"/>
  <c r="I90" i="35"/>
  <c r="I89" i="35"/>
  <c r="I88" i="35"/>
  <c r="I87" i="35"/>
  <c r="I86" i="35"/>
  <c r="I85" i="35"/>
  <c r="I84" i="35"/>
  <c r="I83" i="35"/>
  <c r="I82" i="35"/>
  <c r="I81" i="35"/>
  <c r="I80" i="35"/>
  <c r="I79" i="35"/>
  <c r="I78" i="35"/>
  <c r="B78" i="35"/>
  <c r="C73" i="35"/>
  <c r="W5" i="35" s="1"/>
  <c r="R5" i="35" s="1"/>
  <c r="U5" i="35" s="1"/>
  <c r="C72" i="35"/>
  <c r="C71" i="35"/>
  <c r="W4" i="35" s="1"/>
  <c r="R4" i="35" s="1"/>
  <c r="U4" i="35" s="1"/>
  <c r="F42" i="35"/>
  <c r="X6" i="35"/>
  <c r="F6" i="35"/>
  <c r="B6" i="35"/>
  <c r="X5" i="35"/>
  <c r="F5" i="35"/>
  <c r="B5" i="35"/>
  <c r="X4" i="35"/>
  <c r="F4" i="35"/>
  <c r="B4" i="35"/>
  <c r="X3" i="35"/>
  <c r="F3" i="35"/>
  <c r="B3" i="35"/>
  <c r="J158" i="31"/>
  <c r="Z7" i="31" s="1"/>
  <c r="J150" i="31"/>
  <c r="D150" i="31"/>
  <c r="J149" i="31"/>
  <c r="D149" i="31"/>
  <c r="J148" i="31"/>
  <c r="D148" i="31"/>
  <c r="C97" i="31"/>
  <c r="AB8" i="31"/>
  <c r="C96" i="31"/>
  <c r="AB15" i="31" s="1"/>
  <c r="C95" i="31"/>
  <c r="AB6" i="31" s="1"/>
  <c r="D76" i="31"/>
  <c r="M75" i="31"/>
  <c r="J75" i="31"/>
  <c r="G75" i="31"/>
  <c r="D75" i="31"/>
  <c r="M74" i="31"/>
  <c r="J74" i="31"/>
  <c r="G74" i="31"/>
  <c r="D74" i="31"/>
  <c r="Q73" i="31"/>
  <c r="M73" i="31"/>
  <c r="J73" i="31"/>
  <c r="G73" i="31"/>
  <c r="D73" i="31"/>
  <c r="Q72" i="31"/>
  <c r="Q71" i="31"/>
  <c r="Q70" i="31"/>
  <c r="Q69" i="31"/>
  <c r="Q68" i="31"/>
  <c r="Q67" i="31"/>
  <c r="X5" i="31" s="1"/>
  <c r="D67" i="31"/>
  <c r="X8" i="31" s="1"/>
  <c r="T8" i="31" s="1"/>
  <c r="Q66" i="31"/>
  <c r="M66" i="31"/>
  <c r="J66" i="31"/>
  <c r="G66" i="31"/>
  <c r="D66" i="31"/>
  <c r="Q65" i="31"/>
  <c r="X17" i="31"/>
  <c r="T17" i="31" s="1"/>
  <c r="W17" i="31" s="1"/>
  <c r="M65" i="31"/>
  <c r="J65" i="31"/>
  <c r="G65" i="31"/>
  <c r="D65" i="31"/>
  <c r="Q64" i="31"/>
  <c r="M64" i="31"/>
  <c r="J64" i="31"/>
  <c r="G64" i="31"/>
  <c r="D64" i="31"/>
  <c r="Q63" i="31"/>
  <c r="Y9" i="31" s="1"/>
  <c r="T9" i="31" s="1"/>
  <c r="W9" i="31" s="1"/>
  <c r="Q62" i="31"/>
  <c r="X14" i="31" s="1"/>
  <c r="AA17" i="31"/>
  <c r="K17" i="31"/>
  <c r="G17" i="31"/>
  <c r="F17" i="31"/>
  <c r="B17" i="31"/>
  <c r="AA16" i="31"/>
  <c r="K16" i="31"/>
  <c r="G16" i="31"/>
  <c r="F16" i="31"/>
  <c r="B16" i="31"/>
  <c r="AA15" i="31"/>
  <c r="K15" i="31"/>
  <c r="G15" i="31"/>
  <c r="F15" i="31"/>
  <c r="B15" i="31"/>
  <c r="AB14" i="31"/>
  <c r="AA14" i="31"/>
  <c r="K14" i="31"/>
  <c r="G14" i="31"/>
  <c r="F14" i="31"/>
  <c r="B14" i="31"/>
  <c r="AB13" i="31"/>
  <c r="AA13" i="31"/>
  <c r="K13" i="31"/>
  <c r="G13" i="31"/>
  <c r="F13" i="31"/>
  <c r="B13" i="31"/>
  <c r="AB12" i="31"/>
  <c r="AA12" i="31"/>
  <c r="K12" i="31"/>
  <c r="G12" i="31"/>
  <c r="F12" i="31"/>
  <c r="B12" i="31"/>
  <c r="AA11" i="31"/>
  <c r="K11" i="31"/>
  <c r="X11" i="31"/>
  <c r="T11" i="31" s="1"/>
  <c r="W11" i="31" s="1"/>
  <c r="G11" i="31"/>
  <c r="F11" i="31"/>
  <c r="B11" i="31"/>
  <c r="AB10" i="31"/>
  <c r="AA10" i="31"/>
  <c r="K10" i="31"/>
  <c r="G10" i="31"/>
  <c r="F10" i="31"/>
  <c r="B10" i="31"/>
  <c r="AA9" i="31"/>
  <c r="K9" i="31"/>
  <c r="G9" i="31"/>
  <c r="F9" i="31"/>
  <c r="B9" i="31"/>
  <c r="AA8" i="31"/>
  <c r="K8" i="31"/>
  <c r="G8" i="31"/>
  <c r="F8" i="31"/>
  <c r="B8" i="31"/>
  <c r="AB7" i="31"/>
  <c r="AA7" i="31"/>
  <c r="K7" i="31"/>
  <c r="Y7" i="31" s="1"/>
  <c r="G7" i="31"/>
  <c r="F7" i="31"/>
  <c r="B7" i="31"/>
  <c r="AA6" i="31"/>
  <c r="K6" i="31"/>
  <c r="X6" i="31"/>
  <c r="G6" i="31"/>
  <c r="F6" i="31"/>
  <c r="B6" i="31"/>
  <c r="AA5" i="31"/>
  <c r="K5" i="31"/>
  <c r="G5" i="31"/>
  <c r="F5" i="31"/>
  <c r="B5" i="31"/>
  <c r="AB4" i="31"/>
  <c r="AA4" i="31"/>
  <c r="K4" i="31"/>
  <c r="G4" i="31"/>
  <c r="F4" i="31"/>
  <c r="B4" i="31"/>
  <c r="AB3" i="31"/>
  <c r="AA3" i="31"/>
  <c r="K3" i="31"/>
  <c r="X3" i="31" s="1"/>
  <c r="G3" i="31"/>
  <c r="F3" i="31"/>
  <c r="B3" i="31"/>
  <c r="D188" i="29"/>
  <c r="C188" i="29"/>
  <c r="D147" i="29"/>
  <c r="C147" i="29"/>
  <c r="G147" i="29" s="1"/>
  <c r="B147" i="29"/>
  <c r="F146" i="29"/>
  <c r="E146" i="29"/>
  <c r="D146" i="29"/>
  <c r="C146" i="29"/>
  <c r="B146" i="29"/>
  <c r="G145" i="29"/>
  <c r="G144" i="29"/>
  <c r="G143" i="29"/>
  <c r="G142" i="29"/>
  <c r="G141" i="29"/>
  <c r="G140" i="29"/>
  <c r="G139" i="29"/>
  <c r="G138" i="29"/>
  <c r="G137" i="29"/>
  <c r="G136" i="29"/>
  <c r="G135" i="29"/>
  <c r="G134" i="29"/>
  <c r="G133" i="29"/>
  <c r="G132" i="29"/>
  <c r="G131" i="29"/>
  <c r="G130" i="29"/>
  <c r="G129" i="29"/>
  <c r="G128" i="29"/>
  <c r="G127" i="29"/>
  <c r="G126" i="29"/>
  <c r="G125" i="29"/>
  <c r="G124" i="29"/>
  <c r="G123" i="29"/>
  <c r="G122" i="29"/>
  <c r="G121" i="29"/>
  <c r="G120" i="29"/>
  <c r="G119" i="29"/>
  <c r="G118" i="29"/>
  <c r="G117" i="29"/>
  <c r="G116" i="29"/>
  <c r="G115" i="29"/>
  <c r="G114" i="29"/>
  <c r="G113" i="29"/>
  <c r="G112" i="29"/>
  <c r="F104" i="29"/>
  <c r="E104" i="29"/>
  <c r="D104" i="29"/>
  <c r="C104" i="29"/>
  <c r="B104" i="29"/>
  <c r="G103" i="29"/>
  <c r="G102" i="29"/>
  <c r="G101" i="29"/>
  <c r="G100" i="29"/>
  <c r="G99" i="29"/>
  <c r="G98" i="29"/>
  <c r="G97" i="29"/>
  <c r="G96" i="29"/>
  <c r="G95" i="29"/>
  <c r="G94" i="29"/>
  <c r="G93" i="29"/>
  <c r="G92" i="29"/>
  <c r="G91" i="29"/>
  <c r="G90" i="29"/>
  <c r="G89" i="29"/>
  <c r="G88" i="29"/>
  <c r="J61" i="29"/>
  <c r="I61" i="29"/>
  <c r="E56" i="29"/>
  <c r="E55" i="29"/>
  <c r="E54" i="29"/>
  <c r="E53" i="29"/>
  <c r="E52" i="29"/>
  <c r="AF4" i="29"/>
  <c r="AE4" i="29"/>
  <c r="AD4" i="29"/>
  <c r="AB4" i="29"/>
  <c r="AA4" i="29"/>
  <c r="Z4" i="29"/>
  <c r="Y4" i="29"/>
  <c r="X4" i="29"/>
  <c r="W4" i="29"/>
  <c r="F4" i="29"/>
  <c r="B4" i="29"/>
  <c r="AF3" i="29"/>
  <c r="R3" i="29" s="1"/>
  <c r="U3" i="29" s="1"/>
  <c r="AE3" i="29"/>
  <c r="AD3" i="29"/>
  <c r="AB3" i="29"/>
  <c r="AA3" i="29"/>
  <c r="Z3" i="29"/>
  <c r="Y3" i="29"/>
  <c r="X3" i="29"/>
  <c r="W3" i="29"/>
  <c r="F3" i="29"/>
  <c r="B3" i="29"/>
  <c r="A50" i="28"/>
  <c r="A49" i="28"/>
  <c r="A48" i="28"/>
  <c r="A47" i="28"/>
  <c r="A46" i="28"/>
  <c r="X12" i="28"/>
  <c r="W12" i="28"/>
  <c r="V12" i="28"/>
  <c r="T12" i="28"/>
  <c r="F12" i="28"/>
  <c r="X11" i="28"/>
  <c r="W11" i="28"/>
  <c r="V11" i="28"/>
  <c r="T11" i="28"/>
  <c r="F11" i="28"/>
  <c r="B11" i="28"/>
  <c r="X10" i="28"/>
  <c r="W10" i="28"/>
  <c r="V10" i="28"/>
  <c r="T10" i="28"/>
  <c r="F10" i="28"/>
  <c r="B10" i="28"/>
  <c r="X9" i="28"/>
  <c r="W9" i="28"/>
  <c r="V9" i="28"/>
  <c r="T9" i="28"/>
  <c r="F9" i="28"/>
  <c r="B9" i="28"/>
  <c r="X8" i="28"/>
  <c r="W8" i="28"/>
  <c r="V8" i="28"/>
  <c r="T8" i="28"/>
  <c r="F8" i="28"/>
  <c r="B8" i="28"/>
  <c r="X7" i="28"/>
  <c r="W7" i="28"/>
  <c r="V7" i="28"/>
  <c r="T7" i="28"/>
  <c r="F7" i="28"/>
  <c r="B7" i="28"/>
  <c r="X6" i="28"/>
  <c r="W6" i="28"/>
  <c r="V6" i="28"/>
  <c r="T6" i="28"/>
  <c r="F6" i="28"/>
  <c r="B6" i="28"/>
  <c r="X5" i="28"/>
  <c r="W5" i="28"/>
  <c r="V5" i="28"/>
  <c r="T5" i="28"/>
  <c r="F5" i="28"/>
  <c r="B5" i="28"/>
  <c r="X4" i="28"/>
  <c r="W4" i="28"/>
  <c r="V4" i="28"/>
  <c r="T4" i="28"/>
  <c r="F4" i="28"/>
  <c r="B4" i="28"/>
  <c r="X3" i="28"/>
  <c r="W3" i="28"/>
  <c r="V3" i="28"/>
  <c r="T3" i="28"/>
  <c r="F3" i="28"/>
  <c r="B3" i="28"/>
  <c r="T4" i="26"/>
  <c r="S4" i="26"/>
  <c r="F4" i="26"/>
  <c r="B4" i="26"/>
  <c r="E53" i="24"/>
  <c r="T9" i="24" s="1"/>
  <c r="A50" i="24"/>
  <c r="A49" i="24"/>
  <c r="A48" i="24"/>
  <c r="A47" i="24"/>
  <c r="E46" i="24"/>
  <c r="A46" i="24"/>
  <c r="B43" i="24"/>
  <c r="B41" i="24"/>
  <c r="B40" i="24"/>
  <c r="W4" i="24"/>
  <c r="V4" i="24"/>
  <c r="T4" i="24"/>
  <c r="H4" i="24"/>
  <c r="G4" i="24"/>
  <c r="E4" i="24"/>
  <c r="B4" i="24"/>
  <c r="W3" i="24"/>
  <c r="V3" i="24"/>
  <c r="T3" i="24"/>
  <c r="H3" i="24"/>
  <c r="G3" i="24"/>
  <c r="E3" i="24"/>
  <c r="B3" i="24"/>
  <c r="B52" i="12"/>
  <c r="H9" i="12"/>
  <c r="E9" i="12"/>
  <c r="B9" i="12" s="1"/>
  <c r="AD6" i="12"/>
  <c r="AC6" i="12"/>
  <c r="AB6" i="12"/>
  <c r="AA6" i="12"/>
  <c r="Z6" i="12"/>
  <c r="Y6" i="12"/>
  <c r="X6" i="12"/>
  <c r="W6" i="12"/>
  <c r="V6" i="12"/>
  <c r="U6" i="12" s="1"/>
  <c r="H6" i="12"/>
  <c r="B6" i="12"/>
  <c r="AD5" i="12"/>
  <c r="AC5" i="12"/>
  <c r="AB5" i="12"/>
  <c r="AA5" i="12"/>
  <c r="Z5" i="12"/>
  <c r="Y5" i="12"/>
  <c r="X5" i="12"/>
  <c r="W5" i="12"/>
  <c r="V5" i="12"/>
  <c r="U5" i="12" s="1"/>
  <c r="H5" i="12"/>
  <c r="B5" i="12"/>
  <c r="AD4" i="12"/>
  <c r="AC4" i="12"/>
  <c r="AB4" i="12"/>
  <c r="AA4" i="12"/>
  <c r="Z4" i="12"/>
  <c r="Y4" i="12"/>
  <c r="X4" i="12"/>
  <c r="W4" i="12"/>
  <c r="V4" i="12"/>
  <c r="U4" i="12" s="1"/>
  <c r="H4" i="12"/>
  <c r="B4" i="12"/>
  <c r="AD3" i="12"/>
  <c r="AC3" i="12"/>
  <c r="AB3" i="12"/>
  <c r="AA3" i="12"/>
  <c r="Z3" i="12"/>
  <c r="Y3" i="12"/>
  <c r="X3" i="12"/>
  <c r="W3" i="12"/>
  <c r="V3" i="12"/>
  <c r="U3" i="12" s="1"/>
  <c r="H3" i="12"/>
  <c r="B3" i="12"/>
  <c r="C75" i="7"/>
  <c r="C74" i="7"/>
  <c r="AM3" i="7"/>
  <c r="Q3" i="7" s="1"/>
  <c r="U3" i="7" s="1"/>
  <c r="AL3" i="7"/>
  <c r="AK3" i="7"/>
  <c r="AJ3" i="7"/>
  <c r="AI3" i="7"/>
  <c r="AH3" i="7"/>
  <c r="AG3" i="7"/>
  <c r="AF3" i="7"/>
  <c r="AE3" i="7"/>
  <c r="AD3" i="7"/>
  <c r="AC3" i="7"/>
  <c r="AB3" i="7"/>
  <c r="AA3" i="7"/>
  <c r="Z3" i="7"/>
  <c r="Y3" i="7"/>
  <c r="X3" i="7"/>
  <c r="AN3" i="7" s="1"/>
  <c r="P3" i="7" s="1"/>
  <c r="T3" i="7" s="1"/>
  <c r="W3" i="7"/>
  <c r="V3" i="7"/>
  <c r="N3" i="7"/>
  <c r="K3" i="7"/>
  <c r="B3" i="7"/>
  <c r="N75" i="32"/>
  <c r="C64" i="32"/>
  <c r="C63" i="32"/>
  <c r="S10" i="32" s="1"/>
  <c r="AC10" i="32" s="1"/>
  <c r="C62" i="32"/>
  <c r="C61" i="32"/>
  <c r="C60" i="32"/>
  <c r="AF12" i="32"/>
  <c r="AE12" i="32" s="1"/>
  <c r="AD12" i="32"/>
  <c r="AB12" i="32"/>
  <c r="AA12" i="32"/>
  <c r="T12" i="32"/>
  <c r="G12" i="32"/>
  <c r="B12" i="32"/>
  <c r="AF10" i="32"/>
  <c r="AE10" i="32" s="1"/>
  <c r="AD10" i="32"/>
  <c r="AB10" i="32"/>
  <c r="AA10" i="32"/>
  <c r="T10" i="32"/>
  <c r="G10" i="32"/>
  <c r="B10" i="32"/>
  <c r="AF9" i="32"/>
  <c r="AE9" i="32" s="1"/>
  <c r="AD9" i="32"/>
  <c r="AB9" i="32"/>
  <c r="AA9" i="32"/>
  <c r="Z9" i="32"/>
  <c r="Y9" i="32"/>
  <c r="X9" i="32"/>
  <c r="W9" i="32"/>
  <c r="V9" i="32"/>
  <c r="G9" i="32"/>
  <c r="B9" i="32"/>
  <c r="AF8" i="32"/>
  <c r="AE8" i="32" s="1"/>
  <c r="AD8" i="32"/>
  <c r="AB8" i="32"/>
  <c r="AA8" i="32"/>
  <c r="Z8" i="32"/>
  <c r="Y8" i="32"/>
  <c r="X8" i="32"/>
  <c r="W8" i="32"/>
  <c r="V8" i="32"/>
  <c r="G8" i="32"/>
  <c r="B8" i="32"/>
  <c r="AF7" i="32"/>
  <c r="AE7" i="32" s="1"/>
  <c r="AD7" i="32"/>
  <c r="AB7" i="32"/>
  <c r="AA7" i="32"/>
  <c r="Z7" i="32"/>
  <c r="Y7" i="32"/>
  <c r="X7" i="32"/>
  <c r="W7" i="32"/>
  <c r="V7" i="32"/>
  <c r="U7" i="32" s="1"/>
  <c r="T7" i="32" s="1"/>
  <c r="G7" i="32"/>
  <c r="B7" i="32"/>
  <c r="AF6" i="32"/>
  <c r="AE6" i="32" s="1"/>
  <c r="AD6" i="32"/>
  <c r="AB6" i="32"/>
  <c r="AA6" i="32"/>
  <c r="Z6" i="32"/>
  <c r="Y6" i="32"/>
  <c r="X6" i="32"/>
  <c r="W6" i="32"/>
  <c r="V6" i="32"/>
  <c r="G6" i="32"/>
  <c r="B6" i="32"/>
  <c r="AF5" i="32"/>
  <c r="AE5" i="32" s="1"/>
  <c r="AD5" i="32"/>
  <c r="AB5" i="32"/>
  <c r="AA5" i="32"/>
  <c r="Z5" i="32"/>
  <c r="Y5" i="32"/>
  <c r="X5" i="32"/>
  <c r="W5" i="32"/>
  <c r="V5" i="32"/>
  <c r="U5" i="32" s="1"/>
  <c r="G5" i="32"/>
  <c r="B5" i="32"/>
  <c r="AF4" i="32"/>
  <c r="AE4" i="32" s="1"/>
  <c r="AD4" i="32"/>
  <c r="AB4" i="32"/>
  <c r="AA4" i="32"/>
  <c r="Z4" i="32"/>
  <c r="Y4" i="32"/>
  <c r="X4" i="32"/>
  <c r="W4" i="32"/>
  <c r="U4" i="32" s="1"/>
  <c r="V4" i="32"/>
  <c r="G4" i="32"/>
  <c r="B4" i="32"/>
  <c r="F85" i="51"/>
  <c r="E85" i="51"/>
  <c r="AQ14" i="51" s="1"/>
  <c r="D85" i="51"/>
  <c r="AN14" i="51" s="1"/>
  <c r="C85" i="51"/>
  <c r="AK14" i="51" s="1"/>
  <c r="T13" i="51"/>
  <c r="E13" i="51"/>
  <c r="D13" i="51"/>
  <c r="B13" i="51"/>
  <c r="T12" i="51"/>
  <c r="E12" i="51"/>
  <c r="D12" i="51"/>
  <c r="B12" i="51"/>
  <c r="T11" i="51"/>
  <c r="E11" i="51"/>
  <c r="D11" i="51"/>
  <c r="B11" i="51"/>
  <c r="AU10" i="51"/>
  <c r="AT10" i="51"/>
  <c r="AR10" i="51"/>
  <c r="AP10" i="51"/>
  <c r="AO10" i="51"/>
  <c r="AM10" i="51"/>
  <c r="AL10" i="51"/>
  <c r="AJ10" i="51"/>
  <c r="AI10" i="51"/>
  <c r="AH10" i="51"/>
  <c r="AG10" i="51"/>
  <c r="AF10" i="51"/>
  <c r="AE10" i="51"/>
  <c r="AD10" i="51"/>
  <c r="T10" i="51"/>
  <c r="B10" i="51"/>
  <c r="AU9" i="51"/>
  <c r="AT9" i="51"/>
  <c r="AR9" i="51"/>
  <c r="AP9" i="51"/>
  <c r="AO9" i="51"/>
  <c r="AM9" i="51"/>
  <c r="AL9" i="51"/>
  <c r="AJ9" i="51"/>
  <c r="AI9" i="51"/>
  <c r="AH9" i="51"/>
  <c r="AG9" i="51"/>
  <c r="AF9" i="51"/>
  <c r="AE9" i="51"/>
  <c r="AD9" i="51"/>
  <c r="T9" i="51"/>
  <c r="B9" i="51"/>
  <c r="AU8" i="51"/>
  <c r="AT8" i="51"/>
  <c r="AR8" i="51"/>
  <c r="AP8" i="51"/>
  <c r="AO8" i="51"/>
  <c r="AM8" i="51"/>
  <c r="AL8" i="51"/>
  <c r="AJ8" i="51"/>
  <c r="AI8" i="51"/>
  <c r="AH8" i="51"/>
  <c r="AG8" i="51"/>
  <c r="AF8" i="51"/>
  <c r="AE8" i="51"/>
  <c r="AD8" i="51"/>
  <c r="T8" i="51"/>
  <c r="B8" i="51"/>
  <c r="AU7" i="51"/>
  <c r="AT7" i="51"/>
  <c r="AR7" i="51"/>
  <c r="AP7" i="51"/>
  <c r="AO7" i="51"/>
  <c r="AM7" i="51"/>
  <c r="AL7" i="51"/>
  <c r="AJ7" i="51"/>
  <c r="AI7" i="51"/>
  <c r="AH7" i="51"/>
  <c r="AG7" i="51"/>
  <c r="AF7" i="51"/>
  <c r="AE7" i="51"/>
  <c r="AD7" i="51"/>
  <c r="T7" i="51"/>
  <c r="B7" i="51"/>
  <c r="AU6" i="51"/>
  <c r="AT6" i="51"/>
  <c r="AR6" i="51"/>
  <c r="AP6" i="51"/>
  <c r="AO6" i="51"/>
  <c r="AM6" i="51"/>
  <c r="AL6" i="51"/>
  <c r="AJ6" i="51"/>
  <c r="AI6" i="51"/>
  <c r="AH6" i="51"/>
  <c r="AG6" i="51"/>
  <c r="AF6" i="51"/>
  <c r="AE6" i="51"/>
  <c r="AD6" i="51"/>
  <c r="T6" i="51"/>
  <c r="B6" i="51"/>
  <c r="AU5" i="51"/>
  <c r="AT5" i="51"/>
  <c r="AR5" i="51"/>
  <c r="AP5" i="51"/>
  <c r="AO5" i="51"/>
  <c r="AM5" i="51"/>
  <c r="AL5" i="51"/>
  <c r="AJ5" i="51"/>
  <c r="AI5" i="51"/>
  <c r="AH5" i="51"/>
  <c r="AG5" i="51"/>
  <c r="AF5" i="51"/>
  <c r="AE5" i="51"/>
  <c r="AD5" i="51"/>
  <c r="T5" i="51"/>
  <c r="B5" i="51"/>
  <c r="AU4" i="51"/>
  <c r="AT4" i="51"/>
  <c r="AR4" i="51"/>
  <c r="AP4" i="51"/>
  <c r="AO4" i="51"/>
  <c r="AM4" i="51"/>
  <c r="AL4" i="51"/>
  <c r="AJ4" i="51"/>
  <c r="AI4" i="51"/>
  <c r="AH4" i="51"/>
  <c r="AG4" i="51"/>
  <c r="AF4" i="51"/>
  <c r="X4" i="51" s="1"/>
  <c r="AE4" i="51"/>
  <c r="AD4" i="51"/>
  <c r="T4" i="51"/>
  <c r="B4" i="51"/>
  <c r="B2" i="51"/>
  <c r="F162" i="48"/>
  <c r="E162" i="48"/>
  <c r="D162" i="48"/>
  <c r="C162" i="48"/>
  <c r="P153" i="48"/>
  <c r="O153" i="48"/>
  <c r="N153" i="48"/>
  <c r="M153" i="48"/>
  <c r="L153" i="48"/>
  <c r="F153" i="48"/>
  <c r="E153" i="48"/>
  <c r="D153" i="48"/>
  <c r="C153" i="48"/>
  <c r="I134" i="48"/>
  <c r="AI6" i="48" s="1"/>
  <c r="H134" i="48"/>
  <c r="G134" i="48"/>
  <c r="F134" i="48"/>
  <c r="I125" i="48"/>
  <c r="AD6" i="48" s="1"/>
  <c r="AD5" i="48"/>
  <c r="H125" i="48"/>
  <c r="G125" i="48"/>
  <c r="F125" i="48"/>
  <c r="J115" i="48"/>
  <c r="I115" i="48"/>
  <c r="AL6" i="48" s="1"/>
  <c r="AL5" i="48"/>
  <c r="H115" i="48"/>
  <c r="AJ6" i="48" s="1"/>
  <c r="G115" i="48"/>
  <c r="F115" i="48"/>
  <c r="AE6" i="48" s="1"/>
  <c r="AO4" i="48"/>
  <c r="AN4" i="48"/>
  <c r="AK4" i="48"/>
  <c r="AG4" i="48"/>
  <c r="AF4" i="48"/>
  <c r="AD4" i="48"/>
  <c r="Q4" i="48"/>
  <c r="G4" i="48"/>
  <c r="F4" i="48"/>
  <c r="AB4" i="48" s="1"/>
  <c r="AB5" i="40"/>
  <c r="AA5" i="40"/>
  <c r="Z5" i="40"/>
  <c r="Y5" i="40"/>
  <c r="X5" i="40"/>
  <c r="W5" i="40"/>
  <c r="Q5" i="40" s="1"/>
  <c r="T5" i="40" s="1"/>
  <c r="V5" i="40"/>
  <c r="U5" i="40"/>
  <c r="F5" i="40"/>
  <c r="B5" i="40"/>
  <c r="B55" i="46"/>
  <c r="AI7" i="46"/>
  <c r="AH7" i="46"/>
  <c r="AG7" i="46"/>
  <c r="AF7" i="46"/>
  <c r="AE7" i="46"/>
  <c r="AD7" i="46"/>
  <c r="AC7" i="46"/>
  <c r="AB7" i="46"/>
  <c r="AA7" i="46"/>
  <c r="Y7" i="46"/>
  <c r="X7" i="46"/>
  <c r="Q7" i="46" s="1"/>
  <c r="U7" i="46" s="1"/>
  <c r="W7" i="46"/>
  <c r="V7" i="46"/>
  <c r="G7" i="46"/>
  <c r="B7" i="46"/>
  <c r="AI6" i="46"/>
  <c r="AH6" i="46"/>
  <c r="AG6" i="46"/>
  <c r="AF6" i="46"/>
  <c r="AE6" i="46"/>
  <c r="AD6" i="46"/>
  <c r="AC6" i="46"/>
  <c r="AB6" i="46"/>
  <c r="AA6" i="46"/>
  <c r="Y6" i="46"/>
  <c r="X6" i="46"/>
  <c r="W6" i="46"/>
  <c r="V6" i="46"/>
  <c r="G6" i="46"/>
  <c r="B6" i="46"/>
  <c r="AI5" i="46"/>
  <c r="AH5" i="46"/>
  <c r="AG5" i="46"/>
  <c r="AF5" i="46"/>
  <c r="AE5" i="46"/>
  <c r="Q5" i="46" s="1"/>
  <c r="U5" i="46" s="1"/>
  <c r="AD5" i="46"/>
  <c r="AC5" i="46"/>
  <c r="AB5" i="46"/>
  <c r="AA5" i="46"/>
  <c r="Y5" i="46"/>
  <c r="X5" i="46"/>
  <c r="W5" i="46"/>
  <c r="V5" i="46"/>
  <c r="G5" i="46"/>
  <c r="B5" i="46"/>
  <c r="AI4" i="46"/>
  <c r="AH4" i="46"/>
  <c r="AG4" i="46"/>
  <c r="AF4" i="46"/>
  <c r="AE4" i="46"/>
  <c r="AD4" i="46"/>
  <c r="AC4" i="46"/>
  <c r="AB4" i="46"/>
  <c r="AA4" i="46"/>
  <c r="Z4" i="46"/>
  <c r="Y4" i="46"/>
  <c r="X4" i="46"/>
  <c r="W4" i="46"/>
  <c r="V4" i="46"/>
  <c r="G4" i="46"/>
  <c r="B4" i="46"/>
  <c r="I138" i="39"/>
  <c r="H139" i="39" s="1"/>
  <c r="G138" i="39"/>
  <c r="F138" i="39"/>
  <c r="F136" i="39"/>
  <c r="F135" i="39"/>
  <c r="I141" i="39"/>
  <c r="F132" i="39"/>
  <c r="G133" i="39" s="1"/>
  <c r="G141" i="39" s="1"/>
  <c r="C91" i="39"/>
  <c r="D87" i="39"/>
  <c r="D86" i="39"/>
  <c r="D85" i="39"/>
  <c r="D69" i="39"/>
  <c r="C69" i="39"/>
  <c r="F57" i="39"/>
  <c r="AG8" i="39"/>
  <c r="AC8" i="39"/>
  <c r="AB8" i="39"/>
  <c r="AH8" i="39" s="1"/>
  <c r="X8" i="39"/>
  <c r="V8" i="39"/>
  <c r="U8" i="39"/>
  <c r="T8" i="39"/>
  <c r="E8" i="39"/>
  <c r="B8" i="39"/>
  <c r="AG7" i="39"/>
  <c r="AC7" i="39"/>
  <c r="AB7" i="39"/>
  <c r="AH7" i="39" s="1"/>
  <c r="X7" i="39"/>
  <c r="V7" i="39"/>
  <c r="U7" i="39"/>
  <c r="T7" i="39"/>
  <c r="E7" i="39"/>
  <c r="B7" i="39"/>
  <c r="X6" i="39"/>
  <c r="V6" i="39"/>
  <c r="U6" i="39"/>
  <c r="T6" i="39"/>
  <c r="E6" i="39"/>
  <c r="B6" i="39"/>
  <c r="X5" i="39"/>
  <c r="V5" i="39"/>
  <c r="U5" i="39"/>
  <c r="T5" i="39"/>
  <c r="E5" i="39"/>
  <c r="B5" i="39"/>
  <c r="X4" i="39"/>
  <c r="V4" i="39"/>
  <c r="U4" i="39"/>
  <c r="T4" i="39"/>
  <c r="E4" i="39"/>
  <c r="B4" i="39"/>
  <c r="I102" i="42"/>
  <c r="AA7" i="42"/>
  <c r="I101" i="42"/>
  <c r="I100" i="42"/>
  <c r="I99" i="42"/>
  <c r="I98" i="42"/>
  <c r="AA6" i="42"/>
  <c r="I97" i="42"/>
  <c r="AA4" i="42"/>
  <c r="E94" i="42"/>
  <c r="D94" i="42"/>
  <c r="C94" i="42"/>
  <c r="AF7" i="42" s="1"/>
  <c r="E68" i="42"/>
  <c r="AD4" i="42" s="1"/>
  <c r="S4" i="42" s="1"/>
  <c r="V4" i="42" s="1"/>
  <c r="AD6" i="42"/>
  <c r="D68" i="42"/>
  <c r="X7" i="42"/>
  <c r="C68" i="42"/>
  <c r="AM7" i="42"/>
  <c r="AL7" i="42"/>
  <c r="AI7" i="42"/>
  <c r="AH7" i="42"/>
  <c r="AG7" i="42"/>
  <c r="AE7" i="42"/>
  <c r="AC7" i="42"/>
  <c r="AB7" i="42"/>
  <c r="Z7" i="42"/>
  <c r="Y7" i="42"/>
  <c r="W7" i="42"/>
  <c r="F7" i="42"/>
  <c r="B7" i="42"/>
  <c r="AM6" i="42"/>
  <c r="AL6" i="42"/>
  <c r="AI6" i="42"/>
  <c r="AH6" i="42"/>
  <c r="AG6" i="42"/>
  <c r="AE6" i="42"/>
  <c r="AC6" i="42"/>
  <c r="AB6" i="42"/>
  <c r="Z6" i="42"/>
  <c r="Y6" i="42"/>
  <c r="W6" i="42"/>
  <c r="F6" i="42"/>
  <c r="V6" i="42" s="1"/>
  <c r="B6" i="42"/>
  <c r="AM5" i="42"/>
  <c r="AL5" i="42"/>
  <c r="AI5" i="42"/>
  <c r="AH5" i="42"/>
  <c r="AG5" i="42"/>
  <c r="AE5" i="42"/>
  <c r="AD5" i="42"/>
  <c r="AC5" i="42"/>
  <c r="S5" i="42" s="1"/>
  <c r="V5" i="42" s="1"/>
  <c r="AB5" i="42"/>
  <c r="AA5" i="42"/>
  <c r="Z5" i="42"/>
  <c r="Y5" i="42"/>
  <c r="W5" i="42"/>
  <c r="F5" i="42"/>
  <c r="B5" i="42"/>
  <c r="AM4" i="42"/>
  <c r="AL4" i="42"/>
  <c r="AI4" i="42"/>
  <c r="AH4" i="42"/>
  <c r="AG4" i="42"/>
  <c r="AE4" i="42"/>
  <c r="AC4" i="42"/>
  <c r="AB4" i="42"/>
  <c r="Z4" i="42"/>
  <c r="Y4" i="42"/>
  <c r="W4" i="42"/>
  <c r="F4" i="42"/>
  <c r="B4" i="42"/>
  <c r="Y12" i="31"/>
  <c r="AD7" i="42"/>
  <c r="C20" i="11"/>
  <c r="V4" i="35"/>
  <c r="V3" i="35"/>
  <c r="U9" i="32"/>
  <c r="Z11" i="31"/>
  <c r="Z9" i="31"/>
  <c r="T3" i="25"/>
  <c r="T4" i="25"/>
  <c r="L4" i="25"/>
  <c r="O4" i="25"/>
  <c r="AL4" i="48"/>
  <c r="O5" i="20"/>
  <c r="S5" i="20" s="1"/>
  <c r="AD4" i="20"/>
  <c r="O4" i="20"/>
  <c r="S4" i="20"/>
  <c r="AD6" i="20"/>
  <c r="AE4" i="19"/>
  <c r="W4" i="19"/>
  <c r="AE5" i="19"/>
  <c r="AG5" i="19"/>
  <c r="AC5" i="19"/>
  <c r="O4" i="17"/>
  <c r="C14" i="9"/>
  <c r="AN8" i="51"/>
  <c r="AN4" i="51"/>
  <c r="AJ5" i="48"/>
  <c r="AH4" i="48"/>
  <c r="AE4" i="48"/>
  <c r="AE5" i="48"/>
  <c r="AI4" i="48"/>
  <c r="AI5" i="48"/>
  <c r="AF6" i="42"/>
  <c r="X4" i="42"/>
  <c r="S6" i="42"/>
  <c r="F139" i="39"/>
  <c r="F137" i="39"/>
  <c r="N3" i="30"/>
  <c r="O3" i="8"/>
  <c r="U6" i="32"/>
  <c r="N4" i="26"/>
  <c r="Q4" i="26" s="1"/>
  <c r="Y6" i="31"/>
  <c r="Y8" i="31"/>
  <c r="X9" i="31"/>
  <c r="Y15" i="31"/>
  <c r="Y16" i="31"/>
  <c r="AB9" i="31"/>
  <c r="AB11" i="31"/>
  <c r="AB17" i="31"/>
  <c r="AB5" i="31"/>
  <c r="Y11" i="31"/>
  <c r="X16" i="31"/>
  <c r="T16" i="31" s="1"/>
  <c r="W16" i="31" s="1"/>
  <c r="AB16" i="31"/>
  <c r="Y17" i="31"/>
  <c r="G146" i="29"/>
  <c r="AC4" i="29"/>
  <c r="R4" i="29"/>
  <c r="U4" i="29"/>
  <c r="G104" i="29"/>
  <c r="N4" i="20"/>
  <c r="R4" i="20"/>
  <c r="AD3" i="20"/>
  <c r="O3" i="10"/>
  <c r="M3" i="9"/>
  <c r="P3" i="9" s="1"/>
  <c r="O3" i="17"/>
  <c r="T4" i="12"/>
  <c r="T6" i="12"/>
  <c r="O6" i="12" s="1"/>
  <c r="S6" i="12" s="1"/>
  <c r="K65" i="6"/>
  <c r="Q3" i="6"/>
  <c r="Q4" i="6"/>
  <c r="AB4" i="6"/>
  <c r="AB3" i="6"/>
  <c r="R3" i="7"/>
  <c r="S7" i="42"/>
  <c r="V7" i="42" s="1"/>
  <c r="X6" i="42"/>
  <c r="X5" i="42"/>
  <c r="AC4" i="48"/>
  <c r="AQ10" i="51"/>
  <c r="AQ6" i="51"/>
  <c r="H137" i="39"/>
  <c r="AC3" i="29"/>
  <c r="O6" i="20"/>
  <c r="S6" i="20"/>
  <c r="H141" i="39"/>
  <c r="W8" i="31" l="1"/>
  <c r="T20" i="31"/>
  <c r="W20" i="31" s="1"/>
  <c r="B14" i="52"/>
  <c r="B15" i="52"/>
  <c r="B10" i="52"/>
  <c r="B18" i="52"/>
  <c r="B11" i="52"/>
  <c r="B19" i="52"/>
  <c r="T5" i="31"/>
  <c r="W5" i="31" s="1"/>
  <c r="B23" i="52"/>
  <c r="B24" i="52"/>
  <c r="C34" i="52"/>
  <c r="C26" i="52"/>
  <c r="L33" i="53"/>
  <c r="L3" i="13"/>
  <c r="O3" i="13" s="1"/>
  <c r="M3" i="23"/>
  <c r="Q3" i="23" s="1"/>
  <c r="M4" i="23"/>
  <c r="Q4" i="23" s="1"/>
  <c r="R4" i="6"/>
  <c r="M4" i="6" s="1"/>
  <c r="P4" i="6" s="1"/>
  <c r="Z4" i="37"/>
  <c r="C117" i="34"/>
  <c r="X14" i="51"/>
  <c r="W5" i="19"/>
  <c r="Q5" i="19" s="1"/>
  <c r="T5" i="19" s="1"/>
  <c r="P4" i="21"/>
  <c r="T4" i="21" s="1"/>
  <c r="B162" i="52"/>
  <c r="H58" i="34"/>
  <c r="B119" i="34"/>
  <c r="U3" i="28"/>
  <c r="P3" i="28" s="1"/>
  <c r="S3" i="28" s="1"/>
  <c r="AF5" i="42"/>
  <c r="AJ4" i="48"/>
  <c r="Z4" i="31"/>
  <c r="U6" i="28"/>
  <c r="P6" i="28" s="1"/>
  <c r="S6" i="28" s="1"/>
  <c r="U10" i="28"/>
  <c r="P10" i="28" s="1"/>
  <c r="Y10" i="31"/>
  <c r="C140" i="52"/>
  <c r="C83" i="52"/>
  <c r="C22" i="52" s="1"/>
  <c r="C113" i="52"/>
  <c r="C163" i="52"/>
  <c r="D207" i="52"/>
  <c r="B208" i="52"/>
  <c r="B50" i="52" s="1"/>
  <c r="C264" i="52"/>
  <c r="C54" i="52" s="1"/>
  <c r="G54" i="52" s="1"/>
  <c r="R3" i="6"/>
  <c r="M3" i="6" s="1"/>
  <c r="P3" i="6" s="1"/>
  <c r="O3" i="7"/>
  <c r="S3" i="7" s="1"/>
  <c r="O3" i="21"/>
  <c r="S3" i="21" s="1"/>
  <c r="AF4" i="42"/>
  <c r="Z6" i="31"/>
  <c r="T6" i="31" s="1"/>
  <c r="W6" i="31" s="1"/>
  <c r="W6" i="35"/>
  <c r="R6" i="35" s="1"/>
  <c r="U6" i="35" s="1"/>
  <c r="P3" i="43"/>
  <c r="S3" i="43" s="1"/>
  <c r="U10" i="24"/>
  <c r="C16" i="52"/>
  <c r="F140" i="39"/>
  <c r="AC3" i="21"/>
  <c r="X12" i="31"/>
  <c r="T12" i="31" s="1"/>
  <c r="Y14" i="31"/>
  <c r="T14" i="31" s="1"/>
  <c r="W14" i="31" s="1"/>
  <c r="Z10" i="31"/>
  <c r="U5" i="28"/>
  <c r="P5" i="28" s="1"/>
  <c r="U9" i="28"/>
  <c r="P9" i="28" s="1"/>
  <c r="S9" i="28" s="1"/>
  <c r="P7" i="45"/>
  <c r="T7" i="45" s="1"/>
  <c r="P8" i="45"/>
  <c r="T8" i="45" s="1"/>
  <c r="O4" i="21"/>
  <c r="S4" i="21" s="1"/>
  <c r="C139" i="52"/>
  <c r="C25" i="52" s="1"/>
  <c r="B186" i="52"/>
  <c r="B49" i="52" s="1"/>
  <c r="C116" i="34"/>
  <c r="C119" i="34" s="1"/>
  <c r="P3" i="34"/>
  <c r="S3" i="34" s="1"/>
  <c r="U11" i="28"/>
  <c r="P11" i="28" s="1"/>
  <c r="S11" i="28" s="1"/>
  <c r="X8" i="51"/>
  <c r="X7" i="31"/>
  <c r="T7" i="31" s="1"/>
  <c r="W7" i="31" s="1"/>
  <c r="X10" i="31"/>
  <c r="T10" i="31" s="1"/>
  <c r="W10" i="31" s="1"/>
  <c r="Y4" i="31"/>
  <c r="Y13" i="31"/>
  <c r="AG4" i="19"/>
  <c r="AC4" i="19" s="1"/>
  <c r="Q4" i="19" s="1"/>
  <c r="T4" i="19" s="1"/>
  <c r="Z3" i="20"/>
  <c r="Z3" i="31"/>
  <c r="P5" i="39"/>
  <c r="H140" i="39"/>
  <c r="U12" i="28"/>
  <c r="P12" i="28" s="1"/>
  <c r="S12" i="28" s="1"/>
  <c r="W3" i="35"/>
  <c r="R3" i="35" s="1"/>
  <c r="P3" i="38"/>
  <c r="S3" i="38" s="1"/>
  <c r="U3" i="24"/>
  <c r="U9" i="24"/>
  <c r="L24" i="53"/>
  <c r="C185" i="52"/>
  <c r="B117" i="34"/>
  <c r="U7" i="28"/>
  <c r="P7" i="28" s="1"/>
  <c r="S7" i="28" s="1"/>
  <c r="N3" i="20"/>
  <c r="R3" i="20" s="1"/>
  <c r="Y5" i="31"/>
  <c r="S4" i="6"/>
  <c r="X15" i="31"/>
  <c r="T15" i="31" s="1"/>
  <c r="W15" i="31" s="1"/>
  <c r="X4" i="31"/>
  <c r="Z6" i="20"/>
  <c r="Z5" i="31"/>
  <c r="V4" i="48"/>
  <c r="U4" i="28"/>
  <c r="P4" i="28" s="1"/>
  <c r="S4" i="28" s="1"/>
  <c r="U8" i="28"/>
  <c r="P8" i="28" s="1"/>
  <c r="S8" i="28" s="1"/>
  <c r="U4" i="24"/>
  <c r="L29" i="53"/>
  <c r="M21" i="53"/>
  <c r="C8" i="52"/>
  <c r="N4" i="12"/>
  <c r="X13" i="31"/>
  <c r="T13" i="31" s="1"/>
  <c r="W13" i="31" s="1"/>
  <c r="Y3" i="31"/>
  <c r="T3" i="31" s="1"/>
  <c r="AN7" i="51"/>
  <c r="X7" i="51" s="1"/>
  <c r="U7" i="24"/>
  <c r="U15" i="28"/>
  <c r="P15" i="28" s="1"/>
  <c r="S15" i="28" s="1"/>
  <c r="B114" i="52"/>
  <c r="H84" i="34"/>
  <c r="H87" i="34" s="1"/>
  <c r="AD104" i="4"/>
  <c r="BA259" i="4"/>
  <c r="BW259" i="4" s="1"/>
  <c r="BA122" i="4"/>
  <c r="C10" i="2"/>
  <c r="D10" i="2" s="1"/>
  <c r="BA258" i="4"/>
  <c r="BW258" i="4" s="1"/>
  <c r="C12" i="2"/>
  <c r="AD122" i="4"/>
  <c r="C11" i="2"/>
  <c r="C14" i="2"/>
  <c r="AD259" i="4"/>
  <c r="C18" i="2"/>
  <c r="C13" i="2"/>
  <c r="C15" i="2"/>
  <c r="AD8" i="4"/>
  <c r="C9" i="2"/>
  <c r="AD258" i="4"/>
  <c r="C17" i="2"/>
  <c r="D17" i="2" s="1"/>
  <c r="C16" i="2"/>
  <c r="C19" i="2"/>
  <c r="AD187" i="4"/>
  <c r="AW187" i="4"/>
  <c r="BA187" i="4" s="1"/>
  <c r="BW187" i="4" s="1"/>
  <c r="AD141" i="4"/>
  <c r="AW141" i="4"/>
  <c r="BA141" i="4" s="1"/>
  <c r="BW141" i="4" s="1"/>
  <c r="AD284" i="4"/>
  <c r="AW284" i="4"/>
  <c r="BA284" i="4" s="1"/>
  <c r="BW284" i="4" s="1"/>
  <c r="AD173" i="4"/>
  <c r="AW173" i="4"/>
  <c r="BA173" i="4" s="1"/>
  <c r="BW173" i="4" s="1"/>
  <c r="AD77" i="4"/>
  <c r="AW77" i="4"/>
  <c r="BA77" i="4" s="1"/>
  <c r="BW77" i="4" s="1"/>
  <c r="AD21" i="4"/>
  <c r="AW21" i="4"/>
  <c r="AD190" i="4"/>
  <c r="AW190" i="4"/>
  <c r="BA190" i="4" s="1"/>
  <c r="BW190" i="4" s="1"/>
  <c r="AD266" i="4"/>
  <c r="AW266" i="4"/>
  <c r="BA266" i="4" s="1"/>
  <c r="BW266" i="4" s="1"/>
  <c r="AD219" i="4"/>
  <c r="AW219" i="4"/>
  <c r="BA219" i="4" s="1"/>
  <c r="BW219" i="4" s="1"/>
  <c r="AD183" i="4"/>
  <c r="AW183" i="4"/>
  <c r="BA183" i="4" s="1"/>
  <c r="AD167" i="4"/>
  <c r="AW167" i="4"/>
  <c r="BA167" i="4" s="1"/>
  <c r="BW167" i="4" s="1"/>
  <c r="AD154" i="4"/>
  <c r="AW154" i="4"/>
  <c r="BA154" i="4" s="1"/>
  <c r="BW154" i="4" s="1"/>
  <c r="AD139" i="4"/>
  <c r="AW139" i="4"/>
  <c r="BA139" i="4" s="1"/>
  <c r="BW139" i="4" s="1"/>
  <c r="AD33" i="4"/>
  <c r="AW33" i="4"/>
  <c r="BA33" i="4" s="1"/>
  <c r="BW33" i="4" s="1"/>
  <c r="AD225" i="4"/>
  <c r="AW225" i="4"/>
  <c r="BA225" i="4" s="1"/>
  <c r="BW225" i="4" s="1"/>
  <c r="AD213" i="4"/>
  <c r="AW213" i="4"/>
  <c r="BA213" i="4" s="1"/>
  <c r="BW213" i="4" s="1"/>
  <c r="AD188" i="4"/>
  <c r="AW188" i="4"/>
  <c r="BA188" i="4" s="1"/>
  <c r="BW188" i="4" s="1"/>
  <c r="AD151" i="4"/>
  <c r="AW151" i="4"/>
  <c r="BA151" i="4" s="1"/>
  <c r="BW151" i="4" s="1"/>
  <c r="AD32" i="4"/>
  <c r="AW32" i="4"/>
  <c r="BA32" i="4" s="1"/>
  <c r="BW32" i="4" s="1"/>
  <c r="AD292" i="4"/>
  <c r="AW292" i="4"/>
  <c r="BA292" i="4" s="1"/>
  <c r="BW292" i="4" s="1"/>
  <c r="AD264" i="4"/>
  <c r="AW264" i="4"/>
  <c r="BA264" i="4" s="1"/>
  <c r="BW264" i="4" s="1"/>
  <c r="AD222" i="4"/>
  <c r="AW222" i="4"/>
  <c r="BA222" i="4" s="1"/>
  <c r="BW222" i="4" s="1"/>
  <c r="AD197" i="4"/>
  <c r="AW197" i="4"/>
  <c r="BA197" i="4" s="1"/>
  <c r="AD185" i="4"/>
  <c r="AW185" i="4"/>
  <c r="BA185" i="4" s="1"/>
  <c r="BW185" i="4" s="1"/>
  <c r="AD169" i="4"/>
  <c r="AW169" i="4"/>
  <c r="BA169" i="4" s="1"/>
  <c r="BW169" i="4" s="1"/>
  <c r="AD150" i="4"/>
  <c r="AW150" i="4"/>
  <c r="BA150" i="4" s="1"/>
  <c r="BW150" i="4" s="1"/>
  <c r="AD136" i="4"/>
  <c r="AW136" i="4"/>
  <c r="BA136" i="4" s="1"/>
  <c r="BW136" i="4" s="1"/>
  <c r="AD121" i="4"/>
  <c r="AW121" i="4"/>
  <c r="BA121" i="4" s="1"/>
  <c r="BW121" i="4" s="1"/>
  <c r="AD63" i="4"/>
  <c r="AW63" i="4"/>
  <c r="BA63" i="4" s="1"/>
  <c r="BW63" i="4" s="1"/>
  <c r="AD31" i="4"/>
  <c r="AW31" i="4"/>
  <c r="BA31" i="4" s="1"/>
  <c r="BW31" i="4" s="1"/>
  <c r="AD295" i="4"/>
  <c r="AW295" i="4"/>
  <c r="BA295" i="4" s="1"/>
  <c r="BW295" i="4" s="1"/>
  <c r="AD223" i="4"/>
  <c r="AW223" i="4"/>
  <c r="BA223" i="4" s="1"/>
  <c r="BW223" i="4" s="1"/>
  <c r="AD186" i="4"/>
  <c r="AW186" i="4"/>
  <c r="BA186" i="4" s="1"/>
  <c r="BW186" i="4" s="1"/>
  <c r="AD174" i="4"/>
  <c r="AW174" i="4"/>
  <c r="BA174" i="4" s="1"/>
  <c r="BW174" i="4" s="1"/>
  <c r="AD142" i="4"/>
  <c r="AW142" i="4"/>
  <c r="BA142" i="4" s="1"/>
  <c r="BW142" i="4" s="1"/>
  <c r="AD120" i="4"/>
  <c r="AW120" i="4"/>
  <c r="BA120" i="4" s="1"/>
  <c r="BW120" i="4" s="1"/>
  <c r="AD30" i="4"/>
  <c r="AW30" i="4"/>
  <c r="BA30" i="4" s="1"/>
  <c r="BW30" i="4" s="1"/>
  <c r="AD171" i="4"/>
  <c r="AW171" i="4"/>
  <c r="BA171" i="4" s="1"/>
  <c r="BW171" i="4" s="1"/>
  <c r="AD97" i="4"/>
  <c r="AW97" i="4"/>
  <c r="BA97" i="4" s="1"/>
  <c r="BW97" i="4" s="1"/>
  <c r="AD195" i="4"/>
  <c r="AW195" i="4"/>
  <c r="BA195" i="4" s="1"/>
  <c r="BW195" i="4" s="1"/>
  <c r="AD155" i="4"/>
  <c r="AW155" i="4"/>
  <c r="BA155" i="4" s="1"/>
  <c r="BW155" i="4" s="1"/>
  <c r="AD138" i="4"/>
  <c r="AW138" i="4"/>
  <c r="BA138" i="4" s="1"/>
  <c r="BW138" i="4" s="1"/>
  <c r="AD95" i="4"/>
  <c r="AW95" i="4"/>
  <c r="BA95" i="4" s="1"/>
  <c r="BW95" i="4" s="1"/>
  <c r="AD227" i="4"/>
  <c r="AW227" i="4"/>
  <c r="BA227" i="4" s="1"/>
  <c r="BW227" i="4" s="1"/>
  <c r="AD178" i="4"/>
  <c r="AW178" i="4"/>
  <c r="BA178" i="4" s="1"/>
  <c r="BW178" i="4" s="1"/>
  <c r="AD160" i="4"/>
  <c r="AW160" i="4"/>
  <c r="BA160" i="4" s="1"/>
  <c r="BW160" i="4" s="1"/>
  <c r="AD307" i="4"/>
  <c r="AW307" i="4"/>
  <c r="BA307" i="4" s="1"/>
  <c r="BW307" i="4" s="1"/>
  <c r="AD228" i="4"/>
  <c r="AW228" i="4"/>
  <c r="BA228" i="4" s="1"/>
  <c r="BW228" i="4" s="1"/>
  <c r="AD217" i="4"/>
  <c r="AW217" i="4"/>
  <c r="BA217" i="4" s="1"/>
  <c r="BW217" i="4" s="1"/>
  <c r="AD194" i="4"/>
  <c r="AW194" i="4"/>
  <c r="BA194" i="4" s="1"/>
  <c r="BW194" i="4" s="1"/>
  <c r="AD163" i="4"/>
  <c r="AW163" i="4"/>
  <c r="BA163" i="4" s="1"/>
  <c r="BW163" i="4" s="1"/>
  <c r="AD148" i="4"/>
  <c r="AW148" i="4"/>
  <c r="BA148" i="4" s="1"/>
  <c r="BW148" i="4" s="1"/>
  <c r="AD137" i="4"/>
  <c r="AW137" i="4"/>
  <c r="AD29" i="4"/>
  <c r="AW29" i="4"/>
  <c r="BA29" i="4" s="1"/>
  <c r="BW29" i="4" s="1"/>
  <c r="AD221" i="4"/>
  <c r="AW221" i="4"/>
  <c r="BA221" i="4" s="1"/>
  <c r="BW221" i="4" s="1"/>
  <c r="AD184" i="4"/>
  <c r="AW184" i="4"/>
  <c r="BA184" i="4" s="1"/>
  <c r="BW184" i="4" s="1"/>
  <c r="AD164" i="4"/>
  <c r="AW164" i="4"/>
  <c r="BA164" i="4" s="1"/>
  <c r="BW164" i="4" s="1"/>
  <c r="AD149" i="4"/>
  <c r="AW149" i="4"/>
  <c r="BA149" i="4" s="1"/>
  <c r="BW149" i="4" s="1"/>
  <c r="AD94" i="4"/>
  <c r="AW94" i="4"/>
  <c r="BA94" i="4" s="1"/>
  <c r="BW94" i="4" s="1"/>
  <c r="AD196" i="4"/>
  <c r="AW196" i="4"/>
  <c r="BA196" i="4" s="1"/>
  <c r="BW196" i="4" s="1"/>
  <c r="AD181" i="4"/>
  <c r="AW181" i="4"/>
  <c r="BA181" i="4" s="1"/>
  <c r="BW181" i="4" s="1"/>
  <c r="AD165" i="4"/>
  <c r="AW165" i="4"/>
  <c r="BA165" i="4" s="1"/>
  <c r="BW165" i="4" s="1"/>
  <c r="AD146" i="4"/>
  <c r="AW146" i="4"/>
  <c r="BA146" i="4" s="1"/>
  <c r="BW146" i="4" s="1"/>
  <c r="AD23" i="4"/>
  <c r="AW23" i="4"/>
  <c r="BA23" i="4" s="1"/>
  <c r="BW23" i="4" s="1"/>
  <c r="AD293" i="4"/>
  <c r="AW293" i="4"/>
  <c r="BA293" i="4" s="1"/>
  <c r="BW293" i="4" s="1"/>
  <c r="AD249" i="4"/>
  <c r="AW249" i="4"/>
  <c r="AD218" i="4"/>
  <c r="AW218" i="4"/>
  <c r="BA218" i="4" s="1"/>
  <c r="BW218" i="4" s="1"/>
  <c r="AD182" i="4"/>
  <c r="AW182" i="4"/>
  <c r="BA182" i="4" s="1"/>
  <c r="BW182" i="4" s="1"/>
  <c r="AD170" i="4"/>
  <c r="AW170" i="4"/>
  <c r="BA170" i="4" s="1"/>
  <c r="BW170" i="4" s="1"/>
  <c r="AD157" i="4"/>
  <c r="AW157" i="4"/>
  <c r="BA157" i="4" s="1"/>
  <c r="BW157" i="4" s="1"/>
  <c r="AD62" i="4"/>
  <c r="AW62" i="4"/>
  <c r="BA62" i="4" s="1"/>
  <c r="BW62" i="4" s="1"/>
  <c r="AD22" i="4"/>
  <c r="AW22" i="4"/>
  <c r="BA22" i="4" s="1"/>
  <c r="BW22" i="4" s="1"/>
  <c r="AD302" i="4"/>
  <c r="AW302" i="4"/>
  <c r="BA302" i="4" s="1"/>
  <c r="BW302" i="4" s="1"/>
  <c r="AD220" i="4"/>
  <c r="AW220" i="4"/>
  <c r="BA220" i="4" s="1"/>
  <c r="BW220" i="4" s="1"/>
  <c r="AD60" i="4"/>
  <c r="AW60" i="4"/>
  <c r="BA60" i="4" s="1"/>
  <c r="BW60" i="4" s="1"/>
  <c r="AD263" i="4"/>
  <c r="AW263" i="4"/>
  <c r="BA263" i="4" s="1"/>
  <c r="BW263" i="4" s="1"/>
  <c r="AD172" i="4"/>
  <c r="AW172" i="4"/>
  <c r="BA172" i="4" s="1"/>
  <c r="BW172" i="4" s="1"/>
  <c r="AD144" i="4"/>
  <c r="AW144" i="4"/>
  <c r="BA144" i="4" s="1"/>
  <c r="BW144" i="4" s="1"/>
  <c r="AD283" i="4"/>
  <c r="AW283" i="4"/>
  <c r="BA283" i="4" s="1"/>
  <c r="BW283" i="4" s="1"/>
  <c r="AD152" i="4"/>
  <c r="AW152" i="4"/>
  <c r="BA152" i="4" s="1"/>
  <c r="BW152" i="4" s="1"/>
  <c r="AD207" i="4"/>
  <c r="AW207" i="4"/>
  <c r="BA207" i="4" s="1"/>
  <c r="BW207" i="4" s="1"/>
  <c r="AD224" i="4"/>
  <c r="AW224" i="4"/>
  <c r="BA224" i="4" s="1"/>
  <c r="BW224" i="4" s="1"/>
  <c r="AD212" i="4"/>
  <c r="AW212" i="4"/>
  <c r="BA212" i="4" s="1"/>
  <c r="BW212" i="4" s="1"/>
  <c r="AD175" i="4"/>
  <c r="AW175" i="4"/>
  <c r="BA175" i="4" s="1"/>
  <c r="BW175" i="4" s="1"/>
  <c r="AD161" i="4"/>
  <c r="AW161" i="4"/>
  <c r="BA161" i="4" s="1"/>
  <c r="BW161" i="4" s="1"/>
  <c r="AD143" i="4"/>
  <c r="AW143" i="4"/>
  <c r="BA143" i="4" s="1"/>
  <c r="BW143" i="4" s="1"/>
  <c r="AD135" i="4"/>
  <c r="AW135" i="4"/>
  <c r="BA135" i="4" s="1"/>
  <c r="BW135" i="4" s="1"/>
  <c r="AD119" i="4"/>
  <c r="AW119" i="4"/>
  <c r="BA119" i="4" s="1"/>
  <c r="BW119" i="4" s="1"/>
  <c r="AD306" i="4"/>
  <c r="AW306" i="4"/>
  <c r="BA306" i="4" s="1"/>
  <c r="BW306" i="4" s="1"/>
  <c r="AD251" i="4"/>
  <c r="AW251" i="4"/>
  <c r="BA251" i="4" s="1"/>
  <c r="BW251" i="4" s="1"/>
  <c r="AD216" i="4"/>
  <c r="AW216" i="4"/>
  <c r="BA216" i="4" s="1"/>
  <c r="BW216" i="4" s="1"/>
  <c r="AD145" i="4"/>
  <c r="AW145" i="4"/>
  <c r="BA145" i="4" s="1"/>
  <c r="BW145" i="4" s="1"/>
  <c r="AD305" i="4"/>
  <c r="AW305" i="4"/>
  <c r="BA305" i="4" s="1"/>
  <c r="BW305" i="4" s="1"/>
  <c r="AD286" i="4"/>
  <c r="AW286" i="4"/>
  <c r="BA286" i="4" s="1"/>
  <c r="BW286" i="4" s="1"/>
  <c r="AD208" i="4"/>
  <c r="AW208" i="4"/>
  <c r="BA208" i="4" s="1"/>
  <c r="BW208" i="4" s="1"/>
  <c r="AD192" i="4"/>
  <c r="AW192" i="4"/>
  <c r="BA192" i="4" s="1"/>
  <c r="BW192" i="4" s="1"/>
  <c r="AD177" i="4"/>
  <c r="AW177" i="4"/>
  <c r="BA177" i="4" s="1"/>
  <c r="BW177" i="4" s="1"/>
  <c r="AD140" i="4"/>
  <c r="AW140" i="4"/>
  <c r="BA140" i="4" s="1"/>
  <c r="BW140" i="4" s="1"/>
  <c r="AD113" i="4"/>
  <c r="AW113" i="4"/>
  <c r="BA113" i="4" s="1"/>
  <c r="BW113" i="4" s="1"/>
  <c r="AD261" i="4"/>
  <c r="AW261" i="4"/>
  <c r="BA261" i="4" s="1"/>
  <c r="BW261" i="4" s="1"/>
  <c r="AD211" i="4"/>
  <c r="AW211" i="4"/>
  <c r="BA211" i="4" s="1"/>
  <c r="BW211" i="4" s="1"/>
  <c r="AD193" i="4"/>
  <c r="AW193" i="4"/>
  <c r="BA193" i="4" s="1"/>
  <c r="BW193" i="4" s="1"/>
  <c r="AD180" i="4"/>
  <c r="AW180" i="4"/>
  <c r="BA180" i="4" s="1"/>
  <c r="BW180" i="4" s="1"/>
  <c r="AD166" i="4"/>
  <c r="AW166" i="4"/>
  <c r="BA166" i="4" s="1"/>
  <c r="BW166" i="4" s="1"/>
  <c r="AD153" i="4"/>
  <c r="AW153" i="4"/>
  <c r="BA153" i="4" s="1"/>
  <c r="BW153" i="4" s="1"/>
  <c r="AD59" i="4"/>
  <c r="AW59" i="4"/>
  <c r="BA59" i="4" s="1"/>
  <c r="BW59" i="4" s="1"/>
  <c r="BW82" i="4"/>
  <c r="BR308" i="4"/>
  <c r="BW236" i="4"/>
  <c r="BW269" i="4"/>
  <c r="BW289" i="4"/>
  <c r="BW70" i="4"/>
  <c r="BW189" i="4"/>
  <c r="C186" i="52"/>
  <c r="B185" i="52"/>
  <c r="C49" i="52" s="1"/>
  <c r="G49" i="52" s="1"/>
  <c r="BV135" i="4"/>
  <c r="Z12" i="2"/>
  <c r="BV119" i="4"/>
  <c r="Z10" i="2"/>
  <c r="AD10" i="2" s="1"/>
  <c r="BV258" i="4"/>
  <c r="Z17" i="2"/>
  <c r="AD17" i="2" s="1"/>
  <c r="BW255" i="4"/>
  <c r="BV181" i="4"/>
  <c r="Z15" i="2"/>
  <c r="AD15" i="2" s="1"/>
  <c r="Z9" i="2"/>
  <c r="BV152" i="4"/>
  <c r="Z14" i="2"/>
  <c r="AD14" i="2" s="1"/>
  <c r="BV122" i="4"/>
  <c r="Z11" i="2"/>
  <c r="AD11" i="2" s="1"/>
  <c r="BV305" i="4"/>
  <c r="Z19" i="2"/>
  <c r="AD19" i="2" s="1"/>
  <c r="BV142" i="4"/>
  <c r="Z13" i="2"/>
  <c r="AD13" i="2" s="1"/>
  <c r="BV216" i="4"/>
  <c r="Z16" i="2"/>
  <c r="BV259" i="4"/>
  <c r="Z18" i="2"/>
  <c r="AD18" i="2" s="1"/>
  <c r="B264" i="52"/>
  <c r="B54" i="52" s="1"/>
  <c r="E208" i="52"/>
  <c r="E207" i="52"/>
  <c r="D208" i="52"/>
  <c r="C207" i="52"/>
  <c r="C51" i="52" s="1"/>
  <c r="G51" i="52" s="1"/>
  <c r="B207" i="52"/>
  <c r="C50" i="52" s="1"/>
  <c r="G50" i="52" s="1"/>
  <c r="C208" i="52"/>
  <c r="B51" i="52" s="1"/>
  <c r="BW281" i="4"/>
  <c r="BW252" i="4"/>
  <c r="BW276" i="4"/>
  <c r="BW271" i="4"/>
  <c r="BW214" i="4"/>
  <c r="BW303" i="4"/>
  <c r="BW268" i="4"/>
  <c r="BW239" i="4"/>
  <c r="BW209" i="4"/>
  <c r="BW179" i="4"/>
  <c r="BW110" i="4"/>
  <c r="BW91" i="4"/>
  <c r="BW234" i="4"/>
  <c r="BW118" i="4"/>
  <c r="BW304" i="4"/>
  <c r="BW297" i="4"/>
  <c r="BW203" i="4"/>
  <c r="BW277" i="4"/>
  <c r="BW267" i="4"/>
  <c r="BW248" i="4"/>
  <c r="BW290" i="4"/>
  <c r="BW158" i="4"/>
  <c r="BW199" i="4"/>
  <c r="BW280" i="4"/>
  <c r="BW205" i="4"/>
  <c r="BW183" i="4"/>
  <c r="BW128" i="4"/>
  <c r="BW49" i="4"/>
  <c r="BW299" i="4"/>
  <c r="BW272" i="4"/>
  <c r="BW215" i="4"/>
  <c r="BW296" i="4"/>
  <c r="BW256" i="4"/>
  <c r="BW37" i="4"/>
  <c r="BW111" i="4"/>
  <c r="BW61" i="4"/>
  <c r="BW54" i="4"/>
  <c r="BW46" i="4"/>
  <c r="BW38" i="4"/>
  <c r="BW26" i="4"/>
  <c r="BW127" i="4"/>
  <c r="BW114" i="4"/>
  <c r="BW112" i="4"/>
  <c r="BW107" i="4"/>
  <c r="BW86" i="4"/>
  <c r="BW78" i="4"/>
  <c r="BW64" i="4"/>
  <c r="BW20" i="4"/>
  <c r="BW117" i="4"/>
  <c r="BW102" i="4"/>
  <c r="BW81" i="4"/>
  <c r="BW67" i="4"/>
  <c r="BW41" i="4"/>
  <c r="BW15" i="4"/>
  <c r="BW73" i="4"/>
  <c r="BW53" i="4"/>
  <c r="BW25" i="4"/>
  <c r="BW133" i="4"/>
  <c r="BW131" i="4"/>
  <c r="BW129" i="4"/>
  <c r="BW125" i="4"/>
  <c r="BW123" i="4"/>
  <c r="BW106" i="4"/>
  <c r="BW98" i="4"/>
  <c r="BW57" i="4"/>
  <c r="BW45" i="4"/>
  <c r="BW72" i="4"/>
  <c r="BW48" i="4"/>
  <c r="BW104" i="4"/>
  <c r="BW87" i="4"/>
  <c r="BW71" i="4"/>
  <c r="BW288" i="4"/>
  <c r="BW275" i="4"/>
  <c r="BW265" i="4"/>
  <c r="BW254" i="4"/>
  <c r="BW147" i="4"/>
  <c r="BW301" i="4"/>
  <c r="BW291" i="4"/>
  <c r="BW282" i="4"/>
  <c r="BW253" i="4"/>
  <c r="BW245" i="4"/>
  <c r="BW237" i="4"/>
  <c r="BW210" i="4"/>
  <c r="BW200" i="4"/>
  <c r="BW198" i="4"/>
  <c r="BW176" i="4"/>
  <c r="BW168" i="4"/>
  <c r="BW105" i="4"/>
  <c r="BW90" i="4"/>
  <c r="BW84" i="4"/>
  <c r="BW56" i="4"/>
  <c r="BW40" i="4"/>
  <c r="BW28" i="4"/>
  <c r="BW18" i="4"/>
  <c r="BW65" i="4"/>
  <c r="BW51" i="4"/>
  <c r="BW11" i="4"/>
  <c r="BW156" i="4"/>
  <c r="BW238" i="4"/>
  <c r="BW233" i="4"/>
  <c r="BW231" i="4"/>
  <c r="BW191" i="4"/>
  <c r="BW76" i="4"/>
  <c r="BW68" i="4"/>
  <c r="BW10" i="4"/>
  <c r="BW96" i="4"/>
  <c r="BW79" i="4"/>
  <c r="BW74" i="4"/>
  <c r="BW43" i="4"/>
  <c r="BW35" i="4"/>
  <c r="BW17" i="4"/>
  <c r="BW9" i="4"/>
  <c r="BW300" i="4"/>
  <c r="BW285" i="4"/>
  <c r="BW279" i="4"/>
  <c r="BW274" i="4"/>
  <c r="BW250" i="4"/>
  <c r="BW226" i="4"/>
  <c r="BW116" i="4"/>
  <c r="BW298" i="4"/>
  <c r="BW287" i="4"/>
  <c r="BW278" i="4"/>
  <c r="BW270" i="4"/>
  <c r="BW262" i="4"/>
  <c r="BW257" i="4"/>
  <c r="BW241" i="4"/>
  <c r="BW229" i="4"/>
  <c r="BW204" i="4"/>
  <c r="BW197" i="4"/>
  <c r="BW162" i="4"/>
  <c r="BW115" i="4"/>
  <c r="BW108" i="4"/>
  <c r="BW101" i="4"/>
  <c r="BW93" i="4"/>
  <c r="BW52" i="4"/>
  <c r="BW44" i="4"/>
  <c r="BW36" i="4"/>
  <c r="BW24" i="4"/>
  <c r="BW14" i="4"/>
  <c r="BW66" i="4"/>
  <c r="BW55" i="4"/>
  <c r="BW50" i="4"/>
  <c r="BW99" i="4"/>
  <c r="BW16" i="4"/>
  <c r="BW247" i="4"/>
  <c r="BW294" i="4"/>
  <c r="BW260" i="4"/>
  <c r="BW242" i="4"/>
  <c r="BW230" i="4"/>
  <c r="BW201" i="4"/>
  <c r="BW134" i="4"/>
  <c r="BW132" i="4"/>
  <c r="BW130" i="4"/>
  <c r="BW126" i="4"/>
  <c r="BW124" i="4"/>
  <c r="BW122" i="4"/>
  <c r="BW80" i="4"/>
  <c r="BW103" i="4"/>
  <c r="BW100" i="4"/>
  <c r="BW92" i="4"/>
  <c r="BW88" i="4"/>
  <c r="BW83" i="4"/>
  <c r="BW75" i="4"/>
  <c r="BW47" i="4"/>
  <c r="BW39" i="4"/>
  <c r="BW34" i="4"/>
  <c r="BW27" i="4"/>
  <c r="BW13" i="4"/>
  <c r="BA8" i="4"/>
  <c r="BW240" i="4"/>
  <c r="BW12" i="4"/>
  <c r="BW273" i="4"/>
  <c r="BW85" i="4"/>
  <c r="BW69" i="4"/>
  <c r="BW246" i="4"/>
  <c r="BW206" i="4"/>
  <c r="BW89" i="4"/>
  <c r="BW42" i="4"/>
  <c r="BW244" i="4"/>
  <c r="BW232" i="4"/>
  <c r="BW243" i="4"/>
  <c r="BW235" i="4"/>
  <c r="BW159" i="4"/>
  <c r="BW19" i="4"/>
  <c r="BW202" i="4"/>
  <c r="BW109" i="4"/>
  <c r="BW58" i="4"/>
  <c r="BM309" i="4"/>
  <c r="AB5" i="48"/>
  <c r="AB6" i="48"/>
  <c r="V6" i="48" s="1"/>
  <c r="Y6" i="48" s="1"/>
  <c r="AH5" i="48"/>
  <c r="AH6" i="48"/>
  <c r="Y4" i="48"/>
  <c r="B4" i="48"/>
  <c r="AA9" i="33"/>
  <c r="AI9" i="33" s="1"/>
  <c r="AG9" i="33" s="1"/>
  <c r="W4" i="33"/>
  <c r="L19" i="2"/>
  <c r="AF7" i="39"/>
  <c r="W3" i="33"/>
  <c r="O9" i="24"/>
  <c r="R9" i="24" s="1"/>
  <c r="L9" i="2"/>
  <c r="P4" i="39"/>
  <c r="S4" i="39" s="1"/>
  <c r="P6" i="39"/>
  <c r="F11" i="33"/>
  <c r="W8" i="33"/>
  <c r="T6" i="32"/>
  <c r="O3" i="24"/>
  <c r="R3" i="24" s="1"/>
  <c r="P9" i="2"/>
  <c r="L11" i="2"/>
  <c r="AK9" i="51"/>
  <c r="AB9" i="51" s="1"/>
  <c r="AK8" i="51"/>
  <c r="AB8" i="51" s="1"/>
  <c r="AK7" i="51"/>
  <c r="AB7" i="51" s="1"/>
  <c r="AK4" i="51"/>
  <c r="AB4" i="51" s="1"/>
  <c r="AK5" i="51"/>
  <c r="AB5" i="51" s="1"/>
  <c r="AK6" i="51"/>
  <c r="AB6" i="51" s="1"/>
  <c r="AK10" i="51"/>
  <c r="P7" i="39"/>
  <c r="F133" i="39" s="1"/>
  <c r="F141" i="39" s="1"/>
  <c r="W7" i="33"/>
  <c r="T4" i="32"/>
  <c r="S6" i="32"/>
  <c r="AC6" i="32" s="1"/>
  <c r="O6" i="32" s="1"/>
  <c r="R6" i="32" s="1"/>
  <c r="H13" i="2"/>
  <c r="H10" i="2"/>
  <c r="H11" i="2"/>
  <c r="AC4" i="51"/>
  <c r="AQ7" i="51"/>
  <c r="AQ4" i="51"/>
  <c r="AB14" i="51"/>
  <c r="AQ8" i="51"/>
  <c r="AQ5" i="51"/>
  <c r="AQ9" i="51"/>
  <c r="P8" i="39"/>
  <c r="S8" i="39" s="1"/>
  <c r="AA5" i="33"/>
  <c r="AI5" i="33" s="1"/>
  <c r="AG5" i="33" s="1"/>
  <c r="AA10" i="33"/>
  <c r="AL10" i="33" s="1"/>
  <c r="AA6" i="33"/>
  <c r="AK6" i="33" s="1"/>
  <c r="AH6" i="33" s="1"/>
  <c r="S8" i="32"/>
  <c r="AC8" i="32" s="1"/>
  <c r="O8" i="32" s="1"/>
  <c r="R8" i="32" s="1"/>
  <c r="T9" i="32"/>
  <c r="S11" i="32"/>
  <c r="AC11" i="32" s="1"/>
  <c r="O11" i="32" s="1"/>
  <c r="R11" i="32" s="1"/>
  <c r="T5" i="32"/>
  <c r="S12" i="32"/>
  <c r="AC12" i="32" s="1"/>
  <c r="O12" i="32" s="1"/>
  <c r="R12" i="32" s="1"/>
  <c r="U8" i="32"/>
  <c r="T8" i="32" s="1"/>
  <c r="O7" i="24"/>
  <c r="R7" i="24" s="1"/>
  <c r="O8" i="24"/>
  <c r="R8" i="24" s="1"/>
  <c r="O5" i="24"/>
  <c r="R5" i="24" s="1"/>
  <c r="O4" i="24"/>
  <c r="R4" i="24" s="1"/>
  <c r="O10" i="24"/>
  <c r="R10" i="24" s="1"/>
  <c r="T3" i="12"/>
  <c r="N3" i="12" s="1"/>
  <c r="R3" i="12" s="1"/>
  <c r="R17" i="2"/>
  <c r="L12" i="2"/>
  <c r="L14" i="2"/>
  <c r="R19" i="2"/>
  <c r="R18" i="2"/>
  <c r="L10" i="2"/>
  <c r="L15" i="2"/>
  <c r="AA8" i="51"/>
  <c r="AC8" i="51"/>
  <c r="AB10" i="51"/>
  <c r="AN5" i="51"/>
  <c r="X5" i="51" s="1"/>
  <c r="AN10" i="51"/>
  <c r="X10" i="51" s="1"/>
  <c r="AN6" i="51"/>
  <c r="X6" i="51" s="1"/>
  <c r="AN9" i="51"/>
  <c r="X9" i="51" s="1"/>
  <c r="P10" i="39"/>
  <c r="S10" i="39" s="1"/>
  <c r="P9" i="39"/>
  <c r="S9" i="39" s="1"/>
  <c r="AA7" i="33"/>
  <c r="AL7" i="33" s="1"/>
  <c r="AA3" i="33"/>
  <c r="AK3" i="33" s="1"/>
  <c r="AH3" i="33" s="1"/>
  <c r="AA8" i="33"/>
  <c r="AK8" i="33" s="1"/>
  <c r="AH8" i="33" s="1"/>
  <c r="AA4" i="33"/>
  <c r="AK4" i="33" s="1"/>
  <c r="AH4" i="33" s="1"/>
  <c r="O10" i="32"/>
  <c r="R10" i="32" s="1"/>
  <c r="S9" i="32"/>
  <c r="AC9" i="32" s="1"/>
  <c r="S4" i="32"/>
  <c r="AC4" i="32" s="1"/>
  <c r="S5" i="32"/>
  <c r="AC5" i="32" s="1"/>
  <c r="O5" i="32" s="1"/>
  <c r="R5" i="32" s="1"/>
  <c r="S7" i="32"/>
  <c r="AC7" i="32" s="1"/>
  <c r="O7" i="32" s="1"/>
  <c r="S13" i="32"/>
  <c r="AC13" i="32" s="1"/>
  <c r="O13" i="32" s="1"/>
  <c r="R13" i="32" s="1"/>
  <c r="O6" i="24"/>
  <c r="R6" i="24" s="1"/>
  <c r="T5" i="12"/>
  <c r="N5" i="12" s="1"/>
  <c r="R5" i="12" s="1"/>
  <c r="O3" i="12"/>
  <c r="S3" i="12" s="1"/>
  <c r="R4" i="12"/>
  <c r="N6" i="12"/>
  <c r="R6" i="12" s="1"/>
  <c r="O4" i="12"/>
  <c r="D83" i="52"/>
  <c r="B30" i="52"/>
  <c r="B29" i="52"/>
  <c r="C85" i="52"/>
  <c r="B22" i="52" s="1"/>
  <c r="C84" i="52"/>
  <c r="B8" i="52"/>
  <c r="B32" i="52"/>
  <c r="C17" i="52"/>
  <c r="B31" i="52"/>
  <c r="B55" i="52"/>
  <c r="B56" i="52" s="1"/>
  <c r="C23" i="52"/>
  <c r="C32" i="52"/>
  <c r="C31" i="52"/>
  <c r="C24" i="52"/>
  <c r="C18" i="52"/>
  <c r="C33" i="52"/>
  <c r="P5" i="46"/>
  <c r="T5" i="46" s="1"/>
  <c r="Q4" i="46"/>
  <c r="U4" i="46" s="1"/>
  <c r="P7" i="46"/>
  <c r="T7" i="46" s="1"/>
  <c r="P6" i="46"/>
  <c r="T6" i="46" s="1"/>
  <c r="P4" i="46"/>
  <c r="T4" i="46" s="1"/>
  <c r="Q6" i="46"/>
  <c r="U6" i="46" s="1"/>
  <c r="S5" i="39"/>
  <c r="AF8" i="39"/>
  <c r="H57" i="34"/>
  <c r="H60" i="34" s="1"/>
  <c r="P14" i="28"/>
  <c r="S14" i="28" s="1"/>
  <c r="S5" i="28"/>
  <c r="S10" i="28"/>
  <c r="P13" i="28"/>
  <c r="S13" i="28" s="1"/>
  <c r="X308" i="4"/>
  <c r="W3" i="31" l="1"/>
  <c r="O9" i="32"/>
  <c r="R9" i="32" s="1"/>
  <c r="B34" i="52"/>
  <c r="B26" i="52"/>
  <c r="O4" i="32"/>
  <c r="B16" i="52"/>
  <c r="B17" i="52"/>
  <c r="B9" i="52"/>
  <c r="B12" i="52" s="1"/>
  <c r="M28" i="53"/>
  <c r="M25" i="53"/>
  <c r="M31" i="53"/>
  <c r="M24" i="53"/>
  <c r="N21" i="53"/>
  <c r="M26" i="53"/>
  <c r="M23" i="53"/>
  <c r="M32" i="53"/>
  <c r="M29" i="53"/>
  <c r="M27" i="53"/>
  <c r="M30" i="53"/>
  <c r="T4" i="31"/>
  <c r="W4" i="31" s="1"/>
  <c r="B33" i="52"/>
  <c r="B35" i="52" s="1"/>
  <c r="B25" i="52"/>
  <c r="B27" i="52" s="1"/>
  <c r="AS4" i="37"/>
  <c r="AU4" i="37"/>
  <c r="R7" i="35"/>
  <c r="U7" i="35" s="1"/>
  <c r="U3" i="35"/>
  <c r="T18" i="31"/>
  <c r="W18" i="31" s="1"/>
  <c r="W12" i="31"/>
  <c r="C19" i="52"/>
  <c r="C20" i="52" s="1"/>
  <c r="C11" i="52"/>
  <c r="C12" i="52" s="1"/>
  <c r="S17" i="2"/>
  <c r="AD308" i="4"/>
  <c r="BA21" i="4"/>
  <c r="BW21" i="4" s="1"/>
  <c r="AW308" i="4"/>
  <c r="BW8" i="4"/>
  <c r="S6" i="39"/>
  <c r="AS249" i="4"/>
  <c r="AM249" i="4"/>
  <c r="AG249" i="4"/>
  <c r="AD9" i="2"/>
  <c r="Z25" i="2"/>
  <c r="G55" i="52"/>
  <c r="C55" i="52"/>
  <c r="C56" i="52" s="1"/>
  <c r="R9" i="2"/>
  <c r="R13" i="2"/>
  <c r="L13" i="2"/>
  <c r="T17" i="2"/>
  <c r="R16" i="2"/>
  <c r="F25" i="2"/>
  <c r="H14" i="2"/>
  <c r="N25" i="2"/>
  <c r="V5" i="48"/>
  <c r="Y5" i="48" s="1"/>
  <c r="AA4" i="51"/>
  <c r="S10" i="2"/>
  <c r="AJ9" i="33"/>
  <c r="AL9" i="33"/>
  <c r="AK9" i="33"/>
  <c r="AH9" i="33" s="1"/>
  <c r="V9" i="33" s="1"/>
  <c r="Y9" i="33" s="1"/>
  <c r="D13" i="2"/>
  <c r="S13" i="2"/>
  <c r="S19" i="2"/>
  <c r="T19" i="2" s="1"/>
  <c r="D19" i="2"/>
  <c r="S11" i="2"/>
  <c r="D11" i="2"/>
  <c r="S18" i="2"/>
  <c r="T18" i="2" s="1"/>
  <c r="D18" i="2"/>
  <c r="D12" i="2"/>
  <c r="D16" i="2"/>
  <c r="S9" i="2"/>
  <c r="D9" i="2"/>
  <c r="D25" i="2" s="1"/>
  <c r="C25" i="2"/>
  <c r="S14" i="2"/>
  <c r="D14" i="2"/>
  <c r="S15" i="2"/>
  <c r="D15" i="2"/>
  <c r="AJ10" i="33"/>
  <c r="AI10" i="33"/>
  <c r="AG10" i="33" s="1"/>
  <c r="AI4" i="33"/>
  <c r="AG4" i="33" s="1"/>
  <c r="V4" i="33" s="1"/>
  <c r="Y4" i="33" s="1"/>
  <c r="AK10" i="33"/>
  <c r="AH10" i="33" s="1"/>
  <c r="R10" i="2"/>
  <c r="R11" i="2"/>
  <c r="AI7" i="33"/>
  <c r="AG7" i="33" s="1"/>
  <c r="AI8" i="33"/>
  <c r="AG8" i="33" s="1"/>
  <c r="V8" i="33" s="1"/>
  <c r="Y8" i="33" s="1"/>
  <c r="AL5" i="33"/>
  <c r="AJ3" i="33"/>
  <c r="AJ5" i="33"/>
  <c r="R11" i="24"/>
  <c r="O5" i="12"/>
  <c r="S5" i="12" s="1"/>
  <c r="R12" i="2"/>
  <c r="AI3" i="33"/>
  <c r="AG3" i="33" s="1"/>
  <c r="V3" i="33" s="1"/>
  <c r="Y3" i="33" s="1"/>
  <c r="AI6" i="33"/>
  <c r="AG6" i="33" s="1"/>
  <c r="V6" i="33" s="1"/>
  <c r="Y6" i="33" s="1"/>
  <c r="AJ4" i="33"/>
  <c r="AJ6" i="33"/>
  <c r="AL4" i="33"/>
  <c r="AJ8" i="33"/>
  <c r="AK5" i="33"/>
  <c r="AH5" i="33" s="1"/>
  <c r="V5" i="33" s="1"/>
  <c r="Y5" i="33" s="1"/>
  <c r="AL6" i="33"/>
  <c r="AK7" i="33"/>
  <c r="AH7" i="33" s="1"/>
  <c r="O11" i="24"/>
  <c r="R14" i="2"/>
  <c r="R15" i="2"/>
  <c r="J25" i="2"/>
  <c r="B25" i="2"/>
  <c r="AA5" i="51"/>
  <c r="X15" i="51"/>
  <c r="AC5" i="51"/>
  <c r="X11" i="51"/>
  <c r="AA10" i="51"/>
  <c r="AC10" i="51"/>
  <c r="X13" i="51"/>
  <c r="X17" i="51"/>
  <c r="AA9" i="51"/>
  <c r="AA17" i="51" s="1"/>
  <c r="AC9" i="51"/>
  <c r="AC6" i="51"/>
  <c r="AA6" i="51"/>
  <c r="AA14" i="51"/>
  <c r="AC14" i="51"/>
  <c r="AA7" i="51"/>
  <c r="AC7" i="51"/>
  <c r="X16" i="51"/>
  <c r="X12" i="51"/>
  <c r="AL8" i="33"/>
  <c r="AL3" i="33"/>
  <c r="AJ7" i="33"/>
  <c r="R7" i="32"/>
  <c r="O15" i="32"/>
  <c r="R15" i="32" s="1"/>
  <c r="R4" i="32"/>
  <c r="O14" i="32"/>
  <c r="R14" i="32" s="1"/>
  <c r="N10" i="12"/>
  <c r="N9" i="12"/>
  <c r="S4" i="12"/>
  <c r="O9" i="12"/>
  <c r="R9" i="12"/>
  <c r="R10" i="12"/>
  <c r="D84" i="52"/>
  <c r="C30" i="52"/>
  <c r="C29" i="52"/>
  <c r="C27" i="52"/>
  <c r="E55" i="52"/>
  <c r="E56" i="52" s="1"/>
  <c r="D55" i="52"/>
  <c r="D56" i="52" s="1"/>
  <c r="S7" i="39"/>
  <c r="E20" i="52" l="1"/>
  <c r="D20" i="52"/>
  <c r="E12" i="52"/>
  <c r="D12" i="52"/>
  <c r="M33" i="53"/>
  <c r="AS137" i="4"/>
  <c r="AG137" i="4"/>
  <c r="B20" i="52"/>
  <c r="C35" i="52"/>
  <c r="N25" i="53"/>
  <c r="N23" i="53"/>
  <c r="O21" i="53"/>
  <c r="N31" i="53"/>
  <c r="N28" i="53"/>
  <c r="N26" i="53"/>
  <c r="N24" i="53"/>
  <c r="N29" i="53"/>
  <c r="N27" i="53"/>
  <c r="N32" i="53"/>
  <c r="N30" i="53"/>
  <c r="T19" i="31"/>
  <c r="W19" i="31" s="1"/>
  <c r="T13" i="2"/>
  <c r="Y26" i="2"/>
  <c r="BU249" i="4"/>
  <c r="AU249" i="4"/>
  <c r="BS249" i="4"/>
  <c r="AI249" i="4"/>
  <c r="BT249" i="4"/>
  <c r="AO249" i="4"/>
  <c r="T15" i="2"/>
  <c r="T11" i="2"/>
  <c r="T10" i="2"/>
  <c r="T14" i="2"/>
  <c r="V7" i="33"/>
  <c r="Y7" i="33" s="1"/>
  <c r="V10" i="33"/>
  <c r="Y10" i="33" s="1"/>
  <c r="T9" i="2"/>
  <c r="O10" i="12"/>
  <c r="AA13" i="51"/>
  <c r="R25" i="2"/>
  <c r="AA16" i="51"/>
  <c r="AA12" i="51"/>
  <c r="AA15" i="51"/>
  <c r="AA11" i="51"/>
  <c r="S9" i="12"/>
  <c r="S10" i="12"/>
  <c r="D35" i="52"/>
  <c r="E35" i="52"/>
  <c r="E27" i="52"/>
  <c r="D27" i="52"/>
  <c r="BS137" i="4" l="1"/>
  <c r="AI137" i="4"/>
  <c r="BU137" i="4"/>
  <c r="AC12" i="2" s="1"/>
  <c r="AU137" i="4"/>
  <c r="O24" i="53"/>
  <c r="O32" i="53"/>
  <c r="O30" i="53"/>
  <c r="O27" i="53"/>
  <c r="O25" i="53"/>
  <c r="P21" i="53"/>
  <c r="O23" i="53"/>
  <c r="O33" i="53" s="1"/>
  <c r="O28" i="53"/>
  <c r="O26" i="53"/>
  <c r="O31" i="53"/>
  <c r="O29" i="53"/>
  <c r="N33" i="53"/>
  <c r="BS308" i="4"/>
  <c r="K16" i="2"/>
  <c r="AO308" i="4"/>
  <c r="O16" i="2"/>
  <c r="AU308" i="4"/>
  <c r="AX249" i="4"/>
  <c r="G16" i="2"/>
  <c r="AP249" i="4"/>
  <c r="AP308" i="4" s="1"/>
  <c r="AY249" i="4"/>
  <c r="AY308" i="4" s="1"/>
  <c r="AV249" i="4"/>
  <c r="AZ249" i="4"/>
  <c r="AB16" i="2"/>
  <c r="AB25" i="2" s="1"/>
  <c r="BT308" i="4"/>
  <c r="AC16" i="2"/>
  <c r="AC25" i="2" s="1"/>
  <c r="BU308" i="4"/>
  <c r="AA16" i="2"/>
  <c r="BV249" i="4"/>
  <c r="AI308" i="4"/>
  <c r="AJ249" i="4"/>
  <c r="V11" i="33"/>
  <c r="Y11" i="33" s="1"/>
  <c r="AX308" i="4" l="1"/>
  <c r="AZ137" i="4"/>
  <c r="AZ308" i="4" s="1"/>
  <c r="O12" i="2"/>
  <c r="P12" i="2" s="1"/>
  <c r="AV137" i="4"/>
  <c r="AV308" i="4"/>
  <c r="P32" i="53"/>
  <c r="P30" i="53"/>
  <c r="P26" i="53"/>
  <c r="P31" i="53"/>
  <c r="P23" i="53"/>
  <c r="P29" i="53"/>
  <c r="P25" i="53"/>
  <c r="P28" i="53"/>
  <c r="P27" i="53"/>
  <c r="P24" i="53"/>
  <c r="AX137" i="4"/>
  <c r="G12" i="2"/>
  <c r="G25" i="2" s="1"/>
  <c r="AJ137" i="4"/>
  <c r="AJ308" i="4" s="1"/>
  <c r="AA12" i="2"/>
  <c r="AD12" i="2" s="1"/>
  <c r="BV137" i="4"/>
  <c r="BV308" i="4" s="1"/>
  <c r="BA249" i="4"/>
  <c r="K25" i="2"/>
  <c r="L16" i="2"/>
  <c r="L25" i="2" s="1"/>
  <c r="O25" i="2"/>
  <c r="P16" i="2"/>
  <c r="P25" i="2" s="1"/>
  <c r="H16" i="2"/>
  <c r="S16" i="2"/>
  <c r="AD16" i="2"/>
  <c r="AD25" i="2" l="1"/>
  <c r="AD26" i="2" s="1"/>
  <c r="AA25" i="2"/>
  <c r="P33" i="53"/>
  <c r="H12" i="2"/>
  <c r="H25" i="2" s="1"/>
  <c r="S12" i="2"/>
  <c r="T12" i="2" s="1"/>
  <c r="BA137" i="4"/>
  <c r="BW137" i="4" s="1"/>
  <c r="BA308" i="4"/>
  <c r="BV309" i="4" s="1"/>
  <c r="BW249" i="4"/>
  <c r="T16" i="2"/>
  <c r="T25" i="2" s="1"/>
  <c r="S25" i="2" l="1"/>
  <c r="AC6" i="29"/>
  <c r="R6" i="29" s="1"/>
  <c r="U6" i="29" s="1"/>
  <c r="AC5" i="29"/>
  <c r="R5" i="29" s="1"/>
  <c r="U5" i="29" s="1"/>
  <c r="U5" i="26"/>
  <c r="N5" i="26" s="1"/>
  <c r="Q5" i="2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5"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5"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5"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5"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5"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5"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5"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5"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5"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5"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5"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F4" authorId="0" shapeId="0" xr:uid="{00000000-0006-0000-2D00-000001000000}">
      <text>
        <r>
          <rPr>
            <sz val="9"/>
            <color indexed="81"/>
            <rFont val="Tahoma"/>
            <family val="2"/>
          </rPr>
          <t>Custom input</t>
        </r>
      </text>
    </comment>
    <comment ref="G4" authorId="0" shapeId="0" xr:uid="{00000000-0006-0000-2D00-000002000000}">
      <text>
        <r>
          <rPr>
            <sz val="9"/>
            <color indexed="81"/>
            <rFont val="Tahoma"/>
            <family val="2"/>
          </rPr>
          <t>Custom input</t>
        </r>
      </text>
    </comment>
    <comment ref="J4" authorId="0" shapeId="0" xr:uid="{00000000-0006-0000-2D00-000003000000}">
      <text>
        <r>
          <rPr>
            <b/>
            <sz val="9"/>
            <color indexed="81"/>
            <rFont val="Tahoma"/>
            <family val="2"/>
          </rPr>
          <t>SMR:</t>
        </r>
        <r>
          <rPr>
            <sz val="9"/>
            <color indexed="81"/>
            <rFont val="Tahoma"/>
            <family val="2"/>
          </rPr>
          <t xml:space="preserve">
electric cooling savings apply to Central cooling only</t>
        </r>
      </text>
    </comment>
    <comment ref="F5" authorId="0" shapeId="0" xr:uid="{00000000-0006-0000-2D00-000004000000}">
      <text>
        <r>
          <rPr>
            <sz val="9"/>
            <color indexed="81"/>
            <rFont val="Tahoma"/>
            <family val="2"/>
          </rPr>
          <t>Custom input</t>
        </r>
      </text>
    </comment>
    <comment ref="G5" authorId="0" shapeId="0" xr:uid="{00000000-0006-0000-2D00-000005000000}">
      <text>
        <r>
          <rPr>
            <sz val="9"/>
            <color indexed="81"/>
            <rFont val="Tahoma"/>
            <family val="2"/>
          </rPr>
          <t>Custom input</t>
        </r>
      </text>
    </comment>
    <comment ref="J5" authorId="0" shapeId="0" xr:uid="{00000000-0006-0000-2D00-000006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H3" authorId="0" shapeId="0" xr:uid="{00000000-0006-0000-2E00-000001000000}">
      <text>
        <r>
          <rPr>
            <sz val="9"/>
            <color indexed="81"/>
            <rFont val="Tahoma"/>
            <family val="2"/>
          </rPr>
          <t>Custom input</t>
        </r>
      </text>
    </comment>
    <comment ref="I3" authorId="0" shapeId="0" xr:uid="{00000000-0006-0000-2E00-000002000000}">
      <text>
        <r>
          <rPr>
            <sz val="9"/>
            <color indexed="81"/>
            <rFont val="Tahoma"/>
            <family val="2"/>
          </rPr>
          <t>Custom input</t>
        </r>
      </text>
    </comment>
    <comment ref="J3" authorId="0" shapeId="0" xr:uid="{00000000-0006-0000-2E00-000003000000}">
      <text>
        <r>
          <rPr>
            <sz val="9"/>
            <color indexed="81"/>
            <rFont val="Tahoma"/>
            <family val="2"/>
          </rPr>
          <t>Custom input</t>
        </r>
      </text>
    </comment>
    <comment ref="K3" authorId="0" shapeId="0" xr:uid="{00000000-0006-0000-2E00-000004000000}">
      <text>
        <r>
          <rPr>
            <sz val="9"/>
            <color indexed="81"/>
            <rFont val="Tahoma"/>
            <family val="2"/>
          </rPr>
          <t>Custom input</t>
        </r>
      </text>
    </comment>
    <comment ref="O3" authorId="0" shapeId="0" xr:uid="{00000000-0006-0000-2E00-000005000000}">
      <text>
        <r>
          <rPr>
            <b/>
            <sz val="9"/>
            <color indexed="81"/>
            <rFont val="Tahoma"/>
            <family val="2"/>
          </rPr>
          <t>SMR:</t>
        </r>
        <r>
          <rPr>
            <sz val="9"/>
            <color indexed="81"/>
            <rFont val="Tahoma"/>
            <family val="2"/>
          </rPr>
          <t xml:space="preserve">
electric cooling savings apply to Central cooling only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J3" authorId="0" shapeId="0" xr:uid="{00000000-0006-0000-2F00-000001000000}">
      <text>
        <r>
          <rPr>
            <sz val="9"/>
            <color indexed="81"/>
            <rFont val="Tahoma"/>
            <family val="2"/>
          </rPr>
          <t>Custom input</t>
        </r>
      </text>
    </comment>
    <comment ref="K3" authorId="0" shapeId="0" xr:uid="{00000000-0006-0000-2F00-000002000000}">
      <text>
        <r>
          <rPr>
            <sz val="9"/>
            <color indexed="81"/>
            <rFont val="Tahoma"/>
            <family val="2"/>
          </rPr>
          <t>Custom input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Choong, Linda L.</author>
  </authors>
  <commentList>
    <comment ref="A1" authorId="0" shapeId="0" xr:uid="{A1A26E41-F96F-48FB-821E-A8FA3BC14C24}">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199C35F4-3CAA-4AEA-B53A-46FF4A0989ED}">
      <text>
        <r>
          <rPr>
            <sz val="9"/>
            <color indexed="81"/>
            <rFont val="Tahoma"/>
            <family val="2"/>
          </rPr>
          <t xml:space="preserve">Please specify the current date in this cell and in the filename when saving the document.
</t>
        </r>
      </text>
    </comment>
    <comment ref="A3" authorId="0" shapeId="0" xr:uid="{8F456018-4893-47F3-AA1D-47FB74B9A636}">
      <text>
        <r>
          <rPr>
            <sz val="9"/>
            <color indexed="81"/>
            <rFont val="Tahoma"/>
            <family val="2"/>
          </rPr>
          <t>Please specify the name of the Program Administrator.</t>
        </r>
      </text>
    </comment>
    <comment ref="AE4" authorId="1" shapeId="0" xr:uid="{BA07C8A8-658E-4ED4-AF1A-20E1EB922BD6}">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Q4" authorId="1" shapeId="0" xr:uid="{BF9B900E-4434-4036-95FF-F0D199E6600F}">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P5" authorId="0" shapeId="0" xr:uid="{9AF51459-59C4-47EA-9762-9097DFE0E83D}">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BEA3230B-A7E6-4B3F-B518-3DF634944ADC}">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395931D5-E1EC-4D18-BCB4-B97C83DC23AA}">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E3DEDC6C-069D-49D1-A76F-33B98FA615E8}">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BDEBDB59-98B3-4137-8900-81DD64BB6801}">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E6" authorId="0" shapeId="0" xr:uid="{55D8D98E-8632-4E5A-99DB-39735C2AEE0A}">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F6" authorId="0" shapeId="0" xr:uid="{DDE1F0E7-5CD3-4AF0-864D-165E81F799EE}">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G6" authorId="0" shapeId="0" xr:uid="{B9AD8B80-EB06-4318-9402-9BC44699FF4F}">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H6" authorId="0" shapeId="0" xr:uid="{076C5A38-B682-4DE0-8EB2-E9FEEB39232D}">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B094238D-0F42-49FB-B871-FC83878BD6BA}">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F9D7313C-AFE8-49EB-BBA9-3ABF56035128}">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K6" authorId="0" shapeId="0" xr:uid="{69EA6D46-B866-4E15-8D2E-6B425A4B7A5D}">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L6" authorId="0" shapeId="0" xr:uid="{D2488387-18F3-4B43-867A-41B96719A4C5}">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M6" authorId="0" shapeId="0" xr:uid="{2D23BDBA-1B4B-4CD1-B69B-2669DA706ED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N6" authorId="0" shapeId="0" xr:uid="{4E0F286C-966A-46B1-A1CD-B81B87A0A6CE}">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O6" authorId="0" shapeId="0" xr:uid="{6EE5A27F-EA63-4FAF-9C4F-5DFFFBE215ED}">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F455AD1B-7BFD-4707-B50F-8937ECBD9CC3}">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Q6" authorId="0" shapeId="0" xr:uid="{87875965-3F60-468D-8342-E2D33A3F634F}">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R6" authorId="0" shapeId="0" xr:uid="{C10EC26F-9646-4E6F-8D87-B560406A0CD8}">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S6" authorId="0" shapeId="0" xr:uid="{3E3C2B05-B12A-4792-BF38-92B8862A3C77}">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830EE571-DC3F-4B50-9F8C-97957D5463A2}">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U6" authorId="0" shapeId="0" xr:uid="{22991525-5051-4012-90A9-95FAEC82C8E4}">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V6" authorId="0" shapeId="0" xr:uid="{C2462316-0B8C-4201-A6B7-78652847E441}">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W6" authorId="0" shapeId="0" xr:uid="{528828A2-2043-4D1E-BB51-AC9DAD41EC6D}">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X6" authorId="0" shapeId="0" xr:uid="{F322E2C9-DE23-40B5-99B9-9AD0EAFCA168}">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Y6" authorId="0" shapeId="0" xr:uid="{4489C893-DAFF-485F-8FBA-CF35CA40A25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Z6" authorId="0" shapeId="0" xr:uid="{84A50F0F-1883-4B9A-B76C-72165B63FE23}">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A6" authorId="1" shapeId="0" xr:uid="{BF9F2B29-E67E-4F34-BA66-FB322B923BB5}">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B6" authorId="1" shapeId="0" xr:uid="{F5292EE2-897C-4468-AD86-F3E6D896A3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C6" authorId="0" shapeId="0" xr:uid="{3F3349BD-EC55-49A7-9275-6D54543F9635}">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D6" authorId="0" shapeId="0" xr:uid="{27961489-570A-46DC-AC34-405B8CE7759F}">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E6" authorId="0" shapeId="0" xr:uid="{4199AFC5-8C50-4BDC-A81C-AD8F973BD82C}">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F6" authorId="0" shapeId="0" xr:uid="{3280C4C6-1537-4FC1-AFA9-8370D99B0A64}">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G6" authorId="0" shapeId="0" xr:uid="{FFBC1AD7-D40B-4416-85F5-1660EFF2D815}">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H6" authorId="0" shapeId="0" xr:uid="{FBE9B502-7365-4373-8892-77B9D367D1F4}">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I6" authorId="0" shapeId="0" xr:uid="{423AA81F-212B-48BD-AC30-3B2CD960E986}">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J6" authorId="0" shapeId="0" xr:uid="{7A01C620-DEED-44D5-8E95-4131B0589379}">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K6" authorId="0" shapeId="0" xr:uid="{834CB3A5-7AA4-46E2-B1D1-0027D55A3E7F}">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L6" authorId="0" shapeId="0" xr:uid="{F6A1558B-4C9A-4BD1-886B-40BC37295466}">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M6" authorId="0" shapeId="0" xr:uid="{9BCDF716-ED17-4C71-889E-B572DEC14366}">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N6" authorId="0" shapeId="0" xr:uid="{565C0C4F-4D11-416A-8591-0166E3A8B4D7}">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O6" authorId="0" shapeId="0" xr:uid="{DA3A5B8B-67F6-4CBC-B43B-79C23DEDC7F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P6" authorId="0" shapeId="0" xr:uid="{8027DFD0-A458-4CCE-A537-30DE252BA869}">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Q6" authorId="0" shapeId="0" xr:uid="{94D3CABE-495A-4C9A-8A51-54EE6DC22D3A}">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R6" authorId="0" shapeId="0" xr:uid="{7FA4E361-8A3D-41B7-A69E-A3678A92DA3D}">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S6" authorId="0" shapeId="0" xr:uid="{D45704FF-498E-4144-8F26-1B52B8274536}">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T6" authorId="0" shapeId="0" xr:uid="{5DBB2E62-6727-4CBF-B684-5628172CEF1B}">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U6" authorId="0" shapeId="0" xr:uid="{B968D85E-0CF7-464F-ADAC-E6137114853C}">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V6" authorId="0" shapeId="0" xr:uid="{AD323B46-9A9B-41AD-81E9-1FA289625343}">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W6" authorId="0" shapeId="0" xr:uid="{5C5D387D-BD2B-4F2A-9A2C-10175B8199D6}">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X6" authorId="0" shapeId="0" xr:uid="{00D0A5FC-EE5A-4848-819E-1655D12ED783}">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AY6" authorId="0" shapeId="0" xr:uid="{0CAAF760-730B-4FAA-A75A-C0D6D9FAEC23}">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AZ6" authorId="0" shapeId="0" xr:uid="{C580DD08-EFCA-486F-B9B9-5E7A9758B917}">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A6" authorId="1" shapeId="0" xr:uid="{D2D4B2E9-7232-45C6-817F-BB482D68AD0C}">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B6" authorId="2" shapeId="0" xr:uid="{AEF98A54-7D6B-466D-A825-5E812257F0BE}">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C6" authorId="2" shapeId="0" xr:uid="{723D9297-2F66-4BAB-8819-0734CFC4EA4E}">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BD6" authorId="0" shapeId="0" xr:uid="{23E668E8-1FEB-40B2-83C5-145CE4454779}">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AW7" authorId="0" shapeId="0" xr:uid="{135382AD-D104-4B43-BE91-172E8DD6DCD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X7" authorId="0" shapeId="0" xr:uid="{CDBDA4B7-165A-4670-97DA-4E4238A041A7}">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AY7" authorId="0" shapeId="0" xr:uid="{6CD8012E-2C1C-4963-A38E-1983929A44FD}">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AZ7" authorId="0" shapeId="0" xr:uid="{1E057292-DCF0-4772-A27F-EF5FC173B17C}">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Q152" authorId="3" shapeId="0" xr:uid="{05D03B67-25DE-41E3-A76E-4ED9BE9D84BE}">
      <text>
        <r>
          <rPr>
            <b/>
            <sz val="9"/>
            <color indexed="81"/>
            <rFont val="Tahoma"/>
            <family val="2"/>
          </rPr>
          <t>Choong, Linda L.:</t>
        </r>
        <r>
          <rPr>
            <sz val="9"/>
            <color indexed="81"/>
            <rFont val="Tahoma"/>
            <family val="2"/>
          </rPr>
          <t xml:space="preserve">
</t>
        </r>
      </text>
    </comment>
    <comment ref="A308" authorId="0" shapeId="0" xr:uid="{DE8878A2-75BF-4ACD-BF8C-E8BFF4A3762D}">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(r) – (u), (z), (aa) – (ad), (aj), (ap), (av) – (az).
Note: The values contained in the row, Portfolio Total (Therms), of the Measure-Level Adjustments Tab for columns (r), (s), (t), and (u) – Plan Energy Savings Goals, and columns (aw), (ax), (ay), and (az) – Final Adjusted Net Energy Savings Goals, should be equal to the values contained in the row, Portfolio Total (Therms), in the Program-Level Adjustments Tab for columns (b), (f), (j), and (n) – Plan Energy Savings Goal, and columns (c), (g), (k), and (o) – Adjusted Energy Savings Goal, respectively. </t>
        </r>
      </text>
    </comment>
    <comment ref="T308" authorId="0" shapeId="0" xr:uid="{234CCE85-6E46-403F-8A05-42BFAC575C45}">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U308" authorId="0" shapeId="0" xr:uid="{9FDE7C83-B20E-43B4-95B3-F71DB01C89DB}">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V308" authorId="0" shapeId="0" xr:uid="{1629323B-8444-4D0E-9C0E-36BA48D10B91}">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W308" authorId="0" shapeId="0" xr:uid="{A9C24655-8B87-4B83-9352-25D548728921}">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X308" authorId="0" shapeId="0" xr:uid="{33C01C67-47F5-462B-9499-B6074C25150F}">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W308" authorId="0" shapeId="0" xr:uid="{F99F2EEF-7257-41F9-8F4E-BC8C568F91F6}">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X308" authorId="0" shapeId="0" xr:uid="{5FF2CF5F-F556-4932-9C3B-6836183E2AAB}">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AY308" authorId="0" shapeId="0" xr:uid="{FB40D927-C263-4DC8-8D6E-3FE36B4F7832}">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AZ308" authorId="0" shapeId="0" xr:uid="{CB5DA353-48BD-4FFA-B34D-FAE14CCDFA4E}">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A308" authorId="0" shapeId="0" xr:uid="{15A3AB4F-37AF-48DA-950E-01DB689CE381}">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Bridgid Lutz</author>
    <author>Mallika Jayaraman</author>
  </authors>
  <commentList>
    <comment ref="F3" authorId="0" shapeId="0" xr:uid="{00000000-0006-0000-1600-000001000000}">
      <text>
        <r>
          <rPr>
            <sz val="9"/>
            <color indexed="81"/>
            <rFont val="Tahoma"/>
            <family val="2"/>
          </rPr>
          <t xml:space="preserve">
Custom value
</t>
        </r>
      </text>
    </comment>
    <comment ref="G3" authorId="0" shapeId="0" xr:uid="{00000000-0006-0000-1600-000002000000}">
      <text>
        <r>
          <rPr>
            <sz val="9"/>
            <color indexed="81"/>
            <rFont val="Tahoma"/>
            <family val="2"/>
          </rPr>
          <t xml:space="preserve">
Custom Input</t>
        </r>
      </text>
    </comment>
    <comment ref="H3" authorId="1" shapeId="0" xr:uid="{00000000-0006-0000-1600-000003000000}">
      <text>
        <r>
          <rPr>
            <sz val="9"/>
            <color indexed="81"/>
            <rFont val="Tahoma"/>
            <family val="2"/>
          </rPr>
          <t xml:space="preserve">
Custom input</t>
        </r>
      </text>
    </comment>
    <comment ref="F4" authorId="0" shapeId="0" xr:uid="{00000000-0006-0000-1600-000004000000}">
      <text>
        <r>
          <rPr>
            <sz val="9"/>
            <color indexed="81"/>
            <rFont val="Tahoma"/>
            <family val="2"/>
          </rPr>
          <t xml:space="preserve">
Custom value
</t>
        </r>
      </text>
    </comment>
    <comment ref="G4" authorId="0" shapeId="0" xr:uid="{00000000-0006-0000-1600-000005000000}">
      <text>
        <r>
          <rPr>
            <sz val="9"/>
            <color indexed="81"/>
            <rFont val="Tahoma"/>
            <family val="2"/>
          </rPr>
          <t xml:space="preserve">
Custom Input</t>
        </r>
      </text>
    </comment>
    <comment ref="H4" authorId="1" shapeId="0" xr:uid="{00000000-0006-0000-1600-000006000000}">
      <text>
        <r>
          <rPr>
            <sz val="9"/>
            <color indexed="81"/>
            <rFont val="Tahoma"/>
            <family val="2"/>
          </rPr>
          <t xml:space="preserve">
Custom input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700-000001000000}">
      <text>
        <r>
          <rPr>
            <sz val="9"/>
            <color indexed="81"/>
            <rFont val="Tahoma"/>
            <family val="2"/>
          </rPr>
          <t>Boiler kBtu/h. Custom Input</t>
        </r>
      </text>
    </comment>
    <comment ref="G4" authorId="0" shapeId="0" xr:uid="{00000000-0006-0000-1700-000002000000}">
      <text>
        <r>
          <rPr>
            <sz val="9"/>
            <color indexed="81"/>
            <rFont val="Tahoma"/>
            <family val="2"/>
          </rPr>
          <t>Boiler kBtu/h. Custom Input</t>
        </r>
      </text>
    </comment>
    <comment ref="G5" authorId="0" shapeId="0" xr:uid="{00000000-0006-0000-1700-000003000000}">
      <text>
        <r>
          <rPr>
            <sz val="9"/>
            <color indexed="81"/>
            <rFont val="Tahoma"/>
            <family val="2"/>
          </rPr>
          <t>Boiler kBtu/h. Custom Input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Shraddha</author>
  </authors>
  <commentList>
    <comment ref="G3" authorId="0" shapeId="0" xr:uid="{00000000-0006-0000-1900-000001000000}">
      <text>
        <r>
          <rPr>
            <sz val="9"/>
            <color indexed="81"/>
            <rFont val="Tahoma"/>
            <family val="2"/>
          </rPr>
          <t>Boiler kBtu/h. Custom Input</t>
        </r>
      </text>
    </comment>
    <comment ref="G4" authorId="0" shapeId="0" xr:uid="{00000000-0006-0000-1900-000002000000}">
      <text>
        <r>
          <rPr>
            <sz val="9"/>
            <color indexed="81"/>
            <rFont val="Tahoma"/>
            <family val="2"/>
          </rPr>
          <t>Boiler kBtu/h. Custom Input</t>
        </r>
      </text>
    </comment>
    <comment ref="G5" authorId="0" shapeId="0" xr:uid="{00000000-0006-0000-1900-000003000000}">
      <text>
        <r>
          <rPr>
            <sz val="9"/>
            <color indexed="81"/>
            <rFont val="Tahoma"/>
            <family val="2"/>
          </rPr>
          <t>Boiler kBtu/h. Custom Input</t>
        </r>
      </text>
    </comment>
    <comment ref="G6" authorId="0" shapeId="0" xr:uid="{00000000-0006-0000-1900-000004000000}">
      <text>
        <r>
          <rPr>
            <sz val="9"/>
            <color indexed="81"/>
            <rFont val="Tahoma"/>
            <family val="2"/>
          </rPr>
          <t>Boiler kBtu/h. Custom Input</t>
        </r>
      </text>
    </comment>
    <comment ref="G7" authorId="0" shapeId="0" xr:uid="{00000000-0006-0000-1900-000005000000}">
      <text>
        <r>
          <rPr>
            <sz val="9"/>
            <color indexed="81"/>
            <rFont val="Tahoma"/>
            <family val="2"/>
          </rPr>
          <t>Boiler kBtu/h. Custom Input</t>
        </r>
      </text>
    </comment>
    <comment ref="G8" authorId="0" shapeId="0" xr:uid="{00000000-0006-0000-1900-000006000000}">
      <text>
        <r>
          <rPr>
            <sz val="9"/>
            <color indexed="81"/>
            <rFont val="Tahoma"/>
            <family val="2"/>
          </rPr>
          <t>Boiler kBtu/h. Custom Input</t>
        </r>
      </text>
    </comment>
    <comment ref="G9" authorId="0" shapeId="0" xr:uid="{00000000-0006-0000-1900-000007000000}">
      <text>
        <r>
          <rPr>
            <sz val="9"/>
            <color indexed="81"/>
            <rFont val="Tahoma"/>
            <family val="2"/>
          </rPr>
          <t>Boiler kBtu/h. Custom Input</t>
        </r>
      </text>
    </comment>
    <comment ref="G10" authorId="0" shapeId="0" xr:uid="{00000000-0006-0000-1900-000008000000}">
      <text>
        <r>
          <rPr>
            <sz val="9"/>
            <color indexed="81"/>
            <rFont val="Tahoma"/>
            <family val="2"/>
          </rPr>
          <t>Boiler kBtu/h. Custom Input</t>
        </r>
      </text>
    </comment>
    <comment ref="G11" authorId="0" shapeId="0" xr:uid="{00000000-0006-0000-1900-000009000000}">
      <text>
        <r>
          <rPr>
            <sz val="9"/>
            <color indexed="81"/>
            <rFont val="Tahoma"/>
            <family val="2"/>
          </rPr>
          <t>Boiler kBtu/h. Custom Input</t>
        </r>
      </text>
    </comment>
    <comment ref="G12" authorId="0" shapeId="0" xr:uid="{00000000-0006-0000-1900-00000A000000}">
      <text>
        <r>
          <rPr>
            <sz val="9"/>
            <color indexed="81"/>
            <rFont val="Tahoma"/>
            <family val="2"/>
          </rPr>
          <t>Boiler kBtu/h. Custom Input</t>
        </r>
      </text>
    </comment>
    <comment ref="G13" authorId="0" shapeId="0" xr:uid="{00000000-0006-0000-1900-00000B000000}">
      <text>
        <r>
          <rPr>
            <sz val="9"/>
            <color indexed="81"/>
            <rFont val="Tahoma"/>
            <family val="2"/>
          </rPr>
          <t>Boiler kBtu/h. Custom Input</t>
        </r>
      </text>
    </comment>
    <comment ref="G14" authorId="0" shapeId="0" xr:uid="{00000000-0006-0000-1900-00000C000000}">
      <text>
        <r>
          <rPr>
            <sz val="9"/>
            <color indexed="81"/>
            <rFont val="Tahoma"/>
            <family val="2"/>
          </rPr>
          <t>Boiler kBtu/h. Custom Input</t>
        </r>
      </text>
    </comment>
    <comment ref="G15" authorId="0" shapeId="0" xr:uid="{00000000-0006-0000-1900-00000D000000}">
      <text>
        <r>
          <rPr>
            <sz val="9"/>
            <color indexed="81"/>
            <rFont val="Tahoma"/>
            <family val="2"/>
          </rPr>
          <t>Boiler kBtu/h. Custom Input</t>
        </r>
      </text>
    </comment>
    <comment ref="B86" authorId="0" shapeId="0" xr:uid="{00000000-0006-0000-1900-00000E000000}">
      <text>
        <r>
          <rPr>
            <b/>
            <sz val="9"/>
            <color indexed="81"/>
            <rFont val="Tahoma"/>
            <family val="2"/>
          </rPr>
          <t>Shraddha:</t>
        </r>
        <r>
          <rPr>
            <sz val="9"/>
            <color indexed="81"/>
            <rFont val="Tahoma"/>
            <family val="2"/>
          </rPr>
          <t xml:space="preserve">
VEIC will check these numbers again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SMR</author>
    <author>Bridgid Lutz</author>
  </authors>
  <commentList>
    <comment ref="N4" authorId="0" shapeId="0" xr:uid="{00000000-0006-0000-2200-000001000000}">
      <text>
        <r>
          <rPr>
            <sz val="9"/>
            <color indexed="81"/>
            <rFont val="Tahoma"/>
            <family val="2"/>
          </rPr>
          <t>Custom input</t>
        </r>
      </text>
    </comment>
    <comment ref="C116" authorId="1" shapeId="0" xr:uid="{00000000-0006-0000-2200-000002000000}">
      <text>
        <r>
          <rPr>
            <sz val="9"/>
            <color indexed="81"/>
            <rFont val="Tahoma"/>
            <family val="2"/>
          </rPr>
          <t xml:space="preserve">
Enter values before performing duct sealing</t>
        </r>
      </text>
    </comment>
    <comment ref="D116" authorId="1" shapeId="0" xr:uid="{00000000-0006-0000-2200-000003000000}">
      <text>
        <r>
          <rPr>
            <sz val="9"/>
            <color indexed="81"/>
            <rFont val="Tahoma"/>
            <family val="2"/>
          </rPr>
          <t xml:space="preserve">
Enter values before performing duct sealing</t>
        </r>
      </text>
    </comment>
    <comment ref="E116" authorId="1" shapeId="0" xr:uid="{00000000-0006-0000-2200-000004000000}">
      <text>
        <r>
          <rPr>
            <sz val="9"/>
            <color indexed="81"/>
            <rFont val="Tahoma"/>
            <family val="2"/>
          </rPr>
          <t xml:space="preserve">
Enter values before performing duct sealing</t>
        </r>
      </text>
    </comment>
    <comment ref="F116" authorId="1" shapeId="0" xr:uid="{00000000-0006-0000-2200-000005000000}">
      <text>
        <r>
          <rPr>
            <sz val="9"/>
            <color indexed="81"/>
            <rFont val="Tahoma"/>
            <family val="2"/>
          </rPr>
          <t xml:space="preserve">
Enter values before performing duct sealing</t>
        </r>
      </text>
    </comment>
    <comment ref="C117" authorId="1" shapeId="0" xr:uid="{00000000-0006-0000-2200-000006000000}">
      <text>
        <r>
          <rPr>
            <sz val="9"/>
            <color indexed="81"/>
            <rFont val="Tahoma"/>
            <family val="2"/>
          </rPr>
          <t xml:space="preserve">
Enter Value after performing duct sealing</t>
        </r>
      </text>
    </comment>
    <comment ref="D117" authorId="1" shapeId="0" xr:uid="{00000000-0006-0000-2200-000007000000}">
      <text>
        <r>
          <rPr>
            <sz val="9"/>
            <color indexed="81"/>
            <rFont val="Tahoma"/>
            <family val="2"/>
          </rPr>
          <t xml:space="preserve">
Enter Value after performing duct sealing</t>
        </r>
      </text>
    </comment>
    <comment ref="E117" authorId="1" shapeId="0" xr:uid="{00000000-0006-0000-2200-000008000000}">
      <text>
        <r>
          <rPr>
            <sz val="9"/>
            <color indexed="81"/>
            <rFont val="Tahoma"/>
            <family val="2"/>
          </rPr>
          <t xml:space="preserve">
Enter Value after performing duct sealing</t>
        </r>
      </text>
    </comment>
    <comment ref="F117" authorId="1" shapeId="0" xr:uid="{00000000-0006-0000-2200-000009000000}">
      <text>
        <r>
          <rPr>
            <sz val="9"/>
            <color indexed="81"/>
            <rFont val="Tahoma"/>
            <family val="2"/>
          </rPr>
          <t xml:space="preserve">
Enter Value after performing duct sealing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K3" authorId="0" shapeId="0" xr:uid="{00000000-0006-0000-2600-000001000000}">
      <text>
        <r>
          <rPr>
            <sz val="9"/>
            <color indexed="81"/>
            <rFont val="Tahoma"/>
            <family val="2"/>
          </rPr>
          <t xml:space="preserve">
Custom Input</t>
        </r>
      </text>
    </comment>
    <comment ref="L3" authorId="0" shapeId="0" xr:uid="{00000000-0006-0000-2600-000002000000}">
      <text>
        <r>
          <rPr>
            <sz val="9"/>
            <color indexed="81"/>
            <rFont val="Tahoma"/>
            <family val="2"/>
          </rPr>
          <t xml:space="preserve">
Custom Input</t>
        </r>
      </text>
    </comment>
    <comment ref="M3" authorId="0" shapeId="0" xr:uid="{00000000-0006-0000-2600-000003000000}">
      <text>
        <r>
          <rPr>
            <sz val="9"/>
            <color indexed="81"/>
            <rFont val="Tahoma"/>
            <family val="2"/>
          </rPr>
          <t xml:space="preserve">
Custom Input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SMR</author>
  </authors>
  <commentList>
    <comment ref="K3" authorId="0" shapeId="0" xr:uid="{00000000-0006-0000-2700-000001000000}">
      <text>
        <r>
          <rPr>
            <b/>
            <sz val="9"/>
            <color indexed="81"/>
            <rFont val="Tahoma"/>
            <family val="2"/>
          </rPr>
          <t>SMR:</t>
        </r>
        <r>
          <rPr>
            <sz val="9"/>
            <color indexed="81"/>
            <rFont val="Tahoma"/>
            <family val="2"/>
          </rPr>
          <t xml:space="preserve">
If unknown assume 40 gals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Bridgid Lutz</author>
  </authors>
  <commentList>
    <comment ref="S3" authorId="0" shapeId="0" xr:uid="{00000000-0006-0000-2A00-000001000000}">
      <text>
        <r>
          <rPr>
            <sz val="9"/>
            <color indexed="81"/>
            <rFont val="Tahoma"/>
            <family val="2"/>
          </rPr>
          <t xml:space="preserve">
May be a custom input</t>
        </r>
      </text>
    </comment>
    <comment ref="T3" authorId="0" shapeId="0" xr:uid="{00000000-0006-0000-2A00-000002000000}">
      <text>
        <r>
          <rPr>
            <sz val="9"/>
            <color indexed="81"/>
            <rFont val="Tahoma"/>
            <family val="2"/>
          </rPr>
          <t xml:space="preserve">
May be a custom input
</t>
        </r>
      </text>
    </comment>
    <comment ref="S4" authorId="0" shapeId="0" xr:uid="{00000000-0006-0000-2A00-000003000000}">
      <text>
        <r>
          <rPr>
            <sz val="9"/>
            <color indexed="81"/>
            <rFont val="Tahoma"/>
            <family val="2"/>
          </rPr>
          <t xml:space="preserve">
May be a custom input</t>
        </r>
      </text>
    </comment>
  </commentList>
</comments>
</file>

<file path=xl/sharedStrings.xml><?xml version="1.0" encoding="utf-8"?>
<sst xmlns="http://schemas.openxmlformats.org/spreadsheetml/2006/main" count="11844" uniqueCount="3532">
  <si>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</si>
  <si>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</si>
  <si>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</si>
  <si>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</si>
  <si>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</si>
  <si>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</si>
  <si>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</si>
  <si>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</si>
  <si>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</si>
  <si>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</si>
  <si>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</si>
  <si>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</si>
  <si>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</si>
  <si>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</si>
  <si>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</si>
  <si>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</si>
  <si>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</si>
  <si>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</si>
  <si>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</si>
  <si>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</si>
  <si>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</si>
  <si>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</si>
  <si>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</si>
  <si>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</si>
  <si>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</si>
  <si>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</si>
  <si>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</si>
  <si>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</si>
  <si>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</si>
  <si>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</si>
  <si>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</si>
  <si>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</si>
  <si>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</si>
  <si>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</si>
  <si>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</si>
  <si>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</si>
  <si>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</si>
  <si>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</si>
  <si>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</si>
  <si>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</si>
  <si>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</si>
  <si>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</si>
  <si>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</si>
  <si>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kWh</t>
  </si>
  <si>
    <t>Therms</t>
  </si>
  <si>
    <t>Adjustable Savings Goals Policy:</t>
  </si>
  <si>
    <t>See Illinois Energy Efficiency Policy Manual Version 1.0, Section 6, Program Administration and Reporting, Subsection 6.2: Adjustable Savings Goals.</t>
  </si>
  <si>
    <t xml:space="preserve">Program Administrator and/or IPA annual energy savings goals will be adjusted to align them with changes to IL-TRM values. </t>
  </si>
  <si>
    <t xml:space="preserve">In addition, Program Administrator and/or IPA annual energy savings goals will be adjusted to align them with the Evaluator’s recommended Net-to-Gross values for the entire Plan period prior to the start of the first Plan Year of an approved Plan or Section 16-111.5B Program. </t>
  </si>
  <si>
    <t>Within sixty (60) days after Commission approval of the annual IL-TRM values, each Program Administrator will file adjusted energy savings goals reflecting updated IL-TRM values applicable to the Program Year commencing June 1.</t>
  </si>
  <si>
    <t>Key Custom Input Assumptions (if none, specify NA)</t>
  </si>
  <si>
    <t>(d)=(c-b)</t>
  </si>
  <si>
    <t>(h)=(g-f)</t>
  </si>
  <si>
    <t>(l)=(k-j)</t>
  </si>
  <si>
    <t>(p)=(o-n)</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</si>
  <si>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</si>
  <si>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</si>
  <si>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</si>
  <si>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</si>
  <si>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Adjustable Savings Goals Policy Guidelines</t>
  </si>
  <si>
    <t>Draft: Updated 08/01/16</t>
  </si>
  <si>
    <t>Background:</t>
  </si>
  <si>
    <t>The Commission’s December 16, 2015 Final Order in ICC Docket No. 15-0487 approved and adopted the Illinois Energy Efficiency Policy Manual Version 1.0 (“Policy Manual”), which includes an Adjustable Savings Goals policy set forth in Subsection 6.2. During initial Policy Manual Subcommittee Version 2.0 discussions in early 2016, several parties proposed updates to this policy. However, Policy Manual Version 2.0 discussions were put on hold in spring 2016 to complete the Portfolio Planning Process.</t>
  </si>
  <si>
    <t xml:space="preserve">Prior to the Energy Efficiency Plan (“Plan”) filings required by Sections 8-103 and 8-104 of the Illinois Public Utilities Act in fall 2016, Policy Manual Subcommittee participants agreed to draft guideline language to interpret the approved Version 1.0 Adjustable Savings Goal policy, including a template on how to calculate adjustable savings goals. </t>
  </si>
  <si>
    <t>Note: Capitalized terms are defined in Policy Manual Section 1: Glossary.</t>
  </si>
  <si>
    <t>Policy Guidelines – Adjustable Savings Goals for Section 16-111.5B Programs:</t>
  </si>
  <si>
    <t>Policy Guidelines – Adjustable Savings Goals for Section 8-103 and 8-104 Programs:</t>
  </si>
  <si>
    <t>·         After Commission approval of a Section 8-103 and/or 8-104 Plan the Measure participation levels identified in the approved Plan to derive the energy savings goals will be fixed for the entirety of the Plan for the purpose of calculating the adjusted energy savings goals.[1]</t>
  </si>
  <si>
    <t>·         Prior to the start of the first Program Year of an approved Plan, the Program Administrator’s energy savings goal will be adjusted for respective Program Years over the entire Plan period in cases where the Evaluator’s final recommended Net-to-Gross (“NTG”) value for a Program, Sub-Program, or Measure differs from the NTG value used to calculate energy savings goals in the Program Administrator’s approved Plan. The Program Administrator’s energy savings goals will not be adjusted due to a change in the NTG value during the second and third Program Years of an approved Plan.[2]</t>
  </si>
  <si>
    <t>EEPS Adjustable Savings Goal Template</t>
  </si>
  <si>
    <t>Illinois Program Administrators will file the completed EEPS Adjustable Savings Goal Template for Section 8-103/8-104 Programs and Measures in the Electric Plan 4 (covering Electric Program Years 10-12) and Gas Plan 3 (covering Gas Program Years 7-9) dockets. The Excel version of the completed EEPS Adjustable Savings Goal Template will also be posted on the Illinois Energy Efficiency Stakeholder Advisory Group (“SAG”) website.</t>
  </si>
  <si>
    <t>Following Commission approval of the Plan, the completed EEPS Adjustable Savings Goal Template will be used for the remainder of the approved Plan, with annual updates. As specified in Subsection 6.2 of the Policy Manual, Adjustable Savings Goals, Program Administrators will file adjusted energy savings goals reflecting updated IL-TRM values applicable to the Program Year commencing June 1, within sixty (60) days after Commission approval of the annual IL-TRM update. The updated EEPS Adjustable Savings Goal Template will be filed with the Commission to show the adjusted energy savings goals. The Excel versions of the completed and updated EEPS Adjustable Savings Goal Templates will also be posted on the SAG website.</t>
  </si>
  <si>
    <r>
      <t>The information below describes steps to complete the EEPS Adjustable Savings Goal Template for Section 8-103 and 8-104 Programs. As a general principle, when completing the EEPS Adjustable Savings Goal Template, Program Administrators should follow the calculation instructions specified in the comment boxes as well as the column headers and column labels (</t>
    </r>
    <r>
      <rPr>
        <i/>
        <sz val="11"/>
        <color theme="1"/>
        <rFont val="Arial"/>
        <family val="2"/>
      </rPr>
      <t>row 7</t>
    </r>
    <r>
      <rPr>
        <sz val="11"/>
        <color theme="1"/>
        <rFont val="Arial"/>
        <family val="2"/>
      </rPr>
      <t xml:space="preserve">) in the EEPS Adjustable Savings Goal Template. Note: The </t>
    </r>
    <r>
      <rPr>
        <i/>
        <sz val="11"/>
        <color theme="1"/>
        <rFont val="Arial"/>
        <family val="2"/>
      </rPr>
      <t>Measure-Level Adjustments Tab</t>
    </r>
    <r>
      <rPr>
        <sz val="11"/>
        <color theme="1"/>
        <rFont val="Arial"/>
        <family val="2"/>
      </rPr>
      <t xml:space="preserve"> should be completed first before completing the </t>
    </r>
    <r>
      <rPr>
        <i/>
        <sz val="11"/>
        <color theme="1"/>
        <rFont val="Arial"/>
        <family val="2"/>
      </rPr>
      <t>Program-Level Adjustments Tab</t>
    </r>
    <r>
      <rPr>
        <sz val="11"/>
        <color theme="1"/>
        <rFont val="Arial"/>
        <family val="2"/>
      </rPr>
      <t xml:space="preserve">.  </t>
    </r>
  </si>
  <si>
    <r>
      <t xml:space="preserve">EEPS Adjustable Savings Goal Template – </t>
    </r>
    <r>
      <rPr>
        <b/>
        <i/>
        <sz val="11"/>
        <color theme="1"/>
        <rFont val="Arial"/>
        <family val="2"/>
      </rPr>
      <t>Program-Level Adjustments Tab</t>
    </r>
  </si>
  <si>
    <r>
      <t xml:space="preserve">EEPS Adjustable Savings Goal Template – </t>
    </r>
    <r>
      <rPr>
        <b/>
        <i/>
        <sz val="11"/>
        <color theme="1"/>
        <rFont val="Arial"/>
        <family val="2"/>
      </rPr>
      <t>Measure-Level Adjustments Tab</t>
    </r>
  </si>
  <si>
    <t>[1] In general, Program Administrators are not expected to meet the individual Measure goals or participation levels specified in the EEPS Adjustable Savings Goal Template.</t>
  </si>
  <si>
    <t>[2] See Policy Manual Version 1.0, Subsection 7.2, Net-to-Gross Policy.</t>
  </si>
  <si>
    <r>
      <t xml:space="preserve">                                          i.    Note: Each Program Administrator’s actual Portfolio </t>
    </r>
    <r>
      <rPr>
        <i/>
        <sz val="11"/>
        <color theme="1"/>
        <rFont val="Arial"/>
        <family val="2"/>
      </rPr>
      <t>Final Adjusted Net Energy Savings Goal</t>
    </r>
    <r>
      <rPr>
        <sz val="11"/>
        <color theme="1"/>
        <rFont val="Arial"/>
        <family val="2"/>
      </rPr>
      <t xml:space="preserve"> for Electric Plan 4/Gas Plan 3 may not be known until after the Commission approves the IL-TRM Version 9.0, which may include IL-TRM updates specified as errata Measures applicable to EPY12/GPY9 that might necessitate additional energy savings goal adjustments to be made for the last Program Year to obtain an accurate calculation of the </t>
    </r>
    <r>
      <rPr>
        <i/>
        <sz val="11"/>
        <color theme="1"/>
        <rFont val="Arial"/>
        <family val="2"/>
      </rPr>
      <t>Final Adjusted Net Energy Savings Goal</t>
    </r>
    <r>
      <rPr>
        <sz val="11"/>
        <color theme="1"/>
        <rFont val="Arial"/>
        <family val="2"/>
      </rPr>
      <t xml:space="preserve"> for Electric Plan 4/Gas Plan 3.</t>
    </r>
  </si>
  <si>
    <r>
      <t xml:space="preserve">·         Once a Section 16-111.5B Program is approved by the Commission, the vendor has the opportunity to negotiate different participation rates and/or Measure levels. Once the contract is signed, those Measures / participation rates will be fixed for the life of the contract for the purpose of </t>
    </r>
    <r>
      <rPr>
        <u/>
        <sz val="11"/>
        <color theme="1"/>
        <rFont val="Arial"/>
        <family val="2"/>
      </rPr>
      <t>setting</t>
    </r>
    <r>
      <rPr>
        <sz val="11"/>
        <color theme="1"/>
        <rFont val="Arial"/>
        <family val="2"/>
      </rPr>
      <t xml:space="preserve"> annual savings goals. However, the vendor and the utility may negotiate a change in the Measure mix, for Program implementation and goal </t>
    </r>
    <r>
      <rPr>
        <u/>
        <sz val="11"/>
        <color theme="1"/>
        <rFont val="Arial"/>
        <family val="2"/>
      </rPr>
      <t>attainment</t>
    </r>
    <r>
      <rPr>
        <sz val="11"/>
        <color theme="1"/>
        <rFont val="Arial"/>
        <family val="2"/>
      </rPr>
      <t xml:space="preserve"> purposes.</t>
    </r>
  </si>
  <si>
    <t>·         Changes to the Illinois Statewide Technical Reference Manual for Energy Efficiency (“IL-TRM”) will be applied on an annual basis to the gross unit savings values for the applicable Program Year. This will set the energy savings goal for the applicable Program Year.</t>
  </si>
  <si>
    <t xml:space="preserve">·         If the independent Evaluator recommends an updated Net-to-Gross (“NTG”) value for a Section 16-111.5B Program, the energy savings goal can be adjusted during the contract negotiation process, prior to the first Program Year of the contract. After contract execution of the approved Program, the energy savings goal will not be adjusted due to NTG changes in later Program Years. </t>
  </si>
  <si>
    <t>·         Changes to the Illinois Statewide Technical Reference Manual for Energy Efficiency (“IL-TRM”) will be applied on an annual basis to the gross unit savings values for the applicable Program Year, consistent with the EEPS Adjustable Savings Goal Template and guidelines. This will produce the adjusted energy savings goals.</t>
  </si>
  <si>
    <r>
      <t xml:space="preserve">1.    After completing the </t>
    </r>
    <r>
      <rPr>
        <i/>
        <sz val="11"/>
        <color theme="1"/>
        <rFont val="Arial"/>
        <family val="2"/>
      </rPr>
      <t>Measure-Level Adjustments Tab</t>
    </r>
    <r>
      <rPr>
        <sz val="11"/>
        <color theme="1"/>
        <rFont val="Arial"/>
        <family val="2"/>
      </rPr>
      <t xml:space="preserve">, Program Administrators will complete </t>
    </r>
    <r>
      <rPr>
        <i/>
        <sz val="11"/>
        <color theme="1"/>
        <rFont val="Arial"/>
        <family val="2"/>
      </rPr>
      <t>columns (a), (b), (f), (j), (n), and (q)</t>
    </r>
    <r>
      <rPr>
        <sz val="11"/>
        <color theme="1"/>
        <rFont val="Arial"/>
        <family val="2"/>
      </rPr>
      <t xml:space="preserve">, listing the names of the Energy Efficiency Programs and forecasted Plan savings and fuel type (kWh or Therms) for the respective Program Years and Plan period, and file the completed EEPS Adjustable Savings Goal Template with the Commission in the Plan docket. The Program names listed in </t>
    </r>
    <r>
      <rPr>
        <i/>
        <sz val="11"/>
        <color theme="1"/>
        <rFont val="Arial"/>
        <family val="2"/>
      </rPr>
      <t>column (a)</t>
    </r>
    <r>
      <rPr>
        <sz val="11"/>
        <color theme="1"/>
        <rFont val="Arial"/>
        <family val="2"/>
      </rPr>
      <t xml:space="preserve"> should correspond with the names of the Programs specified in </t>
    </r>
    <r>
      <rPr>
        <i/>
        <sz val="11"/>
        <color theme="1"/>
        <rFont val="Arial"/>
        <family val="2"/>
      </rPr>
      <t>column (a)</t>
    </r>
    <r>
      <rPr>
        <sz val="11"/>
        <color theme="1"/>
        <rFont val="Arial"/>
        <family val="2"/>
      </rPr>
      <t xml:space="preserve"> of the </t>
    </r>
    <r>
      <rPr>
        <i/>
        <sz val="11"/>
        <color theme="1"/>
        <rFont val="Arial"/>
        <family val="2"/>
      </rPr>
      <t>Measure-Level Adjustments Tab</t>
    </r>
    <r>
      <rPr>
        <sz val="11"/>
        <color theme="1"/>
        <rFont val="Arial"/>
        <family val="2"/>
      </rPr>
      <t xml:space="preserve">. If there are gas and electric Measures in a Program, include a separate row for gas and electric for the Program so that all adjustments are included in one template. Program Administrators have the flexibility to create a separate tab or section for the other fuel, if applicable. Below the list of Programs, include the </t>
    </r>
    <r>
      <rPr>
        <i/>
        <sz val="11"/>
        <color theme="1"/>
        <rFont val="Arial"/>
        <family val="2"/>
      </rPr>
      <t xml:space="preserve">Portfolio Total (kWh or Therms) </t>
    </r>
    <r>
      <rPr>
        <sz val="11"/>
        <color theme="1"/>
        <rFont val="Arial"/>
        <family val="2"/>
      </rPr>
      <t xml:space="preserve">savings by calculating the sum of the rows of Program savings for the respective fuel type (kWh or Therms) for </t>
    </r>
    <r>
      <rPr>
        <i/>
        <sz val="11"/>
        <color theme="1"/>
        <rFont val="Arial"/>
        <family val="2"/>
      </rPr>
      <t>columns (b), (f), (j), and (n)</t>
    </r>
    <r>
      <rPr>
        <sz val="11"/>
        <color theme="1"/>
        <rFont val="Arial"/>
        <family val="2"/>
      </rPr>
      <t xml:space="preserve">. The resulting value contained in </t>
    </r>
    <r>
      <rPr>
        <i/>
        <sz val="11"/>
        <color theme="1"/>
        <rFont val="Arial"/>
        <family val="2"/>
      </rPr>
      <t>column (n)</t>
    </r>
    <r>
      <rPr>
        <sz val="11"/>
        <color theme="1"/>
        <rFont val="Arial"/>
        <family val="2"/>
      </rPr>
      <t xml:space="preserve"> in the row, </t>
    </r>
    <r>
      <rPr>
        <i/>
        <sz val="11"/>
        <color theme="1"/>
        <rFont val="Arial"/>
        <family val="2"/>
      </rPr>
      <t>Portfolio Total (kWh or Therms)</t>
    </r>
    <r>
      <rPr>
        <sz val="11"/>
        <color theme="1"/>
        <rFont val="Arial"/>
        <family val="2"/>
      </rPr>
      <t xml:space="preserve">, should be equal to the value of the Program Administrator’s energy savings goal specified in its approved Plan from the Plan docket, and this value should also be equal to the value contained in </t>
    </r>
    <r>
      <rPr>
        <i/>
        <sz val="11"/>
        <color theme="1"/>
        <rFont val="Arial"/>
        <family val="2"/>
      </rPr>
      <t>column (u)</t>
    </r>
    <r>
      <rPr>
        <sz val="11"/>
        <color theme="1"/>
        <rFont val="Arial"/>
        <family val="2"/>
      </rPr>
      <t xml:space="preserve">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</si>
  <si>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t>
    </r>
    <r>
      <rPr>
        <sz val="11"/>
        <color theme="1"/>
        <rFont val="Arial"/>
        <family val="2"/>
      </rPr>
      <t xml:space="preserve"> should be equal to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columns (r), (s), (t), and (u)</t>
    </r>
    <r>
      <rPr>
        <sz val="11"/>
        <color theme="1"/>
        <rFont val="Arial"/>
        <family val="2"/>
      </rPr>
      <t xml:space="preserve">, respectively. </t>
    </r>
  </si>
  <si>
    <r>
      <t xml:space="preserve">b.    The value contained in </t>
    </r>
    <r>
      <rPr>
        <i/>
        <sz val="11"/>
        <color theme="1"/>
        <rFont val="Arial"/>
        <family val="2"/>
      </rPr>
      <t>column (b) – EPY10/GPY7 Plan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 xml:space="preserve">column (r) – EPY10/GPY7 Plan Goal </t>
    </r>
    <r>
      <rPr>
        <sz val="11"/>
        <color theme="1"/>
        <rFont val="Arial"/>
        <family val="2"/>
      </rPr>
      <t xml:space="preserve">for the rows associated with “Program A” Measures (Program designation specified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xml:space="preserve">) of the </t>
    </r>
    <r>
      <rPr>
        <i/>
        <sz val="11"/>
        <color theme="1"/>
        <rFont val="Arial"/>
        <family val="2"/>
      </rPr>
      <t>Measure-Level Adjustments Tab</t>
    </r>
    <r>
      <rPr>
        <sz val="11"/>
        <color theme="1"/>
        <rFont val="Arial"/>
        <family val="2"/>
      </rPr>
      <t>.</t>
    </r>
  </si>
  <si>
    <r>
      <t xml:space="preserve">2.    </t>
    </r>
    <r>
      <rPr>
        <b/>
        <sz val="11"/>
        <color theme="1"/>
        <rFont val="Arial"/>
        <family val="2"/>
      </rPr>
      <t>Adjustments:</t>
    </r>
    <r>
      <rPr>
        <sz val="11"/>
        <color theme="1"/>
        <rFont val="Arial"/>
        <family val="2"/>
      </rPr>
      <t xml:space="preserve"> After completing the </t>
    </r>
    <r>
      <rPr>
        <i/>
        <sz val="11"/>
        <color theme="1"/>
        <rFont val="Arial"/>
        <family val="2"/>
      </rPr>
      <t>Measure-Level Adjustments Tab</t>
    </r>
    <r>
      <rPr>
        <sz val="11"/>
        <color theme="1"/>
        <rFont val="Arial"/>
        <family val="2"/>
      </rPr>
      <t xml:space="preserve"> to reflect the updated IL-TRM values for the applicable Program Year(s), Program Administrators will calculate the adjusted energy savings goal at the Program and Portfolio level for the relevant Program Year(s) – </t>
    </r>
    <r>
      <rPr>
        <i/>
        <sz val="11"/>
        <color theme="1"/>
        <rFont val="Arial"/>
        <family val="2"/>
      </rPr>
      <t xml:space="preserve">columns (c), (g), and (k) </t>
    </r>
    <r>
      <rPr>
        <sz val="11"/>
        <color theme="1"/>
        <rFont val="Arial"/>
        <family val="2"/>
      </rPr>
      <t>– and the entire Plan period –</t>
    </r>
    <r>
      <rPr>
        <i/>
        <sz val="11"/>
        <color theme="1"/>
        <rFont val="Arial"/>
        <family val="2"/>
      </rPr>
      <t xml:space="preserve"> column (o).</t>
    </r>
    <r>
      <rPr>
        <sz val="11"/>
        <color theme="1"/>
        <rFont val="Arial"/>
        <family val="2"/>
      </rPr>
      <t xml:space="preserve"> Template guidelines to support the adjusted energy savings goal calculation include the following:</t>
    </r>
  </si>
  <si>
    <r>
      <t xml:space="preserve">a.    Complete </t>
    </r>
    <r>
      <rPr>
        <i/>
        <sz val="11"/>
        <color theme="1"/>
        <rFont val="Arial"/>
        <family val="2"/>
      </rPr>
      <t>columns (c), (g), (k) and (o) – Adjusted Energy Savings Goal.</t>
    </r>
    <r>
      <rPr>
        <sz val="11"/>
        <color theme="1"/>
        <rFont val="Arial"/>
        <family val="2"/>
      </rPr>
      <t xml:space="preserve"> Note: The value contained in </t>
    </r>
    <r>
      <rPr>
        <i/>
        <sz val="11"/>
        <color theme="1"/>
        <rFont val="Arial"/>
        <family val="2"/>
      </rPr>
      <t>column (c) – EPY10/GPY7 Adjusted Energy Savings Goal</t>
    </r>
    <r>
      <rPr>
        <sz val="11"/>
        <color theme="1"/>
        <rFont val="Arial"/>
        <family val="2"/>
      </rPr>
      <t xml:space="preserve"> for the “Program A” row of the </t>
    </r>
    <r>
      <rPr>
        <i/>
        <sz val="11"/>
        <color theme="1"/>
        <rFont val="Arial"/>
        <family val="2"/>
      </rPr>
      <t>Program-Level Adjustments Tab</t>
    </r>
    <r>
      <rPr>
        <sz val="11"/>
        <color theme="1"/>
        <rFont val="Arial"/>
        <family val="2"/>
      </rPr>
      <t xml:space="preserve"> should be calculated by taking the sum of the values set forth in </t>
    </r>
    <r>
      <rPr>
        <i/>
        <sz val="11"/>
        <color theme="1"/>
        <rFont val="Arial"/>
        <family val="2"/>
      </rPr>
      <t>column (aw) – EPY10/GPY7 Final Goal</t>
    </r>
    <r>
      <rPr>
        <sz val="11"/>
        <color theme="1"/>
        <rFont val="Arial"/>
        <family val="2"/>
      </rPr>
      <t xml:space="preserve"> for the rows associated with “Program A” Measures (as listed in </t>
    </r>
    <r>
      <rPr>
        <i/>
        <sz val="11"/>
        <color theme="1"/>
        <rFont val="Arial"/>
        <family val="2"/>
      </rPr>
      <t>column (a)</t>
    </r>
    <r>
      <rPr>
        <sz val="11"/>
        <color theme="1"/>
        <rFont val="Arial"/>
        <family val="2"/>
      </rPr>
      <t xml:space="preserve">) and the same fuel type (kWh or Therms designation specified in </t>
    </r>
    <r>
      <rPr>
        <i/>
        <sz val="11"/>
        <color theme="1"/>
        <rFont val="Arial"/>
        <family val="2"/>
      </rPr>
      <t>column (c)</t>
    </r>
    <r>
      <rPr>
        <sz val="11"/>
        <color theme="1"/>
        <rFont val="Arial"/>
        <family val="2"/>
      </rPr>
      <t>) of the</t>
    </r>
    <r>
      <rPr>
        <i/>
        <sz val="11"/>
        <color theme="1"/>
        <rFont val="Arial"/>
        <family val="2"/>
      </rPr>
      <t xml:space="preserve"> Measure-Level Adjustments Tab</t>
    </r>
    <r>
      <rPr>
        <sz val="11"/>
        <color theme="1"/>
        <rFont val="Arial"/>
        <family val="2"/>
      </rPr>
      <t>.</t>
    </r>
  </si>
  <si>
    <r>
      <t xml:space="preserve">b.    Complete </t>
    </r>
    <r>
      <rPr>
        <i/>
        <sz val="11"/>
        <color theme="1"/>
        <rFont val="Arial"/>
        <family val="2"/>
      </rPr>
      <t>columns (d), (h), (l), and (p)</t>
    </r>
    <r>
      <rPr>
        <sz val="11"/>
        <color theme="1"/>
        <rFont val="Arial"/>
        <family val="2"/>
      </rPr>
      <t xml:space="preserve"> – </t>
    </r>
    <r>
      <rPr>
        <i/>
        <sz val="11"/>
        <color theme="1"/>
        <rFont val="Arial"/>
        <family val="2"/>
      </rPr>
      <t>Energy Savings Adjustment to Plan Goal</t>
    </r>
    <r>
      <rPr>
        <sz val="11"/>
        <color theme="1"/>
        <rFont val="Arial"/>
        <family val="2"/>
      </rPr>
      <t xml:space="preserve"> by following the calculation instructions specified in the header row containing column labels to calculate the savings differential between the </t>
    </r>
    <r>
      <rPr>
        <i/>
        <sz val="11"/>
        <color theme="1"/>
        <rFont val="Arial"/>
        <family val="2"/>
      </rPr>
      <t>Adjusted Energy Savings Goal</t>
    </r>
    <r>
      <rPr>
        <sz val="11"/>
        <color theme="1"/>
        <rFont val="Arial"/>
        <family val="2"/>
      </rPr>
      <t xml:space="preserve"> and the </t>
    </r>
    <r>
      <rPr>
        <i/>
        <sz val="11"/>
        <color theme="1"/>
        <rFont val="Arial"/>
        <family val="2"/>
      </rPr>
      <t>Plan Energy Savings Goal</t>
    </r>
    <r>
      <rPr>
        <sz val="11"/>
        <color theme="1"/>
        <rFont val="Arial"/>
        <family val="2"/>
      </rPr>
      <t xml:space="preserve"> for the applicable Program Year and the Plan period; </t>
    </r>
    <r>
      <rPr>
        <i/>
        <sz val="11"/>
        <color theme="1"/>
        <rFont val="Arial"/>
        <family val="2"/>
      </rPr>
      <t>column (d)=(c-b), column (h)=(g-f), column (l)=(k-j), and column (p)=(o-n)</t>
    </r>
    <r>
      <rPr>
        <sz val="11"/>
        <color theme="1"/>
        <rFont val="Arial"/>
        <family val="2"/>
      </rPr>
      <t>.</t>
    </r>
  </si>
  <si>
    <r>
      <t xml:space="preserve">c.    Briefly describe the main cause of the significant savings goal adjustments in </t>
    </r>
    <r>
      <rPr>
        <i/>
        <sz val="11"/>
        <color theme="1"/>
        <rFont val="Arial"/>
        <family val="2"/>
      </rPr>
      <t>columns (e), (i), and (m) – Brief Explanation of Significant Adjustments</t>
    </r>
    <r>
      <rPr>
        <sz val="11"/>
        <color theme="1"/>
        <rFont val="Arial"/>
        <family val="2"/>
      </rPr>
      <t xml:space="preserve">. </t>
    </r>
  </si>
  <si>
    <r>
      <t xml:space="preserve">1.    Program Administrators will complete </t>
    </r>
    <r>
      <rPr>
        <i/>
        <sz val="11"/>
        <color theme="1"/>
        <rFont val="Arial"/>
        <family val="2"/>
      </rPr>
      <t xml:space="preserve">columns (a) – (u) and (ba) – (bb) </t>
    </r>
    <r>
      <rPr>
        <sz val="11"/>
        <color theme="1"/>
        <rFont val="Arial"/>
        <family val="2"/>
      </rPr>
      <t xml:space="preserve">and file the completed EEPS Adjustable Savings Goal Template with the Commission in the Plan docket. If there are gas and electric Measures, include a separate row for gas and electric so that all adjustments are included in one template. Program Administrators have the flexibility to create a separate tab or section for the other fuel, if applicable. Template guidelines to support completing the </t>
    </r>
    <r>
      <rPr>
        <i/>
        <sz val="11"/>
        <color theme="1"/>
        <rFont val="Arial"/>
        <family val="2"/>
      </rPr>
      <t>Measure-Level Adjustments Tab</t>
    </r>
    <r>
      <rPr>
        <sz val="11"/>
        <color theme="1"/>
        <rFont val="Arial"/>
        <family val="2"/>
      </rPr>
      <t xml:space="preserve"> include the following:</t>
    </r>
  </si>
  <si>
    <r>
      <t xml:space="preserve">a.    </t>
    </r>
    <r>
      <rPr>
        <i/>
        <sz val="11"/>
        <color theme="1"/>
        <rFont val="Arial"/>
        <family val="2"/>
      </rPr>
      <t>Column (a) – Program:</t>
    </r>
    <r>
      <rPr>
        <sz val="11"/>
        <color theme="1"/>
        <rFont val="Arial"/>
        <family val="2"/>
      </rPr>
      <t xml:space="preserve"> List the name of the Energy Efficiency Program. The name of the Program should correspond with one of the Program names specified in </t>
    </r>
    <r>
      <rPr>
        <i/>
        <sz val="11"/>
        <color theme="1"/>
        <rFont val="Arial"/>
        <family val="2"/>
      </rPr>
      <t>column (a)</t>
    </r>
    <r>
      <rPr>
        <sz val="11"/>
        <color theme="1"/>
        <rFont val="Arial"/>
        <family val="2"/>
      </rPr>
      <t xml:space="preserve"> of the </t>
    </r>
    <r>
      <rPr>
        <i/>
        <sz val="11"/>
        <color theme="1"/>
        <rFont val="Arial"/>
        <family val="2"/>
      </rPr>
      <t>Program-Level Adjustments Tab</t>
    </r>
    <r>
      <rPr>
        <sz val="11"/>
        <color theme="1"/>
        <rFont val="Arial"/>
        <family val="2"/>
      </rPr>
      <t>.</t>
    </r>
  </si>
  <si>
    <r>
      <t xml:space="preserve">b.    </t>
    </r>
    <r>
      <rPr>
        <i/>
        <sz val="11"/>
        <color theme="1"/>
        <rFont val="Arial"/>
        <family val="2"/>
      </rPr>
      <t xml:space="preserve">Column (b) – Measure: </t>
    </r>
    <r>
      <rPr>
        <sz val="11"/>
        <color theme="1"/>
        <rFont val="Arial"/>
        <family val="2"/>
      </rPr>
      <t xml:space="preserve">List the detailed name of the Energy Efficiency Measure, including the efficiency level, where applicable. For example, Gas High Efficiency Furnace 95% AFUE Early Replacement. </t>
    </r>
  </si>
  <si>
    <r>
      <t xml:space="preserve">c.    </t>
    </r>
    <r>
      <rPr>
        <i/>
        <sz val="11"/>
        <color theme="1"/>
        <rFont val="Arial"/>
        <family val="2"/>
      </rPr>
      <t>Column (c) – Energy Savings: kWh or Therms?</t>
    </r>
    <r>
      <rPr>
        <sz val="11"/>
        <color theme="1"/>
        <rFont val="Arial"/>
        <family val="2"/>
      </rPr>
      <t>: List whether the Measure is a gas or electric Measure by specifying whether the savings are kWh or Therms.</t>
    </r>
  </si>
  <si>
    <r>
      <t xml:space="preserve">d.    </t>
    </r>
    <r>
      <rPr>
        <i/>
        <sz val="11"/>
        <color theme="1"/>
        <rFont val="Arial"/>
        <family val="2"/>
      </rPr>
      <t>Column (d) – IL-TRM Adjustable? (1 if yes; 0 if no)</t>
    </r>
    <r>
      <rPr>
        <sz val="11"/>
        <color theme="1"/>
        <rFont val="Arial"/>
        <family val="2"/>
      </rPr>
      <t>: 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t>
    </r>
    <r>
      <rPr>
        <vertAlign val="superscript"/>
        <sz val="11"/>
        <color theme="1"/>
        <rFont val="Arial"/>
        <family val="2"/>
      </rPr>
      <t xml:space="preserve"> </t>
    </r>
    <r>
      <rPr>
        <sz val="11"/>
        <color theme="1"/>
        <rFont val="Arial"/>
        <family val="2"/>
      </rPr>
      <t xml:space="preserve">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5.0 and/or if the Program Administrator will not adjust the savings goal for a low-impact Measure based upon IL-TRM changes. Note: Once a decision is made concerning whether the Measure is </t>
    </r>
    <r>
      <rPr>
        <i/>
        <sz val="11"/>
        <color theme="1"/>
        <rFont val="Arial"/>
        <family val="2"/>
      </rPr>
      <t>IL-TRM Adjustable</t>
    </r>
    <r>
      <rPr>
        <sz val="11"/>
        <color theme="1"/>
        <rFont val="Arial"/>
        <family val="2"/>
      </rPr>
      <t>, that decision is effective for the entirety of the Plan period and it cannot be changed in subsequent Program Years of the Plan, unless consensus is reached at SAG that the extenuating circumstance warrants such a change.</t>
    </r>
  </si>
  <si>
    <r>
      <t xml:space="preserve">                                          i.    For those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these “non-adjustable” rows should be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and no calculations should be performed for these shaded gray cells, leave them blank. For those rows with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the values contained in </t>
    </r>
    <r>
      <rPr>
        <i/>
        <sz val="11"/>
        <color theme="1"/>
        <rFont val="Arial"/>
        <family val="2"/>
      </rPr>
      <t xml:space="preserve">columns (aw), (ax), and (ay) </t>
    </r>
    <r>
      <rPr>
        <sz val="11"/>
        <color theme="1"/>
        <rFont val="Arial"/>
        <family val="2"/>
      </rPr>
      <t xml:space="preserve">should be set equal to the values contained in </t>
    </r>
    <r>
      <rPr>
        <i/>
        <sz val="11"/>
        <color theme="1"/>
        <rFont val="Arial"/>
        <family val="2"/>
      </rPr>
      <t>columns (z), (aa), and (ab)</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 xml:space="preserve">. </t>
    </r>
  </si>
  <si>
    <r>
      <t xml:space="preserve">                                         ii.    For those rows with Measures that are </t>
    </r>
    <r>
      <rPr>
        <i/>
        <sz val="11"/>
        <color theme="1"/>
        <rFont val="Arial"/>
        <family val="2"/>
      </rPr>
      <t xml:space="preserve">IL-TRM Adjustable </t>
    </r>
    <r>
      <rPr>
        <sz val="11"/>
        <color theme="1"/>
        <rFont val="Arial"/>
        <family val="2"/>
      </rPr>
      <t>(</t>
    </r>
    <r>
      <rPr>
        <i/>
        <sz val="11"/>
        <color theme="1"/>
        <rFont val="Arial"/>
        <family val="2"/>
      </rPr>
      <t>column (d)</t>
    </r>
    <r>
      <rPr>
        <sz val="11"/>
        <color theme="1"/>
        <rFont val="Arial"/>
        <family val="2"/>
      </rPr>
      <t xml:space="preserve">=1), the values contained in </t>
    </r>
    <r>
      <rPr>
        <i/>
        <sz val="11"/>
        <color theme="1"/>
        <rFont val="Arial"/>
        <family val="2"/>
      </rPr>
      <t>columns (aw), (ax), and (ay)</t>
    </r>
    <r>
      <rPr>
        <sz val="11"/>
        <color theme="1"/>
        <rFont val="Arial"/>
        <family val="2"/>
      </rPr>
      <t xml:space="preserve"> should be set equal to the values contained in </t>
    </r>
    <r>
      <rPr>
        <i/>
        <sz val="11"/>
        <color theme="1"/>
        <rFont val="Arial"/>
        <family val="2"/>
      </rPr>
      <t>columns (ai), (ao), and (au)</t>
    </r>
    <r>
      <rPr>
        <sz val="11"/>
        <color theme="1"/>
        <rFont val="Arial"/>
        <family val="2"/>
      </rPr>
      <t xml:space="preserve">, respectively, in calculating the </t>
    </r>
    <r>
      <rPr>
        <i/>
        <sz val="11"/>
        <color theme="1"/>
        <rFont val="Arial"/>
        <family val="2"/>
      </rPr>
      <t>Final Adjusted Net Energy Savings Goals</t>
    </r>
    <r>
      <rPr>
        <sz val="11"/>
        <color theme="1"/>
        <rFont val="Arial"/>
        <family val="2"/>
      </rPr>
      <t>.</t>
    </r>
  </si>
  <si>
    <r>
      <t>                                        iii.    Note: The Custom Program is not adjustable under the IL-TRM, but there is a one-time savings goal NTG adjustment allowed for the Plan period if the Evaluator’s final recommended NTG values for the Custom Program that are provided prior to the start of the first Program Year of the Plan (</t>
    </r>
    <r>
      <rPr>
        <i/>
        <sz val="11"/>
        <color theme="1"/>
        <rFont val="Arial"/>
        <family val="2"/>
      </rPr>
      <t>columns (w), (x), and (y)</t>
    </r>
    <r>
      <rPr>
        <sz val="11"/>
        <color theme="1"/>
        <rFont val="Arial"/>
        <family val="2"/>
      </rPr>
      <t>) differ from the NTG values used to calculate energy savings goals for the Custom Program in the Program Administrator’s approved Plan (</t>
    </r>
    <r>
      <rPr>
        <i/>
        <sz val="11"/>
        <color theme="1"/>
        <rFont val="Arial"/>
        <family val="2"/>
      </rPr>
      <t>columns (o), (p), and (q)</t>
    </r>
    <r>
      <rPr>
        <sz val="11"/>
        <color theme="1"/>
        <rFont val="Arial"/>
        <family val="2"/>
      </rPr>
      <t>).</t>
    </r>
  </si>
  <si>
    <r>
      <t xml:space="preserve">e.    </t>
    </r>
    <r>
      <rPr>
        <i/>
        <sz val="11"/>
        <color theme="1"/>
        <rFont val="Arial"/>
        <family val="2"/>
      </rPr>
      <t xml:space="preserve">Column (e) – IL-TRM Section / Custom: </t>
    </r>
    <r>
      <rPr>
        <sz val="11"/>
        <color theme="1"/>
        <rFont val="Arial"/>
        <family val="2"/>
      </rPr>
      <t>If the Measure is using the IL-TRM to calculate savings, insert the IL-TRM section number that corresponds to this Measure. For example, 5.3.16 is the IL-TRM section number for Advanced Thermostats. If savings are calculated on a custom basis, insert the word “Custom”.</t>
    </r>
  </si>
  <si>
    <r>
      <t xml:space="preserve">f.     </t>
    </r>
    <r>
      <rPr>
        <i/>
        <sz val="11"/>
        <color theme="1"/>
        <rFont val="Arial"/>
        <family val="2"/>
      </rPr>
      <t xml:space="preserve">Column (f) – Unit of Participation: </t>
    </r>
    <r>
      <rPr>
        <sz val="11"/>
        <color theme="1"/>
        <rFont val="Arial"/>
        <family val="2"/>
      </rPr>
      <t>Describe the unit of participation for the Measure. For example, is participation calculated on a per home basis?</t>
    </r>
  </si>
  <si>
    <r>
      <t xml:space="preserve">g.    </t>
    </r>
    <r>
      <rPr>
        <i/>
        <sz val="11"/>
        <color theme="1"/>
        <rFont val="Arial"/>
        <family val="2"/>
      </rPr>
      <t xml:space="preserve">Columns (g), (h), and (i) – Plan Number of Units (Fixed Parameters for Calculating Adjustable Savings Goals): </t>
    </r>
    <r>
      <rPr>
        <sz val="11"/>
        <color theme="1"/>
        <rFont val="Arial"/>
        <family val="2"/>
      </rPr>
      <t xml:space="preserve">Complete the forecasted Measure participation levels for the relevant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t>
    </r>
  </si>
  <si>
    <r>
      <t xml:space="preserve">                                          i.    Note: These Measure participation levels identified in the approved Plan and in </t>
    </r>
    <r>
      <rPr>
        <i/>
        <sz val="11"/>
        <color theme="1"/>
        <rFont val="Arial"/>
        <family val="2"/>
      </rPr>
      <t>columns (g), (h), and (i)</t>
    </r>
    <r>
      <rPr>
        <sz val="11"/>
        <color theme="1"/>
        <rFont val="Arial"/>
        <family val="2"/>
      </rPr>
      <t xml:space="preserve"> that are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will be fixed for the entirety of the Plan period for the purpose of calculating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</si>
  <si>
    <r>
      <t xml:space="preserve">h.    </t>
    </r>
    <r>
      <rPr>
        <i/>
        <sz val="11"/>
        <color theme="1"/>
        <rFont val="Arial"/>
        <family val="2"/>
      </rPr>
      <t xml:space="preserve">Column (j) – IL-TRM Measure Code from IL-TRMv5.0: </t>
    </r>
    <r>
      <rPr>
        <sz val="11"/>
        <color theme="1"/>
        <rFont val="Arial"/>
        <family val="2"/>
      </rPr>
      <t xml:space="preserve">List the applicable IL-TRM Measure Code from the IL-TRM Version 5.0, dated February 11, 2016.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RS-HVC-ADTH-V01-160601 is the IL-TRM Measure Code for Advanced Thermostats. Leave blank for Measures not covered by the IL-TRM Version 5.0. </t>
    </r>
  </si>
  <si>
    <r>
      <t xml:space="preserve">i.      </t>
    </r>
    <r>
      <rPr>
        <i/>
        <sz val="11"/>
        <color theme="1"/>
        <rFont val="Arial"/>
        <family val="2"/>
      </rPr>
      <t xml:space="preserve">Column (k) – Reference Document Explaining Gross Unit Savings Calculation Details: </t>
    </r>
    <r>
      <rPr>
        <sz val="11"/>
        <color theme="1"/>
        <rFont val="Arial"/>
        <family val="2"/>
      </rPr>
      <t xml:space="preserve">Provide the name of the document, and date and tab name if applicable, where the supporting calculation details and </t>
    </r>
    <r>
      <rPr>
        <i/>
        <sz val="11"/>
        <color theme="1"/>
        <rFont val="Arial"/>
        <family val="2"/>
      </rPr>
      <t>Key Custom and IL-TRM Input Assumptions</t>
    </r>
    <r>
      <rPr>
        <sz val="11"/>
        <color theme="1"/>
        <rFont val="Arial"/>
        <family val="2"/>
      </rPr>
      <t xml:space="preserve"> for calculating the </t>
    </r>
    <r>
      <rPr>
        <i/>
        <sz val="11"/>
        <color theme="1"/>
        <rFont val="Arial"/>
        <family val="2"/>
      </rPr>
      <t>Plan Gross Unit Savings</t>
    </r>
    <r>
      <rPr>
        <sz val="11"/>
        <color theme="1"/>
        <rFont val="Arial"/>
        <family val="2"/>
      </rPr>
      <t xml:space="preserve"> values contained in </t>
    </r>
    <r>
      <rPr>
        <i/>
        <sz val="11"/>
        <color theme="1"/>
        <rFont val="Arial"/>
        <family val="2"/>
      </rPr>
      <t>columns (l), (m), and (n)</t>
    </r>
    <r>
      <rPr>
        <sz val="11"/>
        <color theme="1"/>
        <rFont val="Arial"/>
        <family val="2"/>
      </rPr>
      <t xml:space="preserve"> can be found for the relevant Measure.</t>
    </r>
  </si>
  <si>
    <r>
      <t xml:space="preserve">j.      </t>
    </r>
    <r>
      <rPr>
        <i/>
        <sz val="11"/>
        <color theme="1"/>
        <rFont val="Arial"/>
        <family val="2"/>
      </rPr>
      <t>Columns (l), (m), and (n) – Plan Gross Unit Savings</t>
    </r>
    <r>
      <rPr>
        <sz val="11"/>
        <color theme="1"/>
        <rFont val="Arial"/>
        <family val="2"/>
      </rPr>
      <t xml:space="preserve">: Complete the gross kWh or Therm savings per unit of participation,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 xml:space="preserve">. Program Administrators will specify the calculation details associated with these </t>
    </r>
    <r>
      <rPr>
        <i/>
        <sz val="11"/>
        <color theme="1"/>
        <rFont val="Arial"/>
        <family val="2"/>
      </rPr>
      <t>Plan Gross Unit Savings</t>
    </r>
    <r>
      <rPr>
        <sz val="11"/>
        <color theme="1"/>
        <rFont val="Arial"/>
        <family val="2"/>
      </rPr>
      <t xml:space="preserve"> values within the reference document cited in </t>
    </r>
    <r>
      <rPr>
        <i/>
        <sz val="11"/>
        <color theme="1"/>
        <rFont val="Arial"/>
        <family val="2"/>
      </rPr>
      <t>column (k),</t>
    </r>
    <r>
      <rPr>
        <sz val="11"/>
        <color theme="1"/>
        <rFont val="Arial"/>
        <family val="2"/>
      </rPr>
      <t xml:space="preserve"> and Program Administrators will outline the </t>
    </r>
    <r>
      <rPr>
        <i/>
        <sz val="11"/>
        <color theme="1"/>
        <rFont val="Arial"/>
        <family val="2"/>
      </rPr>
      <t>Key Custom and IL-TRM Input Assumptions</t>
    </r>
    <r>
      <rPr>
        <sz val="11"/>
        <color theme="1"/>
        <rFont val="Arial"/>
        <family val="2"/>
      </rPr>
      <t xml:space="preserve"> and values used in the calculation for the </t>
    </r>
    <r>
      <rPr>
        <i/>
        <sz val="11"/>
        <color theme="1"/>
        <rFont val="Arial"/>
        <family val="2"/>
      </rPr>
      <t>IL-TRM Adjustable</t>
    </r>
    <r>
      <rPr>
        <sz val="11"/>
        <color theme="1"/>
        <rFont val="Arial"/>
        <family val="2"/>
      </rPr>
      <t xml:space="preserve"> Measures (</t>
    </r>
    <r>
      <rPr>
        <i/>
        <sz val="11"/>
        <color theme="1"/>
        <rFont val="Arial"/>
        <family val="2"/>
      </rPr>
      <t>column (d)</t>
    </r>
    <r>
      <rPr>
        <sz val="11"/>
        <color theme="1"/>
        <rFont val="Arial"/>
        <family val="2"/>
      </rPr>
      <t xml:space="preserve">=1) within the reference document and in </t>
    </r>
    <r>
      <rPr>
        <i/>
        <sz val="11"/>
        <color theme="1"/>
        <rFont val="Arial"/>
        <family val="2"/>
      </rPr>
      <t>columns (ba) and (bb)</t>
    </r>
    <r>
      <rPr>
        <sz val="11"/>
        <color theme="1"/>
        <rFont val="Arial"/>
        <family val="2"/>
      </rPr>
      <t xml:space="preserve">, or in another location as allowed for per the provisions described in </t>
    </r>
    <r>
      <rPr>
        <i/>
        <sz val="11"/>
        <color theme="1"/>
        <rFont val="Arial"/>
        <family val="2"/>
      </rPr>
      <t>columns (ba) and (bb)</t>
    </r>
    <r>
      <rPr>
        <sz val="11"/>
        <color theme="1"/>
        <rFont val="Arial"/>
        <family val="2"/>
      </rPr>
      <t>.</t>
    </r>
  </si>
  <si>
    <r>
      <t xml:space="preserve">k.    </t>
    </r>
    <r>
      <rPr>
        <i/>
        <sz val="11"/>
        <color theme="1"/>
        <rFont val="Arial"/>
        <family val="2"/>
      </rPr>
      <t>Columns (o), (p), and (q) – Plan NTG</t>
    </r>
    <r>
      <rPr>
        <sz val="11"/>
        <color theme="1"/>
        <rFont val="Arial"/>
        <family val="2"/>
      </rPr>
      <t xml:space="preserve">: Insert the assumed NTG values for the applicable Program Years used to derive the </t>
    </r>
    <r>
      <rPr>
        <i/>
        <sz val="11"/>
        <color theme="1"/>
        <rFont val="Arial"/>
        <family val="2"/>
      </rPr>
      <t>Plan Energy Savings Goals</t>
    </r>
    <r>
      <rPr>
        <sz val="11"/>
        <color theme="1"/>
        <rFont val="Arial"/>
        <family val="2"/>
      </rPr>
      <t xml:space="preserve"> set forth in </t>
    </r>
    <r>
      <rPr>
        <i/>
        <sz val="11"/>
        <color theme="1"/>
        <rFont val="Arial"/>
        <family val="2"/>
      </rPr>
      <t>columns (r), (s), (t), and (u)</t>
    </r>
    <r>
      <rPr>
        <sz val="11"/>
        <color theme="1"/>
        <rFont val="Arial"/>
        <family val="2"/>
      </rPr>
      <t>.</t>
    </r>
  </si>
  <si>
    <r>
      <t xml:space="preserve">l.      </t>
    </r>
    <r>
      <rPr>
        <i/>
        <sz val="11"/>
        <color theme="1"/>
        <rFont val="Arial"/>
        <family val="2"/>
      </rPr>
      <t>Columns (r), (s), and (t) – Plan Goal</t>
    </r>
    <r>
      <rPr>
        <sz val="11"/>
        <color theme="1"/>
        <rFont val="Arial"/>
        <family val="2"/>
      </rPr>
      <t xml:space="preserve">: Calculate the Plan energy savings goals for the applicable Program Years referenced in </t>
    </r>
    <r>
      <rPr>
        <i/>
        <sz val="11"/>
        <color theme="1"/>
        <rFont val="Arial"/>
        <family val="2"/>
      </rPr>
      <t xml:space="preserve">columns (r), (s), and (t) </t>
    </r>
    <r>
      <rPr>
        <sz val="11"/>
        <color theme="1"/>
        <rFont val="Arial"/>
        <family val="2"/>
      </rPr>
      <t>by following the calculation instructions specified in the header row containing column labels for each column</t>
    </r>
    <r>
      <rPr>
        <i/>
        <sz val="11"/>
        <color theme="1"/>
        <rFont val="Arial"/>
        <family val="2"/>
      </rPr>
      <t>; column (r)=(g x l x o), column (s)=(h x m x p), and column (t)=(i x n x q)</t>
    </r>
    <r>
      <rPr>
        <sz val="11"/>
        <color theme="1"/>
        <rFont val="Arial"/>
        <family val="2"/>
      </rPr>
      <t xml:space="preserve">. </t>
    </r>
  </si>
  <si>
    <r>
      <t xml:space="preserve">                                          i.    The value contained in </t>
    </r>
    <r>
      <rPr>
        <i/>
        <sz val="11"/>
        <color theme="1"/>
        <rFont val="Arial"/>
        <family val="2"/>
      </rPr>
      <t>column (r) – EPY10/GPY7 Plan Goal</t>
    </r>
    <r>
      <rPr>
        <sz val="11"/>
        <color theme="1"/>
        <rFont val="Arial"/>
        <family val="2"/>
      </rPr>
      <t xml:space="preserve"> should be calculated by taking the product of the values contained in </t>
    </r>
    <r>
      <rPr>
        <i/>
        <sz val="11"/>
        <color theme="1"/>
        <rFont val="Arial"/>
        <family val="2"/>
      </rPr>
      <t>column (g) – EPY10/GPY7 Plan Number of Units (Fixed), column (l) – EPY10/GPY7 Plan Gross Unit Savings, and column (o) – EPY10/GPY7 Plan NTG</t>
    </r>
    <r>
      <rPr>
        <sz val="11"/>
        <color theme="1"/>
        <rFont val="Arial"/>
        <family val="2"/>
      </rPr>
      <t xml:space="preserve">. </t>
    </r>
  </si>
  <si>
    <r>
      <t xml:space="preserve">                                         ii.    The value contained in </t>
    </r>
    <r>
      <rPr>
        <i/>
        <sz val="11"/>
        <color theme="1"/>
        <rFont val="Arial"/>
        <family val="2"/>
      </rPr>
      <t>column (s) – EPY11/GPY8 Plan Goal</t>
    </r>
    <r>
      <rPr>
        <sz val="11"/>
        <color theme="1"/>
        <rFont val="Arial"/>
        <family val="2"/>
      </rPr>
      <t xml:space="preserve"> should be calculated by taking the product of the values contained in </t>
    </r>
    <r>
      <rPr>
        <i/>
        <sz val="11"/>
        <color theme="1"/>
        <rFont val="Arial"/>
        <family val="2"/>
      </rPr>
      <t>column (h) – EPY11/GPY8 Plan Number of Units (Fixed), column (m) – EPY11/GPY8 Plan Gross Unit Savings, and column (p) – EPY11/GPY8 Plan NTG</t>
    </r>
    <r>
      <rPr>
        <sz val="11"/>
        <color theme="1"/>
        <rFont val="Arial"/>
        <family val="2"/>
      </rPr>
      <t xml:space="preserve">. </t>
    </r>
  </si>
  <si>
    <r>
      <t xml:space="preserve">                                        iii.    The value contained in </t>
    </r>
    <r>
      <rPr>
        <i/>
        <sz val="11"/>
        <color theme="1"/>
        <rFont val="Arial"/>
        <family val="2"/>
      </rPr>
      <t>column (t) – EPY12/GPY9 Plan Goal</t>
    </r>
    <r>
      <rPr>
        <sz val="11"/>
        <color theme="1"/>
        <rFont val="Arial"/>
        <family val="2"/>
      </rPr>
      <t xml:space="preserve"> should be calculated by taking the product of the values contained in </t>
    </r>
    <r>
      <rPr>
        <i/>
        <sz val="11"/>
        <color theme="1"/>
        <rFont val="Arial"/>
        <family val="2"/>
      </rPr>
      <t>column (i) – EPY12/GPY9 Plan Number of Units (Fixed), column (n) – EPY12/GPY9 Plan Gross Unit Savings, and column (q) – EPY12/GPY9 Plan NTG</t>
    </r>
    <r>
      <rPr>
        <sz val="11"/>
        <color theme="1"/>
        <rFont val="Arial"/>
        <family val="2"/>
      </rPr>
      <t>.</t>
    </r>
  </si>
  <si>
    <r>
      <t xml:space="preserve">m.   </t>
    </r>
    <r>
      <rPr>
        <i/>
        <sz val="11"/>
        <color theme="1"/>
        <rFont val="Arial"/>
        <family val="2"/>
      </rPr>
      <t>Column (u) – Total Electric Plan 4/Gas Plan 3 Goal</t>
    </r>
    <r>
      <rPr>
        <sz val="11"/>
        <color theme="1"/>
        <rFont val="Arial"/>
        <family val="2"/>
      </rPr>
      <t xml:space="preserve">: Calculate the total Plan energy savings goal; </t>
    </r>
    <r>
      <rPr>
        <i/>
        <sz val="11"/>
        <color theme="1"/>
        <rFont val="Arial"/>
        <family val="2"/>
      </rPr>
      <t>column (u)=(r+s+t)</t>
    </r>
    <r>
      <rPr>
        <sz val="11"/>
        <color theme="1"/>
        <rFont val="Arial"/>
        <family val="2"/>
      </rPr>
      <t xml:space="preserve">. The value contained in </t>
    </r>
    <r>
      <rPr>
        <i/>
        <sz val="11"/>
        <color theme="1"/>
        <rFont val="Arial"/>
        <family val="2"/>
      </rPr>
      <t>column (u) – Total Electric Plan 4/Gas Plan 3 Goal</t>
    </r>
    <r>
      <rPr>
        <sz val="11"/>
        <color theme="1"/>
        <rFont val="Arial"/>
        <family val="2"/>
      </rPr>
      <t xml:space="preserve"> should be calculated by taking the sum of the values contained in </t>
    </r>
    <r>
      <rPr>
        <i/>
        <sz val="11"/>
        <color theme="1"/>
        <rFont val="Arial"/>
        <family val="2"/>
      </rPr>
      <t>column (r) – EPY10/GPY7 Plan Goal,</t>
    </r>
    <r>
      <rPr>
        <sz val="11"/>
        <color theme="1"/>
        <rFont val="Arial"/>
        <family val="2"/>
      </rPr>
      <t xml:space="preserve"> </t>
    </r>
    <r>
      <rPr>
        <i/>
        <sz val="11"/>
        <color theme="1"/>
        <rFont val="Arial"/>
        <family val="2"/>
      </rPr>
      <t>column (s) – EPY11/GPY8 Plan Goal, and</t>
    </r>
    <r>
      <rPr>
        <sz val="11"/>
        <color theme="1"/>
        <rFont val="Arial"/>
        <family val="2"/>
      </rPr>
      <t xml:space="preserve"> </t>
    </r>
    <r>
      <rPr>
        <i/>
        <sz val="11"/>
        <color theme="1"/>
        <rFont val="Arial"/>
        <family val="2"/>
      </rPr>
      <t>column (t) – EPY12/GPY9 Plan Goal.</t>
    </r>
  </si>
  <si>
    <r>
      <t xml:space="preserve">n.    </t>
    </r>
    <r>
      <rPr>
        <i/>
        <sz val="11"/>
        <color theme="1"/>
        <rFont val="Arial"/>
        <family val="2"/>
      </rPr>
      <t>Column (ba)</t>
    </r>
    <r>
      <rPr>
        <sz val="11"/>
        <color theme="1"/>
        <rFont val="Arial"/>
        <family val="2"/>
      </rPr>
      <t xml:space="preserve"> </t>
    </r>
    <r>
      <rPr>
        <i/>
        <sz val="11"/>
        <color theme="1"/>
        <rFont val="Arial"/>
        <family val="2"/>
      </rPr>
      <t xml:space="preserve">– Key Custom Input Assumptions (if none, specify NA): </t>
    </r>
    <r>
      <rPr>
        <sz val="11"/>
        <color theme="1"/>
        <rFont val="Arial"/>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in the Plan and specified in </t>
    </r>
    <r>
      <rPr>
        <i/>
        <sz val="11"/>
        <color theme="1"/>
        <rFont val="Arial"/>
        <family val="2"/>
      </rPr>
      <t>columns (l), (m), and (n)</t>
    </r>
    <r>
      <rPr>
        <sz val="11"/>
        <color theme="1"/>
        <rFont val="Arial"/>
        <family val="2"/>
      </rPr>
      <t xml:space="preserve">. Answer “NA” if there are no custom assumptions selected by the Program Administrator to calculate the </t>
    </r>
    <r>
      <rPr>
        <i/>
        <sz val="11"/>
        <color theme="1"/>
        <rFont val="Arial"/>
        <family val="2"/>
      </rPr>
      <t>Plan Gross Unit Savings</t>
    </r>
    <r>
      <rPr>
        <sz val="11"/>
        <color theme="1"/>
        <rFont val="Arial"/>
        <family val="2"/>
      </rPr>
      <t xml:space="preserve"> for the </t>
    </r>
    <r>
      <rPr>
        <i/>
        <sz val="11"/>
        <color theme="1"/>
        <rFont val="Arial"/>
        <family val="2"/>
      </rPr>
      <t>IL-TRM Adjustable</t>
    </r>
    <r>
      <rPr>
        <sz val="11"/>
        <color theme="1"/>
        <rFont val="Arial"/>
        <family val="2"/>
      </rPr>
      <t xml:space="preserve"> Measure. The assumptions listed in </t>
    </r>
    <r>
      <rPr>
        <i/>
        <sz val="11"/>
        <color theme="1"/>
        <rFont val="Arial"/>
        <family val="2"/>
      </rPr>
      <t>column (ba)</t>
    </r>
    <r>
      <rPr>
        <sz val="11"/>
        <color theme="1"/>
        <rFont val="Arial"/>
        <family val="2"/>
      </rPr>
      <t xml:space="preserve"> should be consistent with and clearly outlined in the reference document specified in </t>
    </r>
    <r>
      <rPr>
        <i/>
        <sz val="11"/>
        <color theme="1"/>
        <rFont val="Arial"/>
        <family val="2"/>
      </rPr>
      <t>column (k) – Reference Document Explaining Gross Unit Savings Calculation Details</t>
    </r>
    <r>
      <rPr>
        <sz val="11"/>
        <color theme="1"/>
        <rFont val="Arial"/>
        <family val="2"/>
      </rPr>
      <t xml:space="preserve">. Program Administrators have the flexibility to specify the custom assumptions selected by the Program Administrator within a separate tab or across multiple columns of the </t>
    </r>
    <r>
      <rPr>
        <i/>
        <sz val="11"/>
        <color theme="1"/>
        <rFont val="Arial"/>
        <family val="2"/>
      </rPr>
      <t>Measure-Level Adjustments Tab</t>
    </r>
    <r>
      <rPr>
        <sz val="11"/>
        <color theme="1"/>
        <rFont val="Arial"/>
        <family val="2"/>
      </rPr>
      <t xml:space="preserve">. In cases where the custom assumptions are provided within a separate tab, the name of the tab where the custom assumptions can be found should be clearly specified in </t>
    </r>
    <r>
      <rPr>
        <i/>
        <sz val="11"/>
        <color theme="1"/>
        <rFont val="Arial"/>
        <family val="2"/>
      </rPr>
      <t>column (ba)</t>
    </r>
    <r>
      <rPr>
        <sz val="11"/>
        <color theme="1"/>
        <rFont val="Arial"/>
        <family val="2"/>
      </rPr>
      <t xml:space="preserve">. </t>
    </r>
  </si>
  <si>
    <r>
      <t xml:space="preserve">                                          i.    Note: In general, if a custom input assumption specified in this </t>
    </r>
    <r>
      <rPr>
        <i/>
        <sz val="11"/>
        <color theme="1"/>
        <rFont val="Arial"/>
        <family val="2"/>
      </rPr>
      <t>column (ba)</t>
    </r>
    <r>
      <rPr>
        <sz val="11"/>
        <color theme="1"/>
        <rFont val="Arial"/>
        <family val="2"/>
      </rPr>
      <t xml:space="preserve"> is changed by the Program Administrator during Program implementation and tracking of the Measure savings during the Plan period, given such a change to the custom input assumptions during Program implementation of the Measure is </t>
    </r>
    <r>
      <rPr>
        <u/>
        <sz val="11"/>
        <color theme="1"/>
        <rFont val="Arial"/>
        <family val="2"/>
      </rPr>
      <t>not</t>
    </r>
    <r>
      <rPr>
        <sz val="11"/>
        <color theme="1"/>
        <rFont val="Arial"/>
        <family val="2"/>
      </rPr>
      <t xml:space="preserve"> the result of a change to the IL-TRM, the changed custom input assumption should </t>
    </r>
    <r>
      <rPr>
        <u/>
        <sz val="11"/>
        <color theme="1"/>
        <rFont val="Arial"/>
        <family val="2"/>
      </rPr>
      <t>not</t>
    </r>
    <r>
      <rPr>
        <sz val="11"/>
        <color theme="1"/>
        <rFont val="Arial"/>
        <family val="2"/>
      </rPr>
      <t xml:space="preserve"> be used to adjust the Program Administrator’s energy savings goals. In other words, the custom input assumptions selected by the Program Administrator in its Plan filing (as specified in </t>
    </r>
    <r>
      <rPr>
        <i/>
        <sz val="11"/>
        <color theme="1"/>
        <rFont val="Arial"/>
        <family val="2"/>
      </rPr>
      <t>column (ba)</t>
    </r>
    <r>
      <rPr>
        <sz val="11"/>
        <color theme="1"/>
        <rFont val="Arial"/>
        <family val="2"/>
      </rPr>
      <t xml:space="preserve">) should remain fixed over the Plan period when calculating the </t>
    </r>
    <r>
      <rPr>
        <i/>
        <sz val="11"/>
        <color theme="1"/>
        <rFont val="Arial"/>
        <family val="2"/>
      </rPr>
      <t>Gross Unit Savings</t>
    </r>
    <r>
      <rPr>
        <sz val="11"/>
        <color theme="1"/>
        <rFont val="Arial"/>
        <family val="2"/>
      </rPr>
      <t xml:space="preserve"> for the applicable Program Years set forth in </t>
    </r>
    <r>
      <rPr>
        <i/>
        <sz val="11"/>
        <color theme="1"/>
        <rFont val="Arial"/>
        <family val="2"/>
      </rPr>
      <t>columns (ag), (am), and (as)</t>
    </r>
    <r>
      <rPr>
        <sz val="11"/>
        <color theme="1"/>
        <rFont val="Arial"/>
        <family val="2"/>
      </rPr>
      <t xml:space="preserve"> and the </t>
    </r>
    <r>
      <rPr>
        <i/>
        <sz val="11"/>
        <color theme="1"/>
        <rFont val="Arial"/>
        <family val="2"/>
      </rPr>
      <t>Final Adjusted Net Energy Savings Goals</t>
    </r>
    <r>
      <rPr>
        <sz val="11"/>
        <color theme="1"/>
        <rFont val="Arial"/>
        <family val="2"/>
      </rPr>
      <t xml:space="preserve"> set forth in </t>
    </r>
    <r>
      <rPr>
        <i/>
        <sz val="11"/>
        <color theme="1"/>
        <rFont val="Arial"/>
        <family val="2"/>
      </rPr>
      <t>columns (aw), (ax), (ay), and (az)</t>
    </r>
    <r>
      <rPr>
        <sz val="11"/>
        <color theme="1"/>
        <rFont val="Arial"/>
        <family val="2"/>
      </rPr>
      <t>,</t>
    </r>
    <r>
      <rPr>
        <i/>
        <sz val="11"/>
        <color theme="1"/>
        <rFont val="Arial"/>
        <family val="2"/>
      </rPr>
      <t xml:space="preserve"> </t>
    </r>
    <r>
      <rPr>
        <sz val="11"/>
        <color theme="1"/>
        <rFont val="Arial"/>
        <family val="2"/>
      </rPr>
      <t xml:space="preserve">unless consensus is reached at SAG that the extenuating circumstance warrants an adjustment.     </t>
    </r>
  </si>
  <si>
    <r>
      <t xml:space="preserve">o.    </t>
    </r>
    <r>
      <rPr>
        <i/>
        <sz val="11"/>
        <color theme="1"/>
        <rFont val="Arial"/>
        <family val="2"/>
      </rPr>
      <t>Column (bb) – Key IL-TRM Input Assumptions:</t>
    </r>
    <r>
      <rPr>
        <sz val="11"/>
        <color theme="1"/>
        <rFont val="Arial"/>
        <family val="2"/>
      </rPr>
      <t xml:space="preserve"> Assumptions derived from the IL-TRM that, if changed in the IL-TRM in the future, would necessitate a savings goal adjustment, unless consensus is reached at SAG that the extenuating circumstance warrants no adjustment.</t>
    </r>
    <r>
      <rPr>
        <i/>
        <sz val="11"/>
        <color theme="1"/>
        <rFont val="Arial"/>
        <family val="2"/>
      </rPr>
      <t xml:space="preserve"> </t>
    </r>
    <r>
      <rPr>
        <sz val="11"/>
        <color theme="1"/>
        <rFont val="Arial"/>
        <family val="2"/>
      </rPr>
      <t xml:space="preserve">List the specific assumptions and values from the IL-TRM relied upon to calculate the </t>
    </r>
    <r>
      <rPr>
        <i/>
        <sz val="11"/>
        <color theme="1"/>
        <rFont val="Arial"/>
        <family val="2"/>
      </rPr>
      <t>Plan Gross Unit Savings</t>
    </r>
    <r>
      <rPr>
        <sz val="11"/>
        <color theme="1"/>
        <rFont val="Arial"/>
        <family val="2"/>
      </rPr>
      <t xml:space="preserve"> for the Measure specified in </t>
    </r>
    <r>
      <rPr>
        <i/>
        <sz val="11"/>
        <color theme="1"/>
        <rFont val="Arial"/>
        <family val="2"/>
      </rPr>
      <t>columns (l), (m), and (n)</t>
    </r>
    <r>
      <rPr>
        <sz val="11"/>
        <color theme="1"/>
        <rFont val="Arial"/>
        <family val="2"/>
      </rPr>
      <t xml:space="preserve">. The assumptions listed in </t>
    </r>
    <r>
      <rPr>
        <i/>
        <sz val="11"/>
        <color theme="1"/>
        <rFont val="Arial"/>
        <family val="2"/>
      </rPr>
      <t>column (bb)</t>
    </r>
    <r>
      <rPr>
        <sz val="11"/>
        <color theme="1"/>
        <rFont val="Arial"/>
        <family val="2"/>
      </rPr>
      <t xml:space="preserve"> should be consistent with and clearly outlined in the reference document specified in </t>
    </r>
    <r>
      <rPr>
        <i/>
        <sz val="11"/>
        <color theme="1"/>
        <rFont val="Arial"/>
        <family val="2"/>
      </rPr>
      <t xml:space="preserve">column (k) – Reference Document Explaining Gross Unit Savings Calculation Details. </t>
    </r>
    <r>
      <rPr>
        <sz val="11"/>
        <color theme="1"/>
        <rFont val="Arial"/>
        <family val="2"/>
      </rPr>
      <t xml:space="preserve">Program Administrators have the flexibility to specify the assumptions and values derived from the IL-TRM to calculate the </t>
    </r>
    <r>
      <rPr>
        <i/>
        <sz val="11"/>
        <color theme="1"/>
        <rFont val="Arial"/>
        <family val="2"/>
      </rPr>
      <t>Plan Gross Unit Savings</t>
    </r>
    <r>
      <rPr>
        <sz val="11"/>
        <color theme="1"/>
        <rFont val="Arial"/>
        <family val="2"/>
      </rPr>
      <t xml:space="preserve"> for the Measure within a separate tab or across multiple columns of the </t>
    </r>
    <r>
      <rPr>
        <i/>
        <sz val="11"/>
        <color theme="1"/>
        <rFont val="Arial"/>
        <family val="2"/>
      </rPr>
      <t>Measure-Level Adjustments Tab</t>
    </r>
    <r>
      <rPr>
        <sz val="11"/>
        <color theme="1"/>
        <rFont val="Arial"/>
        <family val="2"/>
      </rPr>
      <t xml:space="preserve">. In cases where the assumptions and values derived from the IL-TRM are provided within a separate tab, the name of the tab where the assumptions and values derived from the IL-TRM can be found should be clearly specified in </t>
    </r>
    <r>
      <rPr>
        <i/>
        <sz val="11"/>
        <color theme="1"/>
        <rFont val="Arial"/>
        <family val="2"/>
      </rPr>
      <t>column (bb)</t>
    </r>
    <r>
      <rPr>
        <sz val="11"/>
        <color theme="1"/>
        <rFont val="Arial"/>
        <family val="2"/>
      </rPr>
      <t>.</t>
    </r>
  </si>
  <si>
    <r>
      <t xml:space="preserve">                                          i.    </t>
    </r>
    <r>
      <rPr>
        <i/>
        <sz val="11"/>
        <color theme="1"/>
        <rFont val="Arial"/>
        <family val="2"/>
      </rPr>
      <t xml:space="preserve">Examples of Key IL-TRM Input Assumptions: 1) Cooling_Reduction = 8.0% for 5.3.16 Advanced Thermostats Measure; or 2) Hours (Unknown Installation Location) = 847 for 5.5.8 LED Screw Based Omnidirectional Bulbs Measure. </t>
    </r>
  </si>
  <si>
    <r>
      <t xml:space="preserve">2.    The reference documents cited in </t>
    </r>
    <r>
      <rPr>
        <i/>
        <sz val="11"/>
        <color theme="1"/>
        <rFont val="Arial"/>
        <family val="2"/>
      </rPr>
      <t>columns (k), (af), (al), and (ar) – Reference Document Explaining Gross Unit Savings Calculation Details</t>
    </r>
    <r>
      <rPr>
        <sz val="11"/>
        <color theme="1"/>
        <rFont val="Arial"/>
        <family val="2"/>
      </rPr>
      <t xml:space="preserve"> </t>
    </r>
    <r>
      <rPr>
        <i/>
        <sz val="11"/>
        <color theme="1"/>
        <rFont val="Arial"/>
        <family val="2"/>
      </rPr>
      <t>and</t>
    </r>
    <r>
      <rPr>
        <sz val="11"/>
        <color theme="1"/>
        <rFont val="Arial"/>
        <family val="2"/>
      </rPr>
      <t xml:space="preserve"> </t>
    </r>
    <r>
      <rPr>
        <i/>
        <sz val="11"/>
        <color theme="1"/>
        <rFont val="Arial"/>
        <family val="2"/>
      </rPr>
      <t>column (v) – Reference Document Explaining Evaluator’s Recommended NTG Values</t>
    </r>
    <r>
      <rPr>
        <sz val="11"/>
        <color theme="1"/>
        <rFont val="Arial"/>
        <family val="2"/>
      </rPr>
      <t xml:space="preserve"> will be posted on the SAG website and provided in the Plan docket. </t>
    </r>
  </si>
  <si>
    <r>
      <t xml:space="preserve">3.    Below the list of Measures in the row, </t>
    </r>
    <r>
      <rPr>
        <i/>
        <sz val="11"/>
        <color theme="1"/>
        <rFont val="Arial"/>
        <family val="2"/>
      </rPr>
      <t>Portfolio Total (kWh or Therms),</t>
    </r>
    <r>
      <rPr>
        <sz val="11"/>
        <color theme="1"/>
        <rFont val="Arial"/>
        <family val="2"/>
      </rPr>
      <t xml:space="preserve"> calculate a total summation of all the Measure savings within a column for the respective fuel type savings (kWh or Therms) to determine the Portfolio savings goals and adjustments for </t>
    </r>
    <r>
      <rPr>
        <i/>
        <sz val="11"/>
        <color theme="1"/>
        <rFont val="Arial"/>
        <family val="2"/>
      </rPr>
      <t>columns (r) – (u), (z), (aa) – (ad), (aj), (ap), and (av) – (az)</t>
    </r>
    <r>
      <rPr>
        <sz val="11"/>
        <color theme="1"/>
        <rFont val="Arial"/>
        <family val="2"/>
      </rPr>
      <t>.</t>
    </r>
  </si>
  <si>
    <r>
      <t xml:space="preserve">a.    Note: The values contained in the row, </t>
    </r>
    <r>
      <rPr>
        <i/>
        <sz val="11"/>
        <color theme="1"/>
        <rFont val="Arial"/>
        <family val="2"/>
      </rPr>
      <t>Portfolio Total (kWh or Therms),</t>
    </r>
    <r>
      <rPr>
        <sz val="11"/>
        <color theme="1"/>
        <rFont val="Arial"/>
        <family val="2"/>
      </rPr>
      <t xml:space="preserve"> of the </t>
    </r>
    <r>
      <rPr>
        <i/>
        <sz val="11"/>
        <color theme="1"/>
        <rFont val="Arial"/>
        <family val="2"/>
      </rPr>
      <t>Measure-Level Adjustments Tab</t>
    </r>
    <r>
      <rPr>
        <sz val="11"/>
        <color theme="1"/>
        <rFont val="Arial"/>
        <family val="2"/>
      </rPr>
      <t xml:space="preserve"> for </t>
    </r>
    <r>
      <rPr>
        <i/>
        <sz val="11"/>
        <color theme="1"/>
        <rFont val="Arial"/>
        <family val="2"/>
      </rPr>
      <t xml:space="preserve">columns (r), (s), (t), and (u) – Plan Energy Savings Goals, and columns (aw), (ax), (ay), and (az) – Final Adjusted Net Energy Savings Goals, </t>
    </r>
    <r>
      <rPr>
        <sz val="11"/>
        <color theme="1"/>
        <rFont val="Arial"/>
        <family val="2"/>
      </rPr>
      <t xml:space="preserve">should be equal to the values contained in the row, </t>
    </r>
    <r>
      <rPr>
        <i/>
        <sz val="11"/>
        <color theme="1"/>
        <rFont val="Arial"/>
        <family val="2"/>
      </rPr>
      <t>Portfolio Total (kWh or Therms),</t>
    </r>
    <r>
      <rPr>
        <sz val="11"/>
        <color theme="1"/>
        <rFont val="Arial"/>
        <family val="2"/>
      </rPr>
      <t xml:space="preserve"> in the </t>
    </r>
    <r>
      <rPr>
        <i/>
        <sz val="11"/>
        <color theme="1"/>
        <rFont val="Arial"/>
        <family val="2"/>
      </rPr>
      <t>Program-Level Adjustments Tab</t>
    </r>
    <r>
      <rPr>
        <sz val="11"/>
        <color theme="1"/>
        <rFont val="Arial"/>
        <family val="2"/>
      </rPr>
      <t xml:space="preserve"> for </t>
    </r>
    <r>
      <rPr>
        <i/>
        <sz val="11"/>
        <color theme="1"/>
        <rFont val="Arial"/>
        <family val="2"/>
      </rPr>
      <t>columns (b), (f), (j), and (n) – Plan Energy Savings Goal, and columns (c), (g), (k), and (o) – Adjusted Energy Savings Goal,</t>
    </r>
    <r>
      <rPr>
        <sz val="11"/>
        <color theme="1"/>
        <rFont val="Arial"/>
        <family val="2"/>
      </rPr>
      <t xml:space="preserve"> respectively. </t>
    </r>
  </si>
  <si>
    <r>
      <t xml:space="preserve">b.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(u)</t>
    </r>
    <r>
      <rPr>
        <sz val="11"/>
        <color theme="1"/>
        <rFont val="Arial"/>
        <family val="2"/>
      </rPr>
      <t xml:space="preserve"> of the </t>
    </r>
    <r>
      <rPr>
        <i/>
        <sz val="11"/>
        <color theme="1"/>
        <rFont val="Arial"/>
        <family val="2"/>
      </rPr>
      <t>Measure-Level Adjustments Tab</t>
    </r>
    <r>
      <rPr>
        <sz val="11"/>
        <color theme="1"/>
        <rFont val="Arial"/>
        <family val="2"/>
      </rPr>
      <t xml:space="preserve"> should be equal to the value contained in the row, </t>
    </r>
    <r>
      <rPr>
        <i/>
        <sz val="11"/>
        <color theme="1"/>
        <rFont val="Arial"/>
        <family val="2"/>
      </rPr>
      <t>Portfolio Total (kWh or Therms),</t>
    </r>
    <r>
      <rPr>
        <sz val="11"/>
        <color theme="1"/>
        <rFont val="Arial"/>
        <family val="2"/>
      </rPr>
      <t xml:space="preserve"> in </t>
    </r>
    <r>
      <rPr>
        <i/>
        <sz val="11"/>
        <color theme="1"/>
        <rFont val="Arial"/>
        <family val="2"/>
      </rPr>
      <t>column (n)</t>
    </r>
    <r>
      <rPr>
        <sz val="11"/>
        <color theme="1"/>
        <rFont val="Arial"/>
        <family val="2"/>
      </rPr>
      <t xml:space="preserve"> of the </t>
    </r>
    <r>
      <rPr>
        <i/>
        <sz val="11"/>
        <color theme="1"/>
        <rFont val="Arial"/>
        <family val="2"/>
      </rPr>
      <t>Program-Level Adjustments Tab</t>
    </r>
    <r>
      <rPr>
        <sz val="11"/>
        <color theme="1"/>
        <rFont val="Arial"/>
        <family val="2"/>
      </rPr>
      <t xml:space="preserve">, and this value should also be equal to the value of the Program Administrator’s energy savings goal specified in its approved Plan from the Plan docket. </t>
    </r>
  </si>
  <si>
    <r>
      <t xml:space="preserve">4.    </t>
    </r>
    <r>
      <rPr>
        <b/>
        <sz val="11"/>
        <color theme="1"/>
        <rFont val="Arial"/>
        <family val="2"/>
      </rPr>
      <t>NTG Adjustment:</t>
    </r>
    <r>
      <rPr>
        <sz val="11"/>
        <color theme="1"/>
        <rFont val="Arial"/>
        <family val="2"/>
      </rPr>
      <t xml:space="preserve"> Energy savings goals will be adjusted once based upon the independent Evaluator’s final recommended NTG values for the entire Plan period that are provided prior to the start of Electric Program Year 10/Gas Program Year 7 (“EPY10/GPY7”). Template guidelines to support the NTG-adjusted energy savings goal calculation include the following:</t>
    </r>
  </si>
  <si>
    <r>
      <t xml:space="preserve">a.    Complete </t>
    </r>
    <r>
      <rPr>
        <i/>
        <sz val="11"/>
        <color theme="1"/>
        <rFont val="Arial"/>
        <family val="2"/>
      </rPr>
      <t xml:space="preserve">columns (w), (x), and (y) – Evaluator’s NTG (Fixed) </t>
    </r>
    <r>
      <rPr>
        <sz val="11"/>
        <color theme="1"/>
        <rFont val="Arial"/>
        <family val="2"/>
      </rPr>
      <t xml:space="preserve">with the Evaluator’s final recommended NTG values for the respective Program Years that are provided prior to the start of EPY10/GPY7, and specify the name of the reference document containing and explaining those values in </t>
    </r>
    <r>
      <rPr>
        <i/>
        <sz val="11"/>
        <color theme="1"/>
        <rFont val="Arial"/>
        <family val="2"/>
      </rPr>
      <t>column (v) – Reference Document Explaining Evaluator’s Recommended NTG Values</t>
    </r>
    <r>
      <rPr>
        <sz val="11"/>
        <color theme="1"/>
        <rFont val="Arial"/>
        <family val="2"/>
      </rPr>
      <t>.</t>
    </r>
  </si>
  <si>
    <r>
      <t xml:space="preserve">b.    Complete </t>
    </r>
    <r>
      <rPr>
        <i/>
        <sz val="11"/>
        <color theme="1"/>
        <rFont val="Arial"/>
        <family val="2"/>
      </rPr>
      <t>columns (z), (aa), (ab), and (ac)</t>
    </r>
    <r>
      <rPr>
        <sz val="11"/>
        <color theme="1"/>
        <rFont val="Arial"/>
        <family val="2"/>
      </rPr>
      <t xml:space="preserve"> – </t>
    </r>
    <r>
      <rPr>
        <i/>
        <sz val="11"/>
        <color theme="1"/>
        <rFont val="Arial"/>
        <family val="2"/>
      </rPr>
      <t xml:space="preserve">NTG-Adjusted Goal </t>
    </r>
    <r>
      <rPr>
        <sz val="11"/>
        <color theme="1"/>
        <rFont val="Arial"/>
        <family val="2"/>
      </rPr>
      <t>for the respective Program Years and the Plan period by following the calculation instructions specified in the header row containing column labels (</t>
    </r>
    <r>
      <rPr>
        <i/>
        <sz val="11"/>
        <color theme="1"/>
        <rFont val="Arial"/>
        <family val="2"/>
      </rPr>
      <t>row 7</t>
    </r>
    <r>
      <rPr>
        <sz val="11"/>
        <color theme="1"/>
        <rFont val="Arial"/>
        <family val="2"/>
      </rPr>
      <t xml:space="preserve">); </t>
    </r>
    <r>
      <rPr>
        <i/>
        <sz val="11"/>
        <color theme="1"/>
        <rFont val="Arial"/>
        <family val="2"/>
      </rPr>
      <t>column (z)=(g x l x w), column (aa)=(h x m x x), column (ab)=(i x n x y), and column (ac)=(z+aa+ab)</t>
    </r>
    <r>
      <rPr>
        <sz val="11"/>
        <color theme="1"/>
        <rFont val="Arial"/>
        <family val="2"/>
      </rPr>
      <t xml:space="preserve">. </t>
    </r>
  </si>
  <si>
    <r>
      <t xml:space="preserve">                                          i.    For example, for </t>
    </r>
    <r>
      <rPr>
        <i/>
        <sz val="11"/>
        <color theme="1"/>
        <rFont val="Arial"/>
        <family val="2"/>
      </rPr>
      <t>column (z)</t>
    </r>
    <r>
      <rPr>
        <sz val="11"/>
        <color theme="1"/>
        <rFont val="Arial"/>
        <family val="2"/>
      </rPr>
      <t xml:space="preserve"> the header row containing column labels specifies: </t>
    </r>
    <r>
      <rPr>
        <i/>
        <sz val="11"/>
        <color theme="1"/>
        <rFont val="Arial"/>
        <family val="2"/>
      </rPr>
      <t>(z)=(g x l x w)</t>
    </r>
    <r>
      <rPr>
        <sz val="11"/>
        <color theme="1"/>
        <rFont val="Arial"/>
        <family val="2"/>
      </rPr>
      <t xml:space="preserve">. Thus, the resulting value contained in </t>
    </r>
    <r>
      <rPr>
        <i/>
        <sz val="11"/>
        <color theme="1"/>
        <rFont val="Arial"/>
        <family val="2"/>
      </rPr>
      <t xml:space="preserve">column (z) – EPY10/GPY7 NTG-Adjusted Goal </t>
    </r>
    <r>
      <rPr>
        <sz val="11"/>
        <color theme="1"/>
        <rFont val="Arial"/>
        <family val="2"/>
      </rPr>
      <t xml:space="preserve">should be calculated by taking the product of the values contained in </t>
    </r>
    <r>
      <rPr>
        <i/>
        <sz val="11"/>
        <color theme="1"/>
        <rFont val="Arial"/>
        <family val="2"/>
      </rPr>
      <t>column (g) – EPY10/GPY7 Plan Number of Units (Fixed), column (l) – EPY10/GPY7 Plan Gross Unit Savings, and column (w) – EPY10/GPY7 Evaluator’s NTG (Fixed)</t>
    </r>
    <r>
      <rPr>
        <sz val="11"/>
        <color theme="1"/>
        <rFont val="Arial"/>
        <family val="2"/>
      </rPr>
      <t xml:space="preserve">. </t>
    </r>
  </si>
  <si>
    <r>
      <t xml:space="preserve">c.    Complete </t>
    </r>
    <r>
      <rPr>
        <i/>
        <sz val="11"/>
        <color theme="1"/>
        <rFont val="Arial"/>
        <family val="2"/>
      </rPr>
      <t>column (ad) – Electric Plan 4/Gas Plan 3 NTG Adjustment</t>
    </r>
    <r>
      <rPr>
        <sz val="11"/>
        <color theme="1"/>
        <rFont val="Arial"/>
        <family val="2"/>
      </rPr>
      <t xml:space="preserve"> by calculating the savings differential as a result of the one-time NTG adjustment to the savings goal; </t>
    </r>
    <r>
      <rPr>
        <i/>
        <sz val="11"/>
        <color theme="1"/>
        <rFont val="Arial"/>
        <family val="2"/>
      </rPr>
      <t>column (ad)=(ac-u)</t>
    </r>
    <r>
      <rPr>
        <sz val="11"/>
        <color theme="1"/>
        <rFont val="Arial"/>
        <family val="2"/>
      </rPr>
      <t>.</t>
    </r>
  </si>
  <si>
    <r>
      <t xml:space="preserve">5.    </t>
    </r>
    <r>
      <rPr>
        <b/>
        <sz val="11"/>
        <color theme="1"/>
        <rFont val="Arial"/>
        <family val="2"/>
      </rPr>
      <t>IL-TRM Adjustments:</t>
    </r>
    <r>
      <rPr>
        <sz val="11"/>
        <color theme="1"/>
        <rFont val="Arial"/>
        <family val="2"/>
      </rPr>
      <t xml:space="preserve">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t>
    </r>
  </si>
  <si>
    <r>
      <t xml:space="preserve">a.    Complete the IL-TRM adjustment for the first Program Year of the Plan, namely the </t>
    </r>
    <r>
      <rPr>
        <i/>
        <sz val="11"/>
        <color theme="1"/>
        <rFont val="Arial"/>
        <family val="2"/>
      </rPr>
      <t>EPY10/GPY7 Adjustment</t>
    </r>
    <r>
      <rPr>
        <sz val="11"/>
        <color theme="1"/>
        <rFont val="Arial"/>
        <family val="2"/>
      </rPr>
      <t xml:space="preserve">, by completing </t>
    </r>
    <r>
      <rPr>
        <i/>
        <sz val="11"/>
        <color theme="1"/>
        <rFont val="Arial"/>
        <family val="2"/>
      </rPr>
      <t>columns (ae)</t>
    </r>
    <r>
      <rPr>
        <sz val="11"/>
        <color theme="1"/>
        <rFont val="Arial"/>
        <family val="2"/>
      </rPr>
      <t xml:space="preserve">, </t>
    </r>
    <r>
      <rPr>
        <i/>
        <sz val="11"/>
        <color theme="1"/>
        <rFont val="Arial"/>
        <family val="2"/>
      </rPr>
      <t>(af)</t>
    </r>
    <r>
      <rPr>
        <sz val="11"/>
        <color theme="1"/>
        <rFont val="Arial"/>
        <family val="2"/>
      </rPr>
      <t xml:space="preserve">, </t>
    </r>
    <r>
      <rPr>
        <i/>
        <sz val="11"/>
        <color theme="1"/>
        <rFont val="Arial"/>
        <family val="2"/>
      </rPr>
      <t>(ag), (ah), (ai), (aj), and (aw)</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and as described below.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(aw) – EPY10/GPY7 Final Goal</t>
    </r>
    <r>
      <rPr>
        <sz val="11"/>
        <color theme="1"/>
        <rFont val="Arial"/>
        <family val="2"/>
      </rPr>
      <t xml:space="preserve"> should be set equal to the value contained in </t>
    </r>
    <r>
      <rPr>
        <i/>
        <sz val="11"/>
        <color theme="1"/>
        <rFont val="Arial"/>
        <family val="2"/>
      </rPr>
      <t>column (z) – EPY10/GPY7 NTG-Adjusted Goal</t>
    </r>
    <r>
      <rPr>
        <sz val="11"/>
        <color theme="1"/>
        <rFont val="Arial"/>
        <family val="2"/>
      </rPr>
      <t xml:space="preserve"> for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Template guidelines to support completing </t>
    </r>
    <r>
      <rPr>
        <i/>
        <sz val="11"/>
        <color theme="1"/>
        <rFont val="Arial"/>
        <family val="2"/>
      </rPr>
      <t>columns (ae) – (aj) and (aw)</t>
    </r>
    <r>
      <rPr>
        <sz val="11"/>
        <color theme="1"/>
        <rFont val="Arial"/>
        <family val="2"/>
      </rPr>
      <t xml:space="preserve"> for the </t>
    </r>
    <r>
      <rPr>
        <i/>
        <sz val="11"/>
        <color theme="1"/>
        <rFont val="Arial"/>
        <family val="2"/>
      </rPr>
      <t>IL-TRM Adjustable</t>
    </r>
    <r>
      <rPr>
        <sz val="11"/>
        <color theme="1"/>
        <rFont val="Arial"/>
        <family val="2"/>
      </rPr>
      <t xml:space="preserve"> Measures (rows with the value in </t>
    </r>
    <r>
      <rPr>
        <i/>
        <sz val="11"/>
        <color theme="1"/>
        <rFont val="Arial"/>
        <family val="2"/>
      </rPr>
      <t>column (d)</t>
    </r>
    <r>
      <rPr>
        <sz val="11"/>
        <color theme="1"/>
        <rFont val="Arial"/>
        <family val="2"/>
      </rPr>
      <t xml:space="preserve"> being equal to 1) include the following:</t>
    </r>
  </si>
  <si>
    <r>
      <t xml:space="preserve">                                          i.    </t>
    </r>
    <r>
      <rPr>
        <i/>
        <sz val="11"/>
        <color theme="1"/>
        <rFont val="Arial"/>
        <family val="2"/>
      </rPr>
      <t>Column (ae)</t>
    </r>
    <r>
      <rPr>
        <sz val="11"/>
        <color theme="1"/>
        <rFont val="Arial"/>
        <family val="2"/>
      </rPr>
      <t xml:space="preserve"> </t>
    </r>
    <r>
      <rPr>
        <i/>
        <sz val="11"/>
        <color theme="1"/>
        <rFont val="Arial"/>
        <family val="2"/>
      </rPr>
      <t>– IL-TRM Measure Code from IL-TRMv6.0 or errata applicable to EPY10/GPY7</t>
    </r>
    <r>
      <rPr>
        <sz val="11"/>
        <color theme="1"/>
        <rFont val="Arial"/>
        <family val="2"/>
      </rPr>
      <t xml:space="preserve">: List the applicable IL-TRM Measure Code from the IL-TRM Version 6.0 or errata applicable to EPY10/GPY7. The IL-TRM Measure Code can be found at the end of each Measure characterization in the IL-TRM. </t>
    </r>
  </si>
  <si>
    <r>
      <t>1.    If the IL-TRM Measure Code is identical to the one contained in the IL-TRM Version 5.0, responses in</t>
    </r>
    <r>
      <rPr>
        <i/>
        <sz val="11"/>
        <color theme="1"/>
        <rFont val="Arial"/>
        <family val="2"/>
      </rPr>
      <t xml:space="preserve"> column (ae) – IL-TRM Measure Code from IL-TRMv6.0 or errata applicable to EPY10/GPY7 and column (ag) – EPY10/GPY7 Gross Unit Savings </t>
    </r>
    <r>
      <rPr>
        <sz val="11"/>
        <color theme="1"/>
        <rFont val="Arial"/>
        <family val="2"/>
      </rPr>
      <t xml:space="preserve">should be the same as the approved Plan assumptions specified in </t>
    </r>
    <r>
      <rPr>
        <i/>
        <sz val="11"/>
        <color theme="1"/>
        <rFont val="Arial"/>
        <family val="2"/>
      </rPr>
      <t>column (j) – IL-TRM Measure Code from IL-TRMv5.0 and column (l) – EPY10/GPY7 Plan Gross Unit Savings</t>
    </r>
    <r>
      <rPr>
        <sz val="11"/>
        <color theme="1"/>
        <rFont val="Arial"/>
        <family val="2"/>
      </rPr>
      <t xml:space="preserve">, respectively. </t>
    </r>
  </si>
  <si>
    <r>
      <t xml:space="preserve">2.    If the IL-TRM Measure Code is different from the one contained in the IL-TRM Version 5.0 and the IL-TRM Measure change warrants a savings goal adjustment and IL-TRM adjustment to the </t>
    </r>
    <r>
      <rPr>
        <i/>
        <sz val="11"/>
        <color theme="1"/>
        <rFont val="Arial"/>
        <family val="2"/>
      </rPr>
      <t>Gross Unit Savings</t>
    </r>
    <r>
      <rPr>
        <sz val="11"/>
        <color theme="1"/>
        <rFont val="Arial"/>
        <family val="2"/>
      </rPr>
      <t xml:space="preserve"> calculated for the Measure due to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(see provisions contained in these guidelines for </t>
    </r>
    <r>
      <rPr>
        <i/>
        <sz val="11"/>
        <color theme="1"/>
        <rFont val="Arial"/>
        <family val="2"/>
      </rPr>
      <t>columns (ba) and (bb)</t>
    </r>
    <r>
      <rPr>
        <sz val="11"/>
        <color theme="1"/>
        <rFont val="Arial"/>
        <family val="2"/>
      </rPr>
      <t xml:space="preserve">), provide the IL-TRM adjusted </t>
    </r>
    <r>
      <rPr>
        <i/>
        <sz val="11"/>
        <color theme="1"/>
        <rFont val="Arial"/>
        <family val="2"/>
      </rPr>
      <t>Gross Unit Savings</t>
    </r>
    <r>
      <rPr>
        <sz val="11"/>
        <color theme="1"/>
        <rFont val="Arial"/>
        <family val="2"/>
      </rPr>
      <t xml:space="preserve"> calculated for the Measure from applying the updated applicable IL-TRM assumptions in </t>
    </r>
    <r>
      <rPr>
        <i/>
        <sz val="11"/>
        <color theme="1"/>
        <rFont val="Arial"/>
        <family val="2"/>
      </rPr>
      <t xml:space="preserve">column (ag) – EPY10/GPY7 Gross Unit Savings. </t>
    </r>
    <r>
      <rPr>
        <sz val="11"/>
        <color theme="1"/>
        <rFont val="Arial"/>
        <family val="2"/>
      </rPr>
      <t xml:space="preserve">The details and specific changes to the </t>
    </r>
    <r>
      <rPr>
        <i/>
        <sz val="11"/>
        <color theme="1"/>
        <rFont val="Arial"/>
        <family val="2"/>
      </rPr>
      <t>Key IL-TRM Input Assumptions</t>
    </r>
    <r>
      <rPr>
        <sz val="11"/>
        <color theme="1"/>
        <rFont val="Arial"/>
        <family val="2"/>
      </rPr>
      <t xml:space="preserve"> underlying this IL-TRM adjusted</t>
    </r>
    <r>
      <rPr>
        <i/>
        <sz val="11"/>
        <color theme="1"/>
        <rFont val="Arial"/>
        <family val="2"/>
      </rPr>
      <t xml:space="preserve"> Gross Unit Savings</t>
    </r>
    <r>
      <rPr>
        <sz val="11"/>
        <color theme="1"/>
        <rFont val="Arial"/>
        <family val="2"/>
      </rPr>
      <t xml:space="preserve"> calculation for the Measure should be clearly specified in the document listed in </t>
    </r>
    <r>
      <rPr>
        <i/>
        <sz val="11"/>
        <color theme="1"/>
        <rFont val="Arial"/>
        <family val="2"/>
      </rPr>
      <t>column (af) – Reference Document Explaining Gross Unit Savings Calculation Details.</t>
    </r>
  </si>
  <si>
    <r>
      <t xml:space="preserve">                                         ii.    </t>
    </r>
    <r>
      <rPr>
        <i/>
        <sz val="11"/>
        <color theme="1"/>
        <rFont val="Arial"/>
        <family val="2"/>
      </rPr>
      <t>Column (af) – Reference Document Explaining Gross Unit Savings Calculation Details</t>
    </r>
    <r>
      <rPr>
        <sz val="11"/>
        <color theme="1"/>
        <rFont val="Arial"/>
        <family val="2"/>
      </rPr>
      <t xml:space="preserve">: Provide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EPY10/GPY7 Gross Unit Savings</t>
    </r>
    <r>
      <rPr>
        <sz val="11"/>
        <color theme="1"/>
        <rFont val="Arial"/>
        <family val="2"/>
      </rPr>
      <t xml:space="preserve"> values contained in </t>
    </r>
    <r>
      <rPr>
        <i/>
        <sz val="11"/>
        <color theme="1"/>
        <rFont val="Arial"/>
        <family val="2"/>
      </rPr>
      <t>column (ag)</t>
    </r>
    <r>
      <rPr>
        <sz val="11"/>
        <color theme="1"/>
        <rFont val="Arial"/>
        <family val="2"/>
      </rPr>
      <t xml:space="preserve"> for the relevant Measure. </t>
    </r>
  </si>
  <si>
    <r>
      <t xml:space="preserve">                                        iii.    </t>
    </r>
    <r>
      <rPr>
        <i/>
        <sz val="11"/>
        <color theme="1"/>
        <rFont val="Arial"/>
        <family val="2"/>
      </rPr>
      <t>Column (ag)</t>
    </r>
    <r>
      <rPr>
        <sz val="11"/>
        <color theme="1"/>
        <rFont val="Arial"/>
        <family val="2"/>
      </rPr>
      <t xml:space="preserve"> </t>
    </r>
    <r>
      <rPr>
        <i/>
        <sz val="11"/>
        <color theme="1"/>
        <rFont val="Arial"/>
        <family val="2"/>
      </rPr>
      <t>– EPY10/GPY7 Gross Unit Savings</t>
    </r>
    <r>
      <rPr>
        <sz val="11"/>
        <color theme="1"/>
        <rFont val="Arial"/>
        <family val="2"/>
      </rPr>
      <t xml:space="preserve">: Complete the gross kWh or Therm savings per unit of participation for EPY10/GPY7 by applying the applicable IL-TRM provisions contained in the IL-TRM Version 6.0 or errata document applicable to EPY10/GPY7 as described below. In cases where the IL-TRM Measure Code change also results in a change to one of the </t>
    </r>
    <r>
      <rPr>
        <i/>
        <sz val="11"/>
        <color theme="1"/>
        <rFont val="Arial"/>
        <family val="2"/>
      </rPr>
      <t>Key IL-TRM Input Assumptions</t>
    </r>
    <r>
      <rPr>
        <sz val="11"/>
        <color theme="1"/>
        <rFont val="Arial"/>
        <family val="2"/>
      </rPr>
      <t xml:space="preserve"> specified in </t>
    </r>
    <r>
      <rPr>
        <i/>
        <sz val="11"/>
        <color theme="1"/>
        <rFont val="Arial"/>
        <family val="2"/>
      </rPr>
      <t>column (bb)</t>
    </r>
    <r>
      <rPr>
        <sz val="11"/>
        <color theme="1"/>
        <rFont val="Arial"/>
        <family val="2"/>
      </rPr>
      <t xml:space="preserve">, the </t>
    </r>
    <r>
      <rPr>
        <i/>
        <sz val="11"/>
        <color theme="1"/>
        <rFont val="Arial"/>
        <family val="2"/>
      </rPr>
      <t>Key IL-TRM Input Assumptions</t>
    </r>
    <r>
      <rPr>
        <sz val="11"/>
        <color theme="1"/>
        <rFont val="Arial"/>
        <family val="2"/>
      </rPr>
      <t xml:space="preserve"> should be adjusted to align with the updated applicable IL-TRM assumptions when calculating the </t>
    </r>
    <r>
      <rPr>
        <i/>
        <sz val="11"/>
        <color theme="1"/>
        <rFont val="Arial"/>
        <family val="2"/>
      </rPr>
      <t>EPY10/GPY7 Gross Unit Savings</t>
    </r>
    <r>
      <rPr>
        <sz val="11"/>
        <color theme="1"/>
        <rFont val="Arial"/>
        <family val="2"/>
      </rPr>
      <t xml:space="preserve"> for the Measure. The calculation details and specific changes to </t>
    </r>
    <r>
      <rPr>
        <i/>
        <sz val="11"/>
        <color theme="1"/>
        <rFont val="Arial"/>
        <family val="2"/>
      </rPr>
      <t>Key IL-TRM Input Assumptions</t>
    </r>
    <r>
      <rPr>
        <sz val="11"/>
        <color theme="1"/>
        <rFont val="Arial"/>
        <family val="2"/>
      </rPr>
      <t xml:space="preserve"> associated with the </t>
    </r>
    <r>
      <rPr>
        <i/>
        <sz val="11"/>
        <color theme="1"/>
        <rFont val="Arial"/>
        <family val="2"/>
      </rPr>
      <t>EPY10/GPY7 Gross Unit Savings</t>
    </r>
    <r>
      <rPr>
        <sz val="11"/>
        <color theme="1"/>
        <rFont val="Arial"/>
        <family val="2"/>
      </rPr>
      <t xml:space="preserve"> calculation for the Measure should be clearly specified in the document listed in </t>
    </r>
    <r>
      <rPr>
        <i/>
        <sz val="11"/>
        <color theme="1"/>
        <rFont val="Arial"/>
        <family val="2"/>
      </rPr>
      <t xml:space="preserve">column (af) – Reference Document Explaining Gross Unit Savings Calculation Details. </t>
    </r>
  </si>
  <si>
    <r>
      <t xml:space="preserve">1.    Note: If the IL-TRM Measure Code specified in </t>
    </r>
    <r>
      <rPr>
        <i/>
        <sz val="11"/>
        <color theme="1"/>
        <rFont val="Arial"/>
        <family val="2"/>
      </rPr>
      <t>column (ae)</t>
    </r>
    <r>
      <rPr>
        <sz val="11"/>
        <color theme="1"/>
        <rFont val="Arial"/>
        <family val="2"/>
      </rPr>
      <t xml:space="preserve"> is identical to the one contained in </t>
    </r>
    <r>
      <rPr>
        <i/>
        <sz val="11"/>
        <color theme="1"/>
        <rFont val="Arial"/>
        <family val="2"/>
      </rPr>
      <t>column (j)</t>
    </r>
    <r>
      <rPr>
        <sz val="11"/>
        <color theme="1"/>
        <rFont val="Arial"/>
        <family val="2"/>
      </rPr>
      <t xml:space="preserve">, the resulting value contained in </t>
    </r>
    <r>
      <rPr>
        <i/>
        <sz val="11"/>
        <color theme="1"/>
        <rFont val="Arial"/>
        <family val="2"/>
      </rPr>
      <t xml:space="preserve">column (ag) – EPY10/GPY7 Gross Unit Savings </t>
    </r>
    <r>
      <rPr>
        <sz val="11"/>
        <color theme="1"/>
        <rFont val="Arial"/>
        <family val="2"/>
      </rPr>
      <t xml:space="preserve">should be set equal to the approved Plan value specified in </t>
    </r>
    <r>
      <rPr>
        <i/>
        <sz val="11"/>
        <color theme="1"/>
        <rFont val="Arial"/>
        <family val="2"/>
      </rPr>
      <t>column (l) – EPY10/GPY7 Plan Gross Unit Savings</t>
    </r>
    <r>
      <rPr>
        <sz val="11"/>
        <color theme="1"/>
        <rFont val="Arial"/>
        <family val="2"/>
      </rPr>
      <t>.</t>
    </r>
  </si>
  <si>
    <r>
      <t xml:space="preserve">                                        v.    </t>
    </r>
    <r>
      <rPr>
        <i/>
        <sz val="11"/>
        <color theme="1"/>
        <rFont val="Arial"/>
        <family val="2"/>
      </rPr>
      <t>Column (ai) – EPY10/GPY7 Adjusted Goal</t>
    </r>
    <r>
      <rPr>
        <sz val="11"/>
        <color theme="1"/>
        <rFont val="Arial"/>
        <family val="2"/>
      </rPr>
      <t>:</t>
    </r>
    <r>
      <rPr>
        <i/>
        <sz val="11"/>
        <color theme="1"/>
        <rFont val="Arial"/>
        <family val="2"/>
      </rPr>
      <t xml:space="preserve"> </t>
    </r>
    <r>
      <rPr>
        <sz val="11"/>
        <color theme="1"/>
        <rFont val="Arial"/>
        <family val="2"/>
      </rPr>
      <t xml:space="preserve">Calculate the adjusted energy savings goal for EPY10/GPY7 by taking the product of the values contained in </t>
    </r>
    <r>
      <rPr>
        <i/>
        <sz val="11"/>
        <color theme="1"/>
        <rFont val="Arial"/>
        <family val="2"/>
      </rPr>
      <t>column (g) – EPY10/GPY7 Plan Number of Units (Fixed), column (ag) – EPY10/GPY7 Gross Unit Savings, and column (w) – EPY10/GPY7 Evaluator’s NTG (Fixed); column (ai)=(g x ag x w).</t>
    </r>
  </si>
  <si>
    <r>
      <t xml:space="preserve">                                       vi.    </t>
    </r>
    <r>
      <rPr>
        <i/>
        <sz val="11"/>
        <color theme="1"/>
        <rFont val="Arial"/>
        <family val="2"/>
      </rPr>
      <t>Column (aj) – EPY10/GPY7 IL-TRM Adjustment</t>
    </r>
    <r>
      <rPr>
        <sz val="11"/>
        <color theme="1"/>
        <rFont val="Arial"/>
        <family val="2"/>
      </rPr>
      <t xml:space="preserve">: Calculate the savings differential between the </t>
    </r>
    <r>
      <rPr>
        <i/>
        <sz val="11"/>
        <color theme="1"/>
        <rFont val="Arial"/>
        <family val="2"/>
      </rPr>
      <t>EPY10/GPY7 Adjusted Goal</t>
    </r>
    <r>
      <rPr>
        <sz val="11"/>
        <color theme="1"/>
        <rFont val="Arial"/>
        <family val="2"/>
      </rPr>
      <t xml:space="preserve"> and the </t>
    </r>
    <r>
      <rPr>
        <i/>
        <sz val="11"/>
        <color theme="1"/>
        <rFont val="Arial"/>
        <family val="2"/>
      </rPr>
      <t>EPY10/GPY7 NTG-Adjusted Goal</t>
    </r>
    <r>
      <rPr>
        <sz val="11"/>
        <color theme="1"/>
        <rFont val="Arial"/>
        <family val="2"/>
      </rPr>
      <t xml:space="preserve"> by following the calculation instructions specified in the header row containing column labels; </t>
    </r>
    <r>
      <rPr>
        <i/>
        <sz val="11"/>
        <color theme="1"/>
        <rFont val="Arial"/>
        <family val="2"/>
      </rPr>
      <t>column (aj)=(ai-z)</t>
    </r>
    <r>
      <rPr>
        <sz val="11"/>
        <color theme="1"/>
        <rFont val="Arial"/>
        <family val="2"/>
      </rPr>
      <t xml:space="preserve">. </t>
    </r>
  </si>
  <si>
    <r>
      <t xml:space="preserve">                                      vii.    </t>
    </r>
    <r>
      <rPr>
        <i/>
        <sz val="11"/>
        <color theme="1"/>
        <rFont val="Arial"/>
        <family val="2"/>
      </rPr>
      <t>Column (aw) – EPY10/GPY7 Final Goal</t>
    </r>
    <r>
      <rPr>
        <sz val="11"/>
        <color theme="1"/>
        <rFont val="Arial"/>
        <family val="2"/>
      </rPr>
      <t xml:space="preserve">: Set equal to the value contained in </t>
    </r>
    <r>
      <rPr>
        <i/>
        <sz val="11"/>
        <color theme="1"/>
        <rFont val="Arial"/>
        <family val="2"/>
      </rPr>
      <t>column (ai) – EPY10/GPY7 Adjusted Goal</t>
    </r>
    <r>
      <rPr>
        <sz val="11"/>
        <color theme="1"/>
        <rFont val="Arial"/>
        <family val="2"/>
      </rPr>
      <t xml:space="preserve"> for the rows containing Measures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</si>
  <si>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b.    Complete the IL-TRM adjustment for the second Program Year of the Plan, namely the </t>
    </r>
    <r>
      <rPr>
        <i/>
        <sz val="11"/>
        <color theme="1"/>
        <rFont val="Arial"/>
        <family val="2"/>
      </rPr>
      <t>EPY11/GPY8 Adjustment</t>
    </r>
    <r>
      <rPr>
        <sz val="11"/>
        <color theme="1"/>
        <rFont val="Arial"/>
        <family val="2"/>
      </rPr>
      <t xml:space="preserve">, by completing the following columns: </t>
    </r>
    <r>
      <rPr>
        <i/>
        <sz val="11"/>
        <color theme="1"/>
        <rFont val="Arial"/>
        <family val="2"/>
      </rPr>
      <t>column (ak)</t>
    </r>
    <r>
      <rPr>
        <sz val="11"/>
        <color theme="1"/>
        <rFont val="Arial"/>
        <family val="2"/>
      </rPr>
      <t xml:space="preserve"> </t>
    </r>
    <r>
      <rPr>
        <i/>
        <sz val="11"/>
        <color theme="1"/>
        <rFont val="Arial"/>
        <family val="2"/>
      </rPr>
      <t>– IL-TRM Measure Code from IL-TRMv7.0 or errata applicable to EPY11/GPY8</t>
    </r>
    <r>
      <rPr>
        <sz val="11"/>
        <color theme="1"/>
        <rFont val="Arial"/>
        <family val="2"/>
      </rPr>
      <t xml:space="preserve">, </t>
    </r>
    <r>
      <rPr>
        <i/>
        <sz val="11"/>
        <color theme="1"/>
        <rFont val="Arial"/>
        <family val="2"/>
      </rPr>
      <t>column (al) – Reference Document Explaining Gross Unit Savings Calculation Details</t>
    </r>
    <r>
      <rPr>
        <sz val="11"/>
        <color theme="1"/>
        <rFont val="Arial"/>
        <family val="2"/>
      </rPr>
      <t xml:space="preserve">, </t>
    </r>
    <r>
      <rPr>
        <i/>
        <sz val="11"/>
        <color theme="1"/>
        <rFont val="Arial"/>
        <family val="2"/>
      </rPr>
      <t>column (am)</t>
    </r>
    <r>
      <rPr>
        <sz val="11"/>
        <color theme="1"/>
        <rFont val="Arial"/>
        <family val="2"/>
      </rPr>
      <t xml:space="preserve"> </t>
    </r>
    <r>
      <rPr>
        <i/>
        <sz val="11"/>
        <color theme="1"/>
        <rFont val="Arial"/>
        <family val="2"/>
      </rPr>
      <t>– EPY11/GPY8 Gross Unit Savings, column (an) – Gross Unit Savings Adjustment Explanation, column (ao) – EPY11/GPY8 Adjusted Goal, column (ap) – EPY11/GPY8 IL-TRM Adjustment, and column (ax) – EPY11/GPY8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</si>
  <si>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(al)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EPY11/GPY8 Gross Unit Savings</t>
    </r>
    <r>
      <rPr>
        <sz val="11"/>
        <color theme="1"/>
        <rFont val="Arial"/>
        <family val="2"/>
      </rPr>
      <t xml:space="preserve"> values contained in </t>
    </r>
    <r>
      <rPr>
        <i/>
        <sz val="11"/>
        <color theme="1"/>
        <rFont val="Arial"/>
        <family val="2"/>
      </rPr>
      <t>column (am)</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</si>
  <si>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(aa) – EPY11/GPY8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</si>
  <si>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(ax) – EPY11/GPY8 Final Goal</t>
    </r>
    <r>
      <rPr>
        <sz val="11"/>
        <color theme="1"/>
        <rFont val="Arial"/>
        <family val="2"/>
      </rPr>
      <t xml:space="preserve"> should be set equal to the value contained in </t>
    </r>
    <r>
      <rPr>
        <i/>
        <sz val="11"/>
        <color theme="1"/>
        <rFont val="Arial"/>
        <family val="2"/>
      </rPr>
      <t>column (ao) – EPY11/GPY8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</si>
  <si>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c.    Complete the IL-TRM adjustment for the third Program Year of the Plan, namely the </t>
    </r>
    <r>
      <rPr>
        <i/>
        <sz val="11"/>
        <color theme="1"/>
        <rFont val="Arial"/>
        <family val="2"/>
      </rPr>
      <t>EPY12/GPY9 Adjustment</t>
    </r>
    <r>
      <rPr>
        <sz val="11"/>
        <color theme="1"/>
        <rFont val="Arial"/>
        <family val="2"/>
      </rPr>
      <t xml:space="preserve">, by completing the following columns: </t>
    </r>
    <r>
      <rPr>
        <i/>
        <sz val="11"/>
        <color theme="1"/>
        <rFont val="Arial"/>
        <family val="2"/>
      </rPr>
      <t>column (aq)</t>
    </r>
    <r>
      <rPr>
        <sz val="11"/>
        <color theme="1"/>
        <rFont val="Arial"/>
        <family val="2"/>
      </rPr>
      <t xml:space="preserve"> </t>
    </r>
    <r>
      <rPr>
        <i/>
        <sz val="11"/>
        <color theme="1"/>
        <rFont val="Arial"/>
        <family val="2"/>
      </rPr>
      <t>– IL-TRM Measure Code from IL-TRMv8.0 or errata applicable to EPY12/GPY9</t>
    </r>
    <r>
      <rPr>
        <sz val="11"/>
        <color theme="1"/>
        <rFont val="Arial"/>
        <family val="2"/>
      </rPr>
      <t xml:space="preserve">, </t>
    </r>
    <r>
      <rPr>
        <i/>
        <sz val="11"/>
        <color theme="1"/>
        <rFont val="Arial"/>
        <family val="2"/>
      </rPr>
      <t>column (ar) – Reference Document Explaining Gross Unit Savings Calculation Details</t>
    </r>
    <r>
      <rPr>
        <sz val="11"/>
        <color theme="1"/>
        <rFont val="Arial"/>
        <family val="2"/>
      </rPr>
      <t xml:space="preserve">, </t>
    </r>
    <r>
      <rPr>
        <i/>
        <sz val="11"/>
        <color theme="1"/>
        <rFont val="Arial"/>
        <family val="2"/>
      </rPr>
      <t>column (as)</t>
    </r>
    <r>
      <rPr>
        <sz val="11"/>
        <color theme="1"/>
        <rFont val="Arial"/>
        <family val="2"/>
      </rPr>
      <t xml:space="preserve"> </t>
    </r>
    <r>
      <rPr>
        <i/>
        <sz val="11"/>
        <color theme="1"/>
        <rFont val="Arial"/>
        <family val="2"/>
      </rPr>
      <t>– EPY12/GPY9 Gross Unit Savings, column (at) – Gross Unit Savings Adjustment Explanation, column (au) – EPY12/GPY9 Adjusted Goal, column (av) – EPY12/GPY9 IL-TRM Adjustment, and column (ay) – EPY12/GPY9 Final Goal</t>
    </r>
    <r>
      <rPr>
        <sz val="11"/>
        <color theme="1"/>
        <rFont val="Arial"/>
        <family val="2"/>
      </rPr>
      <t xml:space="preserve">, by following the calculation instructions specified in the headers of these columns within the </t>
    </r>
    <r>
      <rPr>
        <i/>
        <sz val="11"/>
        <color theme="1"/>
        <rFont val="Arial"/>
        <family val="2"/>
      </rPr>
      <t>Measure-Level Adjustments Tab</t>
    </r>
    <r>
      <rPr>
        <sz val="11"/>
        <color theme="1"/>
        <rFont val="Arial"/>
        <family val="2"/>
      </rPr>
      <t xml:space="preserve">. </t>
    </r>
  </si>
  <si>
    <r>
      <t xml:space="preserve">                                          i.    Note: Complete </t>
    </r>
    <r>
      <rPr>
        <i/>
        <sz val="11"/>
        <color theme="1"/>
        <rFont val="Arial"/>
        <family val="2"/>
      </rPr>
      <t xml:space="preserve">column (ar) – Reference Document Explaining Gross Unit Savings Calculation Details </t>
    </r>
    <r>
      <rPr>
        <sz val="11"/>
        <color theme="1"/>
        <rFont val="Arial"/>
        <family val="2"/>
      </rPr>
      <t xml:space="preserve">by providing the name of the document, and date and tab name if applicable, where the supporting calculation details, </t>
    </r>
    <r>
      <rPr>
        <i/>
        <sz val="11"/>
        <color theme="1"/>
        <rFont val="Arial"/>
        <family val="2"/>
      </rPr>
      <t>Key Custom Input Assumptions</t>
    </r>
    <r>
      <rPr>
        <sz val="11"/>
        <color theme="1"/>
        <rFont val="Arial"/>
        <family val="2"/>
      </rPr>
      <t xml:space="preserve">, any necessary adjustments made to the </t>
    </r>
    <r>
      <rPr>
        <i/>
        <sz val="11"/>
        <color theme="1"/>
        <rFont val="Arial"/>
        <family val="2"/>
      </rPr>
      <t>Key IL-TRM Input Assumptions</t>
    </r>
    <r>
      <rPr>
        <sz val="11"/>
        <color theme="1"/>
        <rFont val="Arial"/>
        <family val="2"/>
      </rPr>
      <t xml:space="preserve"> based upon IL-TRM updates, and any SAG consensus extenuating circumstance adjustment notes and documentation (see provisions contained in these guidelines for </t>
    </r>
    <r>
      <rPr>
        <i/>
        <sz val="11"/>
        <color theme="1"/>
        <rFont val="Arial"/>
        <family val="2"/>
      </rPr>
      <t>columns (ba) and (bb)</t>
    </r>
    <r>
      <rPr>
        <sz val="11"/>
        <color theme="1"/>
        <rFont val="Arial"/>
        <family val="2"/>
      </rPr>
      <t xml:space="preserve">), are specified for calculating the </t>
    </r>
    <r>
      <rPr>
        <i/>
        <sz val="11"/>
        <color theme="1"/>
        <rFont val="Arial"/>
        <family val="2"/>
      </rPr>
      <t>EPY12/GPY9 Gross Unit Savings</t>
    </r>
    <r>
      <rPr>
        <sz val="11"/>
        <color theme="1"/>
        <rFont val="Arial"/>
        <family val="2"/>
      </rPr>
      <t xml:space="preserve"> values contained in </t>
    </r>
    <r>
      <rPr>
        <i/>
        <sz val="11"/>
        <color theme="1"/>
        <rFont val="Arial"/>
        <family val="2"/>
      </rPr>
      <t>column (as)</t>
    </r>
    <r>
      <rPr>
        <sz val="11"/>
        <color theme="1"/>
        <rFont val="Arial"/>
        <family val="2"/>
      </rPr>
      <t xml:space="preserve"> for the relevant Measure. </t>
    </r>
  </si>
  <si>
    <r>
      <t xml:space="preserve">                                         ii.    As described in the provisions contained in these guidelines for </t>
    </r>
    <r>
      <rPr>
        <i/>
        <sz val="11"/>
        <color theme="1"/>
        <rFont val="Arial"/>
        <family val="2"/>
      </rPr>
      <t>column (d)</t>
    </r>
    <r>
      <rPr>
        <sz val="11"/>
        <color theme="1"/>
        <rFont val="Arial"/>
        <family val="2"/>
      </rPr>
      <t xml:space="preserve">, the rows of Measures that are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should be left blank and shaded gray for </t>
    </r>
    <r>
      <rPr>
        <i/>
        <sz val="11"/>
        <color theme="1"/>
        <rFont val="Arial"/>
        <family val="2"/>
      </rPr>
      <t>columns (ae)</t>
    </r>
    <r>
      <rPr>
        <sz val="11"/>
        <color theme="1"/>
        <rFont val="Arial"/>
        <family val="2"/>
      </rPr>
      <t xml:space="preserve"> </t>
    </r>
    <r>
      <rPr>
        <i/>
        <sz val="11"/>
        <color theme="1"/>
        <rFont val="Arial"/>
        <family val="2"/>
      </rPr>
      <t>– (av) and (ba) – (bb)</t>
    </r>
    <r>
      <rPr>
        <sz val="11"/>
        <color theme="1"/>
        <rFont val="Arial"/>
        <family val="2"/>
      </rPr>
      <t xml:space="preserve">.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(ab) – EPY12/GPY9 NTG-Adjusted Goal</t>
    </r>
    <r>
      <rPr>
        <sz val="11"/>
        <color theme="1"/>
        <rFont val="Arial"/>
        <family val="2"/>
      </rPr>
      <t xml:space="preserve"> for each row with a Measure that is </t>
    </r>
    <r>
      <rPr>
        <u/>
        <sz val="11"/>
        <color theme="1"/>
        <rFont val="Arial"/>
        <family val="2"/>
      </rPr>
      <t>not</t>
    </r>
    <r>
      <rPr>
        <sz val="11"/>
        <color theme="1"/>
        <rFont val="Arial"/>
        <family val="2"/>
      </rPr>
      <t xml:space="preserve">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=0). </t>
    </r>
  </si>
  <si>
    <r>
      <t xml:space="preserve">                                        iii.    The value contained in </t>
    </r>
    <r>
      <rPr>
        <i/>
        <sz val="11"/>
        <color theme="1"/>
        <rFont val="Arial"/>
        <family val="2"/>
      </rPr>
      <t>column (ay) – EPY12/GPY9 Final Goal</t>
    </r>
    <r>
      <rPr>
        <sz val="11"/>
        <color theme="1"/>
        <rFont val="Arial"/>
        <family val="2"/>
      </rPr>
      <t xml:space="preserve"> should be set equal to the value contained in </t>
    </r>
    <r>
      <rPr>
        <i/>
        <sz val="11"/>
        <color theme="1"/>
        <rFont val="Arial"/>
        <family val="2"/>
      </rPr>
      <t>column (au) – EPY12/GPY9 Adjusted Goal</t>
    </r>
    <r>
      <rPr>
        <sz val="11"/>
        <color theme="1"/>
        <rFont val="Arial"/>
        <family val="2"/>
      </rPr>
      <t xml:space="preserve"> for each row with a Measure designated as </t>
    </r>
    <r>
      <rPr>
        <i/>
        <sz val="11"/>
        <color theme="1"/>
        <rFont val="Arial"/>
        <family val="2"/>
      </rPr>
      <t>IL-TRM Adjustable</t>
    </r>
    <r>
      <rPr>
        <sz val="11"/>
        <color theme="1"/>
        <rFont val="Arial"/>
        <family val="2"/>
      </rPr>
      <t xml:space="preserve"> (</t>
    </r>
    <r>
      <rPr>
        <i/>
        <sz val="11"/>
        <color theme="1"/>
        <rFont val="Arial"/>
        <family val="2"/>
      </rPr>
      <t>column (d)</t>
    </r>
    <r>
      <rPr>
        <sz val="11"/>
        <color theme="1"/>
        <rFont val="Arial"/>
        <family val="2"/>
      </rPr>
      <t xml:space="preserve">=1).        </t>
    </r>
  </si>
  <si>
    <r>
      <t xml:space="preserve">d.    Calculate an estimate of the Electric Plan 4/Gas Plan 3 </t>
    </r>
    <r>
      <rPr>
        <i/>
        <sz val="11"/>
        <color theme="1"/>
        <rFont val="Arial"/>
        <family val="2"/>
      </rPr>
      <t>Final Adjusted Net Energy Savings Goal</t>
    </r>
    <r>
      <rPr>
        <sz val="11"/>
        <color theme="1"/>
        <rFont val="Arial"/>
        <family val="2"/>
      </rPr>
      <t xml:space="preserve"> by completing </t>
    </r>
    <r>
      <rPr>
        <i/>
        <sz val="11"/>
        <color theme="1"/>
        <rFont val="Arial"/>
        <family val="2"/>
      </rPr>
      <t>column (az) – Electric Plan 4/Gas Plan 3 Final Goal</t>
    </r>
    <r>
      <rPr>
        <sz val="11"/>
        <color theme="1"/>
        <rFont val="Arial"/>
        <family val="2"/>
      </rPr>
      <t xml:space="preserve"> for all Measures by following the calculation instructions specified in the header row of the column: </t>
    </r>
    <r>
      <rPr>
        <i/>
        <sz val="11"/>
        <color theme="1"/>
        <rFont val="Arial"/>
        <family val="2"/>
      </rPr>
      <t>column (az)=(aw+ax+ay)</t>
    </r>
    <r>
      <rPr>
        <sz val="11"/>
        <color theme="1"/>
        <rFont val="Arial"/>
        <family val="2"/>
      </rPr>
      <t xml:space="preserve">; and then below the list of Measures, include the </t>
    </r>
    <r>
      <rPr>
        <i/>
        <sz val="11"/>
        <color theme="1"/>
        <rFont val="Arial"/>
        <family val="2"/>
      </rPr>
      <t>Portfolio Total (kWh or Therms)</t>
    </r>
    <r>
      <rPr>
        <sz val="11"/>
        <color theme="1"/>
        <rFont val="Arial"/>
        <family val="2"/>
      </rPr>
      <t xml:space="preserve"> savings by calculating the sum of the rows of Measure savings for the respective fuel type (kWh or Therms) for </t>
    </r>
    <r>
      <rPr>
        <i/>
        <sz val="11"/>
        <color theme="1"/>
        <rFont val="Arial"/>
        <family val="2"/>
      </rPr>
      <t>column (az)</t>
    </r>
    <r>
      <rPr>
        <sz val="11"/>
        <color theme="1"/>
        <rFont val="Arial"/>
        <family val="2"/>
      </rPr>
      <t xml:space="preserve"> to determine an estimate of the Portfolio </t>
    </r>
    <r>
      <rPr>
        <i/>
        <sz val="11"/>
        <color theme="1"/>
        <rFont val="Arial"/>
        <family val="2"/>
      </rPr>
      <t>Final Adjusted Net Energy Savings Goal</t>
    </r>
    <r>
      <rPr>
        <sz val="11"/>
        <color theme="1"/>
        <rFont val="Arial"/>
        <family val="2"/>
      </rPr>
      <t xml:space="preserve"> for Electric Plan 4/Gas Plan 3. </t>
    </r>
  </si>
  <si>
    <r>
      <t xml:space="preserve">                                       iv.    </t>
    </r>
    <r>
      <rPr>
        <i/>
        <sz val="11"/>
        <color theme="1"/>
        <rFont val="Arial"/>
        <family val="2"/>
      </rPr>
      <t>Column (ah) – Gross Unit Savings Adjustment Explanation</t>
    </r>
    <r>
      <rPr>
        <sz val="11"/>
        <color theme="1"/>
        <rFont val="Arial"/>
        <family val="2"/>
      </rPr>
      <t xml:space="preserve">: Briefly describe the cause of the adjusted </t>
    </r>
    <r>
      <rPr>
        <i/>
        <sz val="11"/>
        <color theme="1"/>
        <rFont val="Arial"/>
        <family val="2"/>
      </rPr>
      <t>Gross Unit Savings</t>
    </r>
    <r>
      <rPr>
        <sz val="11"/>
        <color theme="1"/>
        <rFont val="Arial"/>
        <family val="2"/>
      </rPr>
      <t xml:space="preserve"> reflected in </t>
    </r>
    <r>
      <rPr>
        <i/>
        <sz val="11"/>
        <color theme="1"/>
        <rFont val="Arial"/>
        <family val="2"/>
      </rPr>
      <t>column (ag) – EPY10/GPY7 Gross Unit Savings</t>
    </r>
    <r>
      <rPr>
        <sz val="11"/>
        <color theme="1"/>
        <rFont val="Arial"/>
        <family val="2"/>
      </rPr>
      <t xml:space="preserve">. Note: Where applicable, document in both </t>
    </r>
    <r>
      <rPr>
        <i/>
        <sz val="11"/>
        <color theme="1"/>
        <rFont val="Arial"/>
        <family val="2"/>
      </rPr>
      <t>column (ah)</t>
    </r>
    <r>
      <rPr>
        <sz val="11"/>
        <color theme="1"/>
        <rFont val="Arial"/>
        <family val="2"/>
      </rPr>
      <t xml:space="preserve"> and the reference document specified in </t>
    </r>
    <r>
      <rPr>
        <i/>
        <sz val="11"/>
        <color theme="1"/>
        <rFont val="Arial"/>
        <family val="2"/>
      </rPr>
      <t xml:space="preserve">column (af) </t>
    </r>
    <r>
      <rPr>
        <sz val="11"/>
        <color theme="1"/>
        <rFont val="Arial"/>
        <family val="2"/>
      </rPr>
      <t xml:space="preserve">if the adjustment is the result of SAG consensus concerning an extenuating circumstance as contemplated in the provisions contained in these guidelines for </t>
    </r>
    <r>
      <rPr>
        <i/>
        <sz val="11"/>
        <color theme="1"/>
        <rFont val="Arial"/>
        <family val="2"/>
      </rPr>
      <t>columns (ba) and (bb)</t>
    </r>
    <r>
      <rPr>
        <sz val="11"/>
        <color theme="1"/>
        <rFont val="Arial"/>
        <family val="2"/>
      </rPr>
      <t xml:space="preserve">.  </t>
    </r>
    <r>
      <rPr>
        <i/>
        <sz val="11"/>
        <color theme="1"/>
        <rFont val="Arial"/>
        <family val="2"/>
      </rPr>
      <t xml:space="preserve"> </t>
    </r>
  </si>
  <si>
    <r>
      <t xml:space="preserve">EEPS Adjustable Savings Goal Template - </t>
    </r>
    <r>
      <rPr>
        <i/>
        <sz val="14"/>
        <color theme="1"/>
        <rFont val="Arial"/>
        <family val="2"/>
      </rPr>
      <t>Program-Level Adjustments Tab</t>
    </r>
  </si>
  <si>
    <r>
      <t xml:space="preserve">EEPS Adjustable Savings Goal Template - </t>
    </r>
    <r>
      <rPr>
        <i/>
        <sz val="14"/>
        <color theme="1"/>
        <rFont val="Arial"/>
        <family val="2"/>
      </rPr>
      <t>Measure-Level Adjustments Tab</t>
    </r>
  </si>
  <si>
    <t>Program Administrator: Nicor Gas</t>
  </si>
  <si>
    <t>Combination Oven</t>
  </si>
  <si>
    <t>Large Conveyor Oven, &gt;=25 in</t>
  </si>
  <si>
    <t>Fryer - E &gt;50%</t>
  </si>
  <si>
    <t>Griddle</t>
  </si>
  <si>
    <t>Infrared Salamander Broiler</t>
  </si>
  <si>
    <t>Infrared Salamander Broiler Upstream</t>
  </si>
  <si>
    <t>Infrared Charbroiler</t>
  </si>
  <si>
    <t>Infrared Charbroiler Upstream</t>
  </si>
  <si>
    <t>Infrared Rotisserie Oven</t>
  </si>
  <si>
    <t>Infrared Rotisserie Oven Upstream</t>
  </si>
  <si>
    <t>Infrared Upright Broiler</t>
  </si>
  <si>
    <t>Infrared Upright Broiler Upstream</t>
  </si>
  <si>
    <t>Pasta Cooker</t>
  </si>
  <si>
    <t>Pasta Cooker Upstream</t>
  </si>
  <si>
    <t>Rack Oven - Double</t>
  </si>
  <si>
    <t>Rack Oven - Double Upstream</t>
  </si>
  <si>
    <t>Unit</t>
  </si>
  <si>
    <t>CI-FSE-ESFR-V01-120601</t>
  </si>
  <si>
    <t>Pre-Rinse Spray Valves DI CA</t>
  </si>
  <si>
    <t>Commercial Steamer, E ≥38%</t>
  </si>
  <si>
    <t>Boiler Reset Controls, 400 MBH</t>
  </si>
  <si>
    <t>Boiler Tune Up, 300 MBH</t>
  </si>
  <si>
    <t>Boiler Tune Up, 400 MBH</t>
  </si>
  <si>
    <t>Condensing Boilers, ≥90%, &lt;300 MBH</t>
  </si>
  <si>
    <t>Condensing Boilers, ≥90% 300-499 MBH</t>
  </si>
  <si>
    <t>Condensing Boilers, ≥90% 500-999 MBH</t>
  </si>
  <si>
    <t>Condensing Boilers, ≥90% 1000-1700 MBH</t>
  </si>
  <si>
    <t>Condensing Boilers, ≥90% 1701-2000 MBH</t>
  </si>
  <si>
    <t>Hydronic Boilers, ≥85% &lt;300 MBH</t>
  </si>
  <si>
    <t>Hydronic Boilers, ≥85% 300-499 MBH</t>
  </si>
  <si>
    <t>Hydronic Boilers, ≥85% 500-999 MBH</t>
  </si>
  <si>
    <t>Hydronic Boilers, ≥85% 1000-1700 MBH</t>
  </si>
  <si>
    <t>Hydronic Boilers, ≥85% 1701-2000 MBH</t>
  </si>
  <si>
    <t>Condensing Unit Heaters, &gt;90% &lt;300 MBH</t>
  </si>
  <si>
    <t>Furnace, &gt;92% AFUE</t>
  </si>
  <si>
    <t xml:space="preserve">Furnace, &gt;95% AFUE </t>
  </si>
  <si>
    <t>Infrared Heaters</t>
  </si>
  <si>
    <t>Boiler Tune Up, Process</t>
  </si>
  <si>
    <t>Small Pipe Insulation, 1/2", Indoor Space Heat</t>
  </si>
  <si>
    <t>Small Pipe Insulation, 3/4", Indoor Space Heat</t>
  </si>
  <si>
    <t>Small Pipe Insulation, 1/2", Indoor DHW</t>
  </si>
  <si>
    <t>Small Pipe Insulation, 3/4", Indoor DHW</t>
  </si>
  <si>
    <t>Steam Trap, Commercial</t>
  </si>
  <si>
    <t>Steam Trap, Indust MP 15-30 psig</t>
  </si>
  <si>
    <t>Steam Trap, Indust MP 30-75 psig</t>
  </si>
  <si>
    <t>Steam Trap, Indust HP 75-125 psig</t>
  </si>
  <si>
    <t>Steam Trap, Indust HP 125-175 psig</t>
  </si>
  <si>
    <t>Steam Trap, Indust HP 175-250 psig</t>
  </si>
  <si>
    <t>Steam Trap, Indust HP 250 psig</t>
  </si>
  <si>
    <t>Steam Trap, Dry Cleaner</t>
  </si>
  <si>
    <t>CI-HVC-BLRC-V03-150601</t>
  </si>
  <si>
    <t>CI-HVC-BOIL-V05-150601</t>
  </si>
  <si>
    <t>CI-HVC-CUHT-V01-120601</t>
  </si>
  <si>
    <t>CI-HVC-IRHT-V01-120601</t>
  </si>
  <si>
    <t>Project</t>
  </si>
  <si>
    <t>LN FT</t>
  </si>
  <si>
    <t>Indoor Pool Covers</t>
  </si>
  <si>
    <t>Outdoor Pool Covers</t>
  </si>
  <si>
    <t>Storage Water Heater, &gt;0.67 EF</t>
  </si>
  <si>
    <t>Storage Water Heater, &gt;88% TE</t>
  </si>
  <si>
    <t>Pipe Insulation, Indoor HW Space Heat</t>
  </si>
  <si>
    <t>Pipe Insulation, Indoor LPS Space Heat</t>
  </si>
  <si>
    <t>Pipe Insulation, Indoor MPS Space Heat</t>
  </si>
  <si>
    <t>Pipe Insulation, Indoor HPS Space Heat</t>
  </si>
  <si>
    <t>Pipe Insulation, Indoor DHW</t>
  </si>
  <si>
    <t>Pipe Insulation, Indoor LPS Process Heat</t>
  </si>
  <si>
    <t>Pipe Insulation, Indoor MPS Process Heat</t>
  </si>
  <si>
    <t>Pipe Insulation, Indoor HPS Process Heat</t>
  </si>
  <si>
    <t>Pipe Insulation, Outdoor HW Space Heat</t>
  </si>
  <si>
    <t>Pipe Insulation, Outdoor LPS Space Heat</t>
  </si>
  <si>
    <t>Pipe Insulation, Outdoor MPS Space Heat</t>
  </si>
  <si>
    <t>Pipe Insulation, Outdoor HPS Space Heat</t>
  </si>
  <si>
    <t>Pipe Insulation, Outdoor LPS Process Heat</t>
  </si>
  <si>
    <t>Pipe Insulation, Outdoor MPS Process Heat</t>
  </si>
  <si>
    <t>Pipe Insulation, Outdoor HPS Process Heat</t>
  </si>
  <si>
    <t>Ozone Laundry</t>
  </si>
  <si>
    <t>Spray Valve (Small Restaurants)-DI</t>
  </si>
  <si>
    <t>Spray Valve (Med Sized Restuarants)-DI</t>
  </si>
  <si>
    <t>Pre-Rinse Spray Valves</t>
  </si>
  <si>
    <t>Faucet Aerators - Bath - DI</t>
  </si>
  <si>
    <t>Faucet Aerators - Kitchen  - DI</t>
  </si>
  <si>
    <t>Laminar Flow</t>
  </si>
  <si>
    <t>Low Flow Shower Heads - DI</t>
  </si>
  <si>
    <t>Advanced Thermostat (DI)</t>
  </si>
  <si>
    <t>Thermostat Education (DI)</t>
  </si>
  <si>
    <t>Programmable Thermostat (DI) MF-IU</t>
  </si>
  <si>
    <t>Re-Program Thermostat (DI) MF-IU</t>
  </si>
  <si>
    <t>Bathroom Aerator SF (DI)</t>
  </si>
  <si>
    <t>Kitchen Aerator SF (DI)</t>
  </si>
  <si>
    <t>Low Flow Aerator - Bath (DI) MF-IU</t>
  </si>
  <si>
    <t>Low Flow Aerator - Bath (DI) MF-CA</t>
  </si>
  <si>
    <t>Low Flow Aerator - Kitchen (DI) MF-IU</t>
  </si>
  <si>
    <t>Low Flow Aerator - Kitchen (DI) MF-CA</t>
  </si>
  <si>
    <t>Showerhead (DI) SF</t>
  </si>
  <si>
    <t>Handheld Showerhead (DI) SF</t>
  </si>
  <si>
    <t>Showerhead (DI) MF-IU</t>
  </si>
  <si>
    <t>Showerhead (DI) MF-CA</t>
  </si>
  <si>
    <t>HW Pipe Insulation (3 ft.) (DI)</t>
  </si>
  <si>
    <t>WH Set Back - SF</t>
  </si>
  <si>
    <t>WH Set Back - MF</t>
  </si>
  <si>
    <t>Advanced Thermostat (TOS)</t>
  </si>
  <si>
    <t>Duct Sealing SF Unconditioned</t>
  </si>
  <si>
    <t>Boilers, &gt;95% AFUE &lt;300 MBH - SF</t>
  </si>
  <si>
    <t>Furnace, &gt;95% AFUE</t>
  </si>
  <si>
    <t>Furnace, &gt;97% AFUE</t>
  </si>
  <si>
    <t>Furnace, &gt;95% AFUE - Early Retire</t>
  </si>
  <si>
    <t>Furnace, &gt;97% AFUE - Early Retire</t>
  </si>
  <si>
    <t>Furnace, &gt;95% AFUE - MF IU</t>
  </si>
  <si>
    <t>Attic Insulation (R5 to R19) SF</t>
  </si>
  <si>
    <t>Attic Insulation (&lt;R19 to R38) SF</t>
  </si>
  <si>
    <t>Attic Insulation (&lt;R19  to R49) SF</t>
  </si>
  <si>
    <t>Attic Insulation (&gt;R19  to R49) SF</t>
  </si>
  <si>
    <t>Wall Insulation SF</t>
  </si>
  <si>
    <t>Air Sealing SF</t>
  </si>
  <si>
    <t>Basement/Sidewall Insulation SF</t>
  </si>
  <si>
    <t>Mid Business  - Drop In</t>
  </si>
  <si>
    <t>Mid Business Assessment</t>
  </si>
  <si>
    <t>Energy Assessment SB</t>
  </si>
  <si>
    <t>Salon Sprayer</t>
  </si>
  <si>
    <t>DHW WH Pipe Wrap - 6' - DI</t>
  </si>
  <si>
    <t>Opportunity Assessments-Custom</t>
  </si>
  <si>
    <t>Facility Assessments-Custom</t>
  </si>
  <si>
    <t>RCx Assessments</t>
  </si>
  <si>
    <t>Building Assessment MF</t>
  </si>
  <si>
    <t xml:space="preserve">Programmable Thermostat - Commercial </t>
  </si>
  <si>
    <t>Rack Oven - Single</t>
  </si>
  <si>
    <t>Fryer - Large Vat</t>
  </si>
  <si>
    <t>Large Conveyor Oven, &lt;25 in</t>
  </si>
  <si>
    <t>Finned-Bottom Stock Pots</t>
  </si>
  <si>
    <t>Pipe Insulation - Dry Cleaner</t>
  </si>
  <si>
    <t>MF Custom 2,500-7,500 therms</t>
  </si>
  <si>
    <t>MF Custom &gt;7500 therms</t>
  </si>
  <si>
    <t>Assessment (HES) - joint</t>
  </si>
  <si>
    <t>Assessment (HES)</t>
  </si>
  <si>
    <t>Residential Deep Assessment</t>
  </si>
  <si>
    <t xml:space="preserve">HW Insulation (1') DI CA </t>
  </si>
  <si>
    <t>Unit Assessment MF - Joint</t>
  </si>
  <si>
    <t>Building Assessment MF - joint</t>
  </si>
  <si>
    <t>Unit Assessment MF</t>
  </si>
  <si>
    <t>Home Reports</t>
  </si>
  <si>
    <t>Kit 1</t>
  </si>
  <si>
    <t>Kit 2</t>
  </si>
  <si>
    <t>EEE Kit - Gas Only</t>
  </si>
  <si>
    <t>EEE Kit</t>
  </si>
  <si>
    <t>RNC Home</t>
  </si>
  <si>
    <t>Wx - Whole House Retrofit</t>
  </si>
  <si>
    <t>Participant</t>
  </si>
  <si>
    <t>SQ FT</t>
  </si>
  <si>
    <t>Custom</t>
  </si>
  <si>
    <t>4.2.11</t>
  </si>
  <si>
    <t>4.3.2</t>
  </si>
  <si>
    <t>5.6.1</t>
  </si>
  <si>
    <t>4.3.3</t>
  </si>
  <si>
    <t>4.3.6</t>
  </si>
  <si>
    <t>4.3.1</t>
  </si>
  <si>
    <t>4.3.4</t>
  </si>
  <si>
    <t>4.4.4</t>
  </si>
  <si>
    <t>4.4.2</t>
  </si>
  <si>
    <t>4.4.3</t>
  </si>
  <si>
    <t>4.4.16</t>
  </si>
  <si>
    <t>4.4.10</t>
  </si>
  <si>
    <t>4.4.11</t>
  </si>
  <si>
    <t>4.4.5</t>
  </si>
  <si>
    <t>4.4.12</t>
  </si>
  <si>
    <t>4.4.14</t>
  </si>
  <si>
    <t>4.2.15</t>
  </si>
  <si>
    <t>4.2.13</t>
  </si>
  <si>
    <t>4.2.12</t>
  </si>
  <si>
    <t>4.2.17</t>
  </si>
  <si>
    <t>4.2.14</t>
  </si>
  <si>
    <t>4.2.3</t>
  </si>
  <si>
    <t>4.2.5</t>
  </si>
  <si>
    <t>4.2.1</t>
  </si>
  <si>
    <t>4.2.18</t>
  </si>
  <si>
    <t>4.2.7</t>
  </si>
  <si>
    <t>4.2.8</t>
  </si>
  <si>
    <t>4.2.4</t>
  </si>
  <si>
    <t>4.4.24</t>
  </si>
  <si>
    <t>5.4.4</t>
  </si>
  <si>
    <t>5.4.5</t>
  </si>
  <si>
    <t>5.4.6</t>
  </si>
  <si>
    <t>5.3.11</t>
  </si>
  <si>
    <t>5.3.16</t>
  </si>
  <si>
    <t>5.3.6</t>
  </si>
  <si>
    <t>5.3.7</t>
  </si>
  <si>
    <t>5.6.4</t>
  </si>
  <si>
    <t>5.3.4</t>
  </si>
  <si>
    <t>5.6.2</t>
  </si>
  <si>
    <t>Annual Savings</t>
  </si>
  <si>
    <t>Lifetime Savings</t>
  </si>
  <si>
    <t>Algorithm Inputs</t>
  </si>
  <si>
    <t>#</t>
  </si>
  <si>
    <t>Short Measure Name</t>
  </si>
  <si>
    <t>Measure Type</t>
  </si>
  <si>
    <t>Household Unit Type</t>
  </si>
  <si>
    <t>Program Type</t>
  </si>
  <si>
    <t>Measure Life (Yrs)</t>
  </si>
  <si>
    <t>Incremental Cost</t>
  </si>
  <si>
    <t>Loadshape</t>
  </si>
  <si>
    <t>Rebate Type</t>
  </si>
  <si>
    <t>ΔkWh</t>
  </si>
  <si>
    <t xml:space="preserve">ΔkW </t>
  </si>
  <si>
    <t>ΔTherms</t>
  </si>
  <si>
    <t>Tout</t>
  </si>
  <si>
    <t>Tin</t>
  </si>
  <si>
    <t>Household</t>
  </si>
  <si>
    <t>Tank Size</t>
  </si>
  <si>
    <t>Water heater</t>
  </si>
  <si>
    <t>Single-Family</t>
  </si>
  <si>
    <t>TOS</t>
  </si>
  <si>
    <t>N/A</t>
  </si>
  <si>
    <t>EREP</t>
  </si>
  <si>
    <t>Tank temperature</t>
  </si>
  <si>
    <t>Incoming water temperature from well or municipal system</t>
  </si>
  <si>
    <t>Multi-Family</t>
  </si>
  <si>
    <t>Actual Occupancy or Number of Bedrooms</t>
  </si>
  <si>
    <t>Baseline</t>
  </si>
  <si>
    <t>`</t>
  </si>
  <si>
    <t>Advanced Thermostat</t>
  </si>
  <si>
    <t>Capital Cost</t>
  </si>
  <si>
    <t>Cost Source</t>
  </si>
  <si>
    <t>Eff measure Type</t>
  </si>
  <si>
    <t>Heating Fuel</t>
  </si>
  <si>
    <t>Climate Zone</t>
  </si>
  <si>
    <t>Heating System</t>
  </si>
  <si>
    <t>Household Type</t>
  </si>
  <si>
    <t>Existing Thermostat Type</t>
  </si>
  <si>
    <t>Thermostat Control of AC</t>
  </si>
  <si>
    <t>%Electric Heat</t>
  </si>
  <si>
    <t>Elec_Heating_Consumption</t>
  </si>
  <si>
    <t>Heating_ Reduction</t>
  </si>
  <si>
    <t>HF</t>
  </si>
  <si>
    <t>Eff_ISR</t>
  </si>
  <si>
    <t>Fe</t>
  </si>
  <si>
    <t>%Fossil Heat</t>
  </si>
  <si>
    <t>Gas_Heating_Consumption</t>
  </si>
  <si>
    <t>%AC</t>
  </si>
  <si>
    <t>FLH</t>
  </si>
  <si>
    <t>Btu/hr</t>
  </si>
  <si>
    <t>SEER</t>
  </si>
  <si>
    <t>Cooling_Reduction</t>
  </si>
  <si>
    <t xml:space="preserve">ΔkWhheating </t>
  </si>
  <si>
    <t>ΔkWhcooling</t>
  </si>
  <si>
    <t>kWh per therm</t>
  </si>
  <si>
    <t xml:space="preserve">kBtu per Btu </t>
  </si>
  <si>
    <t>5.3.16.3</t>
  </si>
  <si>
    <t>Thermostats</t>
  </si>
  <si>
    <t xml:space="preserve">TRM </t>
  </si>
  <si>
    <t>R09- Residential Electric Space Heat</t>
  </si>
  <si>
    <t>Blended</t>
  </si>
  <si>
    <t>Natural Gas</t>
  </si>
  <si>
    <t>Nicor Custom</t>
  </si>
  <si>
    <t>Unknown</t>
  </si>
  <si>
    <t>Single Family</t>
  </si>
  <si>
    <t>Unknown (Blended)</t>
  </si>
  <si>
    <t>5.3.16.6</t>
  </si>
  <si>
    <t>DI</t>
  </si>
  <si>
    <t>5.3.16.10</t>
  </si>
  <si>
    <t>TOS Joint</t>
  </si>
  <si>
    <t>5.3.16.11</t>
  </si>
  <si>
    <t>DI Joint</t>
  </si>
  <si>
    <t>TRM Algorithm</t>
  </si>
  <si>
    <t>ΔkWh  = ΔkWhheating + ΔkWhcooling</t>
  </si>
  <si>
    <t xml:space="preserve">ΔkWhheating = %ElectricHeat * Elec_Heating_Consumption * Heating_Reduction * HF * Eff_ISR + (∆Therms * Fe * 29.3)  </t>
  </si>
  <si>
    <t>ΔkWhcool = %AC * ((FLH * Btu/hr * 1/SEER)/1000) * Cooling_Reduction * Eff_ISR</t>
  </si>
  <si>
    <t>∆Therms  = %FossilHeat * Gas_Heating_Consumption * Heating_Reduction * HF * Eff_ISR</t>
  </si>
  <si>
    <t>TRM Assumptions</t>
  </si>
  <si>
    <t>Input Values</t>
  </si>
  <si>
    <t>Notes</t>
  </si>
  <si>
    <t>Percentage of heating savings assumed to be electric</t>
  </si>
  <si>
    <t>Deemed table of values from the TRM</t>
  </si>
  <si>
    <t>Estimate of annual household heating consumption for electrically heated single-family homes (kWh)</t>
  </si>
  <si>
    <t>If location and heating type is unknown, assume TRM Value of 15,678 kWh</t>
  </si>
  <si>
    <t>Assumed percentage reduction in heating energy consumption due to programmable thermostat</t>
  </si>
  <si>
    <t>Based on existing thermostat type</t>
  </si>
  <si>
    <t>Household factor, to adjust heating consumption for non-single-family households.</t>
  </si>
  <si>
    <t>Deemed table of values from the TRM; or custom if actual is known</t>
  </si>
  <si>
    <t>Effective In-Service Rate, the percentage of thermostats installed and programmed effectively</t>
  </si>
  <si>
    <t>Deemed table of TRM Values if direct install, 100% otherwise if other or unknown, 56%</t>
  </si>
  <si>
    <t>Furnace Fan energy consumption as a percentage of annual fuel consumption</t>
  </si>
  <si>
    <t>This is a Deemed TRM Value</t>
  </si>
  <si>
    <t>Percentage of heating savings assumed to be Natural Gas</t>
  </si>
  <si>
    <t>Deemed table of TRM Values if Electric, 0%, if natural gas, 100%, if unknown, 87%</t>
  </si>
  <si>
    <t>Estimate of annual household heating consumption for gas heated single-family homes</t>
  </si>
  <si>
    <t>Fraction of customers with thermostat-controlled air-conditioning</t>
  </si>
  <si>
    <t>based on deemed TRM lookup value table for thermostat control of air conditioning: yes/no question</t>
  </si>
  <si>
    <t>Estimate of annual household full load cooling hours for air conditioning equipment based on location and home type. If location and cooling type are unknown, assume the weighted average.</t>
  </si>
  <si>
    <t>Deemed table of TRM values based on household type and climate zone</t>
  </si>
  <si>
    <t>Size of AC unit . (Note: One refrigeration ton is equal to 12,000 Btu/hr.)</t>
  </si>
  <si>
    <t>either custom or there is a deemed TRM value for an unknown value</t>
  </si>
  <si>
    <t xml:space="preserve">the cooling equipment's Seasonal Energy Efficiency Ratio rating (kBtu/kWh) </t>
  </si>
  <si>
    <t>Use actual SEER rating where it is possible to measure or reasonably estimate.</t>
  </si>
  <si>
    <t>Assumed percentage reduction in total household cooling energy consumption due to installation of advanced thermostat</t>
  </si>
  <si>
    <t>TRM Deemed at 8%</t>
  </si>
  <si>
    <t>Conversion factors</t>
  </si>
  <si>
    <t>kWh per therm; TRM Deemed value for conversion</t>
  </si>
  <si>
    <t>Measure Life</t>
  </si>
  <si>
    <t xml:space="preserve">The expected measure life for advanced thermostats is assumed to be similar to that of a programmable thermostat 10 years  based upon equipment life only. </t>
  </si>
  <si>
    <t>Deemed Values from the TRM</t>
  </si>
  <si>
    <t>Tables for Algorithm Inputs</t>
  </si>
  <si>
    <t>Heating fuel</t>
  </si>
  <si>
    <t>%Electric Heat </t>
  </si>
  <si>
    <t>%Fossil Heat </t>
  </si>
  <si>
    <t>Thermostat Type</t>
  </si>
  <si>
    <t>Electric</t>
  </si>
  <si>
    <t>New Programmable thermostat</t>
  </si>
  <si>
    <t>Reprogramming existing thermostat</t>
  </si>
  <si>
    <t>Elec_Heating_ Consumption (kWh)</t>
  </si>
  <si>
    <t>Gas_Heating_ Consumption (therms)</t>
  </si>
  <si>
    <t>Custom Climate Zone</t>
  </si>
  <si>
    <t>1 (Rockford)</t>
  </si>
  <si>
    <t>Rockford</t>
  </si>
  <si>
    <t>2 (Chicago)</t>
  </si>
  <si>
    <t>Chicago</t>
  </si>
  <si>
    <t>3 (Springfield)</t>
  </si>
  <si>
    <t>Springfield</t>
  </si>
  <si>
    <t>4 (Belleville)</t>
  </si>
  <si>
    <t>5 (Marion)</t>
  </si>
  <si>
    <t>Actual - SF</t>
  </si>
  <si>
    <t>Multifamily</t>
  </si>
  <si>
    <t>Actual - MF</t>
  </si>
  <si>
    <t>Actual</t>
  </si>
  <si>
    <t>Electric Resistance</t>
  </si>
  <si>
    <t>Electric Heat Pump</t>
  </si>
  <si>
    <r>
      <t>Heating_Reduction</t>
    </r>
    <r>
      <rPr>
        <u/>
        <sz val="8"/>
        <color rgb="FF008080"/>
        <rFont val="Calibri"/>
        <family val="2"/>
      </rPr>
      <t> </t>
    </r>
    <r>
      <rPr>
        <b/>
        <u/>
        <vertAlign val="superscript"/>
        <sz val="10"/>
        <color rgb="FFFFFFFF"/>
        <rFont val="Arial"/>
        <family val="2"/>
      </rPr>
      <t>[1]</t>
    </r>
  </si>
  <si>
    <t>Thermostat control of air conditioning?</t>
  </si>
  <si>
    <t>Manual</t>
  </si>
  <si>
    <t>Yes</t>
  </si>
  <si>
    <t>Programmable</t>
  </si>
  <si>
    <t>No</t>
  </si>
  <si>
    <t>Unknown Multi-Family</t>
  </si>
  <si>
    <t>Unknown Single Family</t>
  </si>
  <si>
    <t>Climate zone</t>
  </si>
  <si>
    <t xml:space="preserve">FLH </t>
  </si>
  <si>
    <t>FLH_cooling  (weatherized multi family) [3]</t>
  </si>
  <si>
    <t>Nicor Gas</t>
  </si>
  <si>
    <t>ComEd</t>
  </si>
  <si>
    <t xml:space="preserve"> (city based upon)</t>
  </si>
  <si>
    <t>(single family) [1]</t>
  </si>
  <si>
    <t>(general multifamily) [2]</t>
  </si>
  <si>
    <t>Allocation Share</t>
  </si>
  <si>
    <t>Weighted average[4]</t>
  </si>
  <si>
    <t>Other</t>
  </si>
  <si>
    <t>Btu/hr: size of AC unit</t>
  </si>
  <si>
    <t>Program Delivery</t>
  </si>
  <si>
    <t>Direct Install (Single Family known, or MF)</t>
  </si>
  <si>
    <t>Unknown (Single family home only)</t>
  </si>
  <si>
    <t>NC</t>
  </si>
  <si>
    <t>RF</t>
  </si>
  <si>
    <t>SEER- the cooling equipments Seasonal Energy Efficiency Ratio Rating</t>
  </si>
  <si>
    <t>Cooling System</t>
  </si>
  <si>
    <t>SEER[1]</t>
  </si>
  <si>
    <t>Air Source Heat Pump</t>
  </si>
  <si>
    <t>Central AC</t>
  </si>
  <si>
    <t>Savings</t>
  </si>
  <si>
    <t>Gas High Efficiency Furnace</t>
  </si>
  <si>
    <t>Source</t>
  </si>
  <si>
    <t>Eff AFUE</t>
  </si>
  <si>
    <t>Program Year</t>
  </si>
  <si>
    <t xml:space="preserve">Gas_Furnace_Heating _Load </t>
  </si>
  <si>
    <t>AFUE(base)</t>
  </si>
  <si>
    <t>AFUE(eff)</t>
  </si>
  <si>
    <t>5.3.7.1</t>
  </si>
  <si>
    <t>Furnaces</t>
  </si>
  <si>
    <t>AFUE 95%</t>
  </si>
  <si>
    <t>TRM</t>
  </si>
  <si>
    <t>June 2012 – May 2013</t>
  </si>
  <si>
    <t>5.3.7.3</t>
  </si>
  <si>
    <t>AFUE 97%</t>
  </si>
  <si>
    <t>AFUE 92%</t>
  </si>
  <si>
    <t>5.3.7.6</t>
  </si>
  <si>
    <t>AFUE (baseline 2)</t>
  </si>
  <si>
    <t>Inflation</t>
  </si>
  <si>
    <t>kW</t>
  </si>
  <si>
    <t>Full Lifetime</t>
  </si>
  <si>
    <t>5.3.7.11</t>
  </si>
  <si>
    <t>5.3.7.12</t>
  </si>
  <si>
    <t>Gas_Furnace_Heating_Load</t>
  </si>
  <si>
    <t>Estimate of annual household heating load for gas furnace heated single-family homes. If location is unknown, assume the average below</t>
  </si>
  <si>
    <t>Actual if informed by site-specific load calculations, ACCA Manual J or equivalent</t>
  </si>
  <si>
    <t xml:space="preserve">Dual baseline inflation assumption of </t>
  </si>
  <si>
    <t>Factor adjustment values from the TRM</t>
  </si>
  <si>
    <t>AFUE Baseline 2 assumption</t>
  </si>
  <si>
    <t>AFUE(exist)</t>
  </si>
  <si>
    <t xml:space="preserve"> Existing Furnace Annual Fuel Utilization Efficiency Rating = Use actual AFUE rating where it is possible to measure or reasonably estimate.</t>
  </si>
  <si>
    <t>If unknown, assume TRM Value of 64.4 AFUE%</t>
  </si>
  <si>
    <t>Baseline Furnace Annual Fuel Utilization Efficiency Rating</t>
  </si>
  <si>
    <t>Dependent on program type as listed in Table of Values deemed by the TRM</t>
  </si>
  <si>
    <t>Efficient Furnace Annual Fuel Utilization Efficiency Rating</t>
  </si>
  <si>
    <t>Actual. If unknown, assume TRM Value of 95%</t>
  </si>
  <si>
    <t>The expected measure life is assumed to be 20 years</t>
  </si>
  <si>
    <t>For early replacement: Remaining life of existing equipment is assumed to be 6 years</t>
  </si>
  <si>
    <t>Table for Algorithm Inputs</t>
  </si>
  <si>
    <t>Incremental Cost Lookup Table</t>
  </si>
  <si>
    <t>AFUEbase</t>
  </si>
  <si>
    <t>Time of Sale</t>
  </si>
  <si>
    <t>New Construction</t>
  </si>
  <si>
    <t>IC</t>
  </si>
  <si>
    <t>Early Replacement</t>
  </si>
  <si>
    <t>Retrofit</t>
  </si>
  <si>
    <t>AFUE</t>
  </si>
  <si>
    <t>June 2013 onward</t>
  </si>
  <si>
    <t>Gas_Furnace_Heating_Load (therms)</t>
  </si>
  <si>
    <t>Household Factor</t>
  </si>
  <si>
    <t>AFUE 90%</t>
  </si>
  <si>
    <t>AFUE 91%</t>
  </si>
  <si>
    <t>AFUE 93%</t>
  </si>
  <si>
    <t>AFUE 94%</t>
  </si>
  <si>
    <t>AFUE 96%</t>
  </si>
  <si>
    <t xml:space="preserve">Measure name table </t>
  </si>
  <si>
    <t>Actual AFUE</t>
  </si>
  <si>
    <t>Measure name</t>
  </si>
  <si>
    <t>AFUE ≥90%</t>
  </si>
  <si>
    <t>AFUE ≥92%</t>
  </si>
  <si>
    <t>AFUE ≥95%</t>
  </si>
  <si>
    <t>AFUE ≥97%</t>
  </si>
  <si>
    <t>Updated from TRM</t>
  </si>
  <si>
    <t>Installed Cost</t>
  </si>
  <si>
    <t>TRM Incremental Installed Cost ECM Weighted</t>
  </si>
  <si>
    <t>IC Incremental Installed Cost</t>
  </si>
  <si>
    <t>(Retire) EEP2.0 Incremental Installed Cost</t>
  </si>
  <si>
    <t>n/a</t>
  </si>
  <si>
    <t>Incremental Cost ECM (TRM)</t>
  </si>
  <si>
    <t>Gross kWh Savings (ECM)</t>
  </si>
  <si>
    <t>Value of ECM Benefits</t>
  </si>
  <si>
    <t>Installation Cost</t>
  </si>
  <si>
    <t>Incremental Install Cost</t>
  </si>
  <si>
    <t>Furnace Models</t>
  </si>
  <si>
    <t>Number with Efficient Motor</t>
  </si>
  <si>
    <t>% with Efficient Motor</t>
  </si>
  <si>
    <t>All Models</t>
  </si>
  <si>
    <t>92-94</t>
  </si>
  <si>
    <t>Source: AHRI directory. Active, non-weatherized, natural gas furnaces. Searched: www.ahridirectory.org on 2/11/2013.</t>
  </si>
  <si>
    <t>Early Replacement Furnace Calculations</t>
  </si>
  <si>
    <t>Year</t>
  </si>
  <si>
    <t>Heating Season Avoided Costs - $/Therm</t>
  </si>
  <si>
    <t>PY7-9 proposed cost above. Need to update back to PY4-7 for PY5 look back</t>
  </si>
  <si>
    <t>AFUE = 95%</t>
  </si>
  <si>
    <t>RUL - Existing Unit</t>
  </si>
  <si>
    <t>Remaining Measure Life</t>
  </si>
  <si>
    <t>AFUE Base</t>
  </si>
  <si>
    <t>AFUE Eff</t>
  </si>
  <si>
    <t>Gas Furnace Heating Load</t>
  </si>
  <si>
    <t>Gross Therm Savings</t>
  </si>
  <si>
    <t>Incremental Cost - Furnace no ECM</t>
  </si>
  <si>
    <t>Net Incremental Cost - Furnace no ECM</t>
  </si>
  <si>
    <t>Net Incremental Cost - Furnace w/ECM</t>
  </si>
  <si>
    <t>Therm savings benefit</t>
  </si>
  <si>
    <t>Replacement Scenario for the Furnace</t>
  </si>
  <si>
    <t>Deemed Early Replacement Rate</t>
  </si>
  <si>
    <t>Early Replacement Rate for Furnace-only participants</t>
  </si>
  <si>
    <t>Early Replacement Rate for a furnace when the furnace is the Primary unit in a Combined System Replacement (CSR) project</t>
  </si>
  <si>
    <t>Early Replacement Rate for a furnace when the furnace is the Secondary unit in a CSR project</t>
  </si>
  <si>
    <t>Low Flow Showerheads</t>
  </si>
  <si>
    <t>Common Area or In Unit</t>
  </si>
  <si>
    <t>DHW Fuel</t>
  </si>
  <si>
    <t xml:space="preserve">Eff Rated flow </t>
  </si>
  <si>
    <t>Δgallons</t>
  </si>
  <si>
    <t>%ElectricDHW</t>
  </si>
  <si>
    <t>GPM_base</t>
  </si>
  <si>
    <t>L_base</t>
  </si>
  <si>
    <t>GPM_low</t>
  </si>
  <si>
    <t>L_low</t>
  </si>
  <si>
    <t>SPCD</t>
  </si>
  <si>
    <t>SPH</t>
  </si>
  <si>
    <t>EPG_electric</t>
  </si>
  <si>
    <t>ISR</t>
  </si>
  <si>
    <t>Hours</t>
  </si>
  <si>
    <t>CF</t>
  </si>
  <si>
    <t>%FossilDHW</t>
  </si>
  <si>
    <t>EPG_gas</t>
  </si>
  <si>
    <t>5.4.5.1</t>
  </si>
  <si>
    <t>Low-flow fixtures</t>
  </si>
  <si>
    <t>IU</t>
  </si>
  <si>
    <t>R03 - Residential Electric DHW</t>
  </si>
  <si>
    <t>5.4.5.2</t>
  </si>
  <si>
    <t>5.4.5.3</t>
  </si>
  <si>
    <t>CA</t>
  </si>
  <si>
    <t>DI Custom</t>
  </si>
  <si>
    <t>5.4.5.4</t>
  </si>
  <si>
    <t>ΔkWh  = %ElectricDHW  * ((GPM_base * L_base - GPM_low * L_low) * Household * SPCD * 365.25 / SPH) * EPG_electric * ISR</t>
  </si>
  <si>
    <t>ΔkW  = ΔkWh/Hours * CF</t>
  </si>
  <si>
    <t>ΔTherms = %FossilDHW * ((GPM_base * L_base - GPM_low * L_low) * Household * SPCD * 365.25 / SPH) * EPG_gas * ISR</t>
  </si>
  <si>
    <t>Δgallons= ((GPM_base * L_base - GPM_low * L_low) * Household * SPCD * 365.25 / SPH) * ISR</t>
  </si>
  <si>
    <t>proportion of water heating supplied by electric resistance heating</t>
  </si>
  <si>
    <t>Deemed Table of Values from the TRM based on fuel type: either electric, Natural gas, or unknown</t>
  </si>
  <si>
    <t>Flow rate of the baseline showerhead</t>
  </si>
  <si>
    <t>Deemed values from the TRM based on Program Type</t>
  </si>
  <si>
    <t>Shower length in minutes with baseline showerhead</t>
  </si>
  <si>
    <t>Deemed Value from the TRM</t>
  </si>
  <si>
    <t>As-used flow rate of the low-flow showerhead</t>
  </si>
  <si>
    <t>TRM has 3 permutation values available in a Table based on Rated Flow</t>
  </si>
  <si>
    <t>Shower length in minutes with low-flow showerhead</t>
  </si>
  <si>
    <t>Average  number of people per household</t>
  </si>
  <si>
    <t>Deemed Table of Values from the TRM based on Single Family, Multifamily or custom</t>
  </si>
  <si>
    <t>Showers per Capita per Day</t>
  </si>
  <si>
    <t xml:space="preserve">Showerheads Per Household </t>
  </si>
  <si>
    <t>Energy per gallon of hot water supplied by electric</t>
  </si>
  <si>
    <t>Where the TRM provides the calculation: (8.33 * 1.0 * (ShowerTemp - SupplyTemp)) / (RE_electric * 3412)</t>
  </si>
  <si>
    <t>TRM Calculation continued (8.33 * 1.0 * (101 – 54.1)) / (0.98 * 3412)</t>
  </si>
  <si>
    <t>0.117 kWh/gal is the value from the TRM</t>
  </si>
  <si>
    <t>Where the TRM deems 8.33 = Specific weight of water (lbs/gallon)</t>
  </si>
  <si>
    <t>Where the TRM deems 1.0 = Heat Capacity of water (btu/lb-°F)</t>
  </si>
  <si>
    <t>Where the TRM deems ShowerTemp = Assumed temperature of water = 101F</t>
  </si>
  <si>
    <t>Where the TRM deems SupplyTemp = Assumed temperature of water entering house = 54.1F</t>
  </si>
  <si>
    <t>Where the TRM deems RE_electric = Recovery efficiency of electric water heater = 98%</t>
  </si>
  <si>
    <t>Where the TRM deems 3412 to convert Btu to kWh (btu/kWh)</t>
  </si>
  <si>
    <t>In service rate of showerhead</t>
  </si>
  <si>
    <t>ISR is dependent on program delivery method as listed in the TRM table</t>
  </si>
  <si>
    <t>Annual electric DHW recovery hours for showerhead use</t>
  </si>
  <si>
    <t>Deemed table of values from the TRM based on a calculation of the following equation: ((GPM_base * L_base) * Household * SPCD * 365.25 ) * 0.712 / GPH</t>
  </si>
  <si>
    <t>Coincidence Factor for electric load reduction</t>
  </si>
  <si>
    <t>this is a deemed TRM value</t>
  </si>
  <si>
    <t>proportion of water heating supplied by Natural Gas heating</t>
  </si>
  <si>
    <t>deemed table of values from the TRM depending on if Electric, natural gas, or unknown</t>
  </si>
  <si>
    <t>Energy per gallon of Hot water supplied by gas</t>
  </si>
  <si>
    <t>Where the TRM calculation is - (8.33 * 1.0 * (ShowerTemp - SupplyTemp)) / (RE_gas * 100,000)</t>
  </si>
  <si>
    <t>RE_gas = Recovery efficiency of gas water heater where 78% for SF homes and 67% for MF homes</t>
  </si>
  <si>
    <t>Deemed Values for Single Family and Multifamily homes from the TRM</t>
  </si>
  <si>
    <t>100,000 = Converts Btus to Therms (btu/Therm)</t>
  </si>
  <si>
    <t>Other variables as defined above.</t>
  </si>
  <si>
    <t>Deemed value from the TRM - 0.00501 Therm/gal for SF homes</t>
  </si>
  <si>
    <t>Deemed value from the TRM - 0.00583 Therm/gal for MF homes</t>
  </si>
  <si>
    <t>The expected measure life is assumed to be 10 years.</t>
  </si>
  <si>
    <t>GPM_Low Table</t>
  </si>
  <si>
    <t>DHW fuel</t>
  </si>
  <si>
    <t>%Electric DHW</t>
  </si>
  <si>
    <t>%Fossil DHW</t>
  </si>
  <si>
    <t>Rated Flow (GPM)</t>
  </si>
  <si>
    <t>Efficiency Kits—Two showerhead kit</t>
  </si>
  <si>
    <t>Distributed School Efficiency Kit showerhead</t>
  </si>
  <si>
    <t>to be determined through evaluation</t>
  </si>
  <si>
    <t>Incremental Cost table</t>
  </si>
  <si>
    <t>SF</t>
  </si>
  <si>
    <t>MF</t>
  </si>
  <si>
    <t>Custom Direct Install input created to account for custom ISR = 0.93, based on HES calculations</t>
  </si>
  <si>
    <t>Programmable Thermostats</t>
  </si>
  <si>
    <t>5.3.11.4</t>
  </si>
  <si>
    <t xml:space="preserve">ΔkWh = %ElectricHeat * Elec_Heating_Consumption * Heating_Reduction * HF * Eff_ISR + (∆Therms * Fe * 29.3)  </t>
  </si>
  <si>
    <t>The expected measure life of a programmable thermostat is assumed to be 10 years based upon equipment life only. For the purposes of claiming savings for a new programmable thermostat, this is reduced by a 50% persistence factor to give final measures life of 5 years. For reprogramming, this is reduced further to give a measure life of 2 years.</t>
  </si>
  <si>
    <t>Duct Insulation and Sealing</t>
  </si>
  <si>
    <t>Measure Component</t>
  </si>
  <si>
    <t>Methodology</t>
  </si>
  <si>
    <t>Unit type</t>
  </si>
  <si>
    <t>Age of Equipment</t>
  </si>
  <si>
    <t>Electric heating?</t>
  </si>
  <si>
    <t>System Type</t>
  </si>
  <si>
    <t>Capacity of Air Cooling system (Btu/H)</t>
  </si>
  <si>
    <t>Capacity of heating system</t>
  </si>
  <si>
    <t>Type of Conditioned Space</t>
  </si>
  <si>
    <r>
      <t>Pre-∆CFM50</t>
    </r>
    <r>
      <rPr>
        <vertAlign val="subscript"/>
        <sz val="10"/>
        <color theme="1"/>
        <rFont val="Calibri"/>
        <family val="2"/>
        <scheme val="minor"/>
      </rPr>
      <t>DL</t>
    </r>
  </si>
  <si>
    <r>
      <t>Post-∆CFM50</t>
    </r>
    <r>
      <rPr>
        <vertAlign val="subscript"/>
        <sz val="10"/>
        <color theme="1"/>
        <rFont val="Calibri"/>
        <family val="2"/>
        <scheme val="minor"/>
      </rPr>
      <t>DL</t>
    </r>
  </si>
  <si>
    <r>
      <t>∆CFM25</t>
    </r>
    <r>
      <rPr>
        <vertAlign val="subscript"/>
        <sz val="10"/>
        <color theme="1"/>
        <rFont val="Calibri"/>
        <family val="2"/>
        <scheme val="minor"/>
      </rPr>
      <t>DL</t>
    </r>
  </si>
  <si>
    <r>
      <t>Pre-CFM50</t>
    </r>
    <r>
      <rPr>
        <vertAlign val="subscript"/>
        <sz val="10"/>
        <color theme="1"/>
        <rFont val="Calibri"/>
        <family val="2"/>
        <scheme val="minor"/>
      </rPr>
      <t>Whole House</t>
    </r>
  </si>
  <si>
    <r>
      <t>Post-CFM50</t>
    </r>
    <r>
      <rPr>
        <vertAlign val="subscript"/>
        <sz val="10"/>
        <color theme="1"/>
        <rFont val="Calibri"/>
        <family val="2"/>
        <scheme val="minor"/>
      </rPr>
      <t>Whole House</t>
    </r>
  </si>
  <si>
    <r>
      <t>Pre-CFM50</t>
    </r>
    <r>
      <rPr>
        <vertAlign val="subscript"/>
        <sz val="10"/>
        <color theme="1"/>
        <rFont val="Calibri"/>
        <family val="2"/>
        <scheme val="minor"/>
      </rPr>
      <t>Envelope Only</t>
    </r>
  </si>
  <si>
    <r>
      <t>Post-CFM50</t>
    </r>
    <r>
      <rPr>
        <vertAlign val="subscript"/>
        <sz val="10"/>
        <color theme="1"/>
        <rFont val="Calibri"/>
        <family val="2"/>
        <scheme val="minor"/>
      </rPr>
      <t>Envelope Only</t>
    </r>
  </si>
  <si>
    <t>Pre-SCF</t>
  </si>
  <si>
    <t>Post-SCF</t>
  </si>
  <si>
    <r>
      <t>DE</t>
    </r>
    <r>
      <rPr>
        <vertAlign val="subscript"/>
        <sz val="10"/>
        <color theme="1"/>
        <rFont val="Calibri"/>
        <family val="2"/>
        <scheme val="minor"/>
      </rPr>
      <t>before</t>
    </r>
  </si>
  <si>
    <r>
      <t>DE</t>
    </r>
    <r>
      <rPr>
        <vertAlign val="subscript"/>
        <sz val="10"/>
        <color theme="1"/>
        <rFont val="Calibri"/>
        <family val="2"/>
        <scheme val="minor"/>
      </rPr>
      <t>after</t>
    </r>
  </si>
  <si>
    <t>SLF</t>
  </si>
  <si>
    <t>RLF</t>
  </si>
  <si>
    <t>Cooling Capacity</t>
  </si>
  <si>
    <t xml:space="preserve">Heating Capacity </t>
  </si>
  <si>
    <t xml:space="preserve">FLHcool </t>
  </si>
  <si>
    <t>ηCool</t>
  </si>
  <si>
    <t>FLHheat</t>
  </si>
  <si>
    <t xml:space="preserve">ηHeat </t>
  </si>
  <si>
    <r>
      <t xml:space="preserve">Methodology1, </t>
    </r>
    <r>
      <rPr>
        <sz val="10"/>
        <color theme="1"/>
        <rFont val="Calibri"/>
        <family val="2"/>
      </rPr>
      <t>Δ</t>
    </r>
    <r>
      <rPr>
        <sz val="10"/>
        <color theme="1"/>
        <rFont val="Calibri"/>
        <family val="2"/>
        <scheme val="minor"/>
      </rPr>
      <t>kWh</t>
    </r>
  </si>
  <si>
    <r>
      <t xml:space="preserve">Methodology2, </t>
    </r>
    <r>
      <rPr>
        <sz val="10"/>
        <color theme="1"/>
        <rFont val="Calibri"/>
        <family val="2"/>
      </rPr>
      <t>Δ</t>
    </r>
    <r>
      <rPr>
        <sz val="10"/>
        <color theme="1"/>
        <rFont val="Calibri"/>
        <family val="2"/>
        <scheme val="minor"/>
      </rPr>
      <t>kWh</t>
    </r>
  </si>
  <si>
    <r>
      <t xml:space="preserve">Methodology1, </t>
    </r>
    <r>
      <rPr>
        <sz val="10"/>
        <color theme="1"/>
        <rFont val="Calibri"/>
        <family val="2"/>
      </rPr>
      <t>Δ</t>
    </r>
    <r>
      <rPr>
        <sz val="10"/>
        <color theme="1"/>
        <rFont val="Calibri"/>
        <family val="2"/>
        <scheme val="minor"/>
      </rPr>
      <t>therms</t>
    </r>
  </si>
  <si>
    <r>
      <t xml:space="preserve">Methodology2, </t>
    </r>
    <r>
      <rPr>
        <sz val="10"/>
        <color theme="1"/>
        <rFont val="Calibri"/>
        <family val="2"/>
      </rPr>
      <t>Δ</t>
    </r>
    <r>
      <rPr>
        <sz val="10"/>
        <color theme="1"/>
        <rFont val="Calibri"/>
        <family val="2"/>
        <scheme val="minor"/>
      </rPr>
      <t>therms</t>
    </r>
  </si>
  <si>
    <t>ηEquipment</t>
  </si>
  <si>
    <t>ηSystem</t>
  </si>
  <si>
    <t>TRFheat</t>
  </si>
  <si>
    <t>TRFcool</t>
  </si>
  <si>
    <t>Converts CFM50 to CFM 25</t>
  </si>
  <si>
    <t>Converts Btu to therms</t>
  </si>
  <si>
    <t>Conversion of Capacity to CFM (0.0123CFM / Btu/hr)</t>
  </si>
  <si>
    <t>Btu/H capacity to Tons</t>
  </si>
  <si>
    <t>Converts Capacity to in tons to CFM CFM (400CFM/ton)</t>
  </si>
  <si>
    <t>Converts Btu to kBtu</t>
  </si>
  <si>
    <t>Converts Btu to kWh</t>
  </si>
  <si>
    <t>5.3.4.1</t>
  </si>
  <si>
    <t>Duct sealing</t>
  </si>
  <si>
    <t>R08 - Residential Cooling</t>
  </si>
  <si>
    <t>Evaluation of Distribution Efficiency</t>
  </si>
  <si>
    <t>Single family</t>
  </si>
  <si>
    <t>Average</t>
  </si>
  <si>
    <t>Heat Pump</t>
  </si>
  <si>
    <t>6 (Nicor Custom)</t>
  </si>
  <si>
    <t>Unconditioned</t>
  </si>
  <si>
    <t>Semi-Conditioned</t>
  </si>
  <si>
    <t xml:space="preserve">Methodology 1: Modified Blower Door Subtraction </t>
  </si>
  <si>
    <r>
      <t>a)</t>
    </r>
    <r>
      <rPr>
        <sz val="7"/>
        <color theme="1"/>
        <rFont val="Times New Roman"/>
        <family val="1"/>
      </rPr>
      <t xml:space="preserve">       </t>
    </r>
    <r>
      <rPr>
        <sz val="10"/>
        <color theme="1"/>
        <rFont val="Calibri"/>
        <family val="2"/>
        <scheme val="minor"/>
      </rPr>
      <t>Determine Duct Leakage rate before and after performing duct sealing:</t>
    </r>
  </si>
  <si>
    <r>
      <t>Duct Leakage (CFM50</t>
    </r>
    <r>
      <rPr>
        <vertAlign val="subscript"/>
        <sz val="10"/>
        <color theme="1"/>
        <rFont val="Calibri"/>
        <family val="2"/>
        <scheme val="minor"/>
      </rPr>
      <t>DL</t>
    </r>
    <r>
      <rPr>
        <sz val="10"/>
        <color theme="1"/>
        <rFont val="Calibri"/>
        <family val="2"/>
        <scheme val="minor"/>
      </rPr>
      <t>) = (CFM50Whole House – CFM50Envelope Only) * SCF</t>
    </r>
  </si>
  <si>
    <r>
      <t>b)</t>
    </r>
    <r>
      <rPr>
        <sz val="7"/>
        <color theme="1"/>
        <rFont val="Times New Roman"/>
        <family val="1"/>
      </rPr>
      <t xml:space="preserve">       </t>
    </r>
    <r>
      <rPr>
        <sz val="10"/>
        <color theme="1"/>
        <rFont val="Calibri"/>
        <family val="2"/>
        <scheme val="minor"/>
      </rPr>
      <t>Calculate duct leakage reduction, convert to CFM25</t>
    </r>
    <r>
      <rPr>
        <vertAlign val="subscript"/>
        <sz val="10"/>
        <color theme="1"/>
        <rFont val="Calibri"/>
        <family val="2"/>
        <scheme val="minor"/>
      </rPr>
      <t xml:space="preserve">DL </t>
    </r>
    <r>
      <rPr>
        <sz val="10"/>
        <color theme="1"/>
        <rFont val="Calibri"/>
        <family val="2"/>
        <scheme val="minor"/>
      </rPr>
      <t>and factor in Supply and Return Loss Factors</t>
    </r>
  </si>
  <si>
    <r>
      <t>Duct Leakage Reduction (∆CFM25</t>
    </r>
    <r>
      <rPr>
        <vertAlign val="subscript"/>
        <sz val="10"/>
        <color theme="1"/>
        <rFont val="Calibri"/>
        <family val="2"/>
        <scheme val="minor"/>
      </rPr>
      <t>DL</t>
    </r>
    <r>
      <rPr>
        <sz val="10"/>
        <color theme="1"/>
        <rFont val="Calibri"/>
        <family val="2"/>
        <scheme val="minor"/>
      </rPr>
      <t>) = (Pre CFM50DL – Post CFM50DL) * 0.64 * (SLF + RLF)</t>
    </r>
  </si>
  <si>
    <t>c) Calculate Energy Savings:</t>
  </si>
  <si>
    <r>
      <t>ΔkWh</t>
    </r>
    <r>
      <rPr>
        <vertAlign val="subscript"/>
        <sz val="10"/>
        <color theme="1"/>
        <rFont val="Calibri"/>
        <family val="2"/>
        <scheme val="minor"/>
      </rPr>
      <t>cooling</t>
    </r>
    <r>
      <rPr>
        <sz val="10"/>
        <color theme="1"/>
        <rFont val="Calibri"/>
        <family val="2"/>
        <scheme val="minor"/>
      </rPr>
      <t xml:space="preserve"> = ((∆CFM25DL)/ ((Capacity/12,000) * 400)) * FLHcool * Capacity) / 1000 / ηCool</t>
    </r>
  </si>
  <si>
    <t>Heating savings for homes with electric heat (Heat Pump)</t>
  </si>
  <si>
    <r>
      <t>ΔkWh</t>
    </r>
    <r>
      <rPr>
        <vertAlign val="subscript"/>
        <sz val="10"/>
        <color theme="1"/>
        <rFont val="Calibri"/>
        <family val="2"/>
        <scheme val="minor"/>
      </rPr>
      <t>heating</t>
    </r>
    <r>
      <rPr>
        <sz val="10"/>
        <color theme="1"/>
        <rFont val="Calibri"/>
        <family val="2"/>
        <scheme val="minor"/>
      </rPr>
      <t xml:space="preserve"> = (((∆CFM25DL /((Capacity/12,000) * 400)) * FLHheat * Capacity) / ηHeat / 3412</t>
    </r>
  </si>
  <si>
    <t>Methodology 2: Evaluation of Distribution Efficiency</t>
  </si>
  <si>
    <r>
      <t>ΔkWh</t>
    </r>
    <r>
      <rPr>
        <vertAlign val="subscript"/>
        <sz val="10"/>
        <color theme="1"/>
        <rFont val="Calibri"/>
        <family val="2"/>
        <scheme val="minor"/>
      </rPr>
      <t xml:space="preserve"> cooling</t>
    </r>
    <r>
      <rPr>
        <sz val="10"/>
        <color theme="1"/>
        <rFont val="Calibri"/>
        <family val="2"/>
        <scheme val="minor"/>
      </rPr>
      <t xml:space="preserve"> = ((DEafter – DEbefore)/ DEafter)) * FLHcool * Capacity)/1000 / ηCool</t>
    </r>
  </si>
  <si>
    <t>Heating savings for homes with electric heat (Heat Pump or resistance):</t>
  </si>
  <si>
    <r>
      <t>ΔkWh</t>
    </r>
    <r>
      <rPr>
        <vertAlign val="subscript"/>
        <sz val="10"/>
        <color theme="1"/>
        <rFont val="Calibri"/>
        <family val="2"/>
        <scheme val="minor"/>
      </rPr>
      <t xml:space="preserve">heating </t>
    </r>
    <r>
      <rPr>
        <sz val="10"/>
        <color theme="1"/>
        <rFont val="Calibri"/>
        <family val="2"/>
        <scheme val="minor"/>
      </rPr>
      <t>= ((DEafter – DEbefore)/ DEafter)) * FLHheat * Capacity ) / ηHeat / 3412</t>
    </r>
  </si>
  <si>
    <t>ΔkW= ΔkWhcooling/ FLHcool * CF</t>
  </si>
  <si>
    <t>For homes with Natural Gas Heating:</t>
  </si>
  <si>
    <t xml:space="preserve"> </t>
  </si>
  <si>
    <r>
      <rPr>
        <sz val="11"/>
        <color theme="1"/>
        <rFont val="Calibri"/>
        <family val="2"/>
      </rPr>
      <t>∆</t>
    </r>
    <r>
      <rPr>
        <sz val="11"/>
        <color theme="1"/>
        <rFont val="Calibri"/>
        <family val="2"/>
        <scheme val="minor"/>
      </rPr>
      <t xml:space="preserve">Therm = (((∆CFM25DL / (InputCapacityHeat * 0.0123)) * FLHheat * InputCapacityHeat * TRFheat (ηEquipment / ηSystem)) / 100,000 </t>
    </r>
  </si>
  <si>
    <t xml:space="preserve">= (((∆CFM25DL / (InputCapacityHeat * 0.0123)) * FLHheat * InputCapacityHeat * TRFheat (ηEquipment / ηSystem)) / 100,000 </t>
  </si>
  <si>
    <t xml:space="preserve">ΔTherm = ((DEafter – DEbefore)/ DEafter)) * FLHheat * InputCapacityHeat * TRFheat * (ηEquipment / ηSystem)) / 100,000 </t>
  </si>
  <si>
    <t>Pre-CFM50Whole House</t>
  </si>
  <si>
    <t>Standard Blower Door test result finding Cubic Feet per Minute at 50 Pascal pressure differential</t>
  </si>
  <si>
    <t>This is a custom input</t>
  </si>
  <si>
    <t>Post-CFM50Whole House</t>
  </si>
  <si>
    <t>Pre-CFM50Envelope Only</t>
  </si>
  <si>
    <t>Blower Door test result finding Cubic Feet per Minute at 50 Pascal pressure differential with all supply and return registers sealed.</t>
  </si>
  <si>
    <t>Post-CFM50Envelope Only</t>
  </si>
  <si>
    <t>Subtraction Correction Factor to account for underestimation of duct leakage due to connections between the duct system and the home. Determined by measuring pressure in duct system with registers sealed and using look up table provided by Energy Conservatory.</t>
  </si>
  <si>
    <t>DEbefore</t>
  </si>
  <si>
    <t>Distribution Efficiency before duct sealing</t>
  </si>
  <si>
    <t>DEafter</t>
  </si>
  <si>
    <t>Distribution Efficiency after duct sealing</t>
  </si>
  <si>
    <t>Supply Loss Factor</t>
  </si>
  <si>
    <t>% leaks sealed located in Supply ducts * 1</t>
  </si>
  <si>
    <t>TRM deemed value of 0.5</t>
  </si>
  <si>
    <t>Return Loss Factor</t>
  </si>
  <si>
    <t>% leaks sealed located in Return ducts * 0.5</t>
  </si>
  <si>
    <t>TRM deemed value of 0.25</t>
  </si>
  <si>
    <t>Capacity of Air Cooling system (Btu/hr)</t>
  </si>
  <si>
    <t>Capacity of Air Heating system (Btu/hr)</t>
  </si>
  <si>
    <t>Full load cooling hours:</t>
  </si>
  <si>
    <t xml:space="preserve">Deemed Table of TRM Values dependent on location </t>
  </si>
  <si>
    <t>Efficiency (SEER) of Air Conditioning equipment (kBtu/kWh)</t>
  </si>
  <si>
    <t>Actual. If not available refer to the Table of deemed values from the TRM which is based on the age of the equipment</t>
  </si>
  <si>
    <t>Full load heating hours</t>
  </si>
  <si>
    <t>Efficiency in COP of Heating equipment</t>
  </si>
  <si>
    <t>Summer system peak coincidence factor</t>
  </si>
  <si>
    <t>This is a deemed TRM value</t>
  </si>
  <si>
    <t>Heating Equipment Efficiency</t>
  </si>
  <si>
    <t>Actual. If not available use the deemed TRM value of 83%</t>
  </si>
  <si>
    <t>Pre duct sealing Heating System Efficiency (Equipment Efficiency * Pre Distribution Efficiency)</t>
  </si>
  <si>
    <t>Actual. If not available use the deemed TRM value of 70%</t>
  </si>
  <si>
    <t>TRM lookup table based on semi or unconditioned space</t>
  </si>
  <si>
    <t xml:space="preserve">Thermal Regain Factor for heating by space type </t>
  </si>
  <si>
    <t>TRM Deemed value based on semi-conditioned spaces or unconditioned spaces; lookup table below</t>
  </si>
  <si>
    <t xml:space="preserve">Thermal Regain Factor for cooling by space type </t>
  </si>
  <si>
    <t>Conversion Factors</t>
  </si>
  <si>
    <t>Converts Btu/h capacity to tons (per the TRM)</t>
  </si>
  <si>
    <t>Converts capacity in tons to CFM (400CFM /ton) (per the TRM)</t>
  </si>
  <si>
    <t>The assumed lifetime of this measure is 20 years</t>
  </si>
  <si>
    <t>SEER Estimate</t>
  </si>
  <si>
    <t>HSPF Estimate</t>
  </si>
  <si>
    <t>COP Estimate</t>
  </si>
  <si>
    <t>Before 2006</t>
  </si>
  <si>
    <t>After 2006</t>
  </si>
  <si>
    <t>After 1/1/2015</t>
  </si>
  <si>
    <t>Resistance</t>
  </si>
  <si>
    <t>Custom Inputs</t>
  </si>
  <si>
    <t>CFM50 Whole House</t>
  </si>
  <si>
    <t>CFM50 Envelope Only</t>
  </si>
  <si>
    <t>Subtraction correction factor</t>
  </si>
  <si>
    <t>Distribution Efficiency</t>
  </si>
  <si>
    <t>Before performing duct sealing</t>
  </si>
  <si>
    <t>After performing duct sealing</t>
  </si>
  <si>
    <t>ΔkWh of Therm Savings Lookup</t>
  </si>
  <si>
    <t>Modified Blower Door Subtraction</t>
  </si>
  <si>
    <t>From CR Input</t>
  </si>
  <si>
    <t>=Debefore*ηEquipment</t>
  </si>
  <si>
    <t>Average - Nicor</t>
  </si>
  <si>
    <t>Multi Family</t>
  </si>
  <si>
    <t>Loadshape Table</t>
  </si>
  <si>
    <t>R09 - Residential Electric Space Heat</t>
  </si>
  <si>
    <t>R10 - Residential Electric Heating and Cooling (Shell Measures)</t>
  </si>
  <si>
    <t>FLHcool</t>
  </si>
  <si>
    <t>FLH_heat</t>
  </si>
  <si>
    <t>Climate Lookup Table - to create Nicor Custom</t>
  </si>
  <si>
    <t>Zone 1</t>
  </si>
  <si>
    <t>Zone 2</t>
  </si>
  <si>
    <t>Zone 3</t>
  </si>
  <si>
    <t>Air Sealing</t>
  </si>
  <si>
    <t>Algorithm Inputs - Methodology 1</t>
  </si>
  <si>
    <t>CFM50_ existing</t>
  </si>
  <si>
    <t>CFM50_ new</t>
  </si>
  <si>
    <t>Cooling System Type</t>
  </si>
  <si>
    <t>Age of Cooling Equipment</t>
  </si>
  <si>
    <t>Age of Heating Equipment</t>
  </si>
  <si>
    <t>Heating System Type</t>
  </si>
  <si>
    <t># of stories</t>
  </si>
  <si>
    <t>Building Type</t>
  </si>
  <si>
    <t>Measure Cost</t>
  </si>
  <si>
    <t>ΔkWh_cooling</t>
  </si>
  <si>
    <t>ΔkWh_heating</t>
  </si>
  <si>
    <t>CFM50_existing</t>
  </si>
  <si>
    <t>CFM50_new</t>
  </si>
  <si>
    <t>N_cool</t>
  </si>
  <si>
    <t>CDD</t>
  </si>
  <si>
    <t>DUA</t>
  </si>
  <si>
    <t>LM</t>
  </si>
  <si>
    <t>N_heat</t>
  </si>
  <si>
    <t>HDD</t>
  </si>
  <si>
    <t>ηHeat</t>
  </si>
  <si>
    <t>FLH_cooling</t>
  </si>
  <si>
    <t>Δthermsgasket</t>
  </si>
  <si>
    <t>Δthermssweep</t>
  </si>
  <si>
    <t>Δthermssealing</t>
  </si>
  <si>
    <t>ΔthermsWX</t>
  </si>
  <si>
    <t>ngasket</t>
  </si>
  <si>
    <t>nsweep</t>
  </si>
  <si>
    <t>lfsealing</t>
  </si>
  <si>
    <t>lfWX</t>
  </si>
  <si>
    <t>ADJRxAirsealing</t>
  </si>
  <si>
    <t>5.6.1.1</t>
  </si>
  <si>
    <t>Shell</t>
  </si>
  <si>
    <t>2015 on</t>
  </si>
  <si>
    <t xml:space="preserve">R10 - Residential Electric Heating and Cooling </t>
  </si>
  <si>
    <t>ΔkWh= ΔkWh_cooling + ΔkWh_heating</t>
  </si>
  <si>
    <t>ΔkWh_cooling = [(((CFM50_existing - CFM50_new)/N_cool) * 60 * 24 * CDD * DUA * 0.018) / (1000 *  ηCool)] * LM</t>
  </si>
  <si>
    <t>If gas furnace heat, saving for reduction in fan run time</t>
  </si>
  <si>
    <t>ΔkWh_heating= ΔTherms * Fe * 29.3</t>
  </si>
  <si>
    <t>Methodology 2: Prescriptive Infiltration Reduction Measures</t>
  </si>
  <si>
    <r>
      <rPr>
        <sz val="10"/>
        <color theme="1"/>
        <rFont val="Calibri"/>
        <family val="2"/>
      </rPr>
      <t>∆</t>
    </r>
    <r>
      <rPr>
        <sz val="10"/>
        <color theme="1"/>
        <rFont val="Calibri"/>
        <family val="2"/>
        <scheme val="minor"/>
      </rPr>
      <t>kWh_heating = (∆kWhgasket * ngasket + ∆kWhsweep * nsweep + ∆kWhsealing * lfsealing + ∆kWhWX * lfWX) * ADJRxAirsealing</t>
    </r>
  </si>
  <si>
    <t>If electric heat:</t>
  </si>
  <si>
    <t>ΔkWh_heating = (((CFM50_existing - CFM50_new)/N_heat) * 60 * 24 * HDD * 0.018) / (ηHeat * 3,412)</t>
  </si>
  <si>
    <t>ΔkW = (ΔkWh_cooling / FLH_cooling) * CF</t>
  </si>
  <si>
    <t>If Natural Gas Heating:</t>
  </si>
  <si>
    <t>Methodology 1: preferred methodology unless blower door testing is not possible</t>
  </si>
  <si>
    <t>Methodology 2: Prescriptive infiltration Reduction Measures: Savings shall only be calculated via Methodology 2 if a blower door test is not feasible</t>
  </si>
  <si>
    <r>
      <rPr>
        <sz val="10"/>
        <color theme="1"/>
        <rFont val="Calibri"/>
        <family val="2"/>
      </rPr>
      <t>∆</t>
    </r>
    <r>
      <rPr>
        <sz val="10"/>
        <color theme="1"/>
        <rFont val="Calibri"/>
        <family val="2"/>
        <scheme val="minor"/>
      </rPr>
      <t>therms= (∆thermsgasket * ngasket + ∆thermssweep * nsweep + ∆thermssealing * lfsealing + ∆thermsWX * lfWX) * ADJRxAirsealing</t>
    </r>
  </si>
  <si>
    <t>If central cooling, reduction In annual cooling requirement due to air sealing</t>
  </si>
  <si>
    <t>TRM provides an equation as follows: ΔkWh_cooling = [(((CFM50_existing - CFM50_new)/N_cool) * 60 * 24 * CDD * DUA * 0.018) / (1000 *  ηCool)] * LM</t>
  </si>
  <si>
    <t>If electric heat (resistance or heat pump), reduction In annual electric heating due to air sealing</t>
  </si>
  <si>
    <t>TRM provides an equation as follows: ΔkWh_heating= ΔTherms * Fe * 29.3</t>
  </si>
  <si>
    <t>Infiltration at 50 Pascals as measured by blower door before air sealing</t>
  </si>
  <si>
    <t>This is an actual value</t>
  </si>
  <si>
    <t>Infiltration at 50 Pascals as measured by blower door after air sealing</t>
  </si>
  <si>
    <t>Table of TRM Values below based on location and Number of Stories</t>
  </si>
  <si>
    <t>Conversion factor from leakage at 50 Pascal to leakage at natural conditions</t>
  </si>
  <si>
    <t>This is dependent on location and number of stories, the TRM provides a table of values</t>
  </si>
  <si>
    <t>Updated from TRM V4 to 5 from exposure to number of stories</t>
  </si>
  <si>
    <t>TRM Table of values based on location</t>
  </si>
  <si>
    <t>Cooling Degree Days</t>
  </si>
  <si>
    <t>This is dependent on location. The TRM provides a table of values</t>
  </si>
  <si>
    <t>Discretionary Use Adjustment  (reflects the fact that people do not always operate their AC when conditions may call for it).</t>
  </si>
  <si>
    <t>Actual or Table of Values from TRM based on age</t>
  </si>
  <si>
    <t xml:space="preserve">Efficiency (SEER) of Air Conditioning equipment </t>
  </si>
  <si>
    <t>Actual (where it is possible to measure or reasonably estimate). If unknown assume the following table of values from the TRM</t>
  </si>
  <si>
    <t>Table of TRM values based on climate zone</t>
  </si>
  <si>
    <t>Latent multiplier to account for latent cooling demand</t>
  </si>
  <si>
    <t>Table of TRM Values below based on climate zone and building height</t>
  </si>
  <si>
    <t>The TRM provides a table of values. This is based on climate zone, building height and exposure level</t>
  </si>
  <si>
    <t>Heating degree days</t>
  </si>
  <si>
    <t>Table of TRM Values based on system type** note this is the version for kWh calc</t>
  </si>
  <si>
    <t>Efficiency of heating system (effective COP Estimate)</t>
  </si>
  <si>
    <t>Actual. If not available refer to the Table of deemed values from the TRM which is based on system type</t>
  </si>
  <si>
    <t>Full load hours of air conditioning</t>
  </si>
  <si>
    <t>% Efficiency of heating system = Equipment efficiency * distribution efficiency</t>
  </si>
  <si>
    <t>Use actual, if not use the deemed TRM value of 72%</t>
  </si>
  <si>
    <t>The expected measure life is assumed to be 15 years.</t>
  </si>
  <si>
    <r>
      <rPr>
        <sz val="11"/>
        <color theme="1"/>
        <rFont val="Calibri"/>
        <family val="2"/>
      </rPr>
      <t>∆</t>
    </r>
    <r>
      <rPr>
        <sz val="11"/>
        <color theme="1"/>
        <rFont val="Calibri"/>
        <family val="2"/>
        <scheme val="minor"/>
      </rPr>
      <t>kWhgasket</t>
    </r>
  </si>
  <si>
    <t>Table of TRM Values based on Climate zone and heating type</t>
  </si>
  <si>
    <t>annual kWh savings from installation of air sealing gasket on an electric outlet</t>
  </si>
  <si>
    <t>dependent on TRM table of values based on climate zone - values for electric resistance and heat pump</t>
  </si>
  <si>
    <t>part of the methodology 2 calculation</t>
  </si>
  <si>
    <t>number of gaskets installed</t>
  </si>
  <si>
    <r>
      <rPr>
        <sz val="11"/>
        <color theme="1"/>
        <rFont val="Calibri"/>
        <family val="2"/>
      </rPr>
      <t>∆</t>
    </r>
    <r>
      <rPr>
        <sz val="11"/>
        <color theme="1"/>
        <rFont val="Calibri"/>
        <family val="2"/>
        <scheme val="minor"/>
      </rPr>
      <t>kWhsweep</t>
    </r>
  </si>
  <si>
    <t>Annual kWh savings from installation of door sweep</t>
  </si>
  <si>
    <t>number of sweeps installed</t>
  </si>
  <si>
    <r>
      <rPr>
        <sz val="11"/>
        <color theme="1"/>
        <rFont val="Calibri"/>
        <family val="2"/>
      </rPr>
      <t>∆</t>
    </r>
    <r>
      <rPr>
        <sz val="11"/>
        <color theme="1"/>
        <rFont val="Calibri"/>
        <family val="2"/>
        <scheme val="minor"/>
      </rPr>
      <t>kWhsealing</t>
    </r>
  </si>
  <si>
    <t>Annual kWh savings from foot of caulking, sealing, or polyethlylene tape</t>
  </si>
  <si>
    <t>linear feet of caulking, sealing, or polyethylene tape</t>
  </si>
  <si>
    <t>ΔkWhWX</t>
  </si>
  <si>
    <t>Annual kWh savings from window weatherstripping or door weatherstripping</t>
  </si>
  <si>
    <t>linear feet of window weatherstripping or door weatherstripping</t>
  </si>
  <si>
    <t>Adjustment for air sealing savings to account for prescriptive estimates overclaiming savings</t>
  </si>
  <si>
    <t>TRM V5 deems this value at 80%</t>
  </si>
  <si>
    <t>Annual therm savings from installation of air sealing gasket on an electric outlet</t>
  </si>
  <si>
    <t>dependent on TRM table of values based on climate zone - values for gas heat</t>
  </si>
  <si>
    <t>Annual therm savings from installation of door sweep</t>
  </si>
  <si>
    <t>Annual therm savings from foot of caulking, sealing, or polyethlylene tape</t>
  </si>
  <si>
    <t>Annual therm savings from window weatherstripping or door weatherstripping</t>
  </si>
  <si>
    <t>CDD 65</t>
  </si>
  <si>
    <t>HDD 60</t>
  </si>
  <si>
    <t>ηHeat (Effective COP Estimate)= (HSPF/3.413)*0.85</t>
  </si>
  <si>
    <t>2006 - 2014</t>
  </si>
  <si>
    <t>4 (St Louis, MO)</t>
  </si>
  <si>
    <t>5 (Paducah, KY)</t>
  </si>
  <si>
    <t>ΔkWh and Savings Lookup Table</t>
  </si>
  <si>
    <t>Climate Zone (City based upon)</t>
  </si>
  <si>
    <t>N_cool(by # of stories)</t>
  </si>
  <si>
    <t>Lookup Table</t>
  </si>
  <si>
    <t>Central Cooling</t>
  </si>
  <si>
    <t>N_heat(by # of stories)</t>
  </si>
  <si>
    <r>
      <rPr>
        <b/>
        <sz val="10"/>
        <color rgb="FFFFFFFF"/>
        <rFont val="Calibri"/>
        <family val="2"/>
      </rPr>
      <t>ηCool (</t>
    </r>
    <r>
      <rPr>
        <b/>
        <sz val="10"/>
        <color rgb="FFFFFFFF"/>
        <rFont val="Calibri"/>
        <family val="2"/>
        <scheme val="minor"/>
      </rPr>
      <t>SEER Estimate)</t>
    </r>
  </si>
  <si>
    <t>Methodology 2 Tables from TRM V5 Proposal</t>
  </si>
  <si>
    <t>Climate Zone        (City based upon)</t>
  </si>
  <si>
    <r>
      <t>ΔkWh</t>
    </r>
    <r>
      <rPr>
        <b/>
        <vertAlign val="subscript"/>
        <sz val="10"/>
        <color rgb="FFFFFFFF"/>
        <rFont val="Calibri"/>
        <family val="2"/>
      </rPr>
      <t xml:space="preserve">gasket </t>
    </r>
    <r>
      <rPr>
        <b/>
        <sz val="10"/>
        <color rgb="FFFFFFFF"/>
        <rFont val="Calibri"/>
        <family val="2"/>
      </rPr>
      <t>/ gasket</t>
    </r>
  </si>
  <si>
    <r>
      <t>ΔkWh</t>
    </r>
    <r>
      <rPr>
        <b/>
        <vertAlign val="subscript"/>
        <sz val="10"/>
        <color rgb="FFFFFFFF"/>
        <rFont val="Calibri"/>
        <family val="2"/>
      </rPr>
      <t xml:space="preserve">sweep </t>
    </r>
    <r>
      <rPr>
        <b/>
        <sz val="10"/>
        <color rgb="FFFFFFFF"/>
        <rFont val="Calibri"/>
        <family val="2"/>
      </rPr>
      <t>/ sweep</t>
    </r>
  </si>
  <si>
    <r>
      <t>ΔkWh</t>
    </r>
    <r>
      <rPr>
        <b/>
        <vertAlign val="subscript"/>
        <sz val="10"/>
        <color rgb="FFFFFFFF"/>
        <rFont val="Calibri"/>
        <family val="2"/>
      </rPr>
      <t xml:space="preserve">sealing </t>
    </r>
    <r>
      <rPr>
        <b/>
        <sz val="10"/>
        <color rgb="FFFFFFFF"/>
        <rFont val="Calibri"/>
        <family val="2"/>
      </rPr>
      <t>/ ft</t>
    </r>
  </si>
  <si>
    <r>
      <t>ΔkWh</t>
    </r>
    <r>
      <rPr>
        <b/>
        <vertAlign val="subscript"/>
        <sz val="10"/>
        <color rgb="FFFFFFFF"/>
        <rFont val="Calibri"/>
        <family val="2"/>
      </rPr>
      <t xml:space="preserve">WX </t>
    </r>
    <r>
      <rPr>
        <b/>
        <sz val="10"/>
        <color rgb="FFFFFFFF"/>
        <rFont val="Times New Roman"/>
        <family val="1"/>
      </rPr>
      <t>/ ft</t>
    </r>
  </si>
  <si>
    <r>
      <t>Δtherms</t>
    </r>
    <r>
      <rPr>
        <b/>
        <vertAlign val="subscript"/>
        <sz val="10"/>
        <color rgb="FFFFFFFF"/>
        <rFont val="Times New Roman"/>
        <family val="1"/>
      </rPr>
      <t>gasket</t>
    </r>
    <r>
      <rPr>
        <b/>
        <vertAlign val="subscript"/>
        <sz val="10"/>
        <color rgb="FFFFFFFF"/>
        <rFont val="Calibri"/>
        <family val="2"/>
      </rPr>
      <t xml:space="preserve"> </t>
    </r>
    <r>
      <rPr>
        <b/>
        <sz val="10"/>
        <color rgb="FFFFFFFF"/>
        <rFont val="Calibri"/>
        <family val="2"/>
      </rPr>
      <t>/ gasket</t>
    </r>
  </si>
  <si>
    <r>
      <t>Δtherms</t>
    </r>
    <r>
      <rPr>
        <b/>
        <vertAlign val="subscript"/>
        <sz val="10"/>
        <color rgb="FFFFFFFF"/>
        <rFont val="Calibri"/>
        <family val="2"/>
      </rPr>
      <t xml:space="preserve">sweep </t>
    </r>
    <r>
      <rPr>
        <b/>
        <sz val="10"/>
        <color rgb="FFFFFFFF"/>
        <rFont val="Calibri"/>
        <family val="2"/>
      </rPr>
      <t>/ sweep</t>
    </r>
  </si>
  <si>
    <r>
      <t>Δtherms</t>
    </r>
    <r>
      <rPr>
        <b/>
        <vertAlign val="subscript"/>
        <sz val="10"/>
        <color rgb="FFFFFFFF"/>
        <rFont val="Calibri"/>
        <family val="2"/>
      </rPr>
      <t xml:space="preserve">sealing </t>
    </r>
    <r>
      <rPr>
        <b/>
        <sz val="10"/>
        <color rgb="FFFFFFFF"/>
        <rFont val="Calibri"/>
        <family val="2"/>
      </rPr>
      <t>/ ft</t>
    </r>
  </si>
  <si>
    <r>
      <t>Δtherms</t>
    </r>
    <r>
      <rPr>
        <b/>
        <vertAlign val="subscript"/>
        <sz val="10"/>
        <color rgb="FFFFFFFF"/>
        <rFont val="Calibri"/>
        <family val="2"/>
      </rPr>
      <t xml:space="preserve">sx </t>
    </r>
    <r>
      <rPr>
        <b/>
        <sz val="10"/>
        <color rgb="FFFFFFFF"/>
        <rFont val="Calibri"/>
        <family val="2"/>
      </rPr>
      <t>/ ft</t>
    </r>
  </si>
  <si>
    <t>Gas Heat</t>
  </si>
  <si>
    <t>New  total R-value of Wall</t>
  </si>
  <si>
    <t>New R-value of Attic</t>
  </si>
  <si>
    <t>Old R-value of Wall</t>
  </si>
  <si>
    <r>
      <t>Area of Insulated wall (ft</t>
    </r>
    <r>
      <rPr>
        <b/>
        <vertAlign val="superscript"/>
        <sz val="11"/>
        <color theme="1"/>
        <rFont val="Calibri"/>
        <family val="2"/>
        <scheme val="minor"/>
      </rPr>
      <t>2</t>
    </r>
    <r>
      <rPr>
        <b/>
        <sz val="11"/>
        <color theme="1"/>
        <rFont val="Calibri"/>
        <family val="2"/>
        <scheme val="minor"/>
      </rPr>
      <t>)</t>
    </r>
  </si>
  <si>
    <r>
      <t>Area of Insulated Attic (ft</t>
    </r>
    <r>
      <rPr>
        <b/>
        <vertAlign val="superscript"/>
        <sz val="11"/>
        <color theme="1"/>
        <rFont val="Calibri"/>
        <family val="2"/>
        <scheme val="minor"/>
      </rPr>
      <t>2</t>
    </r>
    <r>
      <rPr>
        <b/>
        <sz val="11"/>
        <color theme="1"/>
        <rFont val="Calibri"/>
        <family val="2"/>
        <scheme val="minor"/>
      </rPr>
      <t>)</t>
    </r>
  </si>
  <si>
    <t>kW Savings type</t>
  </si>
  <si>
    <t xml:space="preserve">ΔkWh_cooling </t>
  </si>
  <si>
    <r>
      <rPr>
        <sz val="10"/>
        <color theme="1"/>
        <rFont val="Calibri"/>
        <family val="2"/>
      </rPr>
      <t>Δ</t>
    </r>
    <r>
      <rPr>
        <sz val="10"/>
        <color theme="1"/>
        <rFont val="Calibri"/>
        <family val="2"/>
        <scheme val="minor"/>
      </rPr>
      <t xml:space="preserve">kWh_heating </t>
    </r>
  </si>
  <si>
    <t>R_wall</t>
  </si>
  <si>
    <t>R_attic</t>
  </si>
  <si>
    <t>R_old</t>
  </si>
  <si>
    <t>A_wall</t>
  </si>
  <si>
    <t>A_attic</t>
  </si>
  <si>
    <t>Framing_factor_wall</t>
  </si>
  <si>
    <t>Framing_factor_attic</t>
  </si>
  <si>
    <t>ηHeat (kWh algorithm input)</t>
  </si>
  <si>
    <t>ηHeat (therm algorithm input)</t>
  </si>
  <si>
    <r>
      <t>ADJ</t>
    </r>
    <r>
      <rPr>
        <vertAlign val="subscript"/>
        <sz val="10"/>
        <color theme="1"/>
        <rFont val="Calibri"/>
        <family val="2"/>
        <scheme val="minor"/>
      </rPr>
      <t>WallAtticcool</t>
    </r>
  </si>
  <si>
    <t>5.6.4.1</t>
  </si>
  <si>
    <t>Central A/C</t>
  </si>
  <si>
    <t>Utility</t>
  </si>
  <si>
    <t>5.6.4.3a</t>
  </si>
  <si>
    <t>5.6.4.3b</t>
  </si>
  <si>
    <t>5.6.4.4a</t>
  </si>
  <si>
    <t>5.6.4.4b</t>
  </si>
  <si>
    <t>5.6.4.5a</t>
  </si>
  <si>
    <t>5.6.4.5b</t>
  </si>
  <si>
    <t>5.6.4.3</t>
  </si>
  <si>
    <t>custom</t>
  </si>
  <si>
    <t>&lt;19</t>
  </si>
  <si>
    <t>5.6.4.4</t>
  </si>
  <si>
    <t>5.6.4.5</t>
  </si>
  <si>
    <t>&gt;19</t>
  </si>
  <si>
    <t>ΔkWh= (ΔkWh_cooling + ΔkWh_heating)</t>
  </si>
  <si>
    <t>ΔkWh_cooling = (((1/R_old - 1/R_wall) * A_wall * (1-Framing_factor_wall) + (1/R_old - 1/R_attic) * A_attic * (1-Framing_factor_attic)) * 24 * CDD * DUA] / (1000 * ηCool)) *ADJwallatticcool</t>
  </si>
  <si>
    <t>Electric heating:</t>
  </si>
  <si>
    <r>
      <rPr>
        <sz val="10"/>
        <color theme="1"/>
        <rFont val="Calibri"/>
        <family val="2"/>
      </rPr>
      <t>Δ</t>
    </r>
    <r>
      <rPr>
        <sz val="10"/>
        <color theme="1"/>
        <rFont val="Calibri"/>
        <family val="2"/>
        <scheme val="minor"/>
      </rPr>
      <t>kWh_heating = ((1/R_old - 1/R_wall) * A_wall * (1-Framing_factor)  + (1/R_old - 1/R_attic) * A_attic * (1-Framing_factor_attic) * 24 * HDD] / (ηHeat * 3412) )*ADJwallatticheat</t>
    </r>
  </si>
  <si>
    <t>gas Furnace Heating</t>
  </si>
  <si>
    <t>ΔkWh_heating = Δtherms * Fe * 29.3</t>
  </si>
  <si>
    <t xml:space="preserve">ΔkW = (ΔkWh_cooling / FLH_cooling) * CF </t>
  </si>
  <si>
    <t>If central cooling, reduction in annual cooling requirement due to insulation</t>
  </si>
  <si>
    <t xml:space="preserve">TRM Provides a calculation where: ΔkWh_cooling = [((1/R_old - 1/R_wall) * A_wall * (1-Framing_factor_wall) + (1/R_old - 1/R_attic) * A_attic * (1-Framing_factor_attic)) * 24 * CDD * DUA] / (1000 * ηCool) </t>
  </si>
  <si>
    <t>If electric heat (resistance or heat pump), reduction in annual electric heating due to insulation</t>
  </si>
  <si>
    <t xml:space="preserve">TRM provides a calculation where ΔkWh_heating = [(1/R_old - 1/R_wall) * A_wall * (1-Framing_factor) * ADJwall) + (1/R_old - 1/R_attic) * A_attic * (1-Framing_factor_attic) * ADJattic) * 24 * HDD] / (ηHeat * 3412) </t>
  </si>
  <si>
    <t>R-value of new wall assembly (including all layers between inside air and outside air)</t>
  </si>
  <si>
    <t>R-value of new attic assembly (including all layers between inside air and outside air)</t>
  </si>
  <si>
    <t>R-value value of existing assemble and any existing insulation</t>
  </si>
  <si>
    <t>(Minimum of R-5 for uninsulated assemblies)</t>
  </si>
  <si>
    <r>
      <t>Total area of insulated wall (ft</t>
    </r>
    <r>
      <rPr>
        <vertAlign val="superscript"/>
        <sz val="10"/>
        <color theme="1"/>
        <rFont val="Calibri"/>
        <family val="2"/>
        <scheme val="minor"/>
      </rPr>
      <t>2</t>
    </r>
    <r>
      <rPr>
        <sz val="10"/>
        <color theme="1"/>
        <rFont val="Calibri"/>
        <family val="2"/>
        <scheme val="minor"/>
      </rPr>
      <t>)</t>
    </r>
  </si>
  <si>
    <r>
      <t>Total area of insulated ceiling/attic (ft</t>
    </r>
    <r>
      <rPr>
        <vertAlign val="superscript"/>
        <sz val="10"/>
        <color theme="1"/>
        <rFont val="Calibri"/>
        <family val="2"/>
        <scheme val="minor"/>
      </rPr>
      <t>2</t>
    </r>
    <r>
      <rPr>
        <sz val="10"/>
        <color theme="1"/>
        <rFont val="Calibri"/>
        <family val="2"/>
        <scheme val="minor"/>
      </rPr>
      <t>)</t>
    </r>
  </si>
  <si>
    <t>Framing_factor</t>
  </si>
  <si>
    <t>Adjustment to account for area of framing</t>
  </si>
  <si>
    <t xml:space="preserve">TRM deems value of 25% for wall </t>
  </si>
  <si>
    <t>TRM deems value of and 7% for attic</t>
  </si>
  <si>
    <t>This is dependent on location. The TRM provides a table of values which is listed below</t>
  </si>
  <si>
    <t>Discretionary Use Adjustment</t>
  </si>
  <si>
    <t>Seasonal Energy Efficiency Ratio (SEER) of cooling system (kBtu/kWh)</t>
  </si>
  <si>
    <t>Actual (where it is possible to measure or reasonably estimate). If unknown assume the following table of values from the TRM.  The table from the TRM is listed below</t>
  </si>
  <si>
    <t>Heating Degree Days</t>
  </si>
  <si>
    <t>Table of TRM values - part of the kWh algorithm</t>
  </si>
  <si>
    <t>ADJwallatticcool</t>
  </si>
  <si>
    <t>Adjustment for cooling savings from basement wall insulation to account for prescriptive engineering algorithms overclaiming savings</t>
  </si>
  <si>
    <t>TRM Deems this value at 80% - this is a new factor per TRM V5</t>
  </si>
  <si>
    <t>Summer Peak Coincidence factor</t>
  </si>
  <si>
    <t>Adjustment to account for prescriptive engineering algorithms overclaiming savings.</t>
  </si>
  <si>
    <t>The expected measure life is assumed to be 25 years</t>
  </si>
  <si>
    <t>Single Family FLH</t>
  </si>
  <si>
    <t>Multi Family FLH</t>
  </si>
  <si>
    <t>ηHeat (Effective COP Estimate) (HSPF/3.413)*0.85</t>
  </si>
  <si>
    <t xml:space="preserve">2006 - 2014 </t>
  </si>
  <si>
    <t xml:space="preserve">2015 on </t>
  </si>
  <si>
    <t>Housing Type Lookup Table</t>
  </si>
  <si>
    <t>Multi family</t>
  </si>
  <si>
    <t>For Measure Name:</t>
  </si>
  <si>
    <t>Attic</t>
  </si>
  <si>
    <t>Wall</t>
  </si>
  <si>
    <t>CF Values Lookup Table</t>
  </si>
  <si>
    <t>PJM Central A/C</t>
  </si>
  <si>
    <t>PJM</t>
  </si>
  <si>
    <t>Other Information</t>
  </si>
  <si>
    <t>R19 %</t>
  </si>
  <si>
    <t>R 30%</t>
  </si>
  <si>
    <t>Attic Insulation (Final R19 - Baseline = R5) (Prescriptive)- Nicor Gas</t>
  </si>
  <si>
    <t>Attic Insulation (Final R38 - Baseline &lt; R19) (Prescriptive)- Nicor Gas</t>
  </si>
  <si>
    <t>Attic Insulation (Final R49 - Baseline &lt; R19) (Prescriptive)- Nicor Gas</t>
  </si>
  <si>
    <t>Attic Insulation (Final R49 - Baseline &gt; R19) (Prescriptive)- Nicor Gas</t>
  </si>
  <si>
    <t xml:space="preserve">Steam Trap Replacement or Repair </t>
  </si>
  <si>
    <t>**indicated new per TRM V5</t>
  </si>
  <si>
    <t>Replacement type</t>
  </si>
  <si>
    <t>Steam System</t>
  </si>
  <si>
    <t>Zone</t>
  </si>
  <si>
    <t>Cost source</t>
  </si>
  <si>
    <t>Climate lookup</t>
  </si>
  <si>
    <t>Sa**</t>
  </si>
  <si>
    <t>Pia**</t>
  </si>
  <si>
    <t>Pig</t>
  </si>
  <si>
    <t>Patm</t>
  </si>
  <si>
    <t>D**</t>
  </si>
  <si>
    <t>A**</t>
  </si>
  <si>
    <t>FF**</t>
  </si>
  <si>
    <t>Hv</t>
  </si>
  <si>
    <t>B</t>
  </si>
  <si>
    <t>A</t>
  </si>
  <si>
    <t>L</t>
  </si>
  <si>
    <t>L lookup</t>
  </si>
  <si>
    <t xml:space="preserve">Where Sa  = Average actual steam loss per leaking trap
  = 24.24 x Pia x D² x A x FF
</t>
  </si>
  <si>
    <t>4.4.16.1</t>
  </si>
  <si>
    <t>Steam traps</t>
  </si>
  <si>
    <t>Custom Survey</t>
  </si>
  <si>
    <t>Industrial Medium Pressure &gt;15 psig &lt; 30 psig</t>
  </si>
  <si>
    <t>'= Sa * (Hv/B) * Hours  * L / 100,000</t>
  </si>
  <si>
    <t>4.4.16.2</t>
  </si>
  <si>
    <t>Industrial Medium Pressure ≥30 &lt;75 psig</t>
  </si>
  <si>
    <t>4.4.16.3</t>
  </si>
  <si>
    <t>Industrial High Pressure ≥75 &lt;125 psig</t>
  </si>
  <si>
    <t>4.4.16.4</t>
  </si>
  <si>
    <t>Industrial High Pressure ≥125 &lt;175 psig</t>
  </si>
  <si>
    <t>4.4.16.5</t>
  </si>
  <si>
    <t>Industrial High Pressure ≥175 &lt;250 psig</t>
  </si>
  <si>
    <t>4.4.16.6</t>
  </si>
  <si>
    <t>Industrial High Pressure ≥250 psig</t>
  </si>
  <si>
    <t>4.4.16.7</t>
  </si>
  <si>
    <t>all replaced</t>
  </si>
  <si>
    <t>Commercial Heating , (including Multifamily) low pressure steam</t>
  </si>
  <si>
    <t>Custom Value</t>
  </si>
  <si>
    <t xml:space="preserve">Industrial Low Pressure &lt;15 psig </t>
  </si>
  <si>
    <t>4.4.16.9</t>
  </si>
  <si>
    <t>Commercial Dry Cleaners</t>
  </si>
  <si>
    <t>Updated TRM Formula PER trm v5</t>
  </si>
  <si>
    <t>= Sa * (Hv/B) * Hours  * L / 100,000</t>
  </si>
  <si>
    <t>S</t>
  </si>
  <si>
    <t>Based on lookup table below</t>
  </si>
  <si>
    <t>Maximum theoretical  steam loss per trap</t>
  </si>
  <si>
    <t xml:space="preserve"> TRM provides a Deemed Table of Values</t>
  </si>
  <si>
    <t>Heat of vaporization of steam</t>
  </si>
  <si>
    <t>Deemed Table of Values from the TRM</t>
  </si>
  <si>
    <t>Boiler efficiency - custom number</t>
  </si>
  <si>
    <t>custom, if unknown - 80.7% for steam boilers, except multifamily low-pressure</t>
  </si>
  <si>
    <t>custom, if unknown 64.8% for multifamily low-pressure steam boilers</t>
  </si>
  <si>
    <t>Annual operating hours of steam plant</t>
  </si>
  <si>
    <t>Leaking &amp; blow-thru</t>
  </si>
  <si>
    <t>L is 1.0 when applied to the replacement of an individual leaking trap. If a number of steam traps are replaced and the system has not been audited, the leaking and blow-thru is applied to reflect the assumed percentage of steam traps that were actually leaking and need to be replaced. A custom value can be utilized if a supported by an evaluation.</t>
  </si>
  <si>
    <t>Sa</t>
  </si>
  <si>
    <t>The Average actual steam loos per leaking trap</t>
  </si>
  <si>
    <t xml:space="preserve">TRM Value for Sa calculation Calculated based on the items below. </t>
  </si>
  <si>
    <t>Formula for Sa = 24.24 x Pia x D² x A x FF</t>
  </si>
  <si>
    <t>Pia</t>
  </si>
  <si>
    <t xml:space="preserve">Calculated where = Pig + Patm </t>
  </si>
  <si>
    <t>Average steam trap inlet pressure, absolute, psia</t>
  </si>
  <si>
    <t>Deemed Table of Values via Look up table from TRM based on Pressure of the system</t>
  </si>
  <si>
    <t>Table of values from TRM - Lookup table</t>
  </si>
  <si>
    <t>Average steam trap inlet pressure, gauge, psig</t>
  </si>
  <si>
    <t>Atmospheric pressure</t>
  </si>
  <si>
    <t>This value is deemed in the TRM at , 14.7 psia</t>
  </si>
  <si>
    <t>D</t>
  </si>
  <si>
    <t>Diameter of Orifice, in.</t>
  </si>
  <si>
    <t>This is a look up table from the TRM based on pressure of the system</t>
  </si>
  <si>
    <t>Adjustment factor</t>
  </si>
  <si>
    <t>50%,[1] all steam systems.  This factor is to account for reducing the maximum theoretical steam flow to the average steam flow (the Enbridge factor).</t>
  </si>
  <si>
    <t>FF</t>
  </si>
  <si>
    <t>Flow Factor.  In addition to the Adjustment factor (A), an additional 50 percent flow factor adjustment is recommended for medium and high pressure steam systems to address industrial float and thermostatic style traps where additional blockage is possible.</t>
  </si>
  <si>
    <t>This value is deemed in the TRM at 50%</t>
  </si>
  <si>
    <t>Constant lb/(hr-psia-in2)</t>
  </si>
  <si>
    <t>Measure life</t>
  </si>
  <si>
    <t>Climate Zone Lookup Table</t>
  </si>
  <si>
    <t>Program Type Lookup Table</t>
  </si>
  <si>
    <t>Incremental Cost - cost per trap</t>
  </si>
  <si>
    <t>Actual - cost per trap</t>
  </si>
  <si>
    <t>S -  (lb/hr/trap)</t>
  </si>
  <si>
    <t>Heat of Vaporization (HV) -  (Btu/lb)</t>
  </si>
  <si>
    <t>Hours/Yr</t>
  </si>
  <si>
    <t xml:space="preserve">Rockford </t>
  </si>
  <si>
    <t>Industrial High Pressure ≥300psig</t>
  </si>
  <si>
    <t>Steam Trap, Ind Med Pressure ≥30 &lt;75 psig</t>
  </si>
  <si>
    <t>Steam Trap, Ind High Pressure ≥75 &lt;125 psig</t>
  </si>
  <si>
    <t>Steam Trap, Ind High Pressure ≥125 &lt;175 psig</t>
  </si>
  <si>
    <t>Steam Trap, Ind High Pressure ≥175 &lt;250 psig</t>
  </si>
  <si>
    <t>Steam Trap, Ind High Pressure ≥250 psig</t>
  </si>
  <si>
    <t>All replaced</t>
  </si>
  <si>
    <t>Custom value</t>
  </si>
  <si>
    <t>Leaking &amp; blow-thru (L) Lookup Table</t>
  </si>
  <si>
    <t>Average Steam Trap Inlet Pressure</t>
  </si>
  <si>
    <t>Diameter of Orifice in</t>
  </si>
  <si>
    <t>Adjustment Factor</t>
  </si>
  <si>
    <t>Flow Factor</t>
  </si>
  <si>
    <t>Average Actual Steam Loss per Leaking Trap (lb/hr/trap)</t>
  </si>
  <si>
    <t>Industrial High Pressure ≥300 psig</t>
  </si>
  <si>
    <t>Calculated</t>
  </si>
  <si>
    <t>Nicor Gas - Residential Kit</t>
  </si>
  <si>
    <t>Measure Assumptions</t>
  </si>
  <si>
    <t>Water Savings (Gallons / YR)</t>
  </si>
  <si>
    <t>Therm Savings (PY4 - 6)</t>
  </si>
  <si>
    <t>Measure Life (PY4 - 6)</t>
  </si>
  <si>
    <t>1.5gpm Shower Head</t>
  </si>
  <si>
    <t>1.0gpm Bath Aerator</t>
  </si>
  <si>
    <t>1.5gpm Kitchen Aerator</t>
  </si>
  <si>
    <t>PY4 Evaluation Table 4</t>
  </si>
  <si>
    <t>Recommended TRM ISRs for Efficiency Kits</t>
  </si>
  <si>
    <t>1.5gpm Bath Aerator</t>
  </si>
  <si>
    <t>Showerheads (Kit 1)</t>
  </si>
  <si>
    <t>Showerheads (Kit 2)</t>
  </si>
  <si>
    <t>Kitchen Aerators (Kits 1&amp;2)</t>
  </si>
  <si>
    <t>Bathroom Aerators (Kits 1 &amp; 2)</t>
  </si>
  <si>
    <t>Postage</t>
  </si>
  <si>
    <t>Total Cost</t>
  </si>
  <si>
    <t>Net to Gross Ratio (PY4 - 6)</t>
  </si>
  <si>
    <t>Incremental cost</t>
  </si>
  <si>
    <t>Net Therm</t>
  </si>
  <si>
    <t>Lowered Water Heater</t>
  </si>
  <si>
    <t>Nicor</t>
  </si>
  <si>
    <t>Nicor/Com Ed</t>
  </si>
  <si>
    <t>Total</t>
  </si>
  <si>
    <t>Water Heater Setback</t>
  </si>
  <si>
    <t>EEE Kit Incremental Cost Assumptions</t>
  </si>
  <si>
    <t>Spend</t>
  </si>
  <si>
    <t>Total kits</t>
  </si>
  <si>
    <t>Inc Cost</t>
  </si>
  <si>
    <t>Month Participation</t>
  </si>
  <si>
    <t>EEE</t>
  </si>
  <si>
    <t>EEE Gas only</t>
  </si>
  <si>
    <t>PY2 Evaluation Table 7‑2. Additional In Service Rates for Efficiency Kits</t>
  </si>
  <si>
    <t>Requested Kit</t>
  </si>
  <si>
    <t>Not Requested Kit</t>
  </si>
  <si>
    <t>Showerheads</t>
  </si>
  <si>
    <t>Kitchen Aerators</t>
  </si>
  <si>
    <t>Bathroom Aerators</t>
  </si>
  <si>
    <t>Kits Algorithms</t>
  </si>
  <si>
    <t>Showerhead Therm Algorithm</t>
  </si>
  <si>
    <t>Showerhead Water Gallon Algorithm - 1.5 gpm</t>
  </si>
  <si>
    <t>Calculated Therms for Showerhead Kit 1</t>
  </si>
  <si>
    <t>Calculated Therms for Showerhead Kit 2</t>
  </si>
  <si>
    <t>Calculated Gallons for Showerhead Kit 1</t>
  </si>
  <si>
    <t>Calculated Gallons for Showerhead Kit 2</t>
  </si>
  <si>
    <t>Variable</t>
  </si>
  <si>
    <t>Value Used in Calculation</t>
  </si>
  <si>
    <t>Definition and Notes</t>
  </si>
  <si>
    <t>Where:</t>
  </si>
  <si>
    <t xml:space="preserve">%FossilDHW - </t>
  </si>
  <si>
    <t xml:space="preserve">GPM_Base </t>
  </si>
  <si>
    <t>GPM_Low</t>
  </si>
  <si>
    <t>As-used flow rate of the low-flow showerhead, which may, as a result of measurements of program evaluations deviate from rated flows, see table below:</t>
  </si>
  <si>
    <t>L_Low</t>
  </si>
  <si>
    <t>Average number of people per household</t>
  </si>
  <si>
    <t>Showers Per Capita Per Day - Deemed TRM Value</t>
  </si>
  <si>
    <t>Days per year, on average</t>
  </si>
  <si>
    <t>Showerheads Per Household so that per-showerhead savings fractions can be determined</t>
  </si>
  <si>
    <t>8.33*1.0*(ShowerTemp-SupplyTemp))/(RE_gas*100000)</t>
  </si>
  <si>
    <t>RE_gas</t>
  </si>
  <si>
    <t>Recovery efficiency of gas water heater</t>
  </si>
  <si>
    <t>Bath Aerator Therm Algorithm</t>
  </si>
  <si>
    <t>Bath Aerator Water Gallon Algorithm</t>
  </si>
  <si>
    <t>Calculated Therms for Bath Aerator - 1.0 GPM</t>
  </si>
  <si>
    <t>Calculated Gallons for Bath Aerator - 1.0 GPM</t>
  </si>
  <si>
    <t>Average flow rate, in gallons per minute, of the baseline faucet “as-used.” This includes the effect of existing low flow fixtures and therefore the freerider rate for this measure should be 0.</t>
  </si>
  <si>
    <t>Average baseline daily length faucet use per capita for faucet of interest in minutes, if available custom based on metering studies, if not use table below</t>
  </si>
  <si>
    <t>Average flow rate, in gallons per minute, of the low-flow faucet aerator “as-used”</t>
  </si>
  <si>
    <t>Average retrofit daily length faucet use per capita for faucet of interest in minutes, if available custom based on metering studies, if not use table below</t>
  </si>
  <si>
    <t>DF</t>
  </si>
  <si>
    <t>Drain Factor based on deemed TRM values</t>
  </si>
  <si>
    <t>FPH</t>
  </si>
  <si>
    <t>Faucets Per Household</t>
  </si>
  <si>
    <t>8.33*1.0*(WaterTemp-SupplyTemp))/(RE_gas*100000)</t>
  </si>
  <si>
    <t>Kitchen Aerator Therm Algorithm</t>
  </si>
  <si>
    <t>Kitchen Aerator Water Gallon Algorithm</t>
  </si>
  <si>
    <t>Calculated Therms for Kitchen Aerator - 1.5 gpm</t>
  </si>
  <si>
    <t>Calculated Gallons for Kitchen Aerator - 1.5 gpm</t>
  </si>
  <si>
    <t>Elementary Ed Kits Algorithms</t>
  </si>
  <si>
    <t>Showerhead Therm Algorithm - 1.5 GPM</t>
  </si>
  <si>
    <t>Showerhead Water Gallon Algorithm - 1.5 GPM</t>
  </si>
  <si>
    <t>Calculated Therms for Showerhead</t>
  </si>
  <si>
    <t>Calculated Gallons for Showerhead</t>
  </si>
  <si>
    <t>Calculated Therms for Bath Aerator</t>
  </si>
  <si>
    <t>Calculated Gallons for Bath Aerator</t>
  </si>
  <si>
    <t>Calculated Therms for Kitchen Aerator</t>
  </si>
  <si>
    <t>Calculated Gallons for Kitchen Aerator</t>
  </si>
  <si>
    <t>Water heater Setback Algorithm</t>
  </si>
  <si>
    <t>Calculated Therms for WHSetback</t>
  </si>
  <si>
    <t>U</t>
  </si>
  <si>
    <t>Overall heat transfer coefficient of tank (Btu/Hr-°F-ft2). Actual if knonw,if unknown assumr R-12, U=0.083</t>
  </si>
  <si>
    <t>Surface area of storage tank (square feet); Actual if known. If unknown use table below based on capacity of tank. If capacity unknown assume 50 gal tank; A = 24.99ft2</t>
  </si>
  <si>
    <t>Tpre</t>
  </si>
  <si>
    <t>Tpost</t>
  </si>
  <si>
    <t>Actual new hot water setpoint, which may not be lower than 120 degrees</t>
  </si>
  <si>
    <t>Deemed TRM Value</t>
  </si>
  <si>
    <t>Converts Btus to Therms</t>
  </si>
  <si>
    <t>Recovery efficiency of gas water heater; 78% For SF Homes, 67% for MF Homes</t>
  </si>
  <si>
    <t>Tables for Algorithm Inputs - Shower Head</t>
  </si>
  <si>
    <t>Tables for Algorithm Inputs - Bath Aerator and Kitchen Aerator</t>
  </si>
  <si>
    <t>%Fossil_DHW</t>
  </si>
  <si>
    <t>Single-Family - Deemed</t>
  </si>
  <si>
    <t>Multi-Family - Deemed</t>
  </si>
  <si>
    <t>Direct-Install</t>
  </si>
  <si>
    <t>Deemed TRM</t>
  </si>
  <si>
    <t>Kitchen</t>
  </si>
  <si>
    <t>Retrofit or TOS</t>
  </si>
  <si>
    <t>Custom / Measured during DI</t>
  </si>
  <si>
    <t>=Measured full throttle flow *0.83 Throttling Factor</t>
  </si>
  <si>
    <t>Bath</t>
  </si>
  <si>
    <t>Rated Flow</t>
  </si>
  <si>
    <t>GPM</t>
  </si>
  <si>
    <t>=Measured full throttle flow *0.95 Throttling Factor</t>
  </si>
  <si>
    <t>Single Family Bath</t>
  </si>
  <si>
    <t>Single Family Kitchen</t>
  </si>
  <si>
    <t>Faucet Type</t>
  </si>
  <si>
    <t>L_base (min/person/day)</t>
  </si>
  <si>
    <t>Single Family Unknown</t>
  </si>
  <si>
    <t>Custom or Actual</t>
  </si>
  <si>
    <t>Multi Family Bath</t>
  </si>
  <si>
    <t>Bathroom</t>
  </si>
  <si>
    <t>Multi Family Kitchen</t>
  </si>
  <si>
    <t>If location unknown (total for household): Single Family</t>
  </si>
  <si>
    <t>Multi Family Unknown</t>
  </si>
  <si>
    <t>L_Base and L_Low Table</t>
  </si>
  <si>
    <t>If location unknown (total for household): Multi Family</t>
  </si>
  <si>
    <t>L_Base TRM Deemed Value</t>
  </si>
  <si>
    <t>Minutes</t>
  </si>
  <si>
    <t>L_Low TRM Deemed Value</t>
  </si>
  <si>
    <t>L_low (min/person/day)</t>
  </si>
  <si>
    <t>Kitchen Faucets per Home (KFPH)</t>
  </si>
  <si>
    <t>Bathroom Faucets per Home (BFPH) Single Family</t>
  </si>
  <si>
    <t>ISR From PY4 Evaluation</t>
  </si>
  <si>
    <t>Bathroom Faucets per Home (BFPH) Multi Family</t>
  </si>
  <si>
    <t>Kitchen Aerators (Kits 1 &amp; 2)</t>
  </si>
  <si>
    <t>Tables for Algorithm Inputs - Waterheater Setback</t>
  </si>
  <si>
    <t>Input table for A - the surface area of storage tank</t>
  </si>
  <si>
    <t>Capacity (gal)</t>
  </si>
  <si>
    <r>
      <t>A (ft</t>
    </r>
    <r>
      <rPr>
        <vertAlign val="superscript"/>
        <sz val="11"/>
        <color theme="1"/>
        <rFont val="Calibri"/>
        <family val="2"/>
        <scheme val="minor"/>
      </rPr>
      <t>2</t>
    </r>
    <r>
      <rPr>
        <sz val="11"/>
        <color theme="1"/>
        <rFont val="Calibri"/>
        <family val="2"/>
        <scheme val="minor"/>
      </rPr>
      <t>)</t>
    </r>
  </si>
  <si>
    <t>Commercial Steam Cooker</t>
  </si>
  <si>
    <t>EE Measure Description</t>
  </si>
  <si>
    <t>No. of Pans</t>
  </si>
  <si>
    <t>Type of Food Service</t>
  </si>
  <si>
    <t>CEE Tier</t>
  </si>
  <si>
    <t>Rebate type</t>
  </si>
  <si>
    <t>Δwater (gals)</t>
  </si>
  <si>
    <r>
      <t>CSM</t>
    </r>
    <r>
      <rPr>
        <b/>
        <vertAlign val="subscript"/>
        <sz val="10"/>
        <color theme="1"/>
        <rFont val="Calibri"/>
        <family val="2"/>
        <scheme val="minor"/>
      </rPr>
      <t xml:space="preserve">%Baseline </t>
    </r>
  </si>
  <si>
    <r>
      <t>IDLE</t>
    </r>
    <r>
      <rPr>
        <b/>
        <vertAlign val="subscript"/>
        <sz val="10"/>
        <color theme="1"/>
        <rFont val="Calibri"/>
        <family val="2"/>
        <scheme val="minor"/>
      </rPr>
      <t>Base</t>
    </r>
    <r>
      <rPr>
        <b/>
        <sz val="10"/>
        <color theme="1"/>
        <rFont val="Calibri"/>
        <family val="2"/>
        <scheme val="minor"/>
      </rPr>
      <t xml:space="preserve"> </t>
    </r>
  </si>
  <si>
    <r>
      <t>PC</t>
    </r>
    <r>
      <rPr>
        <b/>
        <vertAlign val="subscript"/>
        <sz val="10"/>
        <color theme="1"/>
        <rFont val="Calibri"/>
        <family val="2"/>
        <scheme val="minor"/>
      </rPr>
      <t>Base</t>
    </r>
  </si>
  <si>
    <r>
      <t>E</t>
    </r>
    <r>
      <rPr>
        <b/>
        <vertAlign val="subscript"/>
        <sz val="10"/>
        <color theme="1"/>
        <rFont val="Calibri"/>
        <family val="2"/>
        <scheme val="minor"/>
      </rPr>
      <t>FOOD</t>
    </r>
  </si>
  <si>
    <r>
      <t>EFF</t>
    </r>
    <r>
      <rPr>
        <b/>
        <vertAlign val="subscript"/>
        <sz val="10"/>
        <color theme="1"/>
        <rFont val="Calibri"/>
        <family val="2"/>
        <scheme val="minor"/>
      </rPr>
      <t>BASE</t>
    </r>
  </si>
  <si>
    <r>
      <t>HOURS</t>
    </r>
    <r>
      <rPr>
        <b/>
        <vertAlign val="subscript"/>
        <sz val="10"/>
        <color theme="1"/>
        <rFont val="Calibri"/>
        <family val="2"/>
        <scheme val="minor"/>
      </rPr>
      <t xml:space="preserve">day </t>
    </r>
  </si>
  <si>
    <t>F</t>
  </si>
  <si>
    <r>
      <t>CSM</t>
    </r>
    <r>
      <rPr>
        <b/>
        <vertAlign val="subscript"/>
        <sz val="10"/>
        <color theme="1"/>
        <rFont val="Calibri"/>
        <family val="2"/>
        <scheme val="minor"/>
      </rPr>
      <t>%ENERGYSTAR</t>
    </r>
  </si>
  <si>
    <r>
      <t>IDLE</t>
    </r>
    <r>
      <rPr>
        <b/>
        <vertAlign val="subscript"/>
        <sz val="10"/>
        <color theme="1"/>
        <rFont val="Calibri"/>
        <family val="2"/>
        <scheme val="minor"/>
      </rPr>
      <t>ENERGYSTAR</t>
    </r>
  </si>
  <si>
    <r>
      <t>PC</t>
    </r>
    <r>
      <rPr>
        <b/>
        <vertAlign val="subscript"/>
        <sz val="10"/>
        <color theme="1"/>
        <rFont val="Calibri"/>
        <family val="2"/>
        <scheme val="minor"/>
      </rPr>
      <t>ENERGY</t>
    </r>
  </si>
  <si>
    <r>
      <t>EFF</t>
    </r>
    <r>
      <rPr>
        <b/>
        <vertAlign val="subscript"/>
        <sz val="10"/>
        <color theme="1"/>
        <rFont val="Calibri"/>
        <family val="2"/>
        <scheme val="minor"/>
      </rPr>
      <t>ENERGYSTAR</t>
    </r>
  </si>
  <si>
    <r>
      <t>PRE</t>
    </r>
    <r>
      <rPr>
        <b/>
        <vertAlign val="subscript"/>
        <sz val="10"/>
        <color theme="1"/>
        <rFont val="Calibri"/>
        <family val="2"/>
        <scheme val="minor"/>
      </rPr>
      <t>number</t>
    </r>
  </si>
  <si>
    <r>
      <t>Δ Pre</t>
    </r>
    <r>
      <rPr>
        <b/>
        <vertAlign val="subscript"/>
        <sz val="10"/>
        <color theme="1"/>
        <rFont val="Calibri"/>
        <family val="2"/>
        <scheme val="minor"/>
      </rPr>
      <t>heat</t>
    </r>
  </si>
  <si>
    <t>Z</t>
  </si>
  <si>
    <r>
      <t>W</t>
    </r>
    <r>
      <rPr>
        <b/>
        <vertAlign val="subscript"/>
        <sz val="10"/>
        <color theme="1"/>
        <rFont val="Calibri"/>
        <family val="2"/>
        <scheme val="minor"/>
      </rPr>
      <t>BASE</t>
    </r>
  </si>
  <si>
    <r>
      <t>W</t>
    </r>
    <r>
      <rPr>
        <b/>
        <vertAlign val="subscript"/>
        <sz val="10"/>
        <color theme="1"/>
        <rFont val="Calibri"/>
        <family val="2"/>
        <scheme val="minor"/>
      </rPr>
      <t>ENERGYSTAR</t>
    </r>
  </si>
  <si>
    <r>
      <t>Days</t>
    </r>
    <r>
      <rPr>
        <b/>
        <vertAlign val="subscript"/>
        <sz val="10"/>
        <color theme="1"/>
        <rFont val="Calibri"/>
        <family val="2"/>
        <scheme val="minor"/>
      </rPr>
      <t>Year</t>
    </r>
  </si>
  <si>
    <t>ΔSavings</t>
  </si>
  <si>
    <t>Food service</t>
  </si>
  <si>
    <t>Natural Gas Steam Cooker</t>
  </si>
  <si>
    <t>Avg Efficient</t>
  </si>
  <si>
    <t>4.2.3.1</t>
  </si>
  <si>
    <t>C01 - Commercial Electric Cooking</t>
  </si>
  <si>
    <t>Upstream</t>
  </si>
  <si>
    <r>
      <t>ΔIdle Energy = ((((1- CSM</t>
    </r>
    <r>
      <rPr>
        <vertAlign val="subscript"/>
        <sz val="10"/>
        <color theme="1"/>
        <rFont val="Calibri"/>
        <family val="2"/>
        <scheme val="minor"/>
      </rPr>
      <t>%Baseline</t>
    </r>
    <r>
      <rPr>
        <sz val="10"/>
        <color theme="1"/>
        <rFont val="Calibri"/>
        <family val="2"/>
        <scheme val="minor"/>
      </rPr>
      <t>)* IDLE</t>
    </r>
    <r>
      <rPr>
        <vertAlign val="subscript"/>
        <sz val="10"/>
        <color theme="1"/>
        <rFont val="Calibri"/>
        <family val="2"/>
        <scheme val="minor"/>
      </rPr>
      <t>BASE</t>
    </r>
    <r>
      <rPr>
        <sz val="10"/>
        <color theme="1"/>
        <rFont val="Calibri"/>
        <family val="2"/>
        <scheme val="minor"/>
      </rPr>
      <t xml:space="preserve">  + CSM</t>
    </r>
    <r>
      <rPr>
        <vertAlign val="subscript"/>
        <sz val="10"/>
        <color theme="1"/>
        <rFont val="Calibri"/>
        <family val="2"/>
        <scheme val="minor"/>
      </rPr>
      <t xml:space="preserve">%Baseline </t>
    </r>
    <r>
      <rPr>
        <sz val="10"/>
        <color theme="1"/>
        <rFont val="Calibri"/>
        <family val="2"/>
        <scheme val="minor"/>
      </rPr>
      <t>* PC</t>
    </r>
    <r>
      <rPr>
        <vertAlign val="subscript"/>
        <sz val="10"/>
        <color theme="1"/>
        <rFont val="Calibri"/>
        <family val="2"/>
        <scheme val="minor"/>
      </rPr>
      <t>BASE</t>
    </r>
    <r>
      <rPr>
        <sz val="10"/>
        <color theme="1"/>
        <rFont val="Calibri"/>
        <family val="2"/>
        <scheme val="minor"/>
      </rPr>
      <t xml:space="preserve"> *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BASE</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 (F / PC</t>
    </r>
    <r>
      <rPr>
        <vertAlign val="subscript"/>
        <sz val="10"/>
        <color theme="1"/>
        <rFont val="Calibri"/>
        <family val="2"/>
        <scheme val="minor"/>
      </rPr>
      <t>Base</t>
    </r>
    <r>
      <rPr>
        <sz val="10"/>
        <color theme="1"/>
        <rFont val="Calibri"/>
        <family val="2"/>
        <scheme val="minor"/>
      </rPr>
      <t>) - ( PRE</t>
    </r>
    <r>
      <rPr>
        <vertAlign val="subscript"/>
        <sz val="10"/>
        <color theme="1"/>
        <rFont val="Calibri"/>
        <family val="2"/>
        <scheme val="minor"/>
      </rPr>
      <t>number</t>
    </r>
    <r>
      <rPr>
        <sz val="10"/>
        <color theme="1"/>
        <rFont val="Calibri"/>
        <family val="2"/>
        <scheme val="minor"/>
      </rPr>
      <t xml:space="preserve"> *0.25))) - (((1- CSM</t>
    </r>
    <r>
      <rPr>
        <vertAlign val="subscript"/>
        <sz val="10"/>
        <color theme="1"/>
        <rFont val="Calibri"/>
        <family val="2"/>
        <scheme val="minor"/>
      </rPr>
      <t>%ENERGYSTAR</t>
    </r>
    <r>
      <rPr>
        <sz val="10"/>
        <color theme="1"/>
        <rFont val="Calibri"/>
        <family val="2"/>
        <scheme val="minor"/>
      </rPr>
      <t>) * IDLE</t>
    </r>
    <r>
      <rPr>
        <vertAlign val="subscript"/>
        <sz val="10"/>
        <color theme="1"/>
        <rFont val="Calibri"/>
        <family val="2"/>
        <scheme val="minor"/>
      </rPr>
      <t>ENERGYSTAR</t>
    </r>
    <r>
      <rPr>
        <sz val="10"/>
        <color theme="1"/>
        <rFont val="Calibri"/>
        <family val="2"/>
        <scheme val="minor"/>
      </rPr>
      <t xml:space="preserve">  + CSM</t>
    </r>
    <r>
      <rPr>
        <vertAlign val="subscript"/>
        <sz val="10"/>
        <color theme="1"/>
        <rFont val="Calibri"/>
        <family val="2"/>
        <scheme val="minor"/>
      </rPr>
      <t>%ENERGYSTAR</t>
    </r>
    <r>
      <rPr>
        <sz val="10"/>
        <color theme="1"/>
        <rFont val="Calibri"/>
        <family val="2"/>
        <scheme val="minor"/>
      </rPr>
      <t xml:space="preserve">  * PC</t>
    </r>
    <r>
      <rPr>
        <vertAlign val="subscript"/>
        <sz val="10"/>
        <color theme="1"/>
        <rFont val="Calibri"/>
        <family val="2"/>
        <scheme val="minor"/>
      </rPr>
      <t xml:space="preserve">ENERGY </t>
    </r>
    <r>
      <rPr>
        <sz val="10"/>
        <color theme="1"/>
        <rFont val="Calibri"/>
        <family val="2"/>
        <scheme val="minor"/>
      </rPr>
      <t>* E</t>
    </r>
    <r>
      <rPr>
        <vertAlign val="subscript"/>
        <sz val="10"/>
        <color theme="1"/>
        <rFont val="Calibri"/>
        <family val="2"/>
        <scheme val="minor"/>
      </rPr>
      <t>FOOD</t>
    </r>
    <r>
      <rPr>
        <sz val="10"/>
        <color theme="1"/>
        <rFont val="Calibri"/>
        <family val="2"/>
        <scheme val="minor"/>
      </rPr>
      <t xml:space="preserve"> / EFF</t>
    </r>
    <r>
      <rPr>
        <vertAlign val="subscript"/>
        <sz val="10"/>
        <color theme="1"/>
        <rFont val="Calibri"/>
        <family val="2"/>
        <scheme val="minor"/>
      </rPr>
      <t>ENERGYSTAR</t>
    </r>
    <r>
      <rPr>
        <sz val="10"/>
        <color theme="1"/>
        <rFont val="Calibri"/>
        <family val="2"/>
        <scheme val="minor"/>
      </rPr>
      <t>) * (HOURS</t>
    </r>
    <r>
      <rPr>
        <vertAlign val="subscript"/>
        <sz val="10"/>
        <color theme="1"/>
        <rFont val="Calibri"/>
        <family val="2"/>
        <scheme val="minor"/>
      </rPr>
      <t>Day</t>
    </r>
    <r>
      <rPr>
        <sz val="10"/>
        <color theme="1"/>
        <rFont val="Calibri"/>
        <family val="2"/>
        <scheme val="minor"/>
      </rPr>
      <t xml:space="preserve"> - (F l/ PC</t>
    </r>
    <r>
      <rPr>
        <vertAlign val="subscript"/>
        <sz val="10"/>
        <color theme="1"/>
        <rFont val="Calibri"/>
        <family val="2"/>
        <scheme val="minor"/>
      </rPr>
      <t>ENERGY</t>
    </r>
    <r>
      <rPr>
        <sz val="10"/>
        <color theme="1"/>
        <rFont val="Calibri"/>
        <family val="2"/>
        <scheme val="minor"/>
      </rPr>
      <t xml:space="preserve"> ) - (PRE</t>
    </r>
    <r>
      <rPr>
        <vertAlign val="subscript"/>
        <sz val="10"/>
        <color theme="1"/>
        <rFont val="Calibri"/>
        <family val="2"/>
        <scheme val="minor"/>
      </rPr>
      <t>number</t>
    </r>
    <r>
      <rPr>
        <sz val="10"/>
        <color theme="1"/>
        <rFont val="Calibri"/>
        <family val="2"/>
        <scheme val="minor"/>
      </rPr>
      <t xml:space="preserve"> * 0.25 ))))</t>
    </r>
  </si>
  <si>
    <r>
      <t>ΔPreheat Energy = ( PRE</t>
    </r>
    <r>
      <rPr>
        <vertAlign val="subscript"/>
        <sz val="10"/>
        <color theme="1"/>
        <rFont val="Calibri"/>
        <family val="2"/>
        <scheme val="minor"/>
      </rPr>
      <t>number</t>
    </r>
    <r>
      <rPr>
        <sz val="10"/>
        <color theme="1"/>
        <rFont val="Calibri"/>
        <family val="2"/>
        <scheme val="minor"/>
      </rPr>
      <t xml:space="preserve">  * Δ Pre</t>
    </r>
    <r>
      <rPr>
        <vertAlign val="subscript"/>
        <sz val="10"/>
        <color theme="1"/>
        <rFont val="Calibri"/>
        <family val="2"/>
        <scheme val="minor"/>
      </rPr>
      <t>heat</t>
    </r>
    <r>
      <rPr>
        <sz val="10"/>
        <color theme="1"/>
        <rFont val="Calibri"/>
        <family val="2"/>
        <scheme val="minor"/>
      </rPr>
      <t>)</t>
    </r>
  </si>
  <si>
    <r>
      <t>ΔCooking Energy = ((1/ EFFBASE) - (1/ EFFENERGY STAR®)) * F * E</t>
    </r>
    <r>
      <rPr>
        <vertAlign val="subscript"/>
        <sz val="10"/>
        <color theme="1"/>
        <rFont val="Calibri"/>
        <family val="2"/>
        <scheme val="minor"/>
      </rPr>
      <t>FOOD</t>
    </r>
  </si>
  <si>
    <t>ΔSavings  = (ΔIdle Energy + ΔPreheat Energy + ΔCooking Energy)  * Z</t>
  </si>
  <si>
    <r>
      <rPr>
        <b/>
        <sz val="10"/>
        <color theme="1"/>
        <rFont val="Calibri"/>
        <family val="2"/>
        <scheme val="minor"/>
      </rPr>
      <t>For a gas cooker:</t>
    </r>
    <r>
      <rPr>
        <sz val="10"/>
        <color theme="1"/>
        <rFont val="Calibri"/>
        <family val="2"/>
        <scheme val="minor"/>
      </rPr>
      <t xml:space="preserve">   ΔSavings  = ΔBtu * 1/100,000  *Z</t>
    </r>
  </si>
  <si>
    <r>
      <rPr>
        <b/>
        <sz val="10"/>
        <color theme="1"/>
        <rFont val="Calibri"/>
        <family val="2"/>
        <scheme val="minor"/>
      </rPr>
      <t xml:space="preserve">For an electric steam cooker: </t>
    </r>
    <r>
      <rPr>
        <sz val="10"/>
        <color theme="1"/>
        <rFont val="Calibri"/>
        <family val="2"/>
        <scheme val="minor"/>
      </rPr>
      <t xml:space="preserve"> ΔSavings  = ΔkWh *Z</t>
    </r>
  </si>
  <si>
    <t>ΔkW = (ΔkWh/(HOURSDay *DaysYear))  *  CF</t>
  </si>
  <si>
    <r>
      <t>ΔWater = [(W</t>
    </r>
    <r>
      <rPr>
        <vertAlign val="subscript"/>
        <sz val="10"/>
        <color theme="1"/>
        <rFont val="Calibri"/>
        <family val="2"/>
        <scheme val="minor"/>
      </rPr>
      <t>BASE</t>
    </r>
    <r>
      <rPr>
        <sz val="10"/>
        <color theme="1"/>
        <rFont val="Calibri"/>
        <family val="2"/>
        <scheme val="minor"/>
      </rPr>
      <t xml:space="preserve"> -W</t>
    </r>
    <r>
      <rPr>
        <vertAlign val="subscript"/>
        <sz val="10"/>
        <color theme="1"/>
        <rFont val="Calibri"/>
        <family val="2"/>
        <scheme val="minor"/>
      </rPr>
      <t>ENERGYSTAR®)*</t>
    </r>
    <r>
      <rPr>
        <sz val="10"/>
        <color theme="1"/>
        <rFont val="Calibri"/>
        <family val="2"/>
        <scheme val="minor"/>
      </rPr>
      <t>HOURS</t>
    </r>
    <r>
      <rPr>
        <vertAlign val="subscript"/>
        <sz val="10"/>
        <color theme="1"/>
        <rFont val="Calibri"/>
        <family val="2"/>
        <scheme val="minor"/>
      </rPr>
      <t>Day</t>
    </r>
    <r>
      <rPr>
        <sz val="10"/>
        <color theme="1"/>
        <rFont val="Calibri"/>
        <family val="2"/>
        <scheme val="minor"/>
      </rPr>
      <t xml:space="preserve"> *Days</t>
    </r>
    <r>
      <rPr>
        <vertAlign val="subscript"/>
        <sz val="10"/>
        <color theme="1"/>
        <rFont val="Calibri"/>
        <family val="2"/>
        <scheme val="minor"/>
      </rPr>
      <t>Year</t>
    </r>
  </si>
  <si>
    <t>Algorithm Component</t>
  </si>
  <si>
    <r>
      <t>CSM</t>
    </r>
    <r>
      <rPr>
        <b/>
        <vertAlign val="subscript"/>
        <sz val="9"/>
        <color theme="1"/>
        <rFont val="Calibri"/>
        <family val="2"/>
        <scheme val="minor"/>
      </rPr>
      <t xml:space="preserve">%Baseline </t>
    </r>
  </si>
  <si>
    <t>Baseline Steamer Time in Manual Steam Mode (% of time)</t>
  </si>
  <si>
    <t>Deemed TRM Value at 90%</t>
  </si>
  <si>
    <r>
      <t>IDLE</t>
    </r>
    <r>
      <rPr>
        <b/>
        <vertAlign val="subscript"/>
        <sz val="9"/>
        <color theme="1"/>
        <rFont val="Calibri"/>
        <family val="2"/>
        <scheme val="minor"/>
      </rPr>
      <t>Base</t>
    </r>
    <r>
      <rPr>
        <b/>
        <sz val="9"/>
        <color theme="1"/>
        <rFont val="Calibri"/>
        <family val="2"/>
        <scheme val="minor"/>
      </rPr>
      <t xml:space="preserve"> </t>
    </r>
  </si>
  <si>
    <t>Based on Table of Lookup Values</t>
  </si>
  <si>
    <t>Idle Energy Rate of Base Steamer</t>
  </si>
  <si>
    <r>
      <t>PC</t>
    </r>
    <r>
      <rPr>
        <b/>
        <vertAlign val="subscript"/>
        <sz val="9"/>
        <color theme="1"/>
        <rFont val="Calibri"/>
        <family val="2"/>
        <scheme val="minor"/>
      </rPr>
      <t>Base</t>
    </r>
  </si>
  <si>
    <t>Production Capacity of Base Steamer</t>
  </si>
  <si>
    <r>
      <t>E</t>
    </r>
    <r>
      <rPr>
        <b/>
        <vertAlign val="subscript"/>
        <sz val="9"/>
        <color theme="1"/>
        <rFont val="Calibri"/>
        <family val="2"/>
        <scheme val="minor"/>
      </rPr>
      <t>FOOD</t>
    </r>
  </si>
  <si>
    <t>Amount of Energy Absorbed by the food during cooking known as ASTM Energy to Food (Btu/lb or kW/lb)</t>
  </si>
  <si>
    <t>Deemed TRM Value based on whether it is a gas or electric steamer</t>
  </si>
  <si>
    <t>105 Btu/lb (gas steamers) or 0.03088 (electric steamers)</t>
  </si>
  <si>
    <r>
      <t>EFF</t>
    </r>
    <r>
      <rPr>
        <b/>
        <vertAlign val="subscript"/>
        <sz val="9"/>
        <color theme="1"/>
        <rFont val="Calibri"/>
        <family val="2"/>
        <scheme val="minor"/>
      </rPr>
      <t>BASE</t>
    </r>
  </si>
  <si>
    <t>Heavy Load Cooking Efficiency for Base Steamer</t>
  </si>
  <si>
    <t>15% (gas steamers) or 26% (electric steamers)</t>
  </si>
  <si>
    <r>
      <t>HOURS</t>
    </r>
    <r>
      <rPr>
        <b/>
        <vertAlign val="subscript"/>
        <sz val="9"/>
        <color theme="1"/>
        <rFont val="Calibri"/>
        <family val="2"/>
        <scheme val="minor"/>
      </rPr>
      <t xml:space="preserve">day </t>
    </r>
  </si>
  <si>
    <t>Average Daily Operation (hours)</t>
  </si>
  <si>
    <t>Deemed Table of Values from the TRM based on the Type of Food Service Industry</t>
  </si>
  <si>
    <t>Food cooked per day (lbs/day)</t>
  </si>
  <si>
    <r>
      <t>CSM</t>
    </r>
    <r>
      <rPr>
        <b/>
        <vertAlign val="subscript"/>
        <sz val="9"/>
        <color theme="1"/>
        <rFont val="Calibri"/>
        <family val="2"/>
        <scheme val="minor"/>
      </rPr>
      <t>%ENERGYSTAR</t>
    </r>
  </si>
  <si>
    <t>ENERGY STAR Steamer's Time in Manual Steam Mode (% of time)</t>
  </si>
  <si>
    <t>Deemed Value from the TRM at 0%</t>
  </si>
  <si>
    <r>
      <t>IDLE</t>
    </r>
    <r>
      <rPr>
        <b/>
        <vertAlign val="subscript"/>
        <sz val="9"/>
        <color theme="1"/>
        <rFont val="Calibri"/>
        <family val="2"/>
        <scheme val="minor"/>
      </rPr>
      <t>ENERGYSTAR</t>
    </r>
  </si>
  <si>
    <t>Idle Energy Rate of ENERGY STAR</t>
  </si>
  <si>
    <t>Deemed Table of Values from the TRM based on the number of pans</t>
  </si>
  <si>
    <r>
      <t>PC</t>
    </r>
    <r>
      <rPr>
        <b/>
        <vertAlign val="subscript"/>
        <sz val="9"/>
        <color theme="1"/>
        <rFont val="Calibri"/>
        <family val="2"/>
        <scheme val="minor"/>
      </rPr>
      <t>ENERGY</t>
    </r>
  </si>
  <si>
    <t>Production Capacity of ENERGY STAR® Steamer</t>
  </si>
  <si>
    <r>
      <t>EFF</t>
    </r>
    <r>
      <rPr>
        <b/>
        <vertAlign val="subscript"/>
        <sz val="9"/>
        <color theme="1"/>
        <rFont val="Calibri"/>
        <family val="2"/>
        <scheme val="minor"/>
      </rPr>
      <t>ENERGYSTAR</t>
    </r>
  </si>
  <si>
    <t>Heavy Load Cooking Efficiency for ENERGY STAR® Steamer(%)</t>
  </si>
  <si>
    <t>38% (gas steamer) or 50% (electric steamer)</t>
  </si>
  <si>
    <r>
      <t>PRE</t>
    </r>
    <r>
      <rPr>
        <b/>
        <vertAlign val="subscript"/>
        <sz val="9"/>
        <color theme="1"/>
        <rFont val="Calibri"/>
        <family val="2"/>
        <scheme val="minor"/>
      </rPr>
      <t>number</t>
    </r>
  </si>
  <si>
    <t>Number of preheats per day</t>
  </si>
  <si>
    <t>Deemed Value from TRM equal to 1 and if unknown, use 1</t>
  </si>
  <si>
    <r>
      <t>Δ Pre</t>
    </r>
    <r>
      <rPr>
        <b/>
        <vertAlign val="subscript"/>
        <sz val="9"/>
        <color theme="1"/>
        <rFont val="Calibri"/>
        <family val="2"/>
        <scheme val="minor"/>
      </rPr>
      <t>heat</t>
    </r>
  </si>
  <si>
    <t>Number of Preheats per Day * Preheat energy savings per preheat</t>
  </si>
  <si>
    <t>11,000 Btu/preheat (gas steamer) or 0.5 kWh/preheat (electric steamer)</t>
  </si>
  <si>
    <t>days/yr steamer operating (use 365.25 days/yr if heavy use restaurant and exact number unknown)</t>
  </si>
  <si>
    <t>Summer Peak Coincidence Factor for measure is provided below for different locations</t>
  </si>
  <si>
    <t>Deemed TRM Values based on location</t>
  </si>
  <si>
    <t>Value is deemed for Summer coincident peak demand savings</t>
  </si>
  <si>
    <t>Does not have a Natural Gas implication</t>
  </si>
  <si>
    <r>
      <t>W</t>
    </r>
    <r>
      <rPr>
        <b/>
        <vertAlign val="subscript"/>
        <sz val="9"/>
        <color theme="1"/>
        <rFont val="Calibri"/>
        <family val="2"/>
        <scheme val="minor"/>
      </rPr>
      <t>BASE</t>
    </r>
  </si>
  <si>
    <t>Water Consumption Rate of Base Steamer (gal/hr)</t>
  </si>
  <si>
    <t>Deemed TRM value of 40</t>
  </si>
  <si>
    <r>
      <t>W</t>
    </r>
    <r>
      <rPr>
        <b/>
        <vertAlign val="subscript"/>
        <sz val="9"/>
        <color theme="1"/>
        <rFont val="Calibri"/>
        <family val="2"/>
        <scheme val="minor"/>
      </rPr>
      <t>ENERGYSTAR</t>
    </r>
  </si>
  <si>
    <t>Water Consumption Rate of ENERGY STAR® Steamer look up</t>
  </si>
  <si>
    <r>
      <t>Days</t>
    </r>
    <r>
      <rPr>
        <b/>
        <vertAlign val="subscript"/>
        <sz val="9"/>
        <color theme="1"/>
        <rFont val="Calibri"/>
        <family val="2"/>
        <scheme val="minor"/>
      </rPr>
      <t>Year</t>
    </r>
  </si>
  <si>
    <t>Deemed TRM value of 365.25 or custom value if known</t>
  </si>
  <si>
    <t>The expected measure life is assumed to be 12 years</t>
  </si>
  <si>
    <t>This is a deemed TRM value.</t>
  </si>
  <si>
    <t>Baseline Definition</t>
  </si>
  <si>
    <t>The baseline condition is assumed to be a non-ENERGY STAR® commercial steamer at end of life. It is assumed that the efficient equipment and baseline equipment have the same number of pans.</t>
  </si>
  <si>
    <t>Efficient Definition</t>
  </si>
  <si>
    <t>Gas: ENERGY STAR® qualified with 38% minimum cooking energy efficiency at heavy load (potato) cooking capacity for gas steam cookers.</t>
  </si>
  <si>
    <r>
      <t>E</t>
    </r>
    <r>
      <rPr>
        <vertAlign val="subscript"/>
        <sz val="10"/>
        <color theme="0"/>
        <rFont val="Calibri"/>
        <family val="2"/>
        <scheme val="minor"/>
      </rPr>
      <t>FOOD</t>
    </r>
  </si>
  <si>
    <r>
      <t>EFF</t>
    </r>
    <r>
      <rPr>
        <vertAlign val="subscript"/>
        <sz val="10"/>
        <color theme="0"/>
        <rFont val="Calibri"/>
        <family val="2"/>
        <scheme val="minor"/>
      </rPr>
      <t>BASE</t>
    </r>
  </si>
  <si>
    <r>
      <t>EFF</t>
    </r>
    <r>
      <rPr>
        <vertAlign val="subscript"/>
        <sz val="10"/>
        <color theme="0"/>
        <rFont val="Calibri"/>
        <family val="2"/>
        <scheme val="minor"/>
      </rPr>
      <t>ENERGYSTAR</t>
    </r>
  </si>
  <si>
    <r>
      <t>Δ Pre</t>
    </r>
    <r>
      <rPr>
        <vertAlign val="subscript"/>
        <sz val="10"/>
        <color theme="0"/>
        <rFont val="Calibri"/>
        <family val="2"/>
        <scheme val="minor"/>
      </rPr>
      <t>heat</t>
    </r>
  </si>
  <si>
    <t>Electric Steam Cooker</t>
  </si>
  <si>
    <t>Number of Pans</t>
  </si>
  <si>
    <r>
      <t>IDLE</t>
    </r>
    <r>
      <rPr>
        <b/>
        <vertAlign val="subscript"/>
        <sz val="10"/>
        <color rgb="FFFFFFFF"/>
        <rFont val="Calibri"/>
        <family val="2"/>
        <scheme val="minor"/>
      </rPr>
      <t>BASE</t>
    </r>
    <r>
      <rPr>
        <b/>
        <sz val="10"/>
        <color rgb="FFFFFFFF"/>
        <rFont val="Calibri"/>
        <family val="2"/>
        <scheme val="minor"/>
      </rPr>
      <t xml:space="preserve"> - Gas, Btu/hr</t>
    </r>
  </si>
  <si>
    <r>
      <t>IDLE</t>
    </r>
    <r>
      <rPr>
        <b/>
        <vertAlign val="subscript"/>
        <sz val="10"/>
        <color rgb="FFFFFFFF"/>
        <rFont val="Calibri"/>
        <family val="2"/>
        <scheme val="minor"/>
      </rPr>
      <t>BASE</t>
    </r>
    <r>
      <rPr>
        <b/>
        <sz val="10"/>
        <color rgb="FFFFFFFF"/>
        <rFont val="Calibri"/>
        <family val="2"/>
        <scheme val="minor"/>
      </rPr>
      <t xml:space="preserve"> - Electric, kw</t>
    </r>
  </si>
  <si>
    <r>
      <t>PC</t>
    </r>
    <r>
      <rPr>
        <b/>
        <vertAlign val="subscript"/>
        <sz val="10"/>
        <color rgb="FFFFFFFF"/>
        <rFont val="Calibri"/>
        <family val="2"/>
        <scheme val="minor"/>
      </rPr>
      <t>BASE</t>
    </r>
    <r>
      <rPr>
        <b/>
        <sz val="10"/>
        <color rgb="FFFFFFFF"/>
        <rFont val="Calibri"/>
        <family val="2"/>
        <scheme val="minor"/>
      </rPr>
      <t>, gas (lbs/hr)</t>
    </r>
  </si>
  <si>
    <r>
      <t>PC</t>
    </r>
    <r>
      <rPr>
        <b/>
        <vertAlign val="subscript"/>
        <sz val="10"/>
        <color rgb="FFFFFFFF"/>
        <rFont val="Calibri"/>
        <family val="2"/>
        <scheme val="minor"/>
      </rPr>
      <t>BASE</t>
    </r>
    <r>
      <rPr>
        <b/>
        <sz val="10"/>
        <color rgb="FFFFFFFF"/>
        <rFont val="Calibri"/>
        <family val="2"/>
        <scheme val="minor"/>
      </rPr>
      <t>, electric (lbs/hr)</t>
    </r>
  </si>
  <si>
    <r>
      <t>IDLE</t>
    </r>
    <r>
      <rPr>
        <b/>
        <vertAlign val="subscript"/>
        <sz val="10"/>
        <color rgb="FFFFFFFF"/>
        <rFont val="Calibri"/>
        <family val="2"/>
        <scheme val="minor"/>
      </rPr>
      <t xml:space="preserve">ENERGY STAR </t>
    </r>
    <r>
      <rPr>
        <b/>
        <sz val="10"/>
        <color rgb="FFFFFFFF"/>
        <rFont val="Calibri"/>
        <family val="2"/>
        <scheme val="minor"/>
      </rPr>
      <t>– gas, (Btu/hr)</t>
    </r>
  </si>
  <si>
    <r>
      <t>IDLE</t>
    </r>
    <r>
      <rPr>
        <b/>
        <vertAlign val="subscript"/>
        <sz val="10"/>
        <color rgb="FFFFFFFF"/>
        <rFont val="Calibri"/>
        <family val="2"/>
        <scheme val="minor"/>
      </rPr>
      <t xml:space="preserve">ENERGY STAR </t>
    </r>
    <r>
      <rPr>
        <b/>
        <sz val="10"/>
        <color rgb="FFFFFFFF"/>
        <rFont val="Calibri"/>
        <family val="2"/>
        <scheme val="minor"/>
      </rPr>
      <t xml:space="preserve">– </t>
    </r>
    <r>
      <rPr>
        <b/>
        <sz val="9"/>
        <color rgb="FFFFFFFF"/>
        <rFont val="Calibri"/>
        <family val="2"/>
        <scheme val="minor"/>
      </rPr>
      <t>electric</t>
    </r>
    <r>
      <rPr>
        <b/>
        <sz val="10"/>
        <color rgb="FFFFFFFF"/>
        <rFont val="Calibri"/>
        <family val="2"/>
        <scheme val="minor"/>
      </rPr>
      <t xml:space="preserve">, </t>
    </r>
    <r>
      <rPr>
        <b/>
        <sz val="9"/>
        <color rgb="FFFFFFFF"/>
        <rFont val="Calibri"/>
        <family val="2"/>
        <scheme val="minor"/>
      </rPr>
      <t>(kW)</t>
    </r>
  </si>
  <si>
    <r>
      <t>PC</t>
    </r>
    <r>
      <rPr>
        <b/>
        <vertAlign val="subscript"/>
        <sz val="10"/>
        <color rgb="FFFFFFFF"/>
        <rFont val="Calibri"/>
        <family val="2"/>
        <scheme val="minor"/>
      </rPr>
      <t>ENERGY</t>
    </r>
    <r>
      <rPr>
        <b/>
        <sz val="10"/>
        <color rgb="FFFFFFFF"/>
        <rFont val="Calibri"/>
        <family val="2"/>
        <scheme val="minor"/>
      </rPr>
      <t xml:space="preserve"> - gas(lbs/hr)</t>
    </r>
  </si>
  <si>
    <r>
      <t>PC</t>
    </r>
    <r>
      <rPr>
        <b/>
        <vertAlign val="subscript"/>
        <sz val="10"/>
        <color rgb="FFFFFFFF"/>
        <rFont val="Calibri"/>
        <family val="2"/>
        <scheme val="minor"/>
      </rPr>
      <t>ENERGY</t>
    </r>
    <r>
      <rPr>
        <b/>
        <sz val="10"/>
        <color rgb="FFFFFFFF"/>
        <rFont val="Calibri"/>
        <family val="2"/>
        <scheme val="minor"/>
      </rPr>
      <t xml:space="preserve"> – electric (lbs/hr)</t>
    </r>
  </si>
  <si>
    <t>Hours/day</t>
  </si>
  <si>
    <t>gal/hr</t>
  </si>
  <si>
    <t>Fast Food, limited menu</t>
  </si>
  <si>
    <t>Tier 1A</t>
  </si>
  <si>
    <t>Fast Food, expanded menu</t>
  </si>
  <si>
    <t>Tier 1B</t>
  </si>
  <si>
    <t>Pizza</t>
  </si>
  <si>
    <t>Full Service, limited menu</t>
  </si>
  <si>
    <t>Avg Most Efficient</t>
  </si>
  <si>
    <t>Full Service, expanded menu</t>
  </si>
  <si>
    <t>Cafeteria</t>
  </si>
  <si>
    <t>High Efficiency Pre-Rinse Spray Valve</t>
  </si>
  <si>
    <t>Application</t>
  </si>
  <si>
    <t>ΔGallons</t>
  </si>
  <si>
    <r>
      <t>EFF</t>
    </r>
    <r>
      <rPr>
        <vertAlign val="subscript"/>
        <sz val="10"/>
        <color theme="1"/>
        <rFont val="Calibri"/>
        <family val="2"/>
        <scheme val="minor"/>
      </rPr>
      <t>elec</t>
    </r>
  </si>
  <si>
    <t>Flag</t>
  </si>
  <si>
    <r>
      <t>EFF</t>
    </r>
    <r>
      <rPr>
        <vertAlign val="subscript"/>
        <sz val="10"/>
        <color theme="1"/>
        <rFont val="Calibri"/>
        <family val="2"/>
        <scheme val="minor"/>
      </rPr>
      <t>gas</t>
    </r>
  </si>
  <si>
    <t>FLObase</t>
  </si>
  <si>
    <t xml:space="preserve">FLOeff </t>
  </si>
  <si>
    <t>HOURSday</t>
  </si>
  <si>
    <t>DAYSyear</t>
  </si>
  <si>
    <t>FLAG</t>
  </si>
  <si>
    <t>Gas</t>
  </si>
  <si>
    <t>Medium-sized casual dining restaurants</t>
  </si>
  <si>
    <t>Small, quick- service restaurants</t>
  </si>
  <si>
    <t>Spray Valve (Large Restaurants)-DI</t>
  </si>
  <si>
    <t>Large institutional establishments with cafeteria</t>
  </si>
  <si>
    <t>4.2.11.1</t>
  </si>
  <si>
    <t>4.2.11.2</t>
  </si>
  <si>
    <t>4.2.11.3</t>
  </si>
  <si>
    <t>4.2.11.4</t>
  </si>
  <si>
    <t>Special measures</t>
  </si>
  <si>
    <t>4.2.11.5</t>
  </si>
  <si>
    <t>Average of all buildings</t>
  </si>
  <si>
    <t xml:space="preserve">This mreasure is an average of 4.2.11a-4.2.11c. Insert new measures above the thick black line to maintain workbook functionality </t>
  </si>
  <si>
    <t>ΔkWH = ΔGallons x 8.33 x 1 x (Tout - Tin) x (1/EFF electric) /3,413 x FLAG</t>
  </si>
  <si>
    <t>ΔTherms = ΔGallons x 8.33 x 1 x (Tout - Tin) x (1/EFFgas) /100,000 Btu</t>
  </si>
  <si>
    <t>ΔGallons = (FLObase - FLOeff)gal/min x 60 min/hr x HOURSday x DAYSyear</t>
  </si>
  <si>
    <t>Formula</t>
  </si>
  <si>
    <t xml:space="preserve">amount of water saved </t>
  </si>
  <si>
    <t>(FLObase - FLOeff)gal/min x 60 min/hr x HOURSday x DAYSyear</t>
  </si>
  <si>
    <t xml:space="preserve">Water Heater Outlet Water Temperature </t>
  </si>
  <si>
    <t>custom, otherwise assume Tin + 70°F temperature rise from Tin</t>
  </si>
  <si>
    <t>Formula where adding 70°F is a deemed value from the TRM</t>
  </si>
  <si>
    <t>Inlet Water Temperature</t>
  </si>
  <si>
    <t>custom, otherwise assume 54.1 °F which is a deemed value in the TRM</t>
  </si>
  <si>
    <t>Efficiency of electric water heater supplying hot water to pre-rinse spray valve</t>
  </si>
  <si>
    <t>custom, otherwise assume 97% which is a deemed value in the TRM</t>
  </si>
  <si>
    <t>Dependent on whether gas or electric</t>
  </si>
  <si>
    <t>1 if electric or 0 if gas</t>
  </si>
  <si>
    <t>Efficiency of gas water heater supplying hot water to pre-rinse spray valve</t>
  </si>
  <si>
    <t>custom, otherwise assume 80% which is a deemed value in the TRM</t>
  </si>
  <si>
    <t>Lookup Value from TRM</t>
  </si>
  <si>
    <t>Base case flow in gallons per minute</t>
  </si>
  <si>
    <t>Deemed Values based on Tablein TRM</t>
  </si>
  <si>
    <t>Efficient case flow in gallons per minute</t>
  </si>
  <si>
    <t>Hours per day that the pre-rinse spray valve is used at the site, custom, otherwise</t>
  </si>
  <si>
    <t>Days per year pre-rinse spray valve is used at the site, custom, otherwise 312 days/yr based on assumed 6 days/wk x 52 wk/yr = 312 day/yr.</t>
  </si>
  <si>
    <t>TRM Deemed values</t>
  </si>
  <si>
    <t>where =1 1if electric or 0 if gas</t>
  </si>
  <si>
    <t>The expected measure life is assumed to be 5 years1</t>
  </si>
  <si>
    <t>Baseline definition</t>
  </si>
  <si>
    <t>Time of Sale baseline definition  is assumed to be 1.65 gallons per minute</t>
  </si>
  <si>
    <t>Retrofit or DI baseline definitions is assumed to be an existing pre-rinse spray valve with a flow rate of 1.9 gallons per minute.</t>
  </si>
  <si>
    <t>Efficient Equipment Definition - To qualify for this measure, the new or replacement pre-rinse spray nozzle must use less than 1.6 gallons per minute with a cleanability performance of 26 seconds per plate or less.</t>
  </si>
  <si>
    <t xml:space="preserve">Incremental Cost </t>
  </si>
  <si>
    <t>Space Heating Boiler Tune-up</t>
  </si>
  <si>
    <t>Boiler MBh</t>
  </si>
  <si>
    <t>Pre-Tune Up Boiler Efficiency</t>
  </si>
  <si>
    <t>Efficiency Improvement</t>
  </si>
  <si>
    <t>Climate Zone Lookup</t>
  </si>
  <si>
    <t xml:space="preserve">Capacity (Btu/hr) </t>
  </si>
  <si>
    <t>EFLH</t>
  </si>
  <si>
    <t>Effbefore</t>
  </si>
  <si>
    <t>Ei</t>
  </si>
  <si>
    <t>Boilers</t>
  </si>
  <si>
    <t>4.4.2.1</t>
  </si>
  <si>
    <t>4.4.2.2</t>
  </si>
  <si>
    <t>Δtherms= (Capacity * EFLH) * (Effbefore + Ei) / Effbefore) - 1)) / 100000</t>
  </si>
  <si>
    <t>used as a lookup for EFLH table</t>
  </si>
  <si>
    <t>Capacity</t>
  </si>
  <si>
    <t>Boiler gas input size (Btu/hr)</t>
  </si>
  <si>
    <r>
      <t>Table of lookup Values  on the tab labeled:</t>
    </r>
    <r>
      <rPr>
        <i/>
        <sz val="11"/>
        <color theme="1"/>
        <rFont val="Calibri"/>
        <family val="2"/>
        <scheme val="minor"/>
      </rPr>
      <t>List</t>
    </r>
  </si>
  <si>
    <t>Equivalent Full Load Hours for heating are provided in section 4.4 HVAC End Use</t>
  </si>
  <si>
    <t>EFLHs by building type and climate zone provided in Section 4.4</t>
  </si>
  <si>
    <t>Table of Lookup values from TRM</t>
  </si>
  <si>
    <t>Efficiency of the boiler before the tune-up</t>
  </si>
  <si>
    <t>Need to better understand this value</t>
  </si>
  <si>
    <t>Currently a custom input</t>
  </si>
  <si>
    <t>Efficiency Improvement of the boiler tune-up measure</t>
  </si>
  <si>
    <t>Custom input</t>
  </si>
  <si>
    <t>The baseline condition of this measure is a boiler that has not had a tune-up within the past 36 months</t>
  </si>
  <si>
    <t>The efficient condition of this measure is a boiler that gets a tune up</t>
  </si>
  <si>
    <t>Cost/kBtuh</t>
  </si>
  <si>
    <t>Ngi</t>
  </si>
  <si>
    <t>Boiler gas input size (kBTU/hr)</t>
  </si>
  <si>
    <t>Savings factor</t>
  </si>
  <si>
    <t>Equivalent Full Load Hours for heating</t>
  </si>
  <si>
    <t>Effpre</t>
  </si>
  <si>
    <t>Boiler Combustion Efficiency Before Tune-Up</t>
  </si>
  <si>
    <t>Conversion from kbtuh (MBH) to Btu/hr</t>
  </si>
  <si>
    <t>Climate Table Lookup</t>
  </si>
  <si>
    <t>Boiler kbtuh (MBh)</t>
  </si>
  <si>
    <t>AVE. Btu/hr</t>
  </si>
  <si>
    <t>SBES</t>
  </si>
  <si>
    <t>BEER</t>
  </si>
  <si>
    <t>General Conversion from kbtuh (MBH) to Btu/hr - multiply MBh by 1000)</t>
  </si>
  <si>
    <t>Office - High Rise</t>
  </si>
  <si>
    <t>Office - Mid Rise</t>
  </si>
  <si>
    <t>Office - Low Rise</t>
  </si>
  <si>
    <t>Convenience</t>
  </si>
  <si>
    <t>Healthcare Clinic</t>
  </si>
  <si>
    <t>Manufacturing Facility</t>
  </si>
  <si>
    <t>High School</t>
  </si>
  <si>
    <t>Hospital</t>
  </si>
  <si>
    <t>Elementary</t>
  </si>
  <si>
    <t>Religious Facility</t>
  </si>
  <si>
    <t>Restaurant</t>
  </si>
  <si>
    <t>Retail - Strip Mall</t>
  </si>
  <si>
    <t>Retail - Department Store</t>
  </si>
  <si>
    <t>College/University</t>
  </si>
  <si>
    <t>Warehouse</t>
  </si>
  <si>
    <t>Boiler Lockout/ Reset Controls</t>
  </si>
  <si>
    <t>Boiler kbtuh</t>
  </si>
  <si>
    <t xml:space="preserve">Binput </t>
  </si>
  <si>
    <t>4.4.4.2</t>
  </si>
  <si>
    <r>
      <t>Δtherms= B</t>
    </r>
    <r>
      <rPr>
        <vertAlign val="subscript"/>
        <sz val="10"/>
        <rFont val="Calibri"/>
        <family val="2"/>
        <scheme val="minor"/>
      </rPr>
      <t xml:space="preserve">input </t>
    </r>
    <r>
      <rPr>
        <sz val="10"/>
        <rFont val="Calibri"/>
        <family val="2"/>
        <scheme val="minor"/>
      </rPr>
      <t>* SF * EFLH /100</t>
    </r>
  </si>
  <si>
    <t>Boiler Input Capacity (kBTU)</t>
  </si>
  <si>
    <t>this is a custom input</t>
  </si>
  <si>
    <t>Custom or 8%. 8% is a deemed TRM value</t>
  </si>
  <si>
    <t>Conversion</t>
  </si>
  <si>
    <t>100 = conversion from kBtu to therms</t>
  </si>
  <si>
    <t>The life of this measure is 20 years</t>
  </si>
  <si>
    <t>Existing boiler without boiler reset controls, any size with constant hot water flow.</t>
  </si>
  <si>
    <t xml:space="preserve">adding a boiler reset control where Natural gas customer adding boiler reset controls capable of resetting the boiler supply water temperature in an inverse linear fashion with outdoor air temperature. BoilerNatural gas customer adding boiler reset controls capable of resetting the boiler supply water temperature in an inverse linear fashion with outdoor air temperature. </t>
  </si>
  <si>
    <t>High Efficiency Boiler</t>
  </si>
  <si>
    <t>Boiler btuh</t>
  </si>
  <si>
    <t>Base Boiler type</t>
  </si>
  <si>
    <t>Efficient Measure</t>
  </si>
  <si>
    <t xml:space="preserve">Cost Source </t>
  </si>
  <si>
    <r>
      <t>EffRating</t>
    </r>
    <r>
      <rPr>
        <vertAlign val="subscript"/>
        <sz val="9"/>
        <color theme="1"/>
        <rFont val="Calibri"/>
        <family val="2"/>
        <scheme val="minor"/>
      </rPr>
      <t>base</t>
    </r>
  </si>
  <si>
    <r>
      <t>EffRating</t>
    </r>
    <r>
      <rPr>
        <vertAlign val="subscript"/>
        <sz val="9"/>
        <color theme="1"/>
        <rFont val="Calibri"/>
        <family val="2"/>
        <scheme val="minor"/>
      </rPr>
      <t>actual</t>
    </r>
  </si>
  <si>
    <t>Hot Water &lt;300,000 Btu/h  ≥ June 1, 2013</t>
  </si>
  <si>
    <t xml:space="preserve">Actual </t>
  </si>
  <si>
    <t>4.4.10.1</t>
  </si>
  <si>
    <t>4.4.10.2</t>
  </si>
  <si>
    <t>4.4.10.3</t>
  </si>
  <si>
    <t>4.4.10.4</t>
  </si>
  <si>
    <t>4.4.10.5</t>
  </si>
  <si>
    <t>4.4.10.6</t>
  </si>
  <si>
    <t>ENERGY STAR® Minimum</t>
  </si>
  <si>
    <t>4.4.10.7</t>
  </si>
  <si>
    <t>4.4.10.8</t>
  </si>
  <si>
    <t>4.4.10.9</t>
  </si>
  <si>
    <t>4.4.10.10</t>
  </si>
  <si>
    <t>Δtherms= (EFLH * Capacity * (EffRatingactual - EffRatingbase) / EffRatingbase)) / 100000</t>
  </si>
  <si>
    <t>Permutation Type</t>
  </si>
  <si>
    <t>Nominal Heating Input Capacity Boiler Size (Btu/hr) for efficient unit not existing unit</t>
  </si>
  <si>
    <t>custom Boiler input capacity in Btu/hr</t>
  </si>
  <si>
    <t>Based on Lookup Table</t>
  </si>
  <si>
    <t>Deemed Table of Values from TRM</t>
  </si>
  <si>
    <t>The expected measure life is assumed to be 20 years310</t>
  </si>
  <si>
    <t>Deemed Value from TRM</t>
  </si>
  <si>
    <t>Dependent on when the unit is installed and whether the unit is hot water or steam.</t>
  </si>
  <si>
    <t>To qualify for this measure the installed equipment must be a boiler used 80% or more for space heating, not process, and boiler AFUE, TE (thermal efficiency), or Ec (combustion efficiency) rating must be rated greater than or equal to 85% for hot water boilers and 81% for steam boilers.</t>
  </si>
  <si>
    <t>Type</t>
  </si>
  <si>
    <t>Hot Water</t>
  </si>
  <si>
    <t>Steam</t>
  </si>
  <si>
    <t>Incr. Cost, per unit (TRM)</t>
  </si>
  <si>
    <t>Hydronic</t>
  </si>
  <si>
    <t>Condensing</t>
  </si>
  <si>
    <t>AFUE ≥ 96%</t>
  </si>
  <si>
    <t xml:space="preserve"> Boiler Baseline Values from the TRM</t>
  </si>
  <si>
    <t>Efficiency</t>
  </si>
  <si>
    <t>Units</t>
  </si>
  <si>
    <t>Hot Water &lt;300,000 Btu/h &lt; June 1, 2013</t>
  </si>
  <si>
    <r>
      <t xml:space="preserve">Hot Water &lt;300,000 Btu/h  ≥ </t>
    </r>
    <r>
      <rPr>
        <sz val="10"/>
        <rFont val="Calibri"/>
        <family val="2"/>
        <scheme val="minor"/>
      </rPr>
      <t>June 1, 2013</t>
    </r>
  </si>
  <si>
    <t>Hot Water  ≥300,000 &amp; ≤2,500,000 Btu/h</t>
  </si>
  <si>
    <t xml:space="preserve"> TE</t>
  </si>
  <si>
    <t>Hot Water  &gt;2,500,000 Btu/h</t>
  </si>
  <si>
    <t>Steam &lt;300,000 Btu/h &lt; June 1, 2013</t>
  </si>
  <si>
    <r>
      <t>Steam &lt;300,000 Bt</t>
    </r>
    <r>
      <rPr>
        <sz val="10"/>
        <rFont val="Calibri"/>
        <family val="2"/>
        <scheme val="minor"/>
      </rPr>
      <t>u/h ≥June 1, 2013</t>
    </r>
  </si>
  <si>
    <t>Steam - all except natural draft ≥300,000 &amp; ≤2,500,000 Btu/h</t>
  </si>
  <si>
    <t>Steam - natural draft ≥300,000 &amp; ≤2,500,000 Btu/h</t>
  </si>
  <si>
    <t>TE</t>
  </si>
  <si>
    <t>Steam - all except natural draft &gt;2,500,000 Btu/h</t>
  </si>
  <si>
    <t>Steam - natural draft &gt;2,500,000 Btu/h</t>
  </si>
  <si>
    <t>High Efficiency Furnace</t>
  </si>
  <si>
    <t>Eff. Measure Installation Yr</t>
  </si>
  <si>
    <t>AC or No AC</t>
  </si>
  <si>
    <t>Furnace Capacity (BTUH)</t>
  </si>
  <si>
    <t>Incremental Cost/unit</t>
  </si>
  <si>
    <t xml:space="preserve">Climate Lookup </t>
  </si>
  <si>
    <t>Heating Savings</t>
  </si>
  <si>
    <t>Cooling Savings</t>
  </si>
  <si>
    <t>Shoulder Season Savings</t>
  </si>
  <si>
    <t>HOURSyear</t>
  </si>
  <si>
    <t>DaysYear</t>
  </si>
  <si>
    <t>AFUEeff</t>
  </si>
  <si>
    <t>4.4.11.1</t>
  </si>
  <si>
    <t>4.4.11.2</t>
  </si>
  <si>
    <t>ΔkWh = Heating Savings + Cooling Savings + Shoulder Season Savings</t>
  </si>
  <si>
    <t>ΔkW = (ΔkWh/(HOURSyear *DaysYear))  *  CF</t>
  </si>
  <si>
    <t>ΔTherms= EFLH * Capacity * (AFUE(eff)-AFUE(base) / AFUE(base)) / 100,000 Btu/Therm</t>
  </si>
  <si>
    <t>Brushless DC motor or Electronically commutated motor savings during heating season</t>
  </si>
  <si>
    <t>Brushless DC motor or electronically commutated motor savings during cooling season</t>
  </si>
  <si>
    <t xml:space="preserve">Table of Deemed TRM values dependent upon if there is air conditioning. </t>
  </si>
  <si>
    <t>Brushless DC motor or electronically commutated motor (ECM) savings during shoulder seasons</t>
  </si>
  <si>
    <t>Actual hours per year if known, otherwise use hours from Table below for building type</t>
  </si>
  <si>
    <t>Deemed table of TRM Values, currently using "Unknown"</t>
  </si>
  <si>
    <t>Summer Peak Coincidence Factor for measure is provided below for different building types</t>
  </si>
  <si>
    <t>Deemed Table of TRM Values</t>
  </si>
  <si>
    <t>ELFH</t>
  </si>
  <si>
    <t>Nominal Heating Input Capacity Furnace Size (Btu/hr) for efficient unit not existing unit</t>
  </si>
  <si>
    <t>This is a custom input: custom Furnace input capacity in Btu/hr</t>
  </si>
  <si>
    <t>Actual. If Unknown, assume 95%</t>
  </si>
  <si>
    <t>The expected measure life is assumed to be 16.5 years</t>
  </si>
  <si>
    <t>Remaining life of existing equipment is assumed to be 5.5 years</t>
  </si>
  <si>
    <t>These are Deemed TRM Values</t>
  </si>
  <si>
    <t>Definition of Baseline equipment</t>
  </si>
  <si>
    <t>Based on program type - efficiency of standard piece of equipment</t>
  </si>
  <si>
    <t>Definition of Efficient Equipment</t>
  </si>
  <si>
    <t>Requirements must exceed the baseline requirements</t>
  </si>
  <si>
    <t>TRM V4 Values as of Feb 24, 2015</t>
  </si>
  <si>
    <t>Air Conditioning</t>
  </si>
  <si>
    <t>No Air Conditioning</t>
  </si>
  <si>
    <t>Time of sale</t>
  </si>
  <si>
    <t>AFUEeff Lookup Table</t>
  </si>
  <si>
    <t>Cost Table Updated 04/14/2014 &gt;&gt;&gt;</t>
  </si>
  <si>
    <t>Old Incremental cost Values (TRM Effective 06/2012)</t>
  </si>
  <si>
    <t>College/ University</t>
  </si>
  <si>
    <t>College</t>
  </si>
  <si>
    <t>Grocery</t>
  </si>
  <si>
    <t>Hotel/ Motel</t>
  </si>
  <si>
    <t>Hotel/Motel</t>
  </si>
  <si>
    <t>SBES MBTUH Range:</t>
  </si>
  <si>
    <t>Medical</t>
  </si>
  <si>
    <t>Up to 100 MBTUH range:</t>
  </si>
  <si>
    <t>BTUH</t>
  </si>
  <si>
    <t>&gt;100 up to 200 MBTUH range:</t>
  </si>
  <si>
    <t>&gt;200 up to 300 MBTUH range:</t>
  </si>
  <si>
    <t>Elementary School</t>
  </si>
  <si>
    <t>Measure Tier</t>
  </si>
  <si>
    <t>Incr. Cost, per unit</t>
  </si>
  <si>
    <t>CEE Tier 2 - 92%</t>
  </si>
  <si>
    <t>CEE Tier 2 - 93%</t>
  </si>
  <si>
    <t>CEE Tier 3 - 94%</t>
  </si>
  <si>
    <t>CEE Tier 3 - 95%</t>
  </si>
  <si>
    <t>≥ 96% AFUE</t>
  </si>
  <si>
    <t>AFUEbase Lookup Table</t>
  </si>
  <si>
    <t>Zone 1 (Rockford)</t>
  </si>
  <si>
    <t>Zone 2 (Chicago)</t>
  </si>
  <si>
    <t>Zone 3 (Springfield)</t>
  </si>
  <si>
    <t>Zone 4 (Belleville/</t>
  </si>
  <si>
    <t>Zone 5 (Marion)</t>
  </si>
  <si>
    <t>Office - High Rise CAV no econ</t>
  </si>
  <si>
    <t>Office - High Rise CAV econ</t>
  </si>
  <si>
    <t>Office - High Rise VAV econ</t>
  </si>
  <si>
    <t>Office - High Rise FCU</t>
  </si>
  <si>
    <t>Assembly</t>
  </si>
  <si>
    <t>Garage</t>
  </si>
  <si>
    <t>Movie Theater</t>
  </si>
  <si>
    <t>Assisted Living</t>
  </si>
  <si>
    <t>Hotel/Motel - Common</t>
  </si>
  <si>
    <t>Hotel/Motel - Guest</t>
  </si>
  <si>
    <t>MF - High Rise</t>
  </si>
  <si>
    <t>MF - High Rise - Common</t>
  </si>
  <si>
    <t>MF - High Rise - Residential</t>
  </si>
  <si>
    <t>MF - Mid Rise</t>
  </si>
  <si>
    <t>Hospital - CAV no econ</t>
  </si>
  <si>
    <t>Hospital - CAV econ</t>
  </si>
  <si>
    <t>Hospital - VAV econ</t>
  </si>
  <si>
    <t>Hospital - FCU</t>
  </si>
  <si>
    <t>Unknown1</t>
  </si>
  <si>
    <t>TRM V5 Assumption Tables</t>
  </si>
  <si>
    <t>HOURSyear  (Pumps and fans (h/yr)</t>
  </si>
  <si>
    <t>Convenience Store</t>
  </si>
  <si>
    <t>Office - High Rise - VAVecon</t>
  </si>
  <si>
    <t>Office - High Rise - CAVecon</t>
  </si>
  <si>
    <t>Office - High Rise - CAV noecon</t>
  </si>
  <si>
    <t>Office - High Rise - FCU</t>
  </si>
  <si>
    <t>Religious Building</t>
  </si>
  <si>
    <t>Same as unknown</t>
  </si>
  <si>
    <t>Pipe Insulation</t>
  </si>
  <si>
    <t xml:space="preserve">Measure </t>
  </si>
  <si>
    <t>Measure Life (yrs)</t>
  </si>
  <si>
    <t>Insulation Thickness</t>
  </si>
  <si>
    <t>Location</t>
  </si>
  <si>
    <t>Outdoor reset?</t>
  </si>
  <si>
    <t>Recirculation?</t>
  </si>
  <si>
    <t xml:space="preserve">Climate Zone </t>
  </si>
  <si>
    <t>Linear feet of insulation</t>
  </si>
  <si>
    <t>Qbase</t>
  </si>
  <si>
    <t>Qeff</t>
  </si>
  <si>
    <t>nboiler</t>
  </si>
  <si>
    <t>TRF_eff</t>
  </si>
  <si>
    <t>4.4.14.1</t>
  </si>
  <si>
    <t>Pipe insulation</t>
  </si>
  <si>
    <t>Outdoor</t>
  </si>
  <si>
    <t>Space Heating</t>
  </si>
  <si>
    <t>High pressure steam</t>
  </si>
  <si>
    <t>Recirculation - Heating Season only</t>
  </si>
  <si>
    <t>4.4.14.2</t>
  </si>
  <si>
    <t>Low pressure steam</t>
  </si>
  <si>
    <t>4.4.14.3</t>
  </si>
  <si>
    <t>Indoor</t>
  </si>
  <si>
    <t>4.4.14.4</t>
  </si>
  <si>
    <t>4.4.14.5</t>
  </si>
  <si>
    <t>Hot water</t>
  </si>
  <si>
    <t>4.4.14.6</t>
  </si>
  <si>
    <t>Domestic Hot Water</t>
  </si>
  <si>
    <t>DHW Circulation Loop</t>
  </si>
  <si>
    <t>4.4.14.7</t>
  </si>
  <si>
    <t>4.4.14.8</t>
  </si>
  <si>
    <t>Medium pressure steam</t>
  </si>
  <si>
    <t>4.4.14.9</t>
  </si>
  <si>
    <t>4.4.14.10</t>
  </si>
  <si>
    <t>Process Heating</t>
  </si>
  <si>
    <t>4.4.14.11</t>
  </si>
  <si>
    <t>4.4.14.12</t>
  </si>
  <si>
    <t>4.4.14.13</t>
  </si>
  <si>
    <t>Recirculation- year round</t>
  </si>
  <si>
    <t>4.4.14.14</t>
  </si>
  <si>
    <t>4.4.14.15</t>
  </si>
  <si>
    <t>Δtherms per foot = [((Qbase – Qeff) * EFLH) / (100,000 * ηBoiler)] * TRF</t>
  </si>
  <si>
    <t>Δtherms = (Lsp + Loc,i) * Δtherms per foot</t>
  </si>
  <si>
    <t>Heat Loss from Bare Pipe (Btu/hr/ft)</t>
  </si>
  <si>
    <t>Heat Loss from Insulated Pipe (Btu/hr/ft)</t>
  </si>
  <si>
    <t>70% of process projects are indoor, 0% in semi indoor, and 30% in outdoor unheated space</t>
  </si>
  <si>
    <t>conversion factor (1 therm = 100,000 Btu)</t>
  </si>
  <si>
    <t>Based on lookup table</t>
  </si>
  <si>
    <t>Equivalent Full Load Hours for Heating</t>
  </si>
  <si>
    <t>Actual or defaults by building type provided in Section 4.4, HVAC end use For year round recirculation or domestic hot water: 8766</t>
  </si>
  <si>
    <t>Table of deemed values from the TRM - However, Nicor uses a weighted average based on climate zone</t>
  </si>
  <si>
    <t>Efficiency of the boiler being used to generate the hot water or steam in the pipe</t>
  </si>
  <si>
    <t>81.9% deemed TRM value for water boilers</t>
  </si>
  <si>
    <t>80.7% deemed TRM value for steam boilers, except multifamily low pressure</t>
  </si>
  <si>
    <t>64.8% for multifamily low pressure steam boilers</t>
  </si>
  <si>
    <t>67% for Domestic Hot Water</t>
  </si>
  <si>
    <t>These are deemed values from the TRM and are displayed in a table below. - can use Actual or if unknown use default values given below:</t>
  </si>
  <si>
    <t>Thermal Regain Factor for space type, applied only to space heating energy and is applied to values resulting from Δtherms/ft tables below</t>
  </si>
  <si>
    <t>This weighted average is: outdoor is assumed to be 1 and indoor is based on the assumption that 60% of the projects are in an indoor heated space, 40% of the projects are in an indoor semi-heated space, and 0% of the projects will be in an outdoor, unheated space. Those weights were applied to get a value of 0.15 at 60% and 0.7 at 40%</t>
  </si>
  <si>
    <t>The measure life is assumed to be 15 years.</t>
  </si>
  <si>
    <t>This is a deemed TRM Value</t>
  </si>
  <si>
    <t>Heat Loss from bare pipe (Qbase) - Table of information from the TRM</t>
  </si>
  <si>
    <t>Q Column lookup table</t>
  </si>
  <si>
    <t>With outdoor reset</t>
  </si>
  <si>
    <t>Average reset</t>
  </si>
  <si>
    <t>Without outdoor reset</t>
  </si>
  <si>
    <t>NA</t>
  </si>
  <si>
    <t>Non-recirculation</t>
  </si>
  <si>
    <t>Error</t>
  </si>
  <si>
    <t>Heat Loss from insulated pipe (Qeff) - Table of information from the TRM</t>
  </si>
  <si>
    <t>Efficiency of Boiler (ƞboiler) - Deemed Values from the TRM</t>
  </si>
  <si>
    <t>TRM V5 Page 195</t>
  </si>
  <si>
    <t>TRM V5 Page 199</t>
  </si>
  <si>
    <t>TRF - table of deemed values from the TRM</t>
  </si>
  <si>
    <t>Pipe Location</t>
  </si>
  <si>
    <t>Assumed Regain</t>
  </si>
  <si>
    <t>TRF, Thermal Regain Factor</t>
  </si>
  <si>
    <t>Q Lookup</t>
  </si>
  <si>
    <t>(unconditioned space, with heat transfer to conditioned space. E.g.: boiler room, ceiling plenum, basement, crawlspace, wall)</t>
  </si>
  <si>
    <t>Indoor, heated space</t>
  </si>
  <si>
    <t>(no heat transfer to conditioned space)</t>
  </si>
  <si>
    <t>Indoor, semi- heated</t>
  </si>
  <si>
    <t>Indoor, unheated</t>
  </si>
  <si>
    <t>Indoor, location not specified</t>
  </si>
  <si>
    <t>TRF_eff - Nicor Weighted Average</t>
  </si>
  <si>
    <t>Nominal Pipe Diameter</t>
  </si>
  <si>
    <t>Equivalent Length (ft)</t>
  </si>
  <si>
    <t>90 Degree Elbow</t>
  </si>
  <si>
    <t>Straight Tee</t>
  </si>
  <si>
    <t>1/2"</t>
  </si>
  <si>
    <t>3/4"</t>
  </si>
  <si>
    <t>Incremental Cost from the TRM</t>
  </si>
  <si>
    <t>INSULATION THICKNESS</t>
  </si>
  <si>
    <t>1 INCH</t>
  </si>
  <si>
    <t>2 INCHES</t>
  </si>
  <si>
    <t>Zone 4 (Belleville)</t>
  </si>
  <si>
    <t>Zone 6 (Nicor Custom)</t>
  </si>
  <si>
    <t>Program Type - Look up table</t>
  </si>
  <si>
    <t>EFLH Table from the TRM</t>
  </si>
  <si>
    <t>Piping Use</t>
  </si>
  <si>
    <t>Space Heating - Recirculation - Heating Season only</t>
  </si>
  <si>
    <t>Space Heating - Recirculation Year Round</t>
  </si>
  <si>
    <t xml:space="preserve">EFLH Table </t>
  </si>
  <si>
    <t>Weighted average for Nicor Custom - Based on Climate zone</t>
  </si>
  <si>
    <t>Lodging Hotel/ Motel/Multifamily</t>
  </si>
  <si>
    <t>Small Pipe Insulation</t>
  </si>
  <si>
    <t>Pipe Size</t>
  </si>
  <si>
    <t>Piping use</t>
  </si>
  <si>
    <t>Recirculation</t>
  </si>
  <si>
    <t>4.4.24.1</t>
  </si>
  <si>
    <t>All buildings (Hours below 55°F)</t>
  </si>
  <si>
    <t>4.4.24.2</t>
  </si>
  <si>
    <t>4.4.24.3</t>
  </si>
  <si>
    <t>Recirculation loop</t>
  </si>
  <si>
    <t>4.4.24.4</t>
  </si>
  <si>
    <t xml:space="preserve">Δtherms per foot = </t>
  </si>
  <si>
    <t xml:space="preserve"> [((Qbase – Qeff) * EFLH) / (100,000 * ηBoiler)] * TRF</t>
  </si>
  <si>
    <t>Δtherms =</t>
  </si>
  <si>
    <t>(Lsp + Loci) * Δtherms per foot</t>
  </si>
  <si>
    <t>Actual or defaults by building type provided in Section 4.4, HVAC end use</t>
  </si>
  <si>
    <t>For year round recirculation or domestic hot water use deemed TRM Value of 8766</t>
  </si>
  <si>
    <t>For heating season recirculation, hours with the outside air temperature below 55°F: use table of deemed TRM Values</t>
  </si>
  <si>
    <t>Incremental Cot</t>
  </si>
  <si>
    <t>1 INCH (INDOOR)</t>
  </si>
  <si>
    <t>2 INCHES (OUTDOOR)</t>
  </si>
  <si>
    <t>Weighted average for Nicor Custom Climate Zone</t>
  </si>
  <si>
    <t>Multifamily low pressure steam</t>
  </si>
  <si>
    <t>1/2" Copper Pipe</t>
  </si>
  <si>
    <t>Annual Therms Saved / Linear Foot</t>
  </si>
  <si>
    <t>Office - High Rise - CAV no econ</t>
  </si>
  <si>
    <t>Office - High Rise - CAV econ</t>
  </si>
  <si>
    <t>Office - High Rise - VAV econ</t>
  </si>
  <si>
    <t>All buildings (All hours)</t>
  </si>
  <si>
    <t>Process</t>
  </si>
  <si>
    <t>3/4" Copper Pipe</t>
  </si>
  <si>
    <t>Space Heating Non-recirculating</t>
  </si>
  <si>
    <t>Space Heating - recirculation heating season only</t>
  </si>
  <si>
    <t>Space Heating - recirculation year round</t>
  </si>
  <si>
    <t>Savings Algorithm Inputs - Proposed TRM V5</t>
  </si>
  <si>
    <t>Pan Size</t>
  </si>
  <si>
    <r>
      <t>∆</t>
    </r>
    <r>
      <rPr>
        <sz val="11"/>
        <rFont val="Calibri"/>
        <family val="2"/>
        <scheme val="minor"/>
      </rPr>
      <t>CookingEnergy</t>
    </r>
    <r>
      <rPr>
        <vertAlign val="subscript"/>
        <sz val="11"/>
        <rFont val="Calibri"/>
        <family val="2"/>
        <scheme val="minor"/>
      </rPr>
      <t>ConvGas</t>
    </r>
  </si>
  <si>
    <r>
      <rPr>
        <sz val="11"/>
        <rFont val="Symbol"/>
        <family val="1"/>
        <charset val="2"/>
      </rPr>
      <t>D</t>
    </r>
    <r>
      <rPr>
        <sz val="11"/>
        <rFont val="Calibri"/>
        <family val="2"/>
        <scheme val="minor"/>
      </rPr>
      <t>CookingEnergy</t>
    </r>
    <r>
      <rPr>
        <vertAlign val="subscript"/>
        <sz val="11"/>
        <rFont val="Calibri"/>
        <family val="2"/>
        <scheme val="minor"/>
      </rPr>
      <t>SteamGas</t>
    </r>
  </si>
  <si>
    <r>
      <rPr>
        <sz val="11"/>
        <rFont val="Symbol"/>
        <family val="1"/>
        <charset val="2"/>
      </rPr>
      <t>D</t>
    </r>
    <r>
      <rPr>
        <sz val="11"/>
        <rFont val="Calibri"/>
        <family val="2"/>
        <scheme val="minor"/>
      </rPr>
      <t>IdleEnergy</t>
    </r>
    <r>
      <rPr>
        <vertAlign val="subscript"/>
        <sz val="11"/>
        <rFont val="Calibri"/>
        <family val="2"/>
        <scheme val="minor"/>
      </rPr>
      <t>ConvGas</t>
    </r>
  </si>
  <si>
    <r>
      <rPr>
        <sz val="11"/>
        <rFont val="Symbol"/>
        <family val="1"/>
        <charset val="2"/>
      </rPr>
      <t>D</t>
    </r>
    <r>
      <rPr>
        <sz val="11"/>
        <rFont val="Calibri"/>
        <family val="2"/>
        <scheme val="minor"/>
      </rPr>
      <t>IdleEnergy</t>
    </r>
    <r>
      <rPr>
        <vertAlign val="subscript"/>
        <sz val="11"/>
        <rFont val="Calibri"/>
        <family val="2"/>
        <scheme val="minor"/>
      </rPr>
      <t>SteamGas</t>
    </r>
  </si>
  <si>
    <r>
      <t>LB</t>
    </r>
    <r>
      <rPr>
        <vertAlign val="subscript"/>
        <sz val="11"/>
        <rFont val="Calibri"/>
        <family val="2"/>
        <scheme val="minor"/>
      </rPr>
      <t>Gas</t>
    </r>
  </si>
  <si>
    <r>
      <rPr>
        <u/>
        <sz val="11"/>
        <rFont val="Calibri"/>
        <family val="2"/>
        <scheme val="minor"/>
      </rPr>
      <t>EFOOD</t>
    </r>
    <r>
      <rPr>
        <u/>
        <vertAlign val="subscript"/>
        <sz val="11"/>
        <rFont val="Calibri"/>
        <family val="2"/>
        <scheme val="minor"/>
      </rPr>
      <t>ConvGas</t>
    </r>
    <r>
      <rPr>
        <strike/>
        <u/>
        <sz val="10"/>
        <color rgb="FFFF0000"/>
        <rFont val="Calibri"/>
        <family val="2"/>
        <scheme val="minor"/>
      </rPr>
      <t/>
    </r>
  </si>
  <si>
    <t>GasEFFconvbase</t>
  </si>
  <si>
    <t>GasEFFconvEE</t>
  </si>
  <si>
    <t>GasEFFsteambase</t>
  </si>
  <si>
    <t>GasEFFsteamEE</t>
  </si>
  <si>
    <r>
      <t>EFOOD</t>
    </r>
    <r>
      <rPr>
        <vertAlign val="subscript"/>
        <sz val="11"/>
        <rFont val="Calibri"/>
        <family val="2"/>
        <scheme val="minor"/>
      </rPr>
      <t>SteamGas</t>
    </r>
    <r>
      <rPr>
        <sz val="11"/>
        <rFont val="Calibri"/>
        <family val="2"/>
        <scheme val="minor"/>
      </rPr>
      <t xml:space="preserve"> </t>
    </r>
  </si>
  <si>
    <r>
      <t>GasIDLE</t>
    </r>
    <r>
      <rPr>
        <vertAlign val="subscript"/>
        <sz val="12"/>
        <rFont val="Calibri"/>
        <family val="2"/>
        <scheme val="minor"/>
      </rPr>
      <t>ConvEE</t>
    </r>
  </si>
  <si>
    <t xml:space="preserve">100,000 </t>
  </si>
  <si>
    <r>
      <t>%</t>
    </r>
    <r>
      <rPr>
        <vertAlign val="subscript"/>
        <sz val="11"/>
        <rFont val="Calibri"/>
        <family val="2"/>
        <scheme val="minor"/>
      </rPr>
      <t>Conv</t>
    </r>
    <r>
      <rPr>
        <sz val="11"/>
        <rFont val="Calibri"/>
        <family val="2"/>
        <scheme val="minor"/>
      </rPr>
      <t xml:space="preserve"> </t>
    </r>
  </si>
  <si>
    <r>
      <t>%</t>
    </r>
    <r>
      <rPr>
        <vertAlign val="subscript"/>
        <sz val="11"/>
        <rFont val="Calibri"/>
        <family val="2"/>
        <scheme val="minor"/>
      </rPr>
      <t>steam</t>
    </r>
    <r>
      <rPr>
        <sz val="11"/>
        <rFont val="Calibri"/>
        <family val="2"/>
        <scheme val="minor"/>
      </rPr>
      <t xml:space="preserve"> </t>
    </r>
  </si>
  <si>
    <t>HOURS</t>
  </si>
  <si>
    <t>Days</t>
  </si>
  <si>
    <r>
      <t>GasPCconv</t>
    </r>
    <r>
      <rPr>
        <vertAlign val="subscript"/>
        <sz val="11"/>
        <rFont val="Calibri"/>
        <family val="2"/>
        <scheme val="minor"/>
      </rPr>
      <t>Base</t>
    </r>
    <r>
      <rPr>
        <sz val="11"/>
        <rFont val="Calibri"/>
        <family val="2"/>
        <scheme val="minor"/>
      </rPr>
      <t xml:space="preserve"> </t>
    </r>
  </si>
  <si>
    <r>
      <t>GasPCsteam</t>
    </r>
    <r>
      <rPr>
        <vertAlign val="subscript"/>
        <sz val="11"/>
        <rFont val="Calibri"/>
        <family val="2"/>
        <scheme val="minor"/>
      </rPr>
      <t>Base</t>
    </r>
    <r>
      <rPr>
        <sz val="11"/>
        <rFont val="Calibri"/>
        <family val="2"/>
        <scheme val="minor"/>
      </rPr>
      <t xml:space="preserve"> </t>
    </r>
  </si>
  <si>
    <r>
      <t>GasIDLEconv</t>
    </r>
    <r>
      <rPr>
        <vertAlign val="subscript"/>
        <sz val="11"/>
        <rFont val="Calibri"/>
        <family val="2"/>
        <scheme val="minor"/>
      </rPr>
      <t>Base</t>
    </r>
    <r>
      <rPr>
        <sz val="11"/>
        <rFont val="Calibri"/>
        <family val="2"/>
        <scheme val="minor"/>
      </rPr>
      <t xml:space="preserve"> </t>
    </r>
  </si>
  <si>
    <r>
      <t>GasIDLEsteam</t>
    </r>
    <r>
      <rPr>
        <vertAlign val="subscript"/>
        <sz val="11"/>
        <rFont val="Calibri"/>
        <family val="2"/>
        <scheme val="minor"/>
      </rPr>
      <t>Base</t>
    </r>
    <r>
      <rPr>
        <sz val="11"/>
        <rFont val="Calibri"/>
        <family val="2"/>
        <scheme val="minor"/>
      </rPr>
      <t xml:space="preserve"> </t>
    </r>
  </si>
  <si>
    <r>
      <t>GasPCconv</t>
    </r>
    <r>
      <rPr>
        <vertAlign val="subscript"/>
        <sz val="11"/>
        <rFont val="Calibri"/>
        <family val="2"/>
        <scheme val="minor"/>
      </rPr>
      <t>EE</t>
    </r>
    <r>
      <rPr>
        <sz val="11"/>
        <rFont val="Calibri"/>
        <family val="2"/>
        <scheme val="minor"/>
      </rPr>
      <t xml:space="preserve"> </t>
    </r>
  </si>
  <si>
    <r>
      <t>GasPCsteam</t>
    </r>
    <r>
      <rPr>
        <vertAlign val="subscript"/>
        <sz val="11"/>
        <rFont val="Calibri"/>
        <family val="2"/>
        <scheme val="minor"/>
      </rPr>
      <t>EE</t>
    </r>
    <r>
      <rPr>
        <sz val="11"/>
        <rFont val="Calibri"/>
        <family val="2"/>
        <scheme val="minor"/>
      </rPr>
      <t xml:space="preserve"> </t>
    </r>
  </si>
  <si>
    <t>Combination Oven  (16 pans)</t>
  </si>
  <si>
    <t>Combination Oven  (16 pans) Upstream</t>
  </si>
  <si>
    <t>Proposed TRM Algorithm for TRM V5</t>
  </si>
  <si>
    <r>
      <t xml:space="preserve">∆Therms  = (∆CookingEnergyConvGas + ∆CookingEnergySteamGas + </t>
    </r>
    <r>
      <rPr>
        <b/>
        <sz val="11"/>
        <color theme="1"/>
        <rFont val="Calibri"/>
        <family val="2"/>
        <scheme val="minor"/>
      </rPr>
      <t>∆</t>
    </r>
    <r>
      <rPr>
        <sz val="11"/>
        <color theme="1"/>
        <rFont val="Calibri"/>
        <family val="2"/>
        <scheme val="minor"/>
      </rPr>
      <t>IdleEnergyConvGas + ∆IdleEnergySteamGas) * Days / 100,000</t>
    </r>
  </si>
  <si>
    <t>TRM Algorithm Inputs</t>
  </si>
  <si>
    <t>Input Value</t>
  </si>
  <si>
    <t>TRM Value</t>
  </si>
  <si>
    <t>Calculated Algorithm from TRM</t>
  </si>
  <si>
    <t>Change in total daily cooking energy consumed by gas oven in convection mode</t>
  </si>
  <si>
    <t>Formula: LBGas * (EFOODConvGas / GasEFFConvBase - EFOODConvGas / GasEFFConvEE) * %Conv</t>
  </si>
  <si>
    <t>Change in total daily cooking energy consumed by gas oven in steam mode</t>
  </si>
  <si>
    <t>Formula: LBGas * (EFOODSteamGas / GasEFFSteamBase – EFOODSteamGas / GasEFFSteamEE) * %steam</t>
  </si>
  <si>
    <t>Change in total daily idle energy consumed by gas oven in convection mode</t>
  </si>
  <si>
    <t>Formula: [(GasIDLEConvBase * ((HOURS – LBGas/GasPCConvBase) * %Conv)) - (GasIDLEConvEE * ((HOURS - LBGas/GasPCConvEE) * %Conv))]</t>
  </si>
  <si>
    <t>Formula: [(GasIDLESteamBase * ((HOURS – LBGas/GasPCSteamBase) * %Steam)) - (GasIDLESteamEE * ((HOURS - LBGas/GasPCSteamEE) * %Steam))]</t>
  </si>
  <si>
    <t>Table of lookup values from TRM based on pan size</t>
  </si>
  <si>
    <t>Estimated mass of food cooked per day for gas oven (lbs/day)</t>
  </si>
  <si>
    <t>Custom, or if unknown, use 200 lbs (If P &lt;15), 250 lbs (If 15 &lt;= P 30), or 400 lbs (If P = &gt;30)</t>
  </si>
  <si>
    <r>
      <rPr>
        <sz val="11"/>
        <rFont val="Calibri"/>
        <family val="2"/>
        <scheme val="minor"/>
      </rPr>
      <t>EFOOD</t>
    </r>
    <r>
      <rPr>
        <vertAlign val="subscript"/>
        <sz val="11"/>
        <rFont val="Calibri"/>
        <family val="2"/>
        <scheme val="minor"/>
      </rPr>
      <t>ConvGas</t>
    </r>
    <r>
      <rPr>
        <strike/>
        <u/>
        <sz val="10"/>
        <color rgb="FFFF0000"/>
        <rFont val="Calibri"/>
        <family val="2"/>
        <scheme val="minor"/>
      </rPr>
      <t/>
    </r>
  </si>
  <si>
    <t>energy absorbed by food product for Natural gas Oven in : cooking by convection mode</t>
  </si>
  <si>
    <t>Custom, or if unknown, use =  250 Btu/lb8</t>
  </si>
  <si>
    <t>GasEFF</t>
  </si>
  <si>
    <t>Table of lookup values from TRM</t>
  </si>
  <si>
    <t>cooking energy efficiency of gas oven</t>
  </si>
  <si>
    <t>Custom or if unknown, use values from table below</t>
  </si>
  <si>
    <t>energy absorbed by food product for gas oven in steam mode</t>
  </si>
  <si>
    <t>Custom or if unknown, use 105 Btu/lb</t>
  </si>
  <si>
    <r>
      <t>GasIDLE</t>
    </r>
    <r>
      <rPr>
        <vertAlign val="subscript"/>
        <sz val="11"/>
        <rFont val="Calibri"/>
        <family val="2"/>
        <scheme val="minor"/>
      </rPr>
      <t>Base</t>
    </r>
    <r>
      <rPr>
        <sz val="11"/>
        <rFont val="Calibri"/>
        <family val="2"/>
        <scheme val="minor"/>
      </rPr>
      <t xml:space="preserve"> </t>
    </r>
  </si>
  <si>
    <t xml:space="preserve">Idle energy rate (Btu/hr) of baseline gas oven </t>
  </si>
  <si>
    <t>idle energy rate of energy STAR gas oven in convection mode</t>
  </si>
  <si>
    <t>Formula '= 150*P + 5,425</t>
  </si>
  <si>
    <r>
      <t>GasPC</t>
    </r>
    <r>
      <rPr>
        <vertAlign val="subscript"/>
        <sz val="12"/>
        <rFont val="Calibri"/>
        <family val="2"/>
        <scheme val="minor"/>
      </rPr>
      <t>EE</t>
    </r>
  </si>
  <si>
    <t xml:space="preserve">Production capacity (lbs/hr) of ENERGY STAR gas oven </t>
  </si>
  <si>
    <t xml:space="preserve"> Custom of if unknown, use values from table below; which is a table from TRM V5</t>
  </si>
  <si>
    <r>
      <t>GasPC</t>
    </r>
    <r>
      <rPr>
        <vertAlign val="subscript"/>
        <sz val="12"/>
        <rFont val="Calibri"/>
        <family val="2"/>
        <scheme val="minor"/>
      </rPr>
      <t>Base</t>
    </r>
  </si>
  <si>
    <t xml:space="preserve">Production capacity (lbs/hr) of baseline gas oven </t>
  </si>
  <si>
    <t>Custom of if unknown, use values from table below</t>
  </si>
  <si>
    <r>
      <t>GasIDLE</t>
    </r>
    <r>
      <rPr>
        <vertAlign val="subscript"/>
        <sz val="11"/>
        <rFont val="Calibri"/>
        <family val="2"/>
        <scheme val="minor"/>
      </rPr>
      <t>SteamEE</t>
    </r>
  </si>
  <si>
    <t>Formula: = 200* P +6511</t>
  </si>
  <si>
    <t>Conversion factor from Btu to therms</t>
  </si>
  <si>
    <t>Percentage of time in convection mode</t>
  </si>
  <si>
    <t>Custom , or if unknown, use  = 50%; 50% is a value from TRM V5</t>
  </si>
  <si>
    <t>TRM Algorithm = 1-%conv</t>
  </si>
  <si>
    <t>Percentage of time in steam mode</t>
  </si>
  <si>
    <t>Formula from TRM V5: = 1 - %conv</t>
  </si>
  <si>
    <t>Average daily hours of operation</t>
  </si>
  <si>
    <t>Custom , or if unknown, use  = 12 hours</t>
  </si>
  <si>
    <t>Custom, or if unknown, use 365 days per year as defined in TRM V5</t>
  </si>
  <si>
    <t>Table for Variable GasEFF</t>
  </si>
  <si>
    <t>Number of Pans for Permutation</t>
  </si>
  <si>
    <t>GasIDLESteamEE</t>
  </si>
  <si>
    <t>Result for Algorithm</t>
  </si>
  <si>
    <r>
      <t>Table for Variable GasPC</t>
    </r>
    <r>
      <rPr>
        <vertAlign val="subscript"/>
        <sz val="12"/>
        <color theme="0"/>
        <rFont val="Calibri"/>
        <family val="2"/>
        <scheme val="minor"/>
      </rPr>
      <t>Base</t>
    </r>
  </si>
  <si>
    <t>Base</t>
  </si>
  <si>
    <t>EE</t>
  </si>
  <si>
    <t>=200*P+6511</t>
  </si>
  <si>
    <t>Pan Capacity</t>
  </si>
  <si>
    <r>
      <t>Convection Mode (GasPC</t>
    </r>
    <r>
      <rPr>
        <b/>
        <vertAlign val="subscript"/>
        <sz val="10"/>
        <color theme="0"/>
        <rFont val="Calibri"/>
        <family val="2"/>
      </rPr>
      <t>ConvBase</t>
    </r>
    <r>
      <rPr>
        <b/>
        <sz val="10"/>
        <color theme="0"/>
        <rFont val="Calibri"/>
        <family val="2"/>
      </rPr>
      <t>)</t>
    </r>
  </si>
  <si>
    <r>
      <t>GasEFF</t>
    </r>
    <r>
      <rPr>
        <vertAlign val="subscript"/>
        <sz val="10"/>
        <rFont val="Calibri"/>
        <family val="2"/>
      </rPr>
      <t>Conv</t>
    </r>
    <r>
      <rPr>
        <strike/>
        <u/>
        <sz val="10"/>
        <color rgb="FFFF0000"/>
        <rFont val="Calibri"/>
        <family val="2"/>
      </rPr>
      <t/>
    </r>
  </si>
  <si>
    <t>&lt; 15</t>
  </si>
  <si>
    <r>
      <t>GasEFF</t>
    </r>
    <r>
      <rPr>
        <vertAlign val="subscript"/>
        <sz val="10"/>
        <rFont val="Calibri"/>
        <family val="2"/>
      </rPr>
      <t>Steam</t>
    </r>
    <r>
      <rPr>
        <strike/>
        <u/>
        <sz val="10"/>
        <color rgb="FFFF0000"/>
        <rFont val="Calibri"/>
        <family val="2"/>
      </rPr>
      <t/>
    </r>
  </si>
  <si>
    <t>15-30</t>
  </si>
  <si>
    <t>&gt;30</t>
  </si>
  <si>
    <t>GasIDLEConvEE</t>
  </si>
  <si>
    <t>&lt;15</t>
  </si>
  <si>
    <t>=150*P+5425</t>
  </si>
  <si>
    <r>
      <t>Table for Variable GasIDLE</t>
    </r>
    <r>
      <rPr>
        <vertAlign val="subscript"/>
        <sz val="12"/>
        <color theme="0"/>
        <rFont val="Calibri"/>
        <family val="2"/>
        <scheme val="minor"/>
      </rPr>
      <t>Base</t>
    </r>
  </si>
  <si>
    <r>
      <t>Convection Mode (</t>
    </r>
    <r>
      <rPr>
        <b/>
        <sz val="10"/>
        <color theme="0"/>
        <rFont val="Times New Roman"/>
        <family val="1"/>
      </rPr>
      <t>Gas</t>
    </r>
    <r>
      <rPr>
        <b/>
        <sz val="10"/>
        <color theme="0"/>
        <rFont val="Calibri"/>
        <family val="2"/>
      </rPr>
      <t>IDLE</t>
    </r>
    <r>
      <rPr>
        <b/>
        <vertAlign val="subscript"/>
        <sz val="10"/>
        <color theme="0"/>
        <rFont val="Calibri"/>
        <family val="2"/>
      </rPr>
      <t>ConvBase</t>
    </r>
    <r>
      <rPr>
        <b/>
        <strike/>
        <sz val="10"/>
        <color theme="0"/>
        <rFont val="Calibri"/>
        <family val="2"/>
      </rPr>
      <t>)</t>
    </r>
  </si>
  <si>
    <r>
      <t>Steam Mode (GasIDLE</t>
    </r>
    <r>
      <rPr>
        <b/>
        <vertAlign val="subscript"/>
        <sz val="10"/>
        <color theme="0"/>
        <rFont val="Calibri"/>
        <family val="2"/>
      </rPr>
      <t>SteamBase</t>
    </r>
    <r>
      <rPr>
        <b/>
        <strike/>
        <sz val="10"/>
        <color theme="0"/>
        <rFont val="Calibri"/>
        <family val="2"/>
      </rPr>
      <t>)</t>
    </r>
  </si>
  <si>
    <t>&gt; 30</t>
  </si>
  <si>
    <r>
      <t>Table for Variable GasPC</t>
    </r>
    <r>
      <rPr>
        <vertAlign val="subscript"/>
        <sz val="11"/>
        <color theme="0"/>
        <rFont val="Calibri"/>
        <family val="2"/>
        <scheme val="minor"/>
      </rPr>
      <t>EE</t>
    </r>
  </si>
  <si>
    <r>
      <t>Convection Mode (GasPC</t>
    </r>
    <r>
      <rPr>
        <b/>
        <vertAlign val="subscript"/>
        <sz val="10"/>
        <color theme="0"/>
        <rFont val="Calibri"/>
        <family val="2"/>
      </rPr>
      <t>ConvEE</t>
    </r>
    <r>
      <rPr>
        <b/>
        <strike/>
        <sz val="10"/>
        <color theme="0"/>
        <rFont val="Times New Roman"/>
        <family val="1"/>
      </rPr>
      <t>)</t>
    </r>
  </si>
  <si>
    <r>
      <t>Steam Mode (GasPC</t>
    </r>
    <r>
      <rPr>
        <b/>
        <vertAlign val="subscript"/>
        <sz val="10"/>
        <color theme="0"/>
        <rFont val="Calibri"/>
        <family val="2"/>
      </rPr>
      <t>SteamEE</t>
    </r>
    <r>
      <rPr>
        <b/>
        <strike/>
        <sz val="10"/>
        <color theme="0"/>
        <rFont val="Times New Roman"/>
        <family val="1"/>
      </rPr>
      <t>)</t>
    </r>
  </si>
  <si>
    <t>Conveyor Oven</t>
  </si>
  <si>
    <t>The baseline equipment is an existing pizza deck oven at end of life.</t>
  </si>
  <si>
    <t>To qualify for this measure the installed equipment must be a natural gas conveyor oven with a tested baking energy efficiency &gt; 42% and an idle energy consumption rate &lt; 57,000 Btu/hr utilizing ASTM standard F1817.</t>
  </si>
  <si>
    <t>ENERGY STAR Convection Oven</t>
  </si>
  <si>
    <t>ΔTherms = (ΔDailyIdle Energy + ΔDailyPreheat Energy + ΔDailyCooking Energy) * Days /100000</t>
  </si>
  <si>
    <t>ΔDailyIdleEnergy = (IdleBase* IdleBaseTime)- (IdleENERGYSTAR *  IdleENERGYSTARTime)</t>
  </si>
  <si>
    <t>ΔDailyPreheatEnergy = (PreHeatNumberBase * PreheatTimeBase / 60 * PreheatRateBase) – (PreheatNumberENERGYSTAR* PreheatTimeENERGYSTAR/60 * PreheatRateENERGYSTAR)</t>
  </si>
  <si>
    <t>ΔDailyCookingEnergy = (LB * EFOOD/ EffBase) - (LB * EFOOD/ EffENERGYSTAR)</t>
  </si>
  <si>
    <t>Additional TRM Algorithm</t>
  </si>
  <si>
    <t>ΔDailyIdleEnergy</t>
  </si>
  <si>
    <t>ΔDailyPreheatEnergy</t>
  </si>
  <si>
    <t>ΔDailyCookingEnergy</t>
  </si>
  <si>
    <t>Average Daily Operation (Hrs)</t>
  </si>
  <si>
    <t>custom or if unknown, use TRM Value of 12 hours</t>
  </si>
  <si>
    <t xml:space="preserve">Annual days of operation </t>
  </si>
  <si>
    <t>custom or if unknown, use TRM Value of 365.25 days a year</t>
  </si>
  <si>
    <t>LB</t>
  </si>
  <si>
    <t xml:space="preserve">Food cooked per day </t>
  </si>
  <si>
    <t>custom or if unknown, use TRM Value of 100 pounds</t>
  </si>
  <si>
    <t>EffENERGYSTAR</t>
  </si>
  <si>
    <t>Cooking Efficiency ENERGY STAR</t>
  </si>
  <si>
    <t>custom or if unknown, use TRM Value of 44%</t>
  </si>
  <si>
    <t>EffBase</t>
  </si>
  <si>
    <t xml:space="preserve">Cooking Efficiency Baseline </t>
  </si>
  <si>
    <t>custom or if unknown, use TRM Value of 30%</t>
  </si>
  <si>
    <t>PCENERGYSTAR</t>
  </si>
  <si>
    <t>Production Capacity ENERGY STAR (lbs/hr)</t>
  </si>
  <si>
    <t>custom or if unknown, use TRM Value of 80 pounds/hr</t>
  </si>
  <si>
    <t>PCBase</t>
  </si>
  <si>
    <t xml:space="preserve">Production Capacity base </t>
  </si>
  <si>
    <t>custom or if unknown, use TRM Value of 70 pounds/hr</t>
  </si>
  <si>
    <t>PreheatNumberENERGYSTAR</t>
  </si>
  <si>
    <t xml:space="preserve">Number of preheats per day </t>
  </si>
  <si>
    <t>custom or if unknown, use TRM Value of 1</t>
  </si>
  <si>
    <t>PreheatNumberBase</t>
  </si>
  <si>
    <t>PreheatTimeENERGYSTAR</t>
  </si>
  <si>
    <t>preheat length (mins)</t>
  </si>
  <si>
    <t>custom or if unknown, use TRM Value of 15 minutes</t>
  </si>
  <si>
    <t>PreheatTimeBase</t>
  </si>
  <si>
    <t>PreheatRateENERGYSTAR</t>
  </si>
  <si>
    <t>preheat energy rate high efficiency (btu/h)</t>
  </si>
  <si>
    <t>custom or if unknown, use TRM Value of 44000 btu/h</t>
  </si>
  <si>
    <t>PreheatRateBase</t>
  </si>
  <si>
    <t>preheat energy rate baseline</t>
  </si>
  <si>
    <t>custom or if unknown, use TRM Value of 76000 btu/h</t>
  </si>
  <si>
    <t xml:space="preserve">IdleENERGYSTAR </t>
  </si>
  <si>
    <t>Idle energy rate (btu/h)</t>
  </si>
  <si>
    <t>custom or if unknown, use TRM Value 13000 btu/h</t>
  </si>
  <si>
    <t>IdleBase</t>
  </si>
  <si>
    <t>custom or if unknown, use TRM Value 18000 btu/h</t>
  </si>
  <si>
    <t>IdleENERGYSTARTime</t>
  </si>
  <si>
    <t>ENERGY STAR Idle Time (Hrs)</t>
  </si>
  <si>
    <t>HOURsday-LB/PCENERGYSTAR –PreHeatTimeENERGYSTAR/60</t>
  </si>
  <si>
    <t>Using the TRM Inputs it would be, the equation would equal this</t>
  </si>
  <si>
    <t>IdleBaseTime</t>
  </si>
  <si>
    <t xml:space="preserve">BASE Idle Time </t>
  </si>
  <si>
    <t>HOURsday-LB/PCbase –PreHeatTimeBase/60</t>
  </si>
  <si>
    <t>EFOOD</t>
  </si>
  <si>
    <t>ASTM energy to food (btu/lb)</t>
  </si>
  <si>
    <t>The baseline equipment is a natural gas convection oven that is not ENERGY STAR certified and is at end of life.</t>
  </si>
  <si>
    <t>To qualify for this measure the installed equipment must be a natural gas convection oven with a cooking efficiency ≥ 44% utilizing ASTM standard 1496 and an idle energy consumption rate &lt; 13,000 Btu/hr</t>
  </si>
  <si>
    <t>ENERGY STAR Fryer</t>
  </si>
  <si>
    <t>ΔDailyIdleEnergy =(IdleBase* IdleBaseTime) – (IdleENERGYSTAR *  IdleENERGYSTARTime)</t>
  </si>
  <si>
    <t xml:space="preserve">Average Daily Operation </t>
  </si>
  <si>
    <t>custom or if unknown, use TRM Value of 16 hours</t>
  </si>
  <si>
    <t xml:space="preserve">LB </t>
  </si>
  <si>
    <t>custom or if unknown, use TRM Value of 150 pounds</t>
  </si>
  <si>
    <t xml:space="preserve">Cooking Efficiency ENERGY STAR </t>
  </si>
  <si>
    <t>custom or if unknown, use TRM Value of 50%</t>
  </si>
  <si>
    <t xml:space="preserve">EffBase </t>
  </si>
  <si>
    <t>custom or if unknown, use TRM Value of 35%</t>
  </si>
  <si>
    <t xml:space="preserve">PCENERGYSTAR </t>
  </si>
  <si>
    <t>custom or if unknown, use TRM Value of 65 pounds/hr</t>
  </si>
  <si>
    <t xml:space="preserve">PCBase </t>
  </si>
  <si>
    <t>Production Capacity Baseline (lbs/hr)</t>
  </si>
  <si>
    <t>custom or if unknown, use TRM Value of 60 pounds/hr</t>
  </si>
  <si>
    <t>Number of preheats per day  EnergyStar</t>
  </si>
  <si>
    <t>Number of preheats per day baseline</t>
  </si>
  <si>
    <t>preheat length EnergyStar (mins)</t>
  </si>
  <si>
    <t xml:space="preserve">PreheatTimeBase </t>
  </si>
  <si>
    <t>preheat length Baseline (mins)</t>
  </si>
  <si>
    <t>preheat energy rate high efficiency (btu/hr)</t>
  </si>
  <si>
    <t>custom or if unknown, use TRM Value of 62000 btu/h</t>
  </si>
  <si>
    <t>preheat energy rate baseline (btu/hr)</t>
  </si>
  <si>
    <t>custom or if unknown, use TRM Value of 64000 btu/h</t>
  </si>
  <si>
    <t>Idle energy rate EnergyStar (btu/hr)</t>
  </si>
  <si>
    <t>custom or if unknown, use TRM Value of 9000 btu/h</t>
  </si>
  <si>
    <t>Idle energy rate Baseline (btu/hr)</t>
  </si>
  <si>
    <t>custom or if unknown, use TRM Value of 14000 btu/h</t>
  </si>
  <si>
    <t xml:space="preserve">IdleENERGYSTARTime </t>
  </si>
  <si>
    <t>ENERGY STAR Idle Time (HOURsday-LB/PCENERGYSTAR –PreHeatTimeENERGYSTAR/60) (hrs)</t>
  </si>
  <si>
    <t>BASE Idle Time (HOURsday-LB/PCbase –PreHeatTimeBase/60) (hrs)</t>
  </si>
  <si>
    <t xml:space="preserve">EFOOD </t>
  </si>
  <si>
    <t>Deemed TRM Value of 570 btu/pound</t>
  </si>
  <si>
    <t>The baseline equipment is a natural gas fryer that is not ENERGY STAR certified at end of life.</t>
  </si>
  <si>
    <t>To qualify for this measure the installed equipment must be a natural gas fryer with a heavy load cooking efficiency ≥ 50% utilizing ASTM standard F1361 or F2144.</t>
  </si>
  <si>
    <t>Griddle Fuel Type</t>
  </si>
  <si>
    <t>ENERGY STAR Griddle</t>
  </si>
  <si>
    <t>Fast Food Expanded Menu</t>
  </si>
  <si>
    <t>C01-Commercial Electric Cooking</t>
  </si>
  <si>
    <t>ΔkWh = (ΔIdle Energy + ΔPreheat Energy + ΔCooking Energy) * Days /1000</t>
  </si>
  <si>
    <t>ΔDailyIdleEnergy =[ IdleBase * Width * Depth* (HOURSday-LB/ (PCBase*Width*Depth))) – (PreheatNumberBase* PreheatTimeBase/60)]- ((IdleENERGYSTAR * Width * Depth* (HOURSday-(LB/ PCENERGYSTAR*Width*Depth)) – (PreheatNumberENERGYSTAR* PreheatTimeENERGYSTAR/60]</t>
  </si>
  <si>
    <t>ΔDailyPreheatEnergy = (PreHeatNumberBase * PreheatTimeBase / 60 * PreheatRateBase * Width * Depth) – (PreheatNumberENERGYSTAR* PreheatTimeENERGYSTAR/60 * PreheatRateENERGYSTAR * Width * Depth)</t>
  </si>
  <si>
    <t>kW = ΔkWh/Hours * CF</t>
  </si>
  <si>
    <t>ΔTherms = (ΔIdle Energy + ΔPreheat Energy + ΔCooking Energy) * Days /100000</t>
  </si>
  <si>
    <t>Depth</t>
  </si>
  <si>
    <t xml:space="preserve">Days </t>
  </si>
  <si>
    <t>Food cooked per day (lb)</t>
  </si>
  <si>
    <t>Width</t>
  </si>
  <si>
    <t>Griddle Width (ft)</t>
  </si>
  <si>
    <t>custom or if unknown, use TRM Value of 3 feet</t>
  </si>
  <si>
    <t>Griddle Depth (ft)</t>
  </si>
  <si>
    <t>custom or if unknown, use TRM Value of  2 feet</t>
  </si>
  <si>
    <t xml:space="preserve">EffENERGYSTAR </t>
  </si>
  <si>
    <t>custom or if unknown, use TRM Value for gas of 38%</t>
  </si>
  <si>
    <t>custom or if unknown, use TRM Value for gas of 32%</t>
  </si>
  <si>
    <t>custom or if unknown, use TRM Value of 7.5 pounds/hr/sq ft</t>
  </si>
  <si>
    <t>Production Capacity Base (lbs/h)</t>
  </si>
  <si>
    <t>custom or if unknown, use TRM Value of 4.17 pounds/hr/sq ft</t>
  </si>
  <si>
    <t>preheat energy rate high efficiency (Electric = W/sq ft)
(Gas= btu/h/sf)</t>
  </si>
  <si>
    <t>custom or if unknown, use TRM Value of 10000 btu/h/sq ft</t>
  </si>
  <si>
    <t>preheat energy rate baseline (Electric= W/sq ft)
(Gas= btu/h/sf)</t>
  </si>
  <si>
    <t>custom or if unknown, use TRM Value of 14000 btu/h/sq ft</t>
  </si>
  <si>
    <t>IdleENERGYSTAR</t>
  </si>
  <si>
    <t>Idle energy rate (Electric= W/sq ft)
(Gas= btu/h/sf)</t>
  </si>
  <si>
    <t>custom or if unknown, use TRM Value of 2650 btu/h/sq ft</t>
  </si>
  <si>
    <t>Idle energy rate (Electric= W/sq ft), (Gas= btu/h/sf)</t>
  </si>
  <si>
    <t>custom or if unknown, use TRM Value of 3500 btu/h/sq ft</t>
  </si>
  <si>
    <t>ASTM energy to food (Electric= w/lb), (Gas= btu/lb)</t>
  </si>
  <si>
    <t>Deemed TRM Value if 475 for gas and 139 for electric</t>
  </si>
  <si>
    <t xml:space="preserve">Baseline Definition </t>
  </si>
  <si>
    <t>The baseline equipment is an existing natural gas or electric griddle that’s not ENERGY STAR certified and is at end of use.</t>
  </si>
  <si>
    <t>To qualify for this measure the installed equipment must be an ENERGY STAR natural gas or electric griddle with a tested heavy load cooking energy efficiency of 70 percent (electric) 38 percent (gas) or greater and an idle energy rate of 2,650 Btu/hr per square foot of cooking surface or less, utilizing ASTM F1275. The griddle must have an Idle Energy Consumption Rate &lt; 2,600 Btu/hr per square foot of cooking surface.</t>
  </si>
  <si>
    <t>Fast Food Limited Menu</t>
  </si>
  <si>
    <t>Full Service Limited Menu</t>
  </si>
  <si>
    <t>Full Service Expanded Menu</t>
  </si>
  <si>
    <t>Therm Savings</t>
  </si>
  <si>
    <t>This is a deemed TRM value equaling 1089 Therms</t>
  </si>
  <si>
    <t>Rack Oven - Double Oven</t>
  </si>
  <si>
    <t>Storage Water Heater</t>
  </si>
  <si>
    <t>Standby loss calculation</t>
  </si>
  <si>
    <t>Btu/h Size</t>
  </si>
  <si>
    <t>HotWaterUse</t>
  </si>
  <si>
    <r>
      <rPr>
        <b/>
        <sz val="9"/>
        <color theme="1"/>
        <rFont val="Calibri"/>
        <family val="2"/>
      </rPr>
      <t>ϒ</t>
    </r>
    <r>
      <rPr>
        <b/>
        <sz val="11"/>
        <color theme="1"/>
        <rFont val="Calibri"/>
        <family val="2"/>
      </rPr>
      <t>Water</t>
    </r>
  </si>
  <si>
    <t>Efbase</t>
  </si>
  <si>
    <t>Efeff</t>
  </si>
  <si>
    <t>Gallons</t>
  </si>
  <si>
    <t>BTU/therm</t>
  </si>
  <si>
    <r>
      <t>∆Therms</t>
    </r>
    <r>
      <rPr>
        <vertAlign val="subscript"/>
        <sz val="11"/>
        <color theme="1"/>
        <rFont val="Calibri"/>
        <family val="2"/>
      </rPr>
      <t>standby</t>
    </r>
  </si>
  <si>
    <t>Q</t>
  </si>
  <si>
    <t>V</t>
  </si>
  <si>
    <t>Sleff</t>
  </si>
  <si>
    <t>Slgasbase</t>
  </si>
  <si>
    <t>Input: 800</t>
  </si>
  <si>
    <t>Input: 110</t>
  </si>
  <si>
    <t>converts to btu/h</t>
  </si>
  <si>
    <t>Hours per Year</t>
  </si>
  <si>
    <t>4.3.1.1</t>
  </si>
  <si>
    <t>Gas, Standard, ≥0.67 EF</t>
  </si>
  <si>
    <t>50 gallons</t>
  </si>
  <si>
    <t>&lt;75,000</t>
  </si>
  <si>
    <t>4.3.1.3</t>
  </si>
  <si>
    <t>Gas,High Efficiency, ≥88% TE</t>
  </si>
  <si>
    <t>100 gallons</t>
  </si>
  <si>
    <t>&gt;75,000</t>
  </si>
  <si>
    <t>∆Therms</t>
  </si>
  <si>
    <t>For Gas Storage Water Heaters &gt; 75,000 Btu/h can claim additional savings due to lower standby losses</t>
  </si>
  <si>
    <t>Algorithm Input</t>
  </si>
  <si>
    <t>The expected measure life is assumed to be 15 years</t>
  </si>
  <si>
    <t>TRM Table of values</t>
  </si>
  <si>
    <t>Updated Savings based on TRM V5 Algorithm Change</t>
  </si>
  <si>
    <t>Estimated annual hot water consumption (gallons) ; Actual if possible to provide reasonable custom estimate. If not, two methodologies are provided to develop an estimate:</t>
  </si>
  <si>
    <t>Table of TRM inputs below</t>
  </si>
  <si>
    <t>Specific weight capacity of water (lb/gal)</t>
  </si>
  <si>
    <t>Deemed TRM Value based on lbs/gallon</t>
  </si>
  <si>
    <r>
      <t>Rated efficiency of baseline water heater expressed as Energy Factor (EF) or Thermal Efficiency (E</t>
    </r>
    <r>
      <rPr>
        <vertAlign val="subscript"/>
        <sz val="10"/>
        <color theme="1"/>
        <rFont val="Calibri"/>
        <family val="2"/>
        <scheme val="minor"/>
      </rPr>
      <t>t</t>
    </r>
    <r>
      <rPr>
        <sz val="10"/>
        <color theme="1"/>
        <rFont val="Calibri"/>
        <family val="2"/>
        <scheme val="minor"/>
      </rPr>
      <t xml:space="preserve">);  </t>
    </r>
  </si>
  <si>
    <t>Based on Table of TRM inputs below</t>
  </si>
  <si>
    <t>TRM algorithm to determine efficiency</t>
  </si>
  <si>
    <t>Standby Loss Savings Calculation</t>
  </si>
  <si>
    <t>This is a calculation based on nameplate input rating, rated volume in gallons</t>
  </si>
  <si>
    <t>Gas Storage Water Heaters &gt;75,000 Btu/h can claim additional savings due to lower standby losses.</t>
  </si>
  <si>
    <t>Based on Algorithm from TRM</t>
  </si>
  <si>
    <r>
      <t xml:space="preserve">This is added to the </t>
    </r>
    <r>
      <rPr>
        <sz val="11"/>
        <color theme="1"/>
        <rFont val="Calibri"/>
        <family val="2"/>
      </rPr>
      <t>∆</t>
    </r>
    <r>
      <rPr>
        <sz val="11"/>
        <color theme="1"/>
        <rFont val="Calibri"/>
        <family val="2"/>
        <scheme val="minor"/>
      </rPr>
      <t>Therm Algorithm for this larger units &gt;75,000 Btu/h</t>
    </r>
  </si>
  <si>
    <t>Nameplate input rating</t>
  </si>
  <si>
    <t>custom or actual based on the nameplate input rating in Btu/h</t>
  </si>
  <si>
    <t>Rate Volume in Gallons</t>
  </si>
  <si>
    <t>Custom or actual based on the rate volume of the tank</t>
  </si>
  <si>
    <t xml:space="preserve">Nameplate standby loss of new water heater, in BTU/h </t>
  </si>
  <si>
    <t>Conversion Inputs</t>
  </si>
  <si>
    <t>Hours per year - per TRM</t>
  </si>
  <si>
    <t>conversion factor per TRM</t>
  </si>
  <si>
    <t>Standby loss of gas baseline unit (Btu/h)</t>
  </si>
  <si>
    <r>
      <t>= Q/800 + 110</t>
    </r>
    <r>
      <rPr>
        <sz val="11"/>
        <color theme="1"/>
        <rFont val="Calibri"/>
        <family val="2"/>
      </rPr>
      <t>√</t>
    </r>
    <r>
      <rPr>
        <sz val="11"/>
        <color theme="1"/>
        <rFont val="Calibri"/>
        <family val="2"/>
        <scheme val="minor"/>
      </rPr>
      <t>V</t>
    </r>
  </si>
  <si>
    <t>Input from calculation above - from the TRM</t>
  </si>
  <si>
    <t xml:space="preserve">Effbase </t>
  </si>
  <si>
    <t>Equipment Type</t>
  </si>
  <si>
    <t>Sub Category</t>
  </si>
  <si>
    <t>Federal Standard Minimum Efficiency[1]</t>
  </si>
  <si>
    <t>Calculated values for Table</t>
  </si>
  <si>
    <t>Gas Storage Water Heaters</t>
  </si>
  <si>
    <t>≤55 gallon tanks</t>
  </si>
  <si>
    <t>≤ 75,000 Btu/h</t>
  </si>
  <si>
    <t xml:space="preserve">&gt;55 gallon tanks </t>
  </si>
  <si>
    <t>Tank Size for Electric Incremental Cost</t>
  </si>
  <si>
    <t>Savings (kWh)</t>
  </si>
  <si>
    <t>Savings (kW)</t>
  </si>
  <si>
    <t>&lt; 4000 Btu/h/gal</t>
  </si>
  <si>
    <t>&gt; 75,000 Btu/h</t>
  </si>
  <si>
    <t>80 gallons</t>
  </si>
  <si>
    <t>HotWater Use:</t>
  </si>
  <si>
    <t xml:space="preserve">Method 2. Consumption by Facility Size </t>
  </si>
  <si>
    <t>Category (Efficiency in Et)</t>
  </si>
  <si>
    <t>Install Cost</t>
  </si>
  <si>
    <t xml:space="preserve"> Method 1 - Consumption per water heater capacity '= Consumption/cap * Capacity</t>
  </si>
  <si>
    <t>HotWaterUse - Method 2</t>
  </si>
  <si>
    <t>Gas Storage Water Heaters ≤ 75,000 Btu/h, ≤55 Gallons</t>
  </si>
  <si>
    <t>Gallons hot water per unit per day</t>
  </si>
  <si>
    <t>Days per year</t>
  </si>
  <si>
    <t>Efficient</t>
  </si>
  <si>
    <t>Consumption/cap</t>
  </si>
  <si>
    <t>Small Office</t>
  </si>
  <si>
    <t>Gas Storage Water Heaters &gt; 75,000 Btu/h</t>
  </si>
  <si>
    <t>Large Office</t>
  </si>
  <si>
    <t>Fast Food Rest</t>
  </si>
  <si>
    <t>meal/day</t>
  </si>
  <si>
    <t>Sit-Down Rest</t>
  </si>
  <si>
    <t>Retail</t>
  </si>
  <si>
    <t>Jr High/High School</t>
  </si>
  <si>
    <t>Health</t>
  </si>
  <si>
    <t>Motel</t>
  </si>
  <si>
    <t>room</t>
  </si>
  <si>
    <t>Hotel</t>
  </si>
  <si>
    <t>Low Flow Faucet Aerators</t>
  </si>
  <si>
    <t>EPG_gas selector for Room Type</t>
  </si>
  <si>
    <t xml:space="preserve">%FossilDHW </t>
  </si>
  <si>
    <t>Usage</t>
  </si>
  <si>
    <t>Throttling Factor Base</t>
  </si>
  <si>
    <t>Throttling Factor Efficient</t>
  </si>
  <si>
    <t>4.3.2.1</t>
  </si>
  <si>
    <t>Fossil Fuel</t>
  </si>
  <si>
    <t>C02- Commercial Electric DHW</t>
  </si>
  <si>
    <t>4.3.2.2</t>
  </si>
  <si>
    <t>4.3.2.3</t>
  </si>
  <si>
    <r>
      <t>ΔkWh = %ElectricDHW</t>
    </r>
    <r>
      <rPr>
        <strike/>
        <sz val="10"/>
        <rFont val="Calibri"/>
        <family val="2"/>
        <scheme val="minor"/>
      </rPr>
      <t xml:space="preserve"> </t>
    </r>
    <r>
      <rPr>
        <sz val="10"/>
        <rFont val="Calibri"/>
        <family val="2"/>
        <scheme val="minor"/>
      </rPr>
      <t xml:space="preserve">  * ((GPM_base </t>
    </r>
    <r>
      <rPr>
        <sz val="10"/>
        <rFont val="Calibri"/>
        <family val="2"/>
        <scheme val="minor"/>
      </rPr>
      <t>- GPM_low)/GPM_base) * Usage *  EPG_electric * ISR</t>
    </r>
  </si>
  <si>
    <t>ΔkW  = (ΔkWh / Hours )* CF</t>
  </si>
  <si>
    <t>ΔTherms = %FossilDHW * ((GPM_base - GPM_low)/ GPM_base) * Usage * EPG_gas * ISR</t>
  </si>
  <si>
    <t>Δgallons = ((GPM_base - GPM_low) / GPM_base) *Usage * ISR</t>
  </si>
  <si>
    <t>Deemed TRM value. If Electric, 100%, if Fossil Fuel, 0%</t>
  </si>
  <si>
    <t>Average flow rate, in gallons per minute, of the baseline faucet “as-used”</t>
  </si>
  <si>
    <t>Deemed TRM Value of 1.39 or custom based on metering studies or if measured during DI</t>
  </si>
  <si>
    <t>Measured full throttle flow * 0.83 throttling factor</t>
  </si>
  <si>
    <t>Deemed TRM Value of 0.94 or custom based on metering studies or if measured during DI</t>
  </si>
  <si>
    <t>Rated full throttle flow * 0.95 throttling factor</t>
  </si>
  <si>
    <t>Lookup table based on whether Kitchen or Bath</t>
  </si>
  <si>
    <t>Energy per gallon of mixed water used by faucet (electric water heater)</t>
  </si>
  <si>
    <t>Where the TRM Calculation is: (8.33 * 1.0 * (WaterTemp - SupplyTemp)) / (RE_electric * 3412)</t>
  </si>
  <si>
    <t>Where the TRM Calculation is: (8.33 * 1.0 * (90 – 54.1)) / (0.98 * 3412)</t>
  </si>
  <si>
    <t>Where the TRM Calculation is: 0.0894 kWh/gal</t>
  </si>
  <si>
    <t>Where 8.33 is a value from the TRM: Specific weight of water (lbs/gallon)</t>
  </si>
  <si>
    <t>Where 1.0 is a value from the TRM: Heat Capacity of water (btu/lb-°F)</t>
  </si>
  <si>
    <t>TRM Value for WaterTemp = Assumed temperature of mixed water = 86F for Bath, 93F for Kitchen 91F for Unknown</t>
  </si>
  <si>
    <t>TRM Value for SupplyTemp = Assumed temperature of water entering building = 54.1°F</t>
  </si>
  <si>
    <t>TRM Value for RE_electric = Recovery efficiency of electric water heater
= 98%</t>
  </si>
  <si>
    <t>3412 = Converts Btu to kWh (Btu/kWh)</t>
  </si>
  <si>
    <t>In service rate of faucet aerators</t>
  </si>
  <si>
    <t>This is a deemed value from the TRM</t>
  </si>
  <si>
    <t>Used for kW calculation only</t>
  </si>
  <si>
    <t>Annual electric DHW recovery hours for faucet use</t>
  </si>
  <si>
    <t>(Usage * 0.545)/GPH</t>
  </si>
  <si>
    <t>Calculate if usage is custom, if using default usage use the tables from the TRM</t>
  </si>
  <si>
    <t>Gallons per hour recovery of electric water heater calculated for 85.9F temp rise (140-54.1), 98% recovery efficiency, and typical 12kW electric resistance storage tank.</t>
  </si>
  <si>
    <t>Dependent on building type, which is a deemed table of values from the TRM</t>
  </si>
  <si>
    <t>proportion of water heating supplied by fossil fuel heating</t>
  </si>
  <si>
    <t>Deemed Table of Values from the TRM where if Electric, 0% and if Fossil Fuel, 100%</t>
  </si>
  <si>
    <t>Using the same deemed TRM Values as described above =  (8.33 * 1.0 * (WaterTemp - SupplyTemp)) / (RE_gas * 100,000)</t>
  </si>
  <si>
    <t>Deemed TRM Value for RE_gas = Recovery efficiency of gas water heater = 67%</t>
  </si>
  <si>
    <t>Deemed TRM Value - 100,000 = Converts Btus to Therms (Btu/Therm)</t>
  </si>
  <si>
    <t>Results in deemed TRM value of 0.00446</t>
  </si>
  <si>
    <t>Will now be based on a lookup table for bath, kitchen or unknown</t>
  </si>
  <si>
    <t>TRM Value based on building type - for planning purposes , using a mix of building types</t>
  </si>
  <si>
    <t>Estimated usage of mixed water (mixture of hot water from water heater line and cold water line) per faucet (gallons per year)</t>
  </si>
  <si>
    <t>%Electric_DHW</t>
  </si>
  <si>
    <t>Gallons hot water per unit per day[1]</t>
  </si>
  <si>
    <t>Estimated % hot water from Faucets [2]</t>
  </si>
  <si>
    <t>Multiplier [3]</t>
  </si>
  <si>
    <t>Annual gallons mixed water per faucet</t>
  </si>
  <si>
    <t>Annual Recovery Hours</t>
  </si>
  <si>
    <t>Coincidence Factor</t>
  </si>
  <si>
    <t>(A)</t>
  </si>
  <si>
    <t>(B)</t>
  </si>
  <si>
    <t>(C)</t>
  </si>
  <si>
    <t>(D)</t>
  </si>
  <si>
    <t>(A*B*C*D)</t>
  </si>
  <si>
    <t xml:space="preserve">person </t>
  </si>
  <si>
    <t xml:space="preserve">employees per faucet </t>
  </si>
  <si>
    <t>meals per faucet</t>
  </si>
  <si>
    <t xml:space="preserve">meal/day </t>
  </si>
  <si>
    <t xml:space="preserve">employee </t>
  </si>
  <si>
    <t>employees per faucet</t>
  </si>
  <si>
    <t xml:space="preserve">students per faucet </t>
  </si>
  <si>
    <t>students per faucet</t>
  </si>
  <si>
    <t xml:space="preserve">patient </t>
  </si>
  <si>
    <t xml:space="preserve">Patients per faucet </t>
  </si>
  <si>
    <t xml:space="preserve">faucet per room </t>
  </si>
  <si>
    <t xml:space="preserve">room </t>
  </si>
  <si>
    <t>faucet per room</t>
  </si>
  <si>
    <t>Est. number of showers taken per day per showerhead</t>
  </si>
  <si>
    <t xml:space="preserve">%ElectricDHW </t>
  </si>
  <si>
    <t>NSPD</t>
  </si>
  <si>
    <t>ΔkWh = %ElectricDHW  * ((GPM_base * L_base - GPM_low * L_low) * NSPD * 365.25) * EPG_electric * ISR</t>
  </si>
  <si>
    <t>ΔTherms = %FossilDHW * ((GPM_base * L_base - GPM_low * L_low) * NSPD* 365.25) * EPG_gas * ISR</t>
  </si>
  <si>
    <t>Δgallons = ((GPM_base * L_base - GPM_low * L_low) * NSPD * 365.25  * ISR</t>
  </si>
  <si>
    <t>This is a deemed statement of values from the TRM where - 1 if electric DHW, 0 if fuel DHW, if unknown assume 16%</t>
  </si>
  <si>
    <t>Table of TRM Values below</t>
  </si>
  <si>
    <t>TRM gives 3 options for permutation values, 1.5, 1.75, 2. Table of these values are in the TRM.  Table of values for calculation is below</t>
  </si>
  <si>
    <t>Estimated number of showers taken per day for one showerhead</t>
  </si>
  <si>
    <t>Note, this is an assumption. The value of 1 is not given by the TRM</t>
  </si>
  <si>
    <t>Calculation of Energy per gallon of hot water supplied by electric</t>
  </si>
  <si>
    <t>Where the TRM Calculation is: (8.33 * 1.0 * (ShowerTemp - SupplyTemp)) / (RE_electric * 3412)</t>
  </si>
  <si>
    <t>Where the TRM Calculation is: (8.33 * 1.0 * (105 – 54.1)) / (0.98 * 3412)</t>
  </si>
  <si>
    <t>Calculation value from the TRM: 0.127kWh/gal</t>
  </si>
  <si>
    <t>Deemed TRM Value for ShowerTemp = Assumed temperature of water = 105</t>
  </si>
  <si>
    <t>Deemed TRM Value for RE_electric = Recovery efficiency of electric water heater
= 98%</t>
  </si>
  <si>
    <t>Calculation example from the TRM: ((GPM_base * L_base) *NSPD * 365.25 ) * 0.773 / GPH</t>
  </si>
  <si>
    <t>Where the TRM Deems Gallons per hour recovery of electric water heater calculated for 65.9F temp rise (120-54.1), 98% recovery efficiency, and typical 4.5kW electric resistance storage tank. 
= 27.51</t>
  </si>
  <si>
    <t>Where 0.773 is 77.3% is the proportion of hot 120F water mixed with 54.1°F supply water to give 105°F shower water.  This is a deemed TRM Value</t>
  </si>
  <si>
    <t>This is a deemed statement of values from the TRM where - 0 if electric DHW, 1 if fuel DHW, if unknown assume 84%</t>
  </si>
  <si>
    <t>Where the TRM calculations is (8.33 * 1.0 * (ShowerTemp - SupplyTemp)) / (RE_gas * 100,000)</t>
  </si>
  <si>
    <t>Where the TRM Deems the RE_gas = Recovery efficiency of gas water heater = 67%</t>
  </si>
  <si>
    <t>100,000 = Converts Btus to Therms (btu/Therm - from the TRM</t>
  </si>
  <si>
    <t>DHW</t>
  </si>
  <si>
    <t>Commercial Pool Covers</t>
  </si>
  <si>
    <t>Incremental Cost Source</t>
  </si>
  <si>
    <t>Ave. Pool Size</t>
  </si>
  <si>
    <t>Savings Factor</t>
  </si>
  <si>
    <t>Water Savings Factor</t>
  </si>
  <si>
    <t>4.3.4.1</t>
  </si>
  <si>
    <t>4.3.4.2</t>
  </si>
  <si>
    <t>ΔTherms = SavingFactor x Size of Pool</t>
  </si>
  <si>
    <t>Δgallons = WaterSavingFactor x Size of Pool</t>
  </si>
  <si>
    <t>Size of pool</t>
  </si>
  <si>
    <t>Custom input; for planning values assuming a value of 1,000 sqft</t>
  </si>
  <si>
    <t>WaterSavingFactor</t>
  </si>
  <si>
    <t>Table of Values from the TRM listed below</t>
  </si>
  <si>
    <t>Deemed TRM Value: The useful life of this measure is assumed to be 6 years</t>
  </si>
  <si>
    <t>For indoor pools, the base case is an uncovered indoor pool that operates all year.</t>
  </si>
  <si>
    <t>For outdoor pools, the base case is an outdoor pool that is uncovered and is open through the summer season.</t>
  </si>
  <si>
    <t>For indoor pools, the efficient case is the installation of an indoor pool cover with a 5 year warranty on an indoor pool that operates all year.</t>
  </si>
  <si>
    <t>For outdoor pools, the efficient case is the installation of an outdoor pool cover with a 5 year warranty on an outdoor pool that is open through the summer season.</t>
  </si>
  <si>
    <t>Incremental Cost Table</t>
  </si>
  <si>
    <t>Cover Size (sq. ft.) greater than</t>
  </si>
  <si>
    <t>Edge Style</t>
  </si>
  <si>
    <t>Hemmed</t>
  </si>
  <si>
    <t>Weighted</t>
  </si>
  <si>
    <t>Lookup Table for Incremental Cost</t>
  </si>
  <si>
    <t>Location (Chicago)</t>
  </si>
  <si>
    <t>Therm / sq-ft</t>
  </si>
  <si>
    <t>Annual Savings Gal / sq-ft</t>
  </si>
  <si>
    <t>Lbs</t>
  </si>
  <si>
    <t>HP</t>
  </si>
  <si>
    <t>Hpconversion</t>
  </si>
  <si>
    <t>%water_savings</t>
  </si>
  <si>
    <t>Lbs-capacity</t>
  </si>
  <si>
    <t>Thermbaseline</t>
  </si>
  <si>
    <t>WHE</t>
  </si>
  <si>
    <t>Wutiliz</t>
  </si>
  <si>
    <t>Wusage_hot</t>
  </si>
  <si>
    <t>%hot_water_savings</t>
  </si>
  <si>
    <t>Wusage</t>
  </si>
  <si>
    <t>Clothes washers</t>
  </si>
  <si>
    <t>C53-Flat</t>
  </si>
  <si>
    <t>Δgallons = Wusage * Wutiliz * %water_savings</t>
  </si>
  <si>
    <t>ΔkWhpump = HP * Hpconversion * Hours * %water_savings</t>
  </si>
  <si>
    <t>ΔTherms = Thermbaseline * %hot_water_savings</t>
  </si>
  <si>
    <t>Brake horsepower of boiler feed water pump</t>
  </si>
  <si>
    <t>Actual or use deemed TRM Value of 5 HP if unknown</t>
  </si>
  <si>
    <t>HPCONVERSION</t>
  </si>
  <si>
    <t>Conversion from Horsepower to Kilowatt  - deemed TRM value of 0.746</t>
  </si>
  <si>
    <t>Actual associated boiler feed water pump hours or use deemed TRM value of 800 hours if unknown</t>
  </si>
  <si>
    <t>= water reduction factor: how much more efficient an ozone injection washing machine is compared to a typical conventional washing machine as a rate of hot and cold water reduction. Deemed TRM Value at = 25%</t>
  </si>
  <si>
    <t>Lbs-Capacity</t>
  </si>
  <si>
    <t>Average Capacity in lbs of washer</t>
  </si>
  <si>
    <t>ThermBaseline</t>
  </si>
  <si>
    <t>Annual Baseline Gas Consumption</t>
  </si>
  <si>
    <t>WHE * WUtiliz * WUsage_hot</t>
  </si>
  <si>
    <t>Where WHE is a deemed TRM Value = water heating energy: energy required to heat the hot water used = 0.00885 therm/gallon</t>
  </si>
  <si>
    <t>Where WUsage_hot is a deemed TRM Value = hot water usage factor: how much hot water a typical conventional washing machine utilizes, normalized per pounds of clothes washed = 1.19 gallons/lbs laundry</t>
  </si>
  <si>
    <t>Where %hot_water is a Deemed TRM Value = hot water reduction factor: how much more efficient an ozone injection washing machine is, compared to a typical conventional washing machine, as a rate of hot water reduction = 81%</t>
  </si>
  <si>
    <t>Default per lb capacity</t>
  </si>
  <si>
    <t>Where ΔTherm = ThermBaseline * %hot_water_savings</t>
  </si>
  <si>
    <t>= 9648 * 0.81 which is equal to 7815</t>
  </si>
  <si>
    <t>ΔTherm / lb-capacity = 7815 / 254.38</t>
  </si>
  <si>
    <t>Round value calculation from Deemed TRM values as described above</t>
  </si>
  <si>
    <t>The measure equipment effective useful life (EUL) is estimated at 10 years based on typical lifetime of the ozone generator’s corona discharge unit.</t>
  </si>
  <si>
    <t>Process Boiler Tune-up</t>
  </si>
  <si>
    <t>Combustion Efficiency Before Tune Up</t>
  </si>
  <si>
    <t>Combustion Efficiency After Tune Up</t>
  </si>
  <si>
    <t>UF</t>
  </si>
  <si>
    <r>
      <t>Eff</t>
    </r>
    <r>
      <rPr>
        <vertAlign val="subscript"/>
        <sz val="11"/>
        <color theme="1"/>
        <rFont val="Calibri"/>
        <family val="2"/>
        <scheme val="minor"/>
      </rPr>
      <t>pre</t>
    </r>
  </si>
  <si>
    <r>
      <t>Eff</t>
    </r>
    <r>
      <rPr>
        <vertAlign val="subscript"/>
        <sz val="11"/>
        <color theme="1"/>
        <rFont val="Calibri"/>
        <family val="2"/>
        <scheme val="minor"/>
      </rPr>
      <t>measured</t>
    </r>
  </si>
  <si>
    <r>
      <t>Δtherms= ((Ngi* 8766 * UF)/100)*(1-(Eff</t>
    </r>
    <r>
      <rPr>
        <vertAlign val="subscript"/>
        <sz val="10"/>
        <rFont val="Calibri"/>
        <family val="2"/>
        <scheme val="minor"/>
      </rPr>
      <t>pre</t>
    </r>
    <r>
      <rPr>
        <sz val="10"/>
        <rFont val="Calibri"/>
        <family val="2"/>
        <scheme val="minor"/>
      </rPr>
      <t>/Eff</t>
    </r>
    <r>
      <rPr>
        <vertAlign val="subscript"/>
        <sz val="10"/>
        <rFont val="Calibri"/>
        <family val="2"/>
        <scheme val="minor"/>
      </rPr>
      <t>measured</t>
    </r>
    <r>
      <rPr>
        <sz val="10"/>
        <rFont val="Calibri"/>
        <family val="2"/>
        <scheme val="minor"/>
      </rPr>
      <t>))</t>
    </r>
  </si>
  <si>
    <t>this is  custom input</t>
  </si>
  <si>
    <t>Utilization Factor</t>
  </si>
  <si>
    <t xml:space="preserve">Deemed TRM Value of 41.9 or custom </t>
  </si>
  <si>
    <t xml:space="preserve">Boiler Combustion Efficiency Before Tune-Up </t>
  </si>
  <si>
    <t xml:space="preserve">Boiler Combustion Efficiency After Tune-Up </t>
  </si>
  <si>
    <t>The life of this measure is 3 years</t>
  </si>
  <si>
    <t>this is a deemed TRM Value</t>
  </si>
  <si>
    <t>A Boiler that has not had a tune up in the last 3 years</t>
  </si>
  <si>
    <t>A boiler that gets the tune up</t>
  </si>
  <si>
    <t>Condensing Unit Heaters</t>
  </si>
  <si>
    <t>Other HVAC</t>
  </si>
  <si>
    <t>The annual natural gas energy savings from this measure is a deemed value equaling 266 Therms</t>
  </si>
  <si>
    <t>Program Types</t>
  </si>
  <si>
    <t xml:space="preserve">Infrared Heaters (all sizes), Low Intensity </t>
  </si>
  <si>
    <t>The annual natural gas energy savings from this measure is a deemed value equaling 451Therms</t>
  </si>
  <si>
    <t>Days of operation per year</t>
  </si>
  <si>
    <t>Custom or if unknown, use values from table belowEIdleBaseNG = idle energy rate of natural gas baseline unit</t>
  </si>
  <si>
    <t>idle energy rate of energy STAR gas oven in steam modeEIdleSteamEENG = idle energy rate of natural gas efficient unit in steam mode</t>
  </si>
  <si>
    <r>
      <t>Steam M</t>
    </r>
    <r>
      <rPr>
        <b/>
        <strike/>
        <sz val="10"/>
        <color theme="0"/>
        <rFont val="Calibri"/>
        <family val="2"/>
      </rPr>
      <t>o</t>
    </r>
    <r>
      <rPr>
        <b/>
        <sz val="10"/>
        <color theme="0"/>
        <rFont val="Calibri"/>
        <family val="2"/>
      </rPr>
      <t>de (GasPC</t>
    </r>
    <r>
      <rPr>
        <b/>
        <vertAlign val="subscript"/>
        <sz val="10"/>
        <color theme="0"/>
        <rFont val="Calibri"/>
        <family val="2"/>
      </rPr>
      <t>SteamBase</t>
    </r>
    <r>
      <rPr>
        <b/>
        <strike/>
        <sz val="10"/>
        <color theme="0"/>
        <rFont val="Calibri"/>
        <family val="2"/>
      </rPr>
      <t>)</t>
    </r>
  </si>
  <si>
    <t>Table for Variable Lbs</t>
  </si>
  <si>
    <t>Deemed Table of Values from the TRM based on the Number of Pans</t>
  </si>
  <si>
    <t>Deemed Value from TRM if Custom. If unknown, use 100 lbs/Day</t>
  </si>
  <si>
    <t>Deemed Table of Values in the TRM based on CEE Tier</t>
  </si>
  <si>
    <t>Algorithm Inputs below</t>
  </si>
  <si>
    <r>
      <t>Rated efficiency of efficient water heater expressed as Energy Factor (EF) or Thermal Efficiency (E</t>
    </r>
    <r>
      <rPr>
        <vertAlign val="subscript"/>
        <sz val="10"/>
        <color theme="1"/>
        <rFont val="Calibri"/>
        <family val="2"/>
        <scheme val="minor"/>
      </rPr>
      <t>t</t>
    </r>
    <r>
      <rPr>
        <sz val="10"/>
        <color theme="1"/>
        <rFont val="Calibri"/>
        <family val="2"/>
        <scheme val="minor"/>
      </rPr>
      <t>) TRM algorithm to determine the rate efficiency</t>
    </r>
  </si>
  <si>
    <t>Algorithm inputs</t>
  </si>
  <si>
    <t>Laminar</t>
  </si>
  <si>
    <t>Deemed table of TRM Values.  TRM also states that this is based on the building type. Or deem the value at 56</t>
  </si>
  <si>
    <t>Deemed TRM Value for SupplyTemp = Assumed temperature of water entering house = 54.1°F</t>
  </si>
  <si>
    <t>Dependent on program delivery method as listed in table below: Direct Install - Deemed</t>
  </si>
  <si>
    <t>dependent on pool location and is part of table of deemed TRM values based on location</t>
  </si>
  <si>
    <t>Water savings for this measure dependent on pool location and is part of table of deemed TRM values based on location</t>
  </si>
  <si>
    <t>Savings factor = dependent on pool location and listed in table below</t>
  </si>
  <si>
    <t>WaterSavingFactor = Water savings for this measure dependent on pool location and listed in table below.</t>
  </si>
  <si>
    <t>Where Wutiliz is a deemed TRM Value = washer utilization factor: the annual pounds of clothes washed per year  = actual, if unknown use 916,150 lbs laundry237, approximately equivalent to 13 cycles/day</t>
  </si>
  <si>
    <t>Actual Incremental Cost</t>
  </si>
  <si>
    <t>Baseline Boiler Efficiency Rating, dependent on year and boiler type. Baseline efficiency values by boiler type and capacity are found in the Definition of Baseline Equipment Section</t>
  </si>
  <si>
    <t>Efficient Boiler Efficiency Rating use actual value</t>
  </si>
  <si>
    <t xml:space="preserve">Custom climate zone weights </t>
  </si>
  <si>
    <t>Baseline Furnace Annual Fuel Utilization Efficiency Rating, dependent on year</t>
  </si>
  <si>
    <t>Efficient Furnace Annual Fuel Utilization Efficiency Rating.</t>
  </si>
  <si>
    <t>*Note, unknown is a weighted average</t>
  </si>
  <si>
    <t xml:space="preserve">Table of deemed values from the TRM - but can Calculate where possible using 3E Plusv4.0 software. For defaults </t>
  </si>
  <si>
    <t>This weighted average results in a custom input calculation in the table below</t>
  </si>
  <si>
    <t>The TRM has a table of Deemed Values. Currently using a weighted average.</t>
  </si>
  <si>
    <t xml:space="preserve">ΔTherm </t>
  </si>
  <si>
    <t xml:space="preserve">custom - Table of inputs </t>
  </si>
  <si>
    <t>Custom Input</t>
  </si>
  <si>
    <t>Gas High Efficiency Boiler</t>
  </si>
  <si>
    <t>EFF Measure Type</t>
  </si>
  <si>
    <t>Gas_Boiler_Load</t>
  </si>
  <si>
    <t>June 2013 onwards</t>
  </si>
  <si>
    <t>5.3.6.2</t>
  </si>
  <si>
    <t>Estimate of annual household Load for gas boiler heated single-family homes</t>
  </si>
  <si>
    <t>If location is unknown, assume the average below or Actual if informed by site-specific load calculations, ACCA Manual J or equivalent</t>
  </si>
  <si>
    <t xml:space="preserve">Baseline Boiler Annual Fuel Utilization Efficiency Rating </t>
  </si>
  <si>
    <t>Actual. If unknown, use defaults dependent on tier as listed in Table of Deemed TRM Values</t>
  </si>
  <si>
    <t>Early replacement: Remaining life of existing equipment is assumed to be 8 years</t>
  </si>
  <si>
    <t>Deemed values from the TRM</t>
  </si>
  <si>
    <t>Incr. Install Cost</t>
  </si>
  <si>
    <t>AFUE 825</t>
  </si>
  <si>
    <t>AFUE 85% (Energy Star)</t>
  </si>
  <si>
    <t>AFUE (base)</t>
  </si>
  <si>
    <t>Per TRM V5: Early Replacement: The full installation cost is provided in the table above. The assumed deferred cost (after 8 years) of replacing existing equipment with a new baseline unit is assumed to be $4,045 . This cost should be discounted to present value using the utilities' discount rate.</t>
  </si>
  <si>
    <t>PER TRM V5 TRM Deems this value at 82%; no longer dependent on program year</t>
  </si>
  <si>
    <t>Efficient Boiler Annual Fuel Utilization Efficiency Rating</t>
  </si>
  <si>
    <t>Key</t>
  </si>
  <si>
    <t>MultiFamily</t>
  </si>
  <si>
    <t>5.4.4.1</t>
  </si>
  <si>
    <t>5.4.4.2</t>
  </si>
  <si>
    <t>5.4.4.3</t>
  </si>
  <si>
    <t>5.4.4.4</t>
  </si>
  <si>
    <t>5.4.4.5</t>
  </si>
  <si>
    <t>5.4.4.6</t>
  </si>
  <si>
    <t>ΔkWh= %ElectricDHW  * ((GPM_base * L_base - GPM_low * L_low) * Household * 365.25 *DF / FPH) * EPG_electric * ISR</t>
  </si>
  <si>
    <t>ΔkW  = ΔkWh / Hours * CF</t>
  </si>
  <si>
    <t>ΔTherms = %FossilDHW * ((GPM_base * L_base - GPM_low * L_low) * Household * 365.25 *DF / FPH) * EPG_gas * ISR</t>
  </si>
  <si>
    <t>Δgallons = ((GPM_base * L_base - GPM_low * L_low) * Household * 365.25 *DF / FPH) * ISR</t>
  </si>
  <si>
    <t>Average flow rate, in gallons per minute, of the baseline faucet “as-used.” This includes the effect of existing low flow fixtures and therefore the freerider rate for this measure should be 0</t>
  </si>
  <si>
    <t>Deemed TRM Value of 1.39 or custom based on metering studies or if measured during DI = measured full throttle flow*0.83 throttling factor</t>
  </si>
  <si>
    <t>Deemed TRM Value of 0.94 or custom based on metering studies or if measured during DI = rated full throttle flow *0.95 throttling factor</t>
  </si>
  <si>
    <t>Average baseline length faucet use per capita for all faucets min/person/day</t>
  </si>
  <si>
    <t>if available custom based on metering studies, if not use table of Deemed TRM values</t>
  </si>
  <si>
    <t>Average retrofit length faucet use per capita for all faucets</t>
  </si>
  <si>
    <t>Days in a year</t>
  </si>
  <si>
    <t>Days in a year, on average.</t>
  </si>
  <si>
    <t>Drain Factor</t>
  </si>
  <si>
    <t>Deemed Table of TRM values based on kitchen, bath, or unknown</t>
  </si>
  <si>
    <t xml:space="preserve">Deemed Table of TRM values </t>
  </si>
  <si>
    <t>Energy per gallon of water used by faucet supplied by electric water heater</t>
  </si>
  <si>
    <t>Calculation continue - (8.33 * 1.0 * (86 – 54.1)) / (0.98 * 3412)</t>
  </si>
  <si>
    <t>Values from the TRM based on the inputs described: 0.0795 kWh/gal (Bath), 0.0969 kWh/gal (Kitchen), 0.0919 kWh/gal (Unknown)</t>
  </si>
  <si>
    <t>Where the TRM deems WaterTemp = Assumed temperature of mixed water 86F for Bath, 93F for Kitchen 91F for Unknown</t>
  </si>
  <si>
    <t>Where the TRM Deems RE_electric = Recovery efficiency of electric water heater = 98%</t>
  </si>
  <si>
    <t>Annual electric DHW recovery hours for faucet use per faucet</t>
  </si>
  <si>
    <t>Deemed table of values from the TRM based on a calculation of the following equation: ((GPM_base * L_base) * Household/FPH * 365.25 * DF ) * 0.545 / GPH</t>
  </si>
  <si>
    <t>deemed value from the TRM</t>
  </si>
  <si>
    <t>Energy per gallon of Hot water supplied by gas (Therms/gal)</t>
  </si>
  <si>
    <t>Where the TRM calculation is - (8.33 * 1.0 * (WaterTemp - SupplyTemp)) / (RE_gas * 100,000)</t>
  </si>
  <si>
    <t>RE_gas = Recovery efficiency of gas water heater</t>
  </si>
  <si>
    <t>The expected measure life is assumed to be 9 years</t>
  </si>
  <si>
    <t>FPH (Single Family)</t>
  </si>
  <si>
    <t>FPH (Multi Family)</t>
  </si>
  <si>
    <t>Avg # of people</t>
  </si>
  <si>
    <t>Actual Occ. or  No of Bdrms</t>
  </si>
  <si>
    <t>Faucet location</t>
  </si>
  <si>
    <t>Hours per faucet</t>
  </si>
  <si>
    <t>EPG Gas</t>
  </si>
  <si>
    <t>L_Base and L_Low</t>
  </si>
  <si>
    <t>KITS</t>
  </si>
  <si>
    <t>Table from TRM for ISR</t>
  </si>
  <si>
    <t>Selection</t>
  </si>
  <si>
    <t>DISingle FamilyBath</t>
  </si>
  <si>
    <t>Direct Install - Single Family</t>
  </si>
  <si>
    <t>DISingle FamilyKitchen</t>
  </si>
  <si>
    <t>DIMultifamilyKitchen</t>
  </si>
  <si>
    <t>Direct Install – Multi Family Kitchen</t>
  </si>
  <si>
    <t>DIMultifamilyBath</t>
  </si>
  <si>
    <t>Direct Install – Multi Family Bathroom</t>
  </si>
  <si>
    <t>Efficiency Kits</t>
  </si>
  <si>
    <t>Efficiency Kit Bathroom Aerator</t>
  </si>
  <si>
    <t>Efficiency Kit Kitchen Aerator</t>
  </si>
  <si>
    <t>Distributed School Efficiency Kit Aerator</t>
  </si>
  <si>
    <t>Where the TRM calculation is: (8.33 * 1.0 * (WaterTemp - SupplyTemp)) / (RE_electric * 3412)</t>
  </si>
  <si>
    <t xml:space="preserve">In service rate of faucet aerators dependent on install method </t>
  </si>
  <si>
    <t xml:space="preserve">In service rate of faucet aerators dependent on install method as listed and deemed in the TRM </t>
  </si>
  <si>
    <t>Actual Occupy or No of Bdrms</t>
  </si>
  <si>
    <r>
      <t>Efficiency K</t>
    </r>
    <r>
      <rPr>
        <sz val="10"/>
        <rFont val="Calibri"/>
        <family val="2"/>
        <scheme val="minor"/>
      </rPr>
      <t>its--One showerhead kit</t>
    </r>
  </si>
  <si>
    <t>Water Heater Temperature Setback</t>
  </si>
  <si>
    <t>Unit Type</t>
  </si>
  <si>
    <t>Tank Capacity</t>
  </si>
  <si>
    <t>RE gas</t>
  </si>
  <si>
    <t>R03- Residential Electric DHW</t>
  </si>
  <si>
    <t>5.4.6.1</t>
  </si>
  <si>
    <t>5.4.6.2</t>
  </si>
  <si>
    <t>For electric DHW systems:</t>
  </si>
  <si>
    <t>ΔkWh = 86.4 * (Tpre - Tpost) / 15</t>
  </si>
  <si>
    <t>∆kW= ∆kWh / Hours * CF</t>
  </si>
  <si>
    <t>For Natural Gas DHW systems:</t>
  </si>
  <si>
    <t>ΔTherm= (UA * (Tpre - Tpost) * (Hours) / (100,000 * RE_gas)</t>
  </si>
  <si>
    <t>Actual hot water setpoint prior to adjustment</t>
  </si>
  <si>
    <t>Can use the deemed TRM value at 135 or custom input</t>
  </si>
  <si>
    <t>Can use the deemed TRM value at 120 or custom input</t>
  </si>
  <si>
    <t>Number of hours in a year (since savings are assumed to be constant over year).</t>
  </si>
  <si>
    <t>Deemed values from the TRM where use 78% for Single Family homes and 67% for Multifamily Homes</t>
  </si>
  <si>
    <t>Overall heat transfer coefficient of tank (Btu/Hr-°F-ft2).</t>
  </si>
  <si>
    <t>Actual if known. If unknown assume deemed TRM value of R-12, U = 0.083</t>
  </si>
  <si>
    <t>Surface area of storage tank (square feet)</t>
  </si>
  <si>
    <t>Actual if known. If unknown use the deemed table values defined in the TRM based on capacity of tank. If capacity unknown assume 50 gal tank; A = 24.99ft</t>
  </si>
  <si>
    <t>Summer Peak Coincidence Factor for measure</t>
  </si>
  <si>
    <t>The assumed lifetime of the measure is 2 years.</t>
  </si>
  <si>
    <t>Deemed Values from the TRM for Tpre and Tpost</t>
  </si>
  <si>
    <t>RE gas lookup table (deemed TRM Values)</t>
  </si>
  <si>
    <t>A (Deemed TRM Values)</t>
  </si>
  <si>
    <t>A (ft2)</t>
  </si>
  <si>
    <t>Direct Install</t>
  </si>
  <si>
    <t>Basement Sidewall Insulation</t>
  </si>
  <si>
    <t>Total Sq Ft of Insulation</t>
  </si>
  <si>
    <t>Insulation Type</t>
  </si>
  <si>
    <t>R-value of Additional insulation</t>
  </si>
  <si>
    <t>Length of basemt wall around entire insulated perimeter (ft)</t>
  </si>
  <si>
    <t>Ht of insulated basemt wall above grade (ft)</t>
  </si>
  <si>
    <t>Height of insulated basement wall Below grade (ft)</t>
  </si>
  <si>
    <t>Is the Basement Conditioned?</t>
  </si>
  <si>
    <t>Low Income</t>
  </si>
  <si>
    <t>kW savings type</t>
  </si>
  <si>
    <t xml:space="preserve">ΔkWh_heating </t>
  </si>
  <si>
    <r>
      <t>ADJ</t>
    </r>
    <r>
      <rPr>
        <sz val="8"/>
        <color theme="1"/>
        <rFont val="Calibri"/>
        <family val="2"/>
        <scheme val="minor"/>
      </rPr>
      <t>Basementheat</t>
    </r>
  </si>
  <si>
    <t>ADJbasementcool</t>
  </si>
  <si>
    <t>R_added</t>
  </si>
  <si>
    <t>R_old_AG</t>
  </si>
  <si>
    <t xml:space="preserve">L_basement_wall_total </t>
  </si>
  <si>
    <t xml:space="preserve">H_basement_wall_AG </t>
  </si>
  <si>
    <t>R_old_BG</t>
  </si>
  <si>
    <t xml:space="preserve">H_basement_wall_total </t>
  </si>
  <si>
    <t xml:space="preserve">ηHeat (kwh algorithm) </t>
  </si>
  <si>
    <t>ηHeat (Therm algorithm)</t>
  </si>
  <si>
    <t>Spray Foam</t>
  </si>
  <si>
    <t>Non-Low Income</t>
  </si>
  <si>
    <t>5.6.2.1</t>
  </si>
  <si>
    <t>ΔkWh_cooling = (((1/R_old_AG  - 1/(R_added+R_old_AG)) * L_basement_wall_total * H_basement_wall_AG * (1-Framing_factor)) * 24 * CDD * DUA) / (1000 * ηCool))*ADJbasementcool</t>
  </si>
  <si>
    <t>ΔkWh_heating = [((1/R_old_AG - 1/(R_added+R_old_AG)) * L_basement_wall_total * H_basement_wall_AG * (1-Framing_factor)) + ((1/(R_old_BG - 1/(R_added+R_old_BG)) * L_basement_wall_total * (H_basement_wall_total - H_basement_wall_AG) * (1-Framing_factor))] * 24 * HDD) / (3,412 * ηHeat))*ADJbaseentheat</t>
  </si>
  <si>
    <t>ΔTherms = (((1/R_old_AG - 1/(R_added+R_old_AG)) * L_basement_wall_total * H_basement_wall_AG * (1-Framing_factor) + (1/(R_old_BG - 1/(R_added+R_old_BG)) * L_basement_wall_total * (H_basement_wall_total - H_basement_wall_AG) * (1-Framing_factor)] * 24 * HDD) / (ηHeat * 100,067)  ) * ADJBasementHeat</t>
  </si>
  <si>
    <t>ADJ</t>
  </si>
  <si>
    <t>TRM Deems a value of 88%</t>
  </si>
  <si>
    <t>R-value of additional spray foam, rigid foam, or cavity insulation</t>
  </si>
  <si>
    <t>R-value value of foundation wall above grade</t>
  </si>
  <si>
    <t>Use Actual, if unknown assume TRM Value of 1.0</t>
  </si>
  <si>
    <t>TRM provides a table of values</t>
  </si>
  <si>
    <t>Adjustment to account for area of framing when cavity insulation is used</t>
  </si>
  <si>
    <t xml:space="preserve">Cooling Degree Days </t>
  </si>
  <si>
    <t>R-value value of foundation wall below grade</t>
  </si>
  <si>
    <t>dependent on depth of foundation (H_basement_wall_total – H_basement_wall_AG)</t>
  </si>
  <si>
    <t>Actual R-value of wall plus average earth R-value by depth in table provided by the TRM</t>
  </si>
  <si>
    <t>Total height of basement wall (ft)</t>
  </si>
  <si>
    <t>Conditioned CDD 65</t>
  </si>
  <si>
    <t>Conditioned</t>
  </si>
  <si>
    <t>HDD 50</t>
  </si>
  <si>
    <t>Framing Factor (Framing_factor)</t>
  </si>
  <si>
    <t>Studs</t>
  </si>
  <si>
    <t>Is the Basement Conditioned? - True False Lookup Table</t>
  </si>
  <si>
    <t>Below Grade R-value</t>
  </si>
  <si>
    <t>Depth below grade (ft)</t>
  </si>
  <si>
    <r>
      <t>Earth R-value (°F-ft</t>
    </r>
    <r>
      <rPr>
        <vertAlign val="superscript"/>
        <sz val="10"/>
        <color theme="1"/>
        <rFont val="Calibri"/>
        <family val="2"/>
        <scheme val="minor"/>
      </rPr>
      <t>2</t>
    </r>
    <r>
      <rPr>
        <sz val="10"/>
        <color theme="1"/>
        <rFont val="Calibri"/>
        <family val="2"/>
        <scheme val="minor"/>
      </rPr>
      <t>-h/Btu)</t>
    </r>
  </si>
  <si>
    <t>Average Earth R-value (°F-ft2-h/Btu)</t>
  </si>
  <si>
    <t>Total BG R-value (earth + R-2.25 foundation)</t>
  </si>
  <si>
    <t>After 2006 -2014</t>
  </si>
  <si>
    <t xml:space="preserve">TRM provides an equation as follows: ΔkWh_cooling =  (((1/R_old_AG  - 1/(R_added+R_old_AG)) * L_basement_wall_total * H_basement_wall_AG * (1-Framing_factor)) * 24 * CDD * DUA) / (1000 * ηCool))   </t>
  </si>
  <si>
    <t xml:space="preserve">TRM provides an equation as follows: [((1/R_old_AG - 1/(R_added+R_old_AG)) * L_basement_wall_total * H_basement_wall_AG * (1-Framing_factor)) + ((1/(R_old_BG - 1/(R_added+R_old_BG)) * L_basement_wall_total * (H_basement_wall_total - H_basement_wall_AG) * (1-Framing_factor))] * 24 * HDD) / (3,412 * ηHeat)) </t>
  </si>
  <si>
    <t>TRM proves a list of assumptions as follows: 0% if Spray Foam or External Rigid Foam; 25% if studs and cavity insulation. The table from the TRM is listed below.</t>
  </si>
  <si>
    <t>5.6.4.7</t>
  </si>
  <si>
    <t>5.3.11.5</t>
  </si>
  <si>
    <t>Converts Btu to KkWh</t>
  </si>
  <si>
    <t>Seems to be the same value used in the TRM Calculation</t>
  </si>
  <si>
    <t>Is this actual?</t>
  </si>
  <si>
    <t>Heating EFLH</t>
  </si>
  <si>
    <t xml:space="preserve">Zone 2 (Chicago) </t>
  </si>
  <si>
    <t xml:space="preserve">Zone 3 (Springfield) </t>
  </si>
  <si>
    <t>Nicor Custom EFLH Calculations</t>
  </si>
  <si>
    <t>includes MF High Rise, High Rise Residential, and mid Rise</t>
  </si>
  <si>
    <t>Healthcare</t>
  </si>
  <si>
    <t>includes all Hospital Specifications and Assisted Living and Healthcare Clinic</t>
  </si>
  <si>
    <t>Office</t>
  </si>
  <si>
    <t>includes all office specifications</t>
  </si>
  <si>
    <t>Domestic Hot Water Pipe insulation</t>
  </si>
  <si>
    <t>Total length of insulation (linear ft)</t>
  </si>
  <si>
    <t>R-value of insulation</t>
  </si>
  <si>
    <t>Insulated pipe diameter (inch)</t>
  </si>
  <si>
    <r>
      <t>R</t>
    </r>
    <r>
      <rPr>
        <vertAlign val="subscript"/>
        <sz val="10"/>
        <color theme="1"/>
        <rFont val="Calibri"/>
        <family val="2"/>
        <scheme val="minor"/>
      </rPr>
      <t>exist</t>
    </r>
  </si>
  <si>
    <r>
      <t>R</t>
    </r>
    <r>
      <rPr>
        <vertAlign val="subscript"/>
        <sz val="10"/>
        <color theme="1"/>
        <rFont val="Calibri"/>
        <family val="2"/>
        <scheme val="minor"/>
      </rPr>
      <t>new</t>
    </r>
  </si>
  <si>
    <t>C</t>
  </si>
  <si>
    <t xml:space="preserve">ΔT </t>
  </si>
  <si>
    <t>ηDHW (Gas)</t>
  </si>
  <si>
    <t>C-53 Flat</t>
  </si>
  <si>
    <t>5.4.1.1</t>
  </si>
  <si>
    <t>∆kW= ∆kWh / 8766</t>
  </si>
  <si>
    <t xml:space="preserve">Pipe heat loss coefficient of uninsulated pipe (existing) [(hr-°F-ft)/Btu] </t>
  </si>
  <si>
    <t>Pipe heat loss coefficient of insulated pipe (new) [(hr-°F-ft)/Btu]</t>
  </si>
  <si>
    <t>Actual with TRM Calculation of (1.0 + R value of insulation)</t>
  </si>
  <si>
    <t>Length of pipe from water heating source covered by pipe wrap (ft)</t>
  </si>
  <si>
    <t>Actual - use custom input</t>
  </si>
  <si>
    <t>Circumference of pipe (ft) (Diameter (in) * π/12)</t>
  </si>
  <si>
    <t>Actual (0.5” pipe = 0.131ft, 0.75” pipe = 0.196ft)</t>
  </si>
  <si>
    <t>Average temperature difference between supplied water and outside Air temperature (°F)</t>
  </si>
  <si>
    <t>ηDHW  (electric)</t>
  </si>
  <si>
    <t>Recovery Efficiency of electric hot water heater</t>
  </si>
  <si>
    <t>ηDHW (gas)</t>
  </si>
  <si>
    <t>Recovery Efficiency of gas hot water heater</t>
  </si>
  <si>
    <t>The measure life is assumed to be 15 years</t>
  </si>
  <si>
    <t>Circumference of Pipe look up table - equation</t>
  </si>
  <si>
    <t>Equation</t>
  </si>
  <si>
    <t xml:space="preserve">        </t>
  </si>
  <si>
    <t>Pi Value</t>
  </si>
  <si>
    <t>Input</t>
  </si>
  <si>
    <t>5.4.1</t>
  </si>
  <si>
    <t>ηDHW (Electric)</t>
  </si>
  <si>
    <t>CI-FSE-CBOV-V02-160601</t>
  </si>
  <si>
    <t>CI-FSE-STMC-V04-160601</t>
  </si>
  <si>
    <t>CI-HVC-BLRT-V06-160601</t>
  </si>
  <si>
    <t>CI-HVC-SPIN-V02-160601</t>
  </si>
  <si>
    <t>CI-HVC-PBTU-V05-160601</t>
  </si>
  <si>
    <t>RS-HWE-PINS-V02-150601</t>
  </si>
  <si>
    <t>Date</t>
  </si>
  <si>
    <t>Measure Code</t>
  </si>
  <si>
    <t>Measure Code: 5.4.4</t>
  </si>
  <si>
    <t>Measure Code: 5.4.5</t>
  </si>
  <si>
    <t>Measure Code: 5.4.6</t>
  </si>
  <si>
    <t>CI-FSE-ESGR-V02-160601</t>
  </si>
  <si>
    <t>CI-HVC-PINS-V04-160601</t>
  </si>
  <si>
    <t>Tab</t>
  </si>
  <si>
    <t>4.2.11.6</t>
  </si>
  <si>
    <t>High Efficiency Pre-Rinse Spray Valve- Average of all buildings - Public Sector</t>
  </si>
  <si>
    <t>Pre-Rinse Spray Valves - Public Sector</t>
  </si>
  <si>
    <t>Public Sector</t>
  </si>
  <si>
    <t>Space Heating Boiler Tune-up - Public Sector</t>
  </si>
  <si>
    <t>Boiler Tune Up, Public Sector</t>
  </si>
  <si>
    <t>4.4.2.9</t>
  </si>
  <si>
    <t>Space Heating Boiler Tune-up - 75</t>
  </si>
  <si>
    <t>Space Heating Boiler Tune-up - 650</t>
  </si>
  <si>
    <t>Space Heating Boiler Tune-up - 482</t>
  </si>
  <si>
    <t>Space Heating Boiler Tune-up - 800</t>
  </si>
  <si>
    <t>Space Heating Boiler Tune-up - 1000</t>
  </si>
  <si>
    <t>Space Heating Boiler Tune-up - 3500</t>
  </si>
  <si>
    <t>Boiler Tune Up, 75 MBH</t>
  </si>
  <si>
    <t>Boiler Tune Up, 650 MBH</t>
  </si>
  <si>
    <t>Boiler Tune Up, 482 MBH</t>
  </si>
  <si>
    <t>Boiler Tune Up, 800 MBH</t>
  </si>
  <si>
    <t>Boiler Tune Up, 1000 MBH</t>
  </si>
  <si>
    <t>Boiler Tune Up, &gt; 1000 MBH</t>
  </si>
  <si>
    <t>This measure is an average of varying MBHs</t>
  </si>
  <si>
    <t>4.4.2.3</t>
  </si>
  <si>
    <t>4.4.2.4</t>
  </si>
  <si>
    <t>4.4.2.5</t>
  </si>
  <si>
    <t>4.4.2.6</t>
  </si>
  <si>
    <t>4.4.2.7</t>
  </si>
  <si>
    <t>4.4.2.8</t>
  </si>
  <si>
    <t>4.4.4.6</t>
  </si>
  <si>
    <t>Boiler Lockout/ Reset Controls - 400 MBH - Public Sector</t>
  </si>
  <si>
    <t>Boiler Reset Controls, 400 MBH - Public Sector</t>
  </si>
  <si>
    <t>Nicor Custom - Public Sector Buildings</t>
  </si>
  <si>
    <t>Public Sector Buildings</t>
  </si>
  <si>
    <t>Zone 4</t>
  </si>
  <si>
    <t>Zone 5</t>
  </si>
  <si>
    <t>Public Sector Average</t>
  </si>
  <si>
    <t>Note: excluded high rise, didn't change the average that much.</t>
  </si>
  <si>
    <t>4.4.10.11</t>
  </si>
  <si>
    <t>4.4.10.12</t>
  </si>
  <si>
    <t>High Efficiency Boiler Hot Water &lt;300,000 Btu/h  ≥ June 1, 2013 - 2,000 MBH, Hydronic - Public Sector</t>
  </si>
  <si>
    <t>Hydronic Boilers, ≥85% 500-2000 MBH - Public Sector</t>
  </si>
  <si>
    <t>High Efficiency Boiler Hot Water &lt;300,000 Btu/h  ≥ June 1, 2013 - 2,000 MBH, Condensing - Public Sector</t>
  </si>
  <si>
    <t>Condensing Boilers, ≥90% 500-2000 MBH - Public Sector</t>
  </si>
  <si>
    <t>High Efficiency Boiler Steam - all except natural draft ≥300,000 &amp; ≤2,500,000 Btu/h - 2,000 MBH, Steam - Public Sector</t>
  </si>
  <si>
    <t>Steam Boilers, ≥85% 1701-2000 MBH - Public Sector</t>
  </si>
  <si>
    <t>AFUE 90% Steam</t>
  </si>
  <si>
    <t>4.4.10.13</t>
  </si>
  <si>
    <t>average of 3 permutations</t>
  </si>
  <si>
    <t>High Efficiency Furnace- 92.0%, Install Yr. 2012, Building Type: Public Sector Average</t>
  </si>
  <si>
    <t>Furnace, &gt;92% AFUE - Public Sector</t>
  </si>
  <si>
    <t>High Efficiency Furnace- 95.0%, Install Yr. 2012, Building Type: Public Sector Average</t>
  </si>
  <si>
    <t>Furnace, &gt;95% AFUE - Public Sector</t>
  </si>
  <si>
    <t>4.4.11.7</t>
  </si>
  <si>
    <t>4.4.11.8</t>
  </si>
  <si>
    <t>4.4.14.16</t>
  </si>
  <si>
    <t>4.4.14.17</t>
  </si>
  <si>
    <t>4.4.14.18</t>
  </si>
  <si>
    <t>Pipe Insulation, Public Sector, Process Heating</t>
  </si>
  <si>
    <t>Pipe Insulation, Public Sector, Space Heating</t>
  </si>
  <si>
    <t>Pipe Insulation, Public Sector, Domestic Hot Water</t>
  </si>
  <si>
    <t>average of piping use</t>
  </si>
  <si>
    <t>4.4.16.10</t>
  </si>
  <si>
    <t>4.4.16.11</t>
  </si>
  <si>
    <t>4.4.16.12</t>
  </si>
  <si>
    <t>Steam Trap Replacement or Repair  - Commercial Heating , (including Multifamily) low pressure steam, all replaced,- Public Sector</t>
  </si>
  <si>
    <t>Steam Trap, Commercial - Public Sector</t>
  </si>
  <si>
    <t>Steam Trap Replacement or Repair  - Industrial &lt;125 , all replaced,- Public Sector</t>
  </si>
  <si>
    <t>Steam Trap, Industrial &lt;125 - Public Sector</t>
  </si>
  <si>
    <t>Steam Trap Replacement or Repair  - Industrial &gt;125 , all replaced,- Public Sector</t>
  </si>
  <si>
    <t>Steam Trap, Industrial &gt;125 - Public Sector</t>
  </si>
  <si>
    <t xml:space="preserve">Industrial &lt;125 </t>
  </si>
  <si>
    <t xml:space="preserve">Industrial &gt;125 </t>
  </si>
  <si>
    <t>Steam Trap Replacement or Repair  - Industrial Low Pressure &lt;15 psig , Custom Value</t>
  </si>
  <si>
    <t>Steam Trap, Commercial &lt;15 psig</t>
  </si>
  <si>
    <t>average of permutations</t>
  </si>
  <si>
    <t>Small Pipe Insulation, Public Sector</t>
  </si>
  <si>
    <t>Small Pipe Insulation - Public Sector</t>
  </si>
  <si>
    <t>average of all permutatoins</t>
  </si>
  <si>
    <t>4.2.1.2</t>
  </si>
  <si>
    <t>4.2.1.11</t>
  </si>
  <si>
    <t>Convection Oven, E &gt;46%</t>
  </si>
  <si>
    <t>4.2.12.3</t>
  </si>
  <si>
    <t>TRM Description Notes</t>
  </si>
  <si>
    <t>∆PreheatEnergy</t>
  </si>
  <si>
    <t xml:space="preserve"> = (PreheatRaebase - PreheatRateee) * Preheats* PreheatTime/60</t>
  </si>
  <si>
    <t>Part of TRM Algorithm</t>
  </si>
  <si>
    <t>∆CookingEnergy</t>
  </si>
  <si>
    <t xml:space="preserve"> = (InputRatebase - InputRateee) * (Duty*Hours)</t>
  </si>
  <si>
    <t>Annual days of operation</t>
  </si>
  <si>
    <t>Per TRM: custom or if unknown, use 312 days per year</t>
  </si>
  <si>
    <t>PreheatRatebase</t>
  </si>
  <si>
    <t>Preheat energy rate of baesline charbroiler</t>
  </si>
  <si>
    <t>Value per TRM: 64,000 Btu/hr</t>
  </si>
  <si>
    <t>PreheatRateee</t>
  </si>
  <si>
    <t>Preheat energy rate of infrared charbroiler</t>
  </si>
  <si>
    <t>Per TRM:custom or if unknown, use 54,000 Btu/hr</t>
  </si>
  <si>
    <t>Preheats</t>
  </si>
  <si>
    <t>number of preheats per day</t>
  </si>
  <si>
    <t>Per TRM: custom or if unknown, use 1 preheat per day</t>
  </si>
  <si>
    <t>PreheatTime</t>
  </si>
  <si>
    <t>length of one preheat</t>
  </si>
  <si>
    <t>Per TRM: Custom or if unknown, use 15 minutes per preheat</t>
  </si>
  <si>
    <t>InputRatebase</t>
  </si>
  <si>
    <t>Input energy rate of baseline charbroiler</t>
  </si>
  <si>
    <t>Value per TRM: 140,000 Btu/hr</t>
  </si>
  <si>
    <t>InputRateee</t>
  </si>
  <si>
    <t>Input energy rate of infrared charbroiler</t>
  </si>
  <si>
    <t>Per TRM: Custom or if unknown, use 105,000 Btu/hr</t>
  </si>
  <si>
    <t>Duty</t>
  </si>
  <si>
    <t>Duty cycle of charbroiler (%)</t>
  </si>
  <si>
    <t>Per TRM: Custom or if unknown, use 80%</t>
  </si>
  <si>
    <t>Per TRM: custom or if unknown, use 8 hours per day</t>
  </si>
  <si>
    <t>conversion factors</t>
  </si>
  <si>
    <t>Btu to therms conversion factor</t>
  </si>
  <si>
    <t>minutes to hours conversion factor</t>
  </si>
  <si>
    <t>This is per the TRM</t>
  </si>
  <si>
    <t>The expected measure life is assumed to be 12 Years</t>
  </si>
  <si>
    <t>Conversion Factor: Btu to therm</t>
  </si>
  <si>
    <t>Conversion Factor: Minutes to hours</t>
  </si>
  <si>
    <t>Energy input rate of baseline rotisserie oven (Btu/hr)</t>
  </si>
  <si>
    <t>Value per TRM: Custom or if unknown, use 90,000 Btu/hr</t>
  </si>
  <si>
    <t>energy input rate of infrared rotisserie oven (Btu/hr)</t>
  </si>
  <si>
    <t>Per TRM: Custom or if unknown, use 50,000 Btu/hr</t>
  </si>
  <si>
    <t>Duty cycle of rotisserie oven (%)</t>
  </si>
  <si>
    <t>Per TRM: Custom or if unknown, use 60%</t>
  </si>
  <si>
    <t>Typical operating hours of rotisserie oven</t>
  </si>
  <si>
    <t xml:space="preserve">Per TRM: custom or if unknown, use 2,496 hours </t>
  </si>
  <si>
    <t>4.2.13.3</t>
  </si>
  <si>
    <t>4.2.14.3</t>
  </si>
  <si>
    <t>Rate energy input rate of baseline salamander broiler (Btu/hr)</t>
  </si>
  <si>
    <t>Value per TRM: 38,500 Btu/hr</t>
  </si>
  <si>
    <t>Rated energy input rate of infrared salamander broiler (Btu/hr)</t>
  </si>
  <si>
    <t>Per TRM: Custom or if unknown, use 24,750 Btu/hr</t>
  </si>
  <si>
    <t>Duty cycle of salamander broiler (%)</t>
  </si>
  <si>
    <t>Per TRM: Custom or if unknown, use 70%</t>
  </si>
  <si>
    <t>Typical operating hours of salamander broiler</t>
  </si>
  <si>
    <t>coversion factors</t>
  </si>
  <si>
    <t>4.2.15.3</t>
  </si>
  <si>
    <t>Rate energy input rate of baseline upright broiler (Btu/hr)</t>
  </si>
  <si>
    <t>Value per TRM: 144,000 Btu/hr</t>
  </si>
  <si>
    <t>Rated energy input rate of infrared upright broiler (Btu/hr)</t>
  </si>
  <si>
    <t>Per TRM: Custom or if unknown, use 90,000 Btu/hr</t>
  </si>
  <si>
    <t>Duty cycle of upright broiler (%)</t>
  </si>
  <si>
    <t>Typical operating hours of upright broiler</t>
  </si>
  <si>
    <t>conversion factor</t>
  </si>
  <si>
    <t>4.2.17.3</t>
  </si>
  <si>
    <t>InputRate</t>
  </si>
  <si>
    <t>Input energy rate of rack oven - double oven</t>
  </si>
  <si>
    <t>Per TRM: Custom or if  unknown, 275,000 Btu/hr</t>
  </si>
  <si>
    <t>BakingEfficiencybase</t>
  </si>
  <si>
    <t>Baking efficiency of baseline rack oven-double oven</t>
  </si>
  <si>
    <t>Per TRM: Custom or if unknown 30%</t>
  </si>
  <si>
    <t>BakingEfficiencyee</t>
  </si>
  <si>
    <t>Baking efficiency of energy efficiency rack oven-double oven</t>
  </si>
  <si>
    <t>Per TRM: Custom or if unknown 55%</t>
  </si>
  <si>
    <t>Duty cycle of double rack oven (%)</t>
  </si>
  <si>
    <t>Per TRM: Custom or if unknown, use 75%</t>
  </si>
  <si>
    <t>Per TRM: Custom or if unknown, use 3,744 hours</t>
  </si>
  <si>
    <t>4.2.18.3</t>
  </si>
  <si>
    <t>Storage Water Heater - Gas,High Efficiency, ≥90% TE, Bld Type = Average - Public Sector</t>
  </si>
  <si>
    <t>Storage Water Heater, &gt;90% TE - Public Sector</t>
  </si>
  <si>
    <t>Gas,High Efficiency, ≥90% TE</t>
  </si>
  <si>
    <t>Education</t>
  </si>
  <si>
    <t>Large Retail</t>
  </si>
  <si>
    <t>Lodging</t>
  </si>
  <si>
    <t>Other Commercial</t>
  </si>
  <si>
    <t>Small Retail</t>
  </si>
  <si>
    <t>Nursing</t>
  </si>
  <si>
    <t xml:space="preserve">Average </t>
  </si>
  <si>
    <t>Low Flow Faucet Aerators, Custom, DI Faucet Aerators - Bath - DI - Public Sector</t>
  </si>
  <si>
    <t>Faucet Aerators - Bath - DI - Public Sector</t>
  </si>
  <si>
    <t>Low Flow Faucet Aerators, Health, DI Laminar Flow - Public Sector</t>
  </si>
  <si>
    <t>Laminar Flow - Public Sector</t>
  </si>
  <si>
    <t>4.3.2.4</t>
  </si>
  <si>
    <t>4.3.2.6</t>
  </si>
  <si>
    <t>4.3.3.2</t>
  </si>
  <si>
    <t>Low Flow Showerheads 1.5 GPM - DI - Public Sector</t>
  </si>
  <si>
    <t>Low Flow Shower Heads - DI - Public Sector</t>
  </si>
  <si>
    <t>4.3.6.2</t>
  </si>
  <si>
    <t>Ozone Laundry - 150 lbs capacity - Public Sector</t>
  </si>
  <si>
    <t>Ozone Laundry - Public Sector</t>
  </si>
  <si>
    <t>Process Boiler Tune-up - 800 MBU - Public Sector</t>
  </si>
  <si>
    <t>Boiler Tune Up, Process - Public Sector</t>
  </si>
  <si>
    <t>4.4.3.2</t>
  </si>
  <si>
    <t>Condensing Unit Heaters - Public Sector</t>
  </si>
  <si>
    <t>Condensing Unit Heaters, &gt;90% &lt;300 MBH - Public Sector</t>
  </si>
  <si>
    <t>4.4.5.2</t>
  </si>
  <si>
    <t>Infrared Heaters (all sizes), Low Intensity - Public Sector</t>
  </si>
  <si>
    <t>Infrared Heaters - Public Sector</t>
  </si>
  <si>
    <t>4.4.12.2</t>
  </si>
  <si>
    <t>Gas High Efficiency Furnace AFUE ≥95% - TOS - Single-Family - Quality Install (HVAC Save)</t>
  </si>
  <si>
    <t>Furnace, &gt;95% AFUE HVAC Save</t>
  </si>
  <si>
    <t>Gas High Efficiency Furnace AFUE ≥97% - TOS - Single-Family - Quality Install (HVAC Save)</t>
  </si>
  <si>
    <t>Furnace, &gt;97% AFUE HVAC Save</t>
  </si>
  <si>
    <t>5.3.7.16</t>
  </si>
  <si>
    <t>5.3.7.17</t>
  </si>
  <si>
    <t>Deratingbase</t>
  </si>
  <si>
    <t>Deratingeff</t>
  </si>
  <si>
    <t>baseline furnace AFUE derating</t>
  </si>
  <si>
    <t>TRM deems this value at 6.4%</t>
  </si>
  <si>
    <t>Efficient furnace AFUE derating</t>
  </si>
  <si>
    <t>Per TRM, 0% if verified quality installation is performed; 6.4% if verified quality installation is not performed</t>
  </si>
  <si>
    <t>VQI</t>
  </si>
  <si>
    <t>Labor</t>
  </si>
  <si>
    <t>CI-FSE-CVOV-V02-180101</t>
  </si>
  <si>
    <t>CI-FSE-ESCV-V02-180101</t>
  </si>
  <si>
    <t>CI-FSE-SPRY-V04-180101</t>
  </si>
  <si>
    <t>CI-FSE-IRCB-V02-180101</t>
  </si>
  <si>
    <t>CI-FSE-IROV-V02-180101</t>
  </si>
  <si>
    <t>CI-FSE-IRBL-V02-180101</t>
  </si>
  <si>
    <t>CI-FSE-IRUB-V02-180101</t>
  </si>
  <si>
    <t>CI-FSE-PCOK-V02-180101</t>
  </si>
  <si>
    <t>CI-FSE-RKOV-VO2-180101</t>
  </si>
  <si>
    <t>CI-HWE-STWH-V03-180101</t>
  </si>
  <si>
    <t>CI-HWE-LFFA-V07-180101</t>
  </si>
  <si>
    <t>CI-HWE-LFSH-V04-180101</t>
  </si>
  <si>
    <t>CI-HWE-PLCV-V01-130601</t>
  </si>
  <si>
    <t>CI-HWE-OZLD-VO1-140601</t>
  </si>
  <si>
    <t>CI-HVC-FRNC-V07-180101</t>
  </si>
  <si>
    <t>CI-HVC-STRE-V05-180101</t>
  </si>
  <si>
    <t>RS-HVC-GHEB-V06-180101</t>
  </si>
  <si>
    <t>RS-HVC-GHEF-V07-180101</t>
  </si>
  <si>
    <t>RS-HWE-LFFA-V06-180101</t>
  </si>
  <si>
    <t>RS-HWE-LFSH-V05-180101</t>
  </si>
  <si>
    <t>RS-HWE-TMPS-V05-160601</t>
  </si>
  <si>
    <t>RS-HVC-PROG-V04-180101</t>
  </si>
  <si>
    <t>RS-HVC-ADTH-V02-180101</t>
  </si>
  <si>
    <t>RS-SHL-AIRS-V06-180101</t>
  </si>
  <si>
    <t>RS-SHL-BINS-V08-180101</t>
  </si>
  <si>
    <t>RS-SHL-AINS-V07-180101</t>
  </si>
  <si>
    <t>Delivery method</t>
  </si>
  <si>
    <t>Instructions provided in a Kit</t>
  </si>
  <si>
    <t>To be determined through evaluation</t>
  </si>
  <si>
    <t>All other</t>
  </si>
  <si>
    <t>Shower Timer</t>
  </si>
  <si>
    <t>Kit 1 MF</t>
  </si>
  <si>
    <t>Kit 2 MF</t>
  </si>
  <si>
    <t>Elementary Education Kit - Planning Values SF</t>
  </si>
  <si>
    <t>PY5 Plan Participation</t>
  </si>
  <si>
    <t>Efficient SF</t>
  </si>
  <si>
    <t>Efficient MF</t>
  </si>
  <si>
    <t>HEER</t>
  </si>
  <si>
    <t>Household SF</t>
  </si>
  <si>
    <t>Average number of people per household SF</t>
  </si>
  <si>
    <t>Household MF</t>
  </si>
  <si>
    <t>Average number of people per household MF</t>
  </si>
  <si>
    <t>SPH SF</t>
  </si>
  <si>
    <t>SPH MF</t>
  </si>
  <si>
    <t>EPG_gas SF</t>
  </si>
  <si>
    <t>Energy per gallon of Hot water supplied by gas SF</t>
  </si>
  <si>
    <t>EPG_gas MF</t>
  </si>
  <si>
    <t>Energy per gallon of Hot water supplied by gas MF</t>
  </si>
  <si>
    <t>FPH SF</t>
  </si>
  <si>
    <t>FPH MF</t>
  </si>
  <si>
    <t>Shower Timer Algorithm</t>
  </si>
  <si>
    <t>∆Therms = %FossilDHW * GPM * (L_base – L_timer) * Household * Days/yr * SPCD * UsageFactor * EPG_Gas</t>
  </si>
  <si>
    <t xml:space="preserve">∆Gallons = GPM * (L_base – L_timer) * Household * Days/yr * SPCD * UsageFactor </t>
  </si>
  <si>
    <t>Calculated Therms for Shower timer</t>
  </si>
  <si>
    <t>Calculated Gallongs for Shower timer</t>
  </si>
  <si>
    <t xml:space="preserve">Proportion of water heating supplied by electric resistance heating </t>
  </si>
  <si>
    <t>Custom, to be determined through evaluation. If data is not available use 1.93</t>
  </si>
  <si>
    <t>L_Base</t>
  </si>
  <si>
    <t>Number of minutes in shower without a shower timer; TRM Deemed at 7.8 minutes</t>
  </si>
  <si>
    <t>L_Timer</t>
  </si>
  <si>
    <t>Number of minutes in shower after shower timer; Custom, to be determined through evaluation. If data is not available, use 5.79</t>
  </si>
  <si>
    <t>Number in household using timer; based on household Type; SF, use 2.56, MF,use 2.1, Custom, actual occupancy or number of bedrooms</t>
  </si>
  <si>
    <t>Days/yr</t>
  </si>
  <si>
    <t>TRM Defined at 365.25</t>
  </si>
  <si>
    <t>Showers per capita per day; TRM Deemed at 0.6</t>
  </si>
  <si>
    <t>UsageFactor</t>
  </si>
  <si>
    <t>how often each participant is using shower timer. Custom, to be determined through evaluation. If data is not available use 0.34</t>
  </si>
  <si>
    <t>EPG_Gas SF</t>
  </si>
  <si>
    <t>Energy per gallon of Hot water supplied by gas; .00501 therm/gal for SF homes and 0.00583 therm/gal for MF homes</t>
  </si>
  <si>
    <t>EPG_Gas MF</t>
  </si>
  <si>
    <t>Deemed Value per the TRM</t>
  </si>
  <si>
    <t>SF Value Calculations</t>
  </si>
  <si>
    <t>MF Value Calculations</t>
  </si>
  <si>
    <t>Value,</t>
  </si>
  <si>
    <t xml:space="preserve">Value, </t>
  </si>
  <si>
    <t>Deemed/ Custom</t>
  </si>
  <si>
    <t>Discrepancy?</t>
  </si>
  <si>
    <t>proportion of water heating supplied by Natural Gas heating; using the PY5 draft evaluation Navigant value</t>
  </si>
  <si>
    <t>Navigant</t>
  </si>
  <si>
    <t xml:space="preserve">Survey - HCU6 </t>
  </si>
  <si>
    <t>IL TRM 5.4.5</t>
  </si>
  <si>
    <t>Deemed</t>
  </si>
  <si>
    <t>-</t>
  </si>
  <si>
    <t>Specifications</t>
  </si>
  <si>
    <t>Average number of people per household; note using the number provided for Elem Ed Kits; Using the Value provided by PY5 draft evaluation Navigant Value</t>
  </si>
  <si>
    <t>Days/year</t>
  </si>
  <si>
    <t>Survey - HCU2</t>
  </si>
  <si>
    <t>Showerheads Per Household so that per-showerhead savings fractions can be determined; Navigant Value for SF and MF</t>
  </si>
  <si>
    <t>Energy per gallon of Hot water supplied by gas; Values differ from SF and MF</t>
  </si>
  <si>
    <t>ISR from PY5 Draft Evaluation - Navigant Value for SF and MF respectively</t>
  </si>
  <si>
    <t>EPG_Gas_SF</t>
  </si>
  <si>
    <t>EPG_Gas_MF</t>
  </si>
  <si>
    <t>ISR SF</t>
  </si>
  <si>
    <t>Survey - HA1</t>
  </si>
  <si>
    <t>ISR MF</t>
  </si>
  <si>
    <t>%SF</t>
  </si>
  <si>
    <t xml:space="preserve">Survey - HCU1 </t>
  </si>
  <si>
    <t>%MF</t>
  </si>
  <si>
    <t xml:space="preserve">Efficient 1 SF </t>
  </si>
  <si>
    <t>Efficient Both SF</t>
  </si>
  <si>
    <t xml:space="preserve">Efficient 1 MF </t>
  </si>
  <si>
    <t>Efficient Both MF</t>
  </si>
  <si>
    <t>SF Value Used in Calculation</t>
  </si>
  <si>
    <t>MF Value Used in Calculation</t>
  </si>
  <si>
    <t xml:space="preserve">Value, Navigant </t>
  </si>
  <si>
    <t>IL TRM 5.4.4</t>
  </si>
  <si>
    <t>BFPH - SF</t>
  </si>
  <si>
    <t>BFPH - MF</t>
  </si>
  <si>
    <t>ISR from PY5 Draft Evaluation - Navigant Value for ISRF SF installed 1</t>
  </si>
  <si>
    <t>EPG_gas_SF</t>
  </si>
  <si>
    <t>ISR from PY5 Draft Evaluation - Navigant Value for ISRF SF installed both</t>
  </si>
  <si>
    <t>EPG_gas_MF</t>
  </si>
  <si>
    <t>ISR SF, installed one</t>
  </si>
  <si>
    <t>Survey - HA2</t>
  </si>
  <si>
    <t>ISR MF, installed one</t>
  </si>
  <si>
    <t>ISR SF, installed both</t>
  </si>
  <si>
    <t>ISR MF, installed both</t>
  </si>
  <si>
    <t>KFPH</t>
  </si>
  <si>
    <t xml:space="preserve">ISR from PY5 Draft Evaluation - Navigant Value </t>
  </si>
  <si>
    <t>Table 7-4 Shower Timer Inputs and Variables</t>
  </si>
  <si>
    <t>Actual hot water setpoint prior to adjustment; based on recommendation from PY5 Draft evaluation for a temperature setback of 8.22</t>
  </si>
  <si>
    <t>Value, Navigant</t>
  </si>
  <si>
    <t>Notes on values</t>
  </si>
  <si>
    <t>%FossilDHW (natural gas)</t>
  </si>
  <si>
    <t>Calculated from reported values on the NTG survey, this factor adjusts for shower timers that were distributed to houses with electric water heaters.</t>
  </si>
  <si>
    <t>IL TRM 5.4.6</t>
  </si>
  <si>
    <t>Water Flow (GPM)</t>
  </si>
  <si>
    <t>Based on findings of Nicor Gas Elementary Education GPY4 Joint Evaluation Report</t>
  </si>
  <si>
    <t>Baseline Shower Time, minutes</t>
  </si>
  <si>
    <t>Assumed value from TRM v4.0</t>
  </si>
  <si>
    <t>(Tpre-Tpost)</t>
  </si>
  <si>
    <t>Survey - HA8/HA9</t>
  </si>
  <si>
    <t xml:space="preserve">EEM Shower Time, minutes </t>
  </si>
  <si>
    <t>Value given by Evaluator from PY5 evaluation draft</t>
  </si>
  <si>
    <t>Household Users</t>
  </si>
  <si>
    <t>Btu/therm</t>
  </si>
  <si>
    <t>RE_gas SF</t>
  </si>
  <si>
    <t>Showers per capita per day. Assumed value from TRM v4.0</t>
  </si>
  <si>
    <t>RE_gas MF</t>
  </si>
  <si>
    <t xml:space="preserve">Usage Factor </t>
  </si>
  <si>
    <t>EPG_Gas</t>
  </si>
  <si>
    <t>Custom, to be determined through evaluation. If data is not available use 1.93; Current value is based on Navigant PY5 evaluation</t>
  </si>
  <si>
    <t>Number of minutes in shower after shower timer; Custom, to be determined through evaluation. If data is not available, use 5.79; Value per PY5 Draft evaluation</t>
  </si>
  <si>
    <t>Number in household using timer; based on household Type; SF, use 2.56, MF,use 2.1, Custom, actual occupancy or number of bedrooms; Value per PY5 Draft evaluation</t>
  </si>
  <si>
    <t>how often each participant is using shower timer. Custom, to be determined through evaluation. If data is not available use 0.34; Value per PY5 Draft evaluation</t>
  </si>
  <si>
    <t>January 1, 2018 - December 31, 2018, Plan Year 2018</t>
  </si>
  <si>
    <t>January 1, 2019 - December 31, 2019, Plan Year 2019</t>
  </si>
  <si>
    <t>January 1, 2020 - December 31, 2020, Plan Year 2020</t>
  </si>
  <si>
    <t>January 1, 2021 - December 31, 2021, Plan Year 2021</t>
  </si>
  <si>
    <t>January 1, 2018 - December 31, 2021 Plan Period</t>
  </si>
  <si>
    <t>Plan Energy Savings Goal (Therms)</t>
  </si>
  <si>
    <t>Adjusted Energy Savings Goal (Therms)</t>
  </si>
  <si>
    <t>Energy Savings Adjustment to Plan Goal (Therms)</t>
  </si>
  <si>
    <t>Plan Period</t>
  </si>
  <si>
    <t>(r)=(b+f+j+n)</t>
  </si>
  <si>
    <t>(s)=(c+g+k+o)</t>
  </si>
  <si>
    <t>(t)=(s-r)</t>
  </si>
  <si>
    <t>Plan Year 2018 Savings Goal Adjustment</t>
  </si>
  <si>
    <t>Plan Year 2019 Savings Goal Adjustment</t>
  </si>
  <si>
    <t>Plan Year 2020 Savings Goal Adjustment</t>
  </si>
  <si>
    <t>Plan Year 2021 Savings Goal Adjustment</t>
  </si>
  <si>
    <t>Plan Gross Unit Savings (Therms)</t>
  </si>
  <si>
    <t>Plan Energy Savings Goals (Therms)</t>
  </si>
  <si>
    <t>2018 Gross Unit Savings, Effective January 1, 2018 - December 31, 2018</t>
  </si>
  <si>
    <t>2019 Gross Unit Savings, Effective January 1, 2019 - December 31, 2019</t>
  </si>
  <si>
    <t>2020 Gross Unit Savings, Effective January 1, 2020 - December 31, 2020</t>
  </si>
  <si>
    <t>2021 Gross Unit Savings, Effective January 1, 2021 - December 31, 2021</t>
  </si>
  <si>
    <r>
      <t xml:space="preserve">Not derived from values in the IL-TRM, and therefore will not necessitate a change in savings goals if the IL-TRM is updated. Note: The Key Custom Input Assumptions specified in column (bb) should remain </t>
    </r>
    <r>
      <rPr>
        <i/>
        <u/>
        <sz val="8"/>
        <color theme="1"/>
        <rFont val="Arial"/>
        <family val="2"/>
      </rPr>
      <t>fixed</t>
    </r>
    <r>
      <rPr>
        <i/>
        <sz val="8"/>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</si>
  <si>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2018 Plan Number of Units (Fixed)</t>
  </si>
  <si>
    <t>2019 Plan Number of Units (Fixed)</t>
  </si>
  <si>
    <t>2020 Plan Number of Units (Fixed)</t>
  </si>
  <si>
    <t>2021 Plan Number of Units (Fixed)</t>
  </si>
  <si>
    <t>IL-TRM Measure Code from IL-TRMv6.0</t>
  </si>
  <si>
    <t>2018 Plan Gross Unit Savings</t>
  </si>
  <si>
    <t>2019 Plan Gross Unit Savings</t>
  </si>
  <si>
    <t>2020 Plan Gross Unit Savings</t>
  </si>
  <si>
    <t>2021 Plan Gross Unit Savings</t>
  </si>
  <si>
    <t>2018 Plan Goal</t>
  </si>
  <si>
    <t>2019 Plan Goal</t>
  </si>
  <si>
    <t>2020 Plan Goal</t>
  </si>
  <si>
    <t>2021 Plan Goal</t>
  </si>
  <si>
    <t>Total Plan Period Goal</t>
  </si>
  <si>
    <t>IL-TRM Measure Code from IL-TRMv6.0 or errata applicable to 2018</t>
  </si>
  <si>
    <t>2018 Gross Unit Savings (Therms)</t>
  </si>
  <si>
    <t>2018 Adjusted Goal</t>
  </si>
  <si>
    <t>2018 IL-TRM Adjustment</t>
  </si>
  <si>
    <t>IL-TRM Measure Code from the 2019 IL-TRM or errata applicable to 2019</t>
  </si>
  <si>
    <t>2019 Gross Unit Savings (Therms)</t>
  </si>
  <si>
    <t>2019 Adjusted Goal</t>
  </si>
  <si>
    <t>2019 IL-TRM Adjustment</t>
  </si>
  <si>
    <t>IL-TRM Measure Code from the 2020 IL-TRM or errata applicable to 2020</t>
  </si>
  <si>
    <t>2020 Gross Unit Savings (Therms)</t>
  </si>
  <si>
    <t>2020 Adjusted Goal</t>
  </si>
  <si>
    <t>2020 IL-TRM Adjustment</t>
  </si>
  <si>
    <t>IL-TRM Measure Code from the 2021 IL-TRM or errata applicable to 2021</t>
  </si>
  <si>
    <t>2021 Gross Unit Savings (Therms)</t>
  </si>
  <si>
    <t>2021 Adjusted Goal</t>
  </si>
  <si>
    <t>2021 IL-TRM Adjustment</t>
  </si>
  <si>
    <t>2018 Final Savings Goal (Therms)</t>
  </si>
  <si>
    <t>2019 Final Savings Goal (Therms)</t>
  </si>
  <si>
    <t>2020 Final Savings Goal (Therms)</t>
  </si>
  <si>
    <t>2021 Final Savings Goal (Therms)</t>
  </si>
  <si>
    <t>Plan Period Final Savings Goal (Therms)</t>
  </si>
  <si>
    <t>(r)</t>
  </si>
  <si>
    <t>(s)</t>
  </si>
  <si>
    <t>(t)=(f x l x p)</t>
  </si>
  <si>
    <t>(u)=(g x m x q)</t>
  </si>
  <si>
    <t>(v)=(h x n x r)</t>
  </si>
  <si>
    <t>(w)=(i x o x s)</t>
  </si>
  <si>
    <t>(x)=(t+u+v+w)</t>
  </si>
  <si>
    <t>(z)</t>
  </si>
  <si>
    <t>(aa)</t>
  </si>
  <si>
    <t>(ab)</t>
  </si>
  <si>
    <t>(ac)=(f x aa x p)</t>
  </si>
  <si>
    <t>(ad)=(ac-t)</t>
  </si>
  <si>
    <t>(ai)=(g x ag x q)</t>
  </si>
  <si>
    <t>(aj)=(ai-u)</t>
  </si>
  <si>
    <t>(ao)=(h x am x r)</t>
  </si>
  <si>
    <t>(ap)=(ao-v)</t>
  </si>
  <si>
    <t>(au)=(i x as x s)</t>
  </si>
  <si>
    <t>(av)=(au-w)</t>
  </si>
  <si>
    <t>(aw)=(ac) [if (c)=1]; (aw)=(t) [if (c)=0]</t>
  </si>
  <si>
    <t>(ax)=(ai) [if (c)=1]; (ax)=(u) [if (c)=0]</t>
  </si>
  <si>
    <t>(ay)=(ao) [if (c)=1]; (ay)=(v) [if (c)=0]</t>
  </si>
  <si>
    <t>(az)=(au) [if (c)=1]; (az)=(w) [if (c)=0]</t>
  </si>
  <si>
    <t>(ba)=(aw+ax+ay+az)</t>
  </si>
  <si>
    <t>(bc)</t>
  </si>
  <si>
    <t>TRM V6 Algorithm</t>
  </si>
  <si>
    <t>Measure Code: 5.4.9</t>
  </si>
  <si>
    <t>S-HVC-DINS-V06-160601</t>
  </si>
  <si>
    <t>5.6.4.8</t>
  </si>
  <si>
    <t>5.6.4.9</t>
  </si>
  <si>
    <t>5.6.4.10</t>
  </si>
  <si>
    <t>5.6.1.2</t>
  </si>
  <si>
    <t>Programmable Thermostat - Commercial DI</t>
  </si>
  <si>
    <t>Direct Fired Space Heater &lt; 800 MBH</t>
  </si>
  <si>
    <t>Direct Fired Space Heater 800-1600 MBH</t>
  </si>
  <si>
    <t>Direct Fired Space Heater &gt; 1600 MBH</t>
  </si>
  <si>
    <t>DCV - Default</t>
  </si>
  <si>
    <t>Modulating Commercial Gas Clothes Dryer - On Premise Laundromat</t>
  </si>
  <si>
    <t>Public Sector Assessment</t>
  </si>
  <si>
    <t>Modulating Commercial Gas Clothes Dryer On Premise Laundromat - Public Sector</t>
  </si>
  <si>
    <t>BNC</t>
  </si>
  <si>
    <t>Small to Mid New Construction</t>
  </si>
  <si>
    <t>Large Commercial New Construction</t>
  </si>
  <si>
    <t>Small to Mid New Construction - Public Sector</t>
  </si>
  <si>
    <t>Custom Project - Industrial &amp; Manufacturing</t>
  </si>
  <si>
    <t>Custom Project - Commercial</t>
  </si>
  <si>
    <t>Custom Project - Healthcare</t>
  </si>
  <si>
    <t>Custom Project - Education</t>
  </si>
  <si>
    <t>Custom Project - Hospitality</t>
  </si>
  <si>
    <t>RCx Project - Therm buy</t>
  </si>
  <si>
    <t>Public Sector Custom</t>
  </si>
  <si>
    <t>RCx Project - Public Sector</t>
  </si>
  <si>
    <t>RCx Assessments - Public Sector</t>
  </si>
  <si>
    <t>Outreach</t>
  </si>
  <si>
    <t>Verified Quality Maintenance SF</t>
  </si>
  <si>
    <t>Advanced Thermostat (DI) - Blended - SF</t>
  </si>
  <si>
    <t>Advanced Thermostat (TOS) - Blended SF</t>
  </si>
  <si>
    <t>HES</t>
  </si>
  <si>
    <t>IQ</t>
  </si>
  <si>
    <t>Floor Insulation Above Crawlspace</t>
  </si>
  <si>
    <t>WH - SF Condensing 40 gal</t>
  </si>
  <si>
    <t>Programmable Thermostats - Retail – Department Store</t>
  </si>
  <si>
    <t>RNC</t>
  </si>
  <si>
    <t>SB</t>
  </si>
  <si>
    <t>Boiler Reset Controls, 300 MBH</t>
  </si>
  <si>
    <t>Custom &gt;= 2,500 &lt; 7,500 SB</t>
  </si>
  <si>
    <t>SEM</t>
  </si>
  <si>
    <t>SEM Industrial/Mfg</t>
  </si>
  <si>
    <t>SEM Practitioner</t>
  </si>
  <si>
    <t>SEM Education</t>
  </si>
  <si>
    <t>CI-HW_-HWE-V03-180101</t>
  </si>
  <si>
    <t>CI-HVC-DCV-V04-180101</t>
  </si>
  <si>
    <t>CI-MSC-MODD-V01-160601</t>
  </si>
  <si>
    <t>RS-HVC-FTUN-V03-180101</t>
  </si>
  <si>
    <t>RS-SHL-FINS-V08-180101</t>
  </si>
  <si>
    <t>RS-HWE-GWHT-V07-180101</t>
  </si>
  <si>
    <t>Proposed</t>
  </si>
  <si>
    <t>Fan Mode while Occupied</t>
  </si>
  <si>
    <t>Fan Mode while Unoccupied</t>
  </si>
  <si>
    <t>Weekly Hours in Occupied Mode</t>
  </si>
  <si>
    <t>Degrees of Setback Existing</t>
  </si>
  <si>
    <t>Degrees of Setback Proposed</t>
  </si>
  <si>
    <t>Heating Output (kBtuh)</t>
  </si>
  <si>
    <t>CZ</t>
  </si>
  <si>
    <t>Thexist</t>
  </si>
  <si>
    <t>Thnew</t>
  </si>
  <si>
    <t>Fu</t>
  </si>
  <si>
    <t>Ws</t>
  </si>
  <si>
    <t>Heating Capacity</t>
  </si>
  <si>
    <t>Baseline Energy Use</t>
  </si>
  <si>
    <t>Proposed Energy Use</t>
  </si>
  <si>
    <t>Continuous</t>
  </si>
  <si>
    <t>Intermittent</t>
  </si>
  <si>
    <t>4.4.18.1</t>
  </si>
  <si>
    <t>4.4.18.2</t>
  </si>
  <si>
    <t>4.4.18.3</t>
  </si>
  <si>
    <t>4.4.18.4</t>
  </si>
  <si>
    <t>4.4.18.5</t>
  </si>
  <si>
    <t>Restaurant – Fast Food</t>
  </si>
  <si>
    <t>4.4.18.6</t>
  </si>
  <si>
    <t>Restaurant – Full Service</t>
  </si>
  <si>
    <t>4.4.18.7</t>
  </si>
  <si>
    <t>Retail – Department Store</t>
  </si>
  <si>
    <t>4.4.18.8</t>
  </si>
  <si>
    <t>Retail – Strip Mall</t>
  </si>
  <si>
    <t>4.4.18.9</t>
  </si>
  <si>
    <t xml:space="preserve">ΔkWh = (∆Therms * Fe * 29.3)  </t>
  </si>
  <si>
    <t>∆Therms  = [Baseline Energy Use (Therms/kBtuh) - Proposed Energy Use (Therms/kBtuh)] * Output Heating Capacity (kBtuh)</t>
  </si>
  <si>
    <t>For new thermostats the baseline is a non-programmable thermostat requiring manual intervention to change temperature setpoint.</t>
  </si>
  <si>
    <t>The criteria for this measure are established by replacement of a manual-only temperature control, with one that has the capability to adjust temperature setpoints according to a schedule without manual intervention.</t>
  </si>
  <si>
    <t>Climate Zone Coefficient</t>
  </si>
  <si>
    <t>Deemed Table of TRM values dependent on Building Type and Fan mode during occupied period</t>
  </si>
  <si>
    <t>Tc</t>
  </si>
  <si>
    <t>Degrees of Cooling Setback °F</t>
  </si>
  <si>
    <t>Must be between 0-15°F</t>
  </si>
  <si>
    <t>Th</t>
  </si>
  <si>
    <t>Degrees of Heating Setback °F</t>
  </si>
  <si>
    <t>=Must be between 0-15°F</t>
  </si>
  <si>
    <t>Fo</t>
  </si>
  <si>
    <t>Fan Mode During Occupied Period (Note: Commercial mechanical code requires continuous fan operation during occupied periods to meet ventilation requirements.)</t>
  </si>
  <si>
    <t>Continuous for occupied fan that runs continuously (e.g. Fan Mode Set to ‘On’)</t>
  </si>
  <si>
    <t>Intermittent for occupied fan that runs intermittently (e.g. Fan Mode Set to ‘Auto’)</t>
  </si>
  <si>
    <t>Fan Mode During Unoccupied Period</t>
  </si>
  <si>
    <t>0 for unoccupied fan that runs continuously (e.g. Fan Mode Set to ‘On’)</t>
  </si>
  <si>
    <t>1 for unoccupied fan that runs intermittently (e.g. Fan Mode Set to ‘Auto’)</t>
  </si>
  <si>
    <t>Weekly Hours thermostat is in Occupied mode</t>
  </si>
  <si>
    <t>Minimum values depends on Building Type (see table below), maximum value of 168 (24/7)</t>
  </si>
  <si>
    <t xml:space="preserve">The expected measure life of a programmable thermostat is assumed to be 8 years based upon equipment life only. </t>
  </si>
  <si>
    <t>For the purposes of claiming savings for a new programmable thermostat, this is reduced by a 50% persistence factor to give a final measure life of 4 years.</t>
  </si>
  <si>
    <r>
      <t>CZ</t>
    </r>
    <r>
      <rPr>
        <sz val="10"/>
        <rFont val="Calibri"/>
        <family val="2"/>
        <scheme val="minor"/>
      </rPr>
      <t>+</t>
    </r>
    <r>
      <rPr>
        <b/>
        <i/>
        <sz val="10"/>
        <rFont val="Calibri"/>
        <family val="2"/>
        <scheme val="minor"/>
      </rPr>
      <t>Fu</t>
    </r>
    <r>
      <rPr>
        <sz val="10"/>
        <rFont val="Calibri"/>
        <family val="2"/>
        <scheme val="minor"/>
      </rPr>
      <t>*(0.232*</t>
    </r>
    <r>
      <rPr>
        <b/>
        <i/>
        <sz val="10"/>
        <rFont val="Calibri"/>
        <family val="2"/>
        <scheme val="minor"/>
      </rPr>
      <t>Th</t>
    </r>
    <r>
      <rPr>
        <sz val="10"/>
        <rFont val="Calibri"/>
        <family val="2"/>
        <scheme val="minor"/>
      </rPr>
      <t>+0.0984*</t>
    </r>
    <r>
      <rPr>
        <b/>
        <i/>
        <sz val="10"/>
        <rFont val="Calibri"/>
        <family val="2"/>
        <scheme val="minor"/>
      </rPr>
      <t>Ws</t>
    </r>
    <r>
      <rPr>
        <sz val="10"/>
        <rFont val="Calibri"/>
        <family val="2"/>
        <scheme val="minor"/>
      </rPr>
      <t>-18.79)+</t>
    </r>
    <r>
      <rPr>
        <b/>
        <i/>
        <sz val="10"/>
        <rFont val="Calibri"/>
        <family val="2"/>
        <scheme val="minor"/>
      </rPr>
      <t>Th</t>
    </r>
    <r>
      <rPr>
        <sz val="10"/>
        <rFont val="Calibri"/>
        <family val="2"/>
        <scheme val="minor"/>
      </rPr>
      <t>*(0.00271*</t>
    </r>
    <r>
      <rPr>
        <b/>
        <i/>
        <sz val="10"/>
        <rFont val="Calibri"/>
        <family val="2"/>
        <scheme val="minor"/>
      </rPr>
      <t>Ws</t>
    </r>
    <r>
      <rPr>
        <sz val="10"/>
        <rFont val="Calibri"/>
        <family val="2"/>
        <scheme val="minor"/>
      </rPr>
      <t>-0.535)+0.0142*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</si>
  <si>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*(0.00405*</t>
    </r>
    <r>
      <rPr>
        <b/>
        <i/>
        <sz val="10"/>
        <rFont val="Calibri"/>
        <family val="2"/>
        <scheme val="minor"/>
      </rPr>
      <t>Th</t>
    </r>
    <r>
      <rPr>
        <sz val="10"/>
        <rFont val="Calibri"/>
        <family val="2"/>
        <scheme val="minor"/>
      </rPr>
      <t>+0.000519*</t>
    </r>
    <r>
      <rPr>
        <b/>
        <i/>
        <sz val="10"/>
        <rFont val="Calibri"/>
        <family val="2"/>
        <scheme val="minor"/>
      </rPr>
      <t>Ws</t>
    </r>
    <r>
      <rPr>
        <sz val="10"/>
        <rFont val="Calibri"/>
        <family val="2"/>
        <scheme val="minor"/>
      </rPr>
      <t>-0.11)+</t>
    </r>
    <r>
      <rPr>
        <b/>
        <i/>
        <sz val="10"/>
        <rFont val="Calibri"/>
        <family val="2"/>
        <scheme val="minor"/>
      </rPr>
      <t>Th</t>
    </r>
    <r>
      <rPr>
        <sz val="10"/>
        <rFont val="Calibri"/>
        <family val="2"/>
        <scheme val="minor"/>
      </rPr>
      <t>*(0.0000689*</t>
    </r>
    <r>
      <rPr>
        <b/>
        <i/>
        <sz val="10"/>
        <rFont val="Calibri"/>
        <family val="2"/>
        <scheme val="minor"/>
      </rPr>
      <t>Ws</t>
    </r>
    <r>
      <rPr>
        <sz val="10"/>
        <rFont val="Calibri"/>
        <family val="2"/>
        <scheme val="minor"/>
      </rPr>
      <t>-0.0118)+0.0022*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</si>
  <si>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*(0.00545*</t>
    </r>
    <r>
      <rPr>
        <b/>
        <i/>
        <sz val="10"/>
        <rFont val="Calibri"/>
        <family val="2"/>
        <scheme val="minor"/>
      </rPr>
      <t>Th</t>
    </r>
    <r>
      <rPr>
        <sz val="10"/>
        <rFont val="Calibri"/>
        <family val="2"/>
        <scheme val="minor"/>
      </rPr>
      <t>-0.00251*</t>
    </r>
    <r>
      <rPr>
        <b/>
        <i/>
        <sz val="10"/>
        <rFont val="Calibri"/>
        <family val="2"/>
        <scheme val="minor"/>
      </rPr>
      <t>Ws</t>
    </r>
    <r>
      <rPr>
        <sz val="10"/>
        <rFont val="Calibri"/>
        <family val="2"/>
        <scheme val="minor"/>
      </rPr>
      <t>+0.416)+</t>
    </r>
    <r>
      <rPr>
        <b/>
        <i/>
        <sz val="10"/>
        <rFont val="Calibri"/>
        <family val="2"/>
        <scheme val="minor"/>
      </rPr>
      <t>Th</t>
    </r>
    <r>
      <rPr>
        <sz val="10"/>
        <rFont val="Calibri"/>
        <family val="2"/>
        <scheme val="minor"/>
      </rPr>
      <t>*(0.000123*</t>
    </r>
    <r>
      <rPr>
        <b/>
        <i/>
        <sz val="10"/>
        <rFont val="Calibri"/>
        <family val="2"/>
        <scheme val="minor"/>
      </rPr>
      <t>Ws</t>
    </r>
    <r>
      <rPr>
        <sz val="10"/>
        <rFont val="Calibri"/>
        <family val="2"/>
        <scheme val="minor"/>
      </rPr>
      <t>-0.0204)+0.00183*</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</si>
  <si>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*(0.00231*</t>
    </r>
    <r>
      <rPr>
        <b/>
        <i/>
        <sz val="10"/>
        <rFont val="Calibri"/>
        <family val="2"/>
        <scheme val="minor"/>
      </rPr>
      <t>Th</t>
    </r>
    <r>
      <rPr>
        <sz val="10"/>
        <rFont val="Calibri"/>
        <family val="2"/>
        <scheme val="minor"/>
      </rPr>
      <t>-0.0349)+</t>
    </r>
    <r>
      <rPr>
        <b/>
        <i/>
        <sz val="10"/>
        <rFont val="Calibri"/>
        <family val="2"/>
        <scheme val="minor"/>
      </rPr>
      <t>Th</t>
    </r>
    <r>
      <rPr>
        <sz val="10"/>
        <rFont val="Calibri"/>
        <family val="2"/>
        <scheme val="minor"/>
      </rPr>
      <t>*(0.000309*</t>
    </r>
    <r>
      <rPr>
        <b/>
        <i/>
        <sz val="10"/>
        <rFont val="Calibri"/>
        <family val="2"/>
        <scheme val="minor"/>
      </rPr>
      <t>Ws</t>
    </r>
    <r>
      <rPr>
        <sz val="10"/>
        <rFont val="Calibri"/>
        <family val="2"/>
        <scheme val="minor"/>
      </rPr>
      <t>-0.0494)+0.00266*</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</si>
  <si>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*(0.0205*</t>
    </r>
    <r>
      <rPr>
        <b/>
        <i/>
        <sz val="10"/>
        <rFont val="Calibri"/>
        <family val="2"/>
        <scheme val="minor"/>
      </rPr>
      <t>Th</t>
    </r>
    <r>
      <rPr>
        <sz val="10"/>
        <rFont val="Calibri"/>
        <family val="2"/>
        <scheme val="minor"/>
      </rPr>
      <t>+0.364)+</t>
    </r>
    <r>
      <rPr>
        <b/>
        <i/>
        <sz val="10"/>
        <rFont val="Calibri"/>
        <family val="2"/>
        <scheme val="minor"/>
      </rPr>
      <t>Th</t>
    </r>
    <r>
      <rPr>
        <sz val="10"/>
        <rFont val="Calibri"/>
        <family val="2"/>
        <scheme val="minor"/>
      </rPr>
      <t>*(0.00046*</t>
    </r>
    <r>
      <rPr>
        <b/>
        <i/>
        <sz val="10"/>
        <rFont val="Calibri"/>
        <family val="2"/>
        <scheme val="minor"/>
      </rPr>
      <t>Ws</t>
    </r>
    <r>
      <rPr>
        <sz val="10"/>
        <rFont val="Calibri"/>
        <family val="2"/>
        <scheme val="minor"/>
      </rPr>
      <t>-0.0554)+0.00169*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</si>
  <si>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*(0.00745*</t>
    </r>
    <r>
      <rPr>
        <b/>
        <i/>
        <sz val="10"/>
        <rFont val="Calibri"/>
        <family val="2"/>
        <scheme val="minor"/>
      </rPr>
      <t>Th</t>
    </r>
    <r>
      <rPr>
        <sz val="10"/>
        <rFont val="Calibri"/>
        <family val="2"/>
        <scheme val="minor"/>
      </rPr>
      <t>-0.142)+</t>
    </r>
    <r>
      <rPr>
        <b/>
        <i/>
        <sz val="10"/>
        <rFont val="Calibri"/>
        <family val="2"/>
        <scheme val="minor"/>
      </rPr>
      <t>Th</t>
    </r>
    <r>
      <rPr>
        <sz val="10"/>
        <rFont val="Calibri"/>
        <family val="2"/>
        <scheme val="minor"/>
      </rPr>
      <t>*(0.00077*</t>
    </r>
    <r>
      <rPr>
        <b/>
        <i/>
        <sz val="10"/>
        <rFont val="Calibri"/>
        <family val="2"/>
        <scheme val="minor"/>
      </rPr>
      <t>Ws</t>
    </r>
    <r>
      <rPr>
        <sz val="10"/>
        <rFont val="Calibri"/>
        <family val="2"/>
        <scheme val="minor"/>
      </rPr>
      <t>-0.111)+0.00199*</t>
    </r>
    <r>
      <rPr>
        <b/>
        <i/>
        <sz val="10"/>
        <rFont val="Calibri"/>
        <family val="2"/>
        <scheme val="minor"/>
      </rPr>
      <t>Ws</t>
    </r>
  </si>
  <si>
    <r>
      <t>CZ</t>
    </r>
    <r>
      <rPr>
        <sz val="10"/>
        <rFont val="Calibri"/>
        <family val="2"/>
        <scheme val="minor"/>
      </rPr>
      <t>+0.00791*</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*(0.00096*</t>
    </r>
    <r>
      <rPr>
        <b/>
        <i/>
        <sz val="10"/>
        <rFont val="Calibri"/>
        <family val="2"/>
        <scheme val="minor"/>
      </rPr>
      <t>Ws</t>
    </r>
    <r>
      <rPr>
        <sz val="10"/>
        <rFont val="Calibri"/>
        <family val="2"/>
        <scheme val="minor"/>
      </rPr>
      <t>-0.167)+0.00184*</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</si>
  <si>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*(0.00143*</t>
    </r>
    <r>
      <rPr>
        <b/>
        <i/>
        <sz val="10"/>
        <rFont val="Calibri"/>
        <family val="2"/>
        <scheme val="minor"/>
      </rPr>
      <t>Th</t>
    </r>
    <r>
      <rPr>
        <sz val="10"/>
        <rFont val="Calibri"/>
        <family val="2"/>
        <scheme val="minor"/>
      </rPr>
      <t>-0.0309)+</t>
    </r>
    <r>
      <rPr>
        <b/>
        <i/>
        <sz val="10"/>
        <rFont val="Calibri"/>
        <family val="2"/>
        <scheme val="minor"/>
      </rPr>
      <t>Th</t>
    </r>
    <r>
      <rPr>
        <sz val="10"/>
        <rFont val="Calibri"/>
        <family val="2"/>
        <scheme val="minor"/>
      </rPr>
      <t>*(0.0008*</t>
    </r>
    <r>
      <rPr>
        <b/>
        <i/>
        <sz val="10"/>
        <rFont val="Calibri"/>
        <family val="2"/>
        <scheme val="minor"/>
      </rPr>
      <t>Ws</t>
    </r>
    <r>
      <rPr>
        <sz val="10"/>
        <rFont val="Calibri"/>
        <family val="2"/>
        <scheme val="minor"/>
      </rPr>
      <t>-0.134)+0.00219*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</si>
  <si>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*(0.0431*</t>
    </r>
    <r>
      <rPr>
        <b/>
        <i/>
        <sz val="10"/>
        <rFont val="Calibri"/>
        <family val="2"/>
        <scheme val="minor"/>
      </rPr>
      <t>Th</t>
    </r>
    <r>
      <rPr>
        <sz val="10"/>
        <rFont val="Calibri"/>
        <family val="2"/>
        <scheme val="minor"/>
      </rPr>
      <t>+0.0424*</t>
    </r>
    <r>
      <rPr>
        <b/>
        <i/>
        <sz val="10"/>
        <rFont val="Calibri"/>
        <family val="2"/>
        <scheme val="minor"/>
      </rPr>
      <t>Ws</t>
    </r>
    <r>
      <rPr>
        <sz val="10"/>
        <rFont val="Calibri"/>
        <family val="2"/>
        <scheme val="minor"/>
      </rPr>
      <t>-7.517)+</t>
    </r>
    <r>
      <rPr>
        <b/>
        <i/>
        <sz val="10"/>
        <rFont val="Calibri"/>
        <family val="2"/>
        <scheme val="minor"/>
      </rPr>
      <t>Th</t>
    </r>
    <r>
      <rPr>
        <sz val="10"/>
        <rFont val="Calibri"/>
        <family val="2"/>
        <scheme val="minor"/>
      </rPr>
      <t>*(0.00113*</t>
    </r>
    <r>
      <rPr>
        <b/>
        <i/>
        <sz val="10"/>
        <rFont val="Calibri"/>
        <family val="2"/>
        <scheme val="minor"/>
      </rPr>
      <t>Ws</t>
    </r>
    <r>
      <rPr>
        <sz val="10"/>
        <rFont val="Calibri"/>
        <family val="2"/>
        <scheme val="minor"/>
      </rPr>
      <t>-0.213)+0.0119*</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</si>
  <si>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*(0.0125*</t>
    </r>
    <r>
      <rPr>
        <b/>
        <i/>
        <sz val="10"/>
        <rFont val="Calibri"/>
        <family val="2"/>
        <scheme val="minor"/>
      </rPr>
      <t>Th</t>
    </r>
    <r>
      <rPr>
        <sz val="10"/>
        <rFont val="Calibri"/>
        <family val="2"/>
        <scheme val="minor"/>
      </rPr>
      <t>+0.0036*</t>
    </r>
    <r>
      <rPr>
        <b/>
        <i/>
        <sz val="10"/>
        <rFont val="Calibri"/>
        <family val="2"/>
        <scheme val="minor"/>
      </rPr>
      <t>Ws</t>
    </r>
    <r>
      <rPr>
        <sz val="10"/>
        <rFont val="Calibri"/>
        <family val="2"/>
        <scheme val="minor"/>
      </rPr>
      <t>-0.71)+</t>
    </r>
    <r>
      <rPr>
        <b/>
        <i/>
        <sz val="10"/>
        <rFont val="Calibri"/>
        <family val="2"/>
        <scheme val="minor"/>
      </rPr>
      <t>Th</t>
    </r>
    <r>
      <rPr>
        <sz val="10"/>
        <rFont val="Calibri"/>
        <family val="2"/>
        <scheme val="minor"/>
      </rPr>
      <t>*(0.000329*</t>
    </r>
    <r>
      <rPr>
        <b/>
        <i/>
        <sz val="10"/>
        <rFont val="Calibri"/>
        <family val="2"/>
        <scheme val="minor"/>
      </rPr>
      <t>Ws</t>
    </r>
    <r>
      <rPr>
        <sz val="10"/>
        <rFont val="Calibri"/>
        <family val="2"/>
        <scheme val="minor"/>
      </rPr>
      <t>-0.0615)+0.00738*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</si>
  <si>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*(0.00445*</t>
    </r>
    <r>
      <rPr>
        <b/>
        <i/>
        <sz val="10"/>
        <rFont val="Calibri"/>
        <family val="2"/>
        <scheme val="minor"/>
      </rPr>
      <t>Ws</t>
    </r>
    <r>
      <rPr>
        <sz val="10"/>
        <rFont val="Calibri"/>
        <family val="2"/>
        <scheme val="minor"/>
      </rPr>
      <t>-0.535)+</t>
    </r>
    <r>
      <rPr>
        <b/>
        <i/>
        <sz val="10"/>
        <rFont val="Calibri"/>
        <family val="2"/>
        <scheme val="minor"/>
      </rPr>
      <t>Th</t>
    </r>
    <r>
      <rPr>
        <sz val="10"/>
        <rFont val="Calibri"/>
        <family val="2"/>
        <scheme val="minor"/>
      </rPr>
      <t>*(0.000679*</t>
    </r>
    <r>
      <rPr>
        <b/>
        <i/>
        <sz val="10"/>
        <rFont val="Calibri"/>
        <family val="2"/>
        <scheme val="minor"/>
      </rPr>
      <t>Ws</t>
    </r>
    <r>
      <rPr>
        <sz val="10"/>
        <rFont val="Calibri"/>
        <family val="2"/>
        <scheme val="minor"/>
      </rPr>
      <t>-0.1)+0.00218*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</si>
  <si>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*(0.00144*</t>
    </r>
    <r>
      <rPr>
        <b/>
        <i/>
        <sz val="10"/>
        <rFont val="Calibri"/>
        <family val="2"/>
        <scheme val="minor"/>
      </rPr>
      <t>Th</t>
    </r>
    <r>
      <rPr>
        <sz val="10"/>
        <rFont val="Calibri"/>
        <family val="2"/>
        <scheme val="minor"/>
      </rPr>
      <t>+0.000262*</t>
    </r>
    <r>
      <rPr>
        <b/>
        <i/>
        <sz val="10"/>
        <rFont val="Calibri"/>
        <family val="2"/>
        <scheme val="minor"/>
      </rPr>
      <t>Ws</t>
    </r>
    <r>
      <rPr>
        <sz val="10"/>
        <rFont val="Calibri"/>
        <family val="2"/>
        <scheme val="minor"/>
      </rPr>
      <t>-0.0553)+</t>
    </r>
    <r>
      <rPr>
        <b/>
        <i/>
        <sz val="10"/>
        <rFont val="Calibri"/>
        <family val="2"/>
        <scheme val="minor"/>
      </rPr>
      <t>Th</t>
    </r>
    <r>
      <rPr>
        <sz val="10"/>
        <rFont val="Calibri"/>
        <family val="2"/>
        <scheme val="minor"/>
      </rPr>
      <t>*(0.00018*</t>
    </r>
    <r>
      <rPr>
        <b/>
        <i/>
        <sz val="10"/>
        <rFont val="Calibri"/>
        <family val="2"/>
        <scheme val="minor"/>
      </rPr>
      <t>Ws</t>
    </r>
    <r>
      <rPr>
        <sz val="10"/>
        <rFont val="Calibri"/>
        <family val="2"/>
        <scheme val="minor"/>
      </rPr>
      <t>-0.0299)+0.00166*</t>
    </r>
    <r>
      <rPr>
        <b/>
        <i/>
        <sz val="10"/>
        <rFont val="Calibri"/>
        <family val="2"/>
        <scheme val="minor"/>
      </rPr>
      <t>Ws</t>
    </r>
  </si>
  <si>
    <r>
      <t>CZ</t>
    </r>
    <r>
      <rPr>
        <sz val="10"/>
        <rFont val="Calibri"/>
        <family val="2"/>
        <scheme val="minor"/>
      </rPr>
      <t>+0.00203*</t>
    </r>
    <r>
      <rPr>
        <b/>
        <i/>
        <sz val="10"/>
        <rFont val="Calibri"/>
        <family val="2"/>
        <scheme val="minor"/>
      </rPr>
      <t>Fu</t>
    </r>
    <r>
      <rPr>
        <sz val="10"/>
        <rFont val="Calibri"/>
        <family val="2"/>
        <scheme val="minor"/>
      </rPr>
      <t>*</t>
    </r>
    <r>
      <rPr>
        <b/>
        <i/>
        <sz val="10"/>
        <rFont val="Calibri"/>
        <family val="2"/>
        <scheme val="minor"/>
      </rPr>
      <t>Th</t>
    </r>
    <r>
      <rPr>
        <sz val="10"/>
        <rFont val="Calibri"/>
        <family val="2"/>
        <scheme val="minor"/>
      </rPr>
      <t>+</t>
    </r>
    <r>
      <rPr>
        <b/>
        <i/>
        <sz val="10"/>
        <rFont val="Calibri"/>
        <family val="2"/>
        <scheme val="minor"/>
      </rPr>
      <t>Th</t>
    </r>
    <r>
      <rPr>
        <sz val="10"/>
        <rFont val="Calibri"/>
        <family val="2"/>
        <scheme val="minor"/>
      </rPr>
      <t>*(0.000591*</t>
    </r>
    <r>
      <rPr>
        <b/>
        <i/>
        <sz val="10"/>
        <rFont val="Calibri"/>
        <family val="2"/>
        <scheme val="minor"/>
      </rPr>
      <t>Ws</t>
    </r>
    <r>
      <rPr>
        <sz val="10"/>
        <rFont val="Calibri"/>
        <family val="2"/>
        <scheme val="minor"/>
      </rPr>
      <t>-0.0812)+0.00194*</t>
    </r>
    <r>
      <rPr>
        <b/>
        <i/>
        <sz val="10"/>
        <rFont val="Calibri"/>
        <family val="2"/>
        <scheme val="minor"/>
      </rPr>
      <t>Ws</t>
    </r>
  </si>
  <si>
    <r>
      <t>CZ</t>
    </r>
    <r>
      <rPr>
        <sz val="10"/>
        <rFont val="Calibri"/>
        <family val="2"/>
        <scheme val="minor"/>
      </rPr>
      <t>+</t>
    </r>
    <r>
      <rPr>
        <b/>
        <i/>
        <sz val="10"/>
        <rFont val="Calibri"/>
        <family val="2"/>
        <scheme val="minor"/>
      </rPr>
      <t>Th</t>
    </r>
    <r>
      <rPr>
        <sz val="10"/>
        <rFont val="Calibri"/>
        <family val="2"/>
        <scheme val="minor"/>
      </rPr>
      <t>*(0.000406*</t>
    </r>
    <r>
      <rPr>
        <b/>
        <i/>
        <sz val="10"/>
        <rFont val="Calibri"/>
        <family val="2"/>
        <scheme val="minor"/>
      </rPr>
      <t>Ws</t>
    </r>
    <r>
      <rPr>
        <sz val="10"/>
        <rFont val="Calibri"/>
        <family val="2"/>
        <scheme val="minor"/>
      </rPr>
      <t>-0.0611)+0.00228*</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</si>
  <si>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*(0.00998*</t>
    </r>
    <r>
      <rPr>
        <b/>
        <i/>
        <sz val="10"/>
        <rFont val="Calibri"/>
        <family val="2"/>
        <scheme val="minor"/>
      </rPr>
      <t>Th</t>
    </r>
    <r>
      <rPr>
        <sz val="10"/>
        <rFont val="Calibri"/>
        <family val="2"/>
        <scheme val="minor"/>
      </rPr>
      <t>+0.00207*</t>
    </r>
    <r>
      <rPr>
        <b/>
        <i/>
        <sz val="10"/>
        <rFont val="Calibri"/>
        <family val="2"/>
        <scheme val="minor"/>
      </rPr>
      <t>Ws</t>
    </r>
    <r>
      <rPr>
        <sz val="10"/>
        <rFont val="Calibri"/>
        <family val="2"/>
        <scheme val="minor"/>
      </rPr>
      <t>-0.206)+</t>
    </r>
    <r>
      <rPr>
        <b/>
        <i/>
        <sz val="10"/>
        <rFont val="Calibri"/>
        <family val="2"/>
        <scheme val="minor"/>
      </rPr>
      <t>Th</t>
    </r>
    <r>
      <rPr>
        <sz val="10"/>
        <rFont val="Calibri"/>
        <family val="2"/>
        <scheme val="minor"/>
      </rPr>
      <t>*(0.000665*</t>
    </r>
    <r>
      <rPr>
        <b/>
        <i/>
        <sz val="10"/>
        <rFont val="Calibri"/>
        <family val="2"/>
        <scheme val="minor"/>
      </rPr>
      <t>Ws</t>
    </r>
    <r>
      <rPr>
        <sz val="10"/>
        <rFont val="Calibri"/>
        <family val="2"/>
        <scheme val="minor"/>
      </rPr>
      <t>-0.101)+0.00292*</t>
    </r>
    <r>
      <rPr>
        <b/>
        <i/>
        <sz val="10"/>
        <rFont val="Calibri"/>
        <family val="2"/>
        <scheme val="minor"/>
      </rPr>
      <t>Ws</t>
    </r>
  </si>
  <si>
    <r>
      <t>CZ</t>
    </r>
    <r>
      <rPr>
        <sz val="10"/>
        <rFont val="Calibri"/>
        <family val="2"/>
        <scheme val="minor"/>
      </rPr>
      <t>+</t>
    </r>
    <r>
      <rPr>
        <b/>
        <i/>
        <sz val="10"/>
        <rFont val="Calibri"/>
        <family val="2"/>
        <scheme val="minor"/>
      </rPr>
      <t>Fu</t>
    </r>
    <r>
      <rPr>
        <sz val="10"/>
        <rFont val="Calibri"/>
        <family val="2"/>
        <scheme val="minor"/>
      </rPr>
      <t>*(0.00383*</t>
    </r>
    <r>
      <rPr>
        <b/>
        <i/>
        <sz val="10"/>
        <rFont val="Calibri"/>
        <family val="2"/>
        <scheme val="minor"/>
      </rPr>
      <t>Th</t>
    </r>
    <r>
      <rPr>
        <sz val="10"/>
        <rFont val="Calibri"/>
        <family val="2"/>
        <scheme val="minor"/>
      </rPr>
      <t>-0.0656)+</t>
    </r>
    <r>
      <rPr>
        <b/>
        <i/>
        <sz val="10"/>
        <rFont val="Calibri"/>
        <family val="2"/>
        <scheme val="minor"/>
      </rPr>
      <t>Th</t>
    </r>
    <r>
      <rPr>
        <sz val="10"/>
        <rFont val="Calibri"/>
        <family val="2"/>
        <scheme val="minor"/>
      </rPr>
      <t>*(0.000575*</t>
    </r>
    <r>
      <rPr>
        <b/>
        <i/>
        <sz val="10"/>
        <rFont val="Calibri"/>
        <family val="2"/>
        <scheme val="minor"/>
      </rPr>
      <t>Ws</t>
    </r>
    <r>
      <rPr>
        <sz val="10"/>
        <rFont val="Calibri"/>
        <family val="2"/>
        <scheme val="minor"/>
      </rPr>
      <t>-0.0912)+0.00249*</t>
    </r>
    <r>
      <rPr>
        <b/>
        <i/>
        <sz val="10"/>
        <rFont val="Calibri"/>
        <family val="2"/>
        <scheme val="minor"/>
      </rPr>
      <t>Ws</t>
    </r>
  </si>
  <si>
    <r>
      <t>Climate Zone Coefficient (</t>
    </r>
    <r>
      <rPr>
        <b/>
        <i/>
        <sz val="9"/>
        <color rgb="FFFFFFFF"/>
        <rFont val="Calibri"/>
        <family val="2"/>
        <scheme val="minor"/>
      </rPr>
      <t>CZ</t>
    </r>
    <r>
      <rPr>
        <b/>
        <sz val="9"/>
        <color rgb="FFFFFFFF"/>
        <rFont val="Calibri"/>
        <family val="2"/>
        <scheme val="minor"/>
      </rPr>
      <t>) Continuous Operation</t>
    </r>
  </si>
  <si>
    <r>
      <t xml:space="preserve">Minimum </t>
    </r>
    <r>
      <rPr>
        <b/>
        <i/>
        <sz val="9"/>
        <color rgb="FFFFFFFF"/>
        <rFont val="Calibri"/>
        <family val="2"/>
        <scheme val="minor"/>
      </rPr>
      <t>Ws</t>
    </r>
  </si>
  <si>
    <t>Nicor Climate Zone split</t>
  </si>
  <si>
    <r>
      <t>Climate Zone Coefficient (</t>
    </r>
    <r>
      <rPr>
        <b/>
        <i/>
        <sz val="9"/>
        <color rgb="FFFFFFFF"/>
        <rFont val="Calibri"/>
        <family val="2"/>
        <scheme val="minor"/>
      </rPr>
      <t>CZ</t>
    </r>
    <r>
      <rPr>
        <b/>
        <sz val="9"/>
        <color rgb="FFFFFFFF"/>
        <rFont val="Calibri"/>
        <family val="2"/>
        <scheme val="minor"/>
      </rPr>
      <t>) Intermittent Operation</t>
    </r>
  </si>
  <si>
    <t>Fu Variable lookup table</t>
  </si>
  <si>
    <t xml:space="preserve">Fan Mode </t>
  </si>
  <si>
    <t>average of building type permutations</t>
  </si>
  <si>
    <t>4.4.18</t>
  </si>
  <si>
    <t>Efficient Equipment Definition</t>
  </si>
  <si>
    <t>Natural Gas Energy Use Equations (therms / kbtu output)</t>
  </si>
  <si>
    <t>CI-HVC-PROG-V02-150601</t>
  </si>
  <si>
    <t>Demand Controlled Ventilation</t>
  </si>
  <si>
    <t>Condition Space</t>
  </si>
  <si>
    <t>Number of Sensors</t>
  </si>
  <si>
    <t>Elec Savings_Factor</t>
  </si>
  <si>
    <t>Therm_Savings_Factor</t>
  </si>
  <si>
    <t>Squarefoot of Building</t>
  </si>
  <si>
    <t>Condition space</t>
  </si>
  <si>
    <t>Conversion Factor</t>
  </si>
  <si>
    <t>Therms/Sensor</t>
  </si>
  <si>
    <t>4.4.19</t>
  </si>
  <si>
    <t>Controls</t>
  </si>
  <si>
    <t>Commercial ventilation C23</t>
  </si>
  <si>
    <t>Office Building</t>
  </si>
  <si>
    <t>4.4.19.3</t>
  </si>
  <si>
    <t>De-fault</t>
  </si>
  <si>
    <t>Elementary and High School</t>
  </si>
  <si>
    <t xml:space="preserve">College/University </t>
  </si>
  <si>
    <t>lodging</t>
  </si>
  <si>
    <t>Manufacturing</t>
  </si>
  <si>
    <t>Special Assembly Auditorium</t>
  </si>
  <si>
    <t>Office - Low-rise</t>
  </si>
  <si>
    <t>Small Building (custom)</t>
  </si>
  <si>
    <t>Small College (custom)</t>
  </si>
  <si>
    <t>Small Elementary and High School (custom)</t>
  </si>
  <si>
    <t>ΔkWh = Condition Space / 1000 * Savings_Factor</t>
  </si>
  <si>
    <t>Δtherms = Condition Space / 1000 * Therm_Savings_Factor</t>
  </si>
  <si>
    <t>Conditioned Space</t>
  </si>
  <si>
    <t>Actual square footage of conditioned space controlled by sensor</t>
  </si>
  <si>
    <t>factor to divide by</t>
  </si>
  <si>
    <t>Lookup Table below</t>
  </si>
  <si>
    <t>Table of values from the TRM based on building type and climate zone</t>
  </si>
  <si>
    <t xml:space="preserve"> = Condition Space / 1000 * Therm_Savings_Factor</t>
  </si>
  <si>
    <t>calculation to get number of therms per sensor</t>
  </si>
  <si>
    <t xml:space="preserve">The deemed measure life is 10 years and based on CO2 sensor estimated life. </t>
  </si>
  <si>
    <t>TRM Deemed - no proposed changes in TRM V5</t>
  </si>
  <si>
    <t>Elect_Savings Factor (kWh/1000 sq ft)</t>
  </si>
  <si>
    <t>Office - Mid-rise</t>
  </si>
  <si>
    <t>Office - High-rise</t>
  </si>
  <si>
    <t>Therm_Savings Factor (Therm/1000 sq ft)</t>
  </si>
  <si>
    <t>SQFT/Sensor</t>
  </si>
  <si>
    <t>Assumption</t>
  </si>
  <si>
    <t>Square Footage</t>
  </si>
  <si>
    <t xml:space="preserve">Number of Sensors Per Building </t>
  </si>
  <si>
    <t>&lt;10K Sqft</t>
  </si>
  <si>
    <t>average of office buildings</t>
  </si>
  <si>
    <t>average of retail buildings</t>
  </si>
  <si>
    <t>average of elementary and high school buildings</t>
  </si>
  <si>
    <t>less than 10K sqft</t>
  </si>
  <si>
    <t>Modulating Commercial Gas Clothes Dryer</t>
  </si>
  <si>
    <t>Application Type</t>
  </si>
  <si>
    <t>Ncycles</t>
  </si>
  <si>
    <t xml:space="preserve">Coin- Operated Laundromats </t>
  </si>
  <si>
    <t xml:space="preserve">Multi-family Dryers </t>
  </si>
  <si>
    <t>4.8.4.3</t>
  </si>
  <si>
    <t xml:space="preserve">On-Premise Laundromats  </t>
  </si>
  <si>
    <t>4.8.4.4</t>
  </si>
  <si>
    <t>Modulating Commercial Gas Clothes Dryer - On-Premise Laundromats   - Public Sector</t>
  </si>
  <si>
    <t>∆Therms = NCycles * SF</t>
  </si>
  <si>
    <t>Number of dryer cycles per year. Refer to the table below if this value is not directly available</t>
  </si>
  <si>
    <t>Dependent upon Application; based on Dryer location, MF, laundromat, or on-premise laundry</t>
  </si>
  <si>
    <t>TRM Deems this value at 0.18 therms/cycle</t>
  </si>
  <si>
    <t>This is deemed in TRM V5</t>
  </si>
  <si>
    <t>Cycles per Year</t>
  </si>
  <si>
    <t>4.8.4</t>
  </si>
  <si>
    <t>Furnace Efficiency Before Tune Up</t>
  </si>
  <si>
    <t>Improvement of Furnace Efficiency</t>
  </si>
  <si>
    <t>Capacity of Equipment (Tons)</t>
  </si>
  <si>
    <t>Deratingpost</t>
  </si>
  <si>
    <t xml:space="preserve">Residential Electric Space Heat </t>
  </si>
  <si>
    <t>5.3.13.2</t>
  </si>
  <si>
    <r>
      <t>ΔkWh</t>
    </r>
    <r>
      <rPr>
        <vertAlign val="subscript"/>
        <sz val="10"/>
        <color theme="1"/>
        <rFont val="Calibri"/>
        <family val="2"/>
        <scheme val="minor"/>
      </rPr>
      <t xml:space="preserve"> </t>
    </r>
    <r>
      <rPr>
        <sz val="10"/>
        <color theme="1"/>
        <rFont val="Calibri"/>
        <family val="2"/>
        <scheme val="minor"/>
      </rPr>
      <t>= ΔTherms * Fe * 29.3</t>
    </r>
  </si>
  <si>
    <t>Other Tune Up Programs</t>
  </si>
  <si>
    <t>∆Therms = (Gas Furnace Heating Load * HF * (1/Effbefore - 1/(Effbefore + Ei)))</t>
  </si>
  <si>
    <t>Verified Quality Maintenance</t>
  </si>
  <si>
    <t>Δtherms =( Gas_Furnace_Heating_Load * HF * (1 /(AFUE * (1 - Deratingpre)) –  1/(AFUE * (1 – Deratingpost) )</t>
  </si>
  <si>
    <t>Estimate of annual household heating load  for gas furnace heated single-family homes. If location is unknown, assume the average below</t>
  </si>
  <si>
    <t>TRM recommends actual if informed by site-specific load calculations, ACCA Manual J or equivalent</t>
  </si>
  <si>
    <t>TRM also has a table of values based on climate zone.</t>
  </si>
  <si>
    <t>Household factor, to adjust heating consumption for non-single-family households</t>
  </si>
  <si>
    <t>TRM table of values based on household type</t>
  </si>
  <si>
    <t>EFFbefore</t>
  </si>
  <si>
    <t xml:space="preserve">Efficiency of the furnace before the tune-up </t>
  </si>
  <si>
    <t>TRM recommends to use actual information</t>
  </si>
  <si>
    <t>Note: Contractors should select a mid-level firing rate that appropriately represents the average building operating condition over the course of the heating season and take readings at a consistent firing rate for pre and post tune-up.</t>
  </si>
  <si>
    <t>Efficiency Improvement of the furnace tune-up measure</t>
  </si>
  <si>
    <t>Furnace Annual Fuel Utilization Efficiency Rating</t>
  </si>
  <si>
    <t>Per TRM - use Actual</t>
  </si>
  <si>
    <t>Furnace AFUE Derating before HVAC SAVE tune-up</t>
  </si>
  <si>
    <t>The TRM deems this value at 6.4%</t>
  </si>
  <si>
    <t>Furnace AFUE Derating after HVAC SAVE tune-up</t>
  </si>
  <si>
    <t>The TRM deems this value at 0%</t>
  </si>
  <si>
    <t>TRM deems this value at 3.14%</t>
  </si>
  <si>
    <t>converts kWh per therm</t>
  </si>
  <si>
    <t>Measure Life - Other Tune Ups</t>
  </si>
  <si>
    <t>The measure life for the tune up is 2 years. This is the measure life for the tune up measure</t>
  </si>
  <si>
    <t>The TRM deems this value</t>
  </si>
  <si>
    <t>Measure Life - Verified Quality Maintenance</t>
  </si>
  <si>
    <t>An HVAC SAVE tune-up lasts the remaining life of the equipment because they come from adjustments to fans and ducts that remain effective through normal operation of the equipment. Assume 10 years.</t>
  </si>
  <si>
    <t>Measure cost</t>
  </si>
  <si>
    <t xml:space="preserve">Household Type </t>
  </si>
  <si>
    <t>Household Type  Lookup</t>
  </si>
  <si>
    <t>(City based upon)</t>
  </si>
  <si>
    <t>Notes on AFUE</t>
  </si>
  <si>
    <t>CFU tracks the AFUE information and they are finding an average of around 85 AFUE. D+R International presented an argument on the TRM TAC this summer that Illinois has less condensing furnaces than Iowa so it may be more appropriate to use 80 AFUE in Illinois</t>
  </si>
  <si>
    <t>5.3.13</t>
  </si>
  <si>
    <t>Gas Water heater</t>
  </si>
  <si>
    <t>Water heater type</t>
  </si>
  <si>
    <t>Tank Size (gals)</t>
  </si>
  <si>
    <t>EFbase</t>
  </si>
  <si>
    <t>EFeff</t>
  </si>
  <si>
    <t>Efexisting</t>
  </si>
  <si>
    <t>GPD</t>
  </si>
  <si>
    <t xml:space="preserve"> γWater</t>
  </si>
  <si>
    <t>5.4.2.2</t>
  </si>
  <si>
    <t>Condensing gas storage</t>
  </si>
  <si>
    <t>Tankless whole-house unit</t>
  </si>
  <si>
    <t>TOS or NC:</t>
  </si>
  <si>
    <r>
      <t>ΔTherms = (1/ EF</t>
    </r>
    <r>
      <rPr>
        <vertAlign val="subscript"/>
        <sz val="10"/>
        <color theme="1"/>
        <rFont val="Calibri"/>
        <family val="2"/>
        <scheme val="minor"/>
      </rPr>
      <t>base</t>
    </r>
    <r>
      <rPr>
        <sz val="10"/>
        <color theme="1"/>
        <rFont val="Calibri"/>
        <family val="2"/>
        <scheme val="minor"/>
      </rPr>
      <t xml:space="preserve"> - 1/EF</t>
    </r>
    <r>
      <rPr>
        <vertAlign val="subscript"/>
        <sz val="10"/>
        <color theme="1"/>
        <rFont val="Calibri"/>
        <family val="2"/>
        <scheme val="minor"/>
      </rPr>
      <t>efficient</t>
    </r>
    <r>
      <rPr>
        <sz val="10"/>
        <color theme="1"/>
        <rFont val="Calibri"/>
        <family val="2"/>
        <scheme val="minor"/>
      </rPr>
      <t>) * (GPD * Household * 365.25 * γWater * (T</t>
    </r>
    <r>
      <rPr>
        <vertAlign val="subscript"/>
        <sz val="10"/>
        <color theme="1"/>
        <rFont val="Calibri"/>
        <family val="2"/>
        <scheme val="minor"/>
      </rPr>
      <t>OUT</t>
    </r>
    <r>
      <rPr>
        <sz val="10"/>
        <color theme="1"/>
        <rFont val="Calibri"/>
        <family val="2"/>
        <scheme val="minor"/>
      </rPr>
      <t xml:space="preserve"> – T</t>
    </r>
    <r>
      <rPr>
        <vertAlign val="subscript"/>
        <sz val="10"/>
        <color theme="1"/>
        <rFont val="Calibri"/>
        <family val="2"/>
        <scheme val="minor"/>
      </rPr>
      <t>in</t>
    </r>
    <r>
      <rPr>
        <sz val="10"/>
        <color theme="1"/>
        <rFont val="Calibri"/>
        <family val="2"/>
        <scheme val="minor"/>
      </rPr>
      <t>) * 1.0 )/100,000</t>
    </r>
  </si>
  <si>
    <t>EREP:</t>
  </si>
  <si>
    <t>ΔTherms for remaining life of existing unit (1st 4 years):</t>
  </si>
  <si>
    <t>(1/EFexisting - 1/EFefficient) * (GPD * Household * 365.25 *  γWater * (Tout - Tin) * 1.0) / 100,000</t>
  </si>
  <si>
    <t>ΔTherms for remaining measure life (next 9 years):</t>
  </si>
  <si>
    <t>(1/ EFbase - 1/EFefficient) * (GPD * Household * 365.25 * γWater * (TOUT – Tin) * 1.0 )/100,000</t>
  </si>
  <si>
    <t>Energy Factor rating for baseline equipment</t>
  </si>
  <si>
    <t>Energy Factor Rating for efficient equipment</t>
  </si>
  <si>
    <t>Actual. If Tankless whole-house multiply rated efficiency by 0.91. If unknown assume values in look up in table below</t>
  </si>
  <si>
    <t>Table of lookup values deemed by the TRM</t>
  </si>
  <si>
    <t>Gallons Per Day of hot water use per household</t>
  </si>
  <si>
    <t>45.5 gallons hot water per day per household/2.59 people per household</t>
  </si>
  <si>
    <t>This is a value deemed by the TRM</t>
  </si>
  <si>
    <t>Average Number of people per household</t>
  </si>
  <si>
    <t>Table of lookup values deemed by the TRM - based on Household unit type</t>
  </si>
  <si>
    <t>Specific Weight of water</t>
  </si>
  <si>
    <t>Days per Year</t>
  </si>
  <si>
    <t>Days per year, on Average</t>
  </si>
  <si>
    <t>Heat capacity of water</t>
  </si>
  <si>
    <t>Heat Capacity of water (1 Btu/lb*°F)</t>
  </si>
  <si>
    <t>The expected measure life is assumed to be 13 years.</t>
  </si>
  <si>
    <t>For early replacement: Remaining life of existing equipment is assumed to be 4 years</t>
  </si>
  <si>
    <t>These is a deemed value per the TRM</t>
  </si>
  <si>
    <t>Water heater Type</t>
  </si>
  <si>
    <t>Full Install Cost</t>
  </si>
  <si>
    <t>TOS or NC</t>
  </si>
  <si>
    <t>20-55</t>
  </si>
  <si>
    <t>0.675-(0.0015*storage size)</t>
  </si>
  <si>
    <t>55-100</t>
  </si>
  <si>
    <t>0.8012 - (0.00078 * storage size)</t>
  </si>
  <si>
    <t>Remaining Useful Life (4 Years)</t>
  </si>
  <si>
    <t>Efficiency of existing equipment</t>
  </si>
  <si>
    <t>Remaining Life</t>
  </si>
  <si>
    <t>Baseline for TOS or NC</t>
  </si>
  <si>
    <t>5.4.2</t>
  </si>
  <si>
    <t>4.4.4.1</t>
  </si>
  <si>
    <t>Programmable Thermostats - Average - Public Sector</t>
  </si>
  <si>
    <t>assumes 5000 sqft per sensor, using the climate zone and building type lookup table to get the therm savings factor</t>
  </si>
  <si>
    <t>per IC workpaper</t>
  </si>
  <si>
    <t>IC workpaper DCV</t>
  </si>
  <si>
    <t>based on IC workpaper</t>
  </si>
  <si>
    <t>assuming 1 sensor per 5,000 squarefeet</t>
  </si>
  <si>
    <t>TRM table of lookup values based on climate zone below</t>
  </si>
  <si>
    <t>TRM clarifies language on when to measure the efficiency.</t>
  </si>
  <si>
    <t>Per discussion with MEEA, CFU (Cedar Falls Utilities) tracks AFUE at around 85%; but Illinois has less condensing furnaces per D&amp;R data; using 80%</t>
  </si>
  <si>
    <t>5.6.3</t>
  </si>
  <si>
    <t>R-value of additional Insulation</t>
  </si>
  <si>
    <t xml:space="preserve"> Total Floor Area to be insulated (SF)</t>
  </si>
  <si>
    <t>Age of Cooling equipment</t>
  </si>
  <si>
    <r>
      <t>ADJ</t>
    </r>
    <r>
      <rPr>
        <sz val="8"/>
        <color theme="1"/>
        <rFont val="Calibri"/>
        <family val="2"/>
        <scheme val="minor"/>
      </rPr>
      <t>Floorcool</t>
    </r>
  </si>
  <si>
    <r>
      <t>ADJ</t>
    </r>
    <r>
      <rPr>
        <sz val="8"/>
        <color theme="1"/>
        <rFont val="Calibri"/>
        <family val="2"/>
        <scheme val="minor"/>
      </rPr>
      <t>Floorheat</t>
    </r>
  </si>
  <si>
    <t>Area</t>
  </si>
  <si>
    <t>Natural gas</t>
  </si>
  <si>
    <t>5.6.3.2</t>
  </si>
  <si>
    <t xml:space="preserve">ΔkWh_cooling = (((1/R_old - 1/(R_added+R_old)) * Area * (1-Framing_factor)) * 24 * CDD * DUA) / (1000 * ηCool))   </t>
  </si>
  <si>
    <t>ΔkWh_heating = ((1/R_old - 1/(R_added + R_old)) * Area * (1-Framing_factor) * 24 * HDD)/ (3,412 * ηHeat))*ADJfloorcool</t>
  </si>
  <si>
    <t>Multi-family</t>
  </si>
  <si>
    <t>If Natural Gas heating:</t>
  </si>
  <si>
    <t>ΔTherms = (1/R_old - 1/(R_added+R_old)) * Area * (1-Framing_factor)) * 24 * HDD) / (100,000 * ηHeat) * ADJfloorheat</t>
  </si>
  <si>
    <t>if central cooling, reduction in annual cooling requirement due to insulation</t>
  </si>
  <si>
    <t>if electric heat (resistance or heat pump), reduction in annual electric Heating due to insulation
If gas furnace heat, kWh savings for reduction in fan run time</t>
  </si>
  <si>
    <t>R-value value of floor before insulation, assuming 3/4” plywood subfloor &amp; carpet with pad</t>
  </si>
  <si>
    <t>Total Floor area to be insulated</t>
  </si>
  <si>
    <t>SEER of cooling system (kBtu/kWh)</t>
  </si>
  <si>
    <t>Efficiency of Heating system (COP)</t>
  </si>
  <si>
    <t>FLH_Cooling</t>
  </si>
  <si>
    <t>Unconditioned CDD</t>
  </si>
  <si>
    <t>Unconditioned HDD</t>
  </si>
  <si>
    <t>TRM Deemed value</t>
  </si>
  <si>
    <t>Alogirthm per TRM</t>
  </si>
  <si>
    <t>Per TRM use actual, if unknown assume 3.96</t>
  </si>
  <si>
    <t>12% Value deemed by the TRM</t>
  </si>
  <si>
    <t>Table of values per the TRM based on climate zone</t>
  </si>
  <si>
    <t>0.75 is a value deemed by the TRM</t>
  </si>
  <si>
    <t>Per TRM , use actual(where it is possible to measure or reasonably estimate).  If unknown, use table of values per TRM</t>
  </si>
  <si>
    <t>Table of Lookup Values</t>
  </si>
  <si>
    <t>ADJFloorCool</t>
  </si>
  <si>
    <t>Adjustment for cooling savings from floor to account for prescriptive engineering algorithms overclaiming savings.</t>
  </si>
  <si>
    <t>Value deemed per TRM at 80%</t>
  </si>
  <si>
    <t>Per TRM, use Actual. If not available, use default table per TRM.</t>
  </si>
  <si>
    <t>Adjustment for floor insulation to account for prescriptive engineering algorithms overclaiming savings.</t>
  </si>
  <si>
    <t>Per TRM, use 60%</t>
  </si>
  <si>
    <t>Per TRM, use table of lookup values dependent on location</t>
  </si>
  <si>
    <t>Per TRM, vaires by system; Deemed values per system. CFPJm is 46.6%.</t>
  </si>
  <si>
    <t>Per TRM, use actual.  If unknown, assume 72%.</t>
  </si>
  <si>
    <t>Efficiency of heating system (%) equal to Equipment efficiency * distribution efficiency</t>
  </si>
  <si>
    <t>Lookup Keys</t>
  </si>
  <si>
    <t>5.4.4, 5.4.5, 5.4.6, 5.4.9</t>
  </si>
  <si>
    <t xml:space="preserve">Measure Assumptions </t>
  </si>
  <si>
    <t>5.4.4, 5.4.5,  5.4.9</t>
  </si>
  <si>
    <t>RS-HWE-LFFA-V06-180101, RS-HWE-LFSH-V05-180101, RS-HWE-TMPS-V05-160601, RS-DHW-SHTM-V01-180101</t>
  </si>
  <si>
    <t>RS-HWE-LFFA-V06-180101, RS-HWE-LFSH-V05-180101, RS-DHW-SHTM-V01-180101</t>
  </si>
  <si>
    <t>Nicor Gas PY7-PY10 Adjustable Goals Template_2017-06-30</t>
  </si>
  <si>
    <t>5.3.11.3</t>
  </si>
  <si>
    <t>Plan Net-to-Gross Values (Fixed Parameters for Calculating Adjustable Savings Goals)</t>
  </si>
  <si>
    <t>2018 Plan NTG (Fixed)</t>
  </si>
  <si>
    <t>2019 Plan NTG (Fixed)</t>
  </si>
  <si>
    <t>2020 Plan NTG (Fixed)</t>
  </si>
  <si>
    <t>2021 Plan NTG (Fixed)</t>
  </si>
  <si>
    <t>TOTAL Life Cycle Therms</t>
  </si>
  <si>
    <t>Nicor Gas PY7-PY10 Adjustable Goals Template_2017-06-30, Tab 4.4.4</t>
  </si>
  <si>
    <t>Nicor Gas PY7-PY10 Adjustable Goals Template_2017-06-30, Tab 4.4.2</t>
  </si>
  <si>
    <t>Nicor Gas PY7-PY10 Adjustable Goals Template_2017-06-30, Tab 4.4.3</t>
  </si>
  <si>
    <t>Nicor Gas PY7-PY10 Adjustable Goals Template_2017-06-30, Tab 4.4.10</t>
  </si>
  <si>
    <t>Nicor Gas PY7-PY10 Adjustable Goals Template_2017-06-30, Tab 4.3.1</t>
  </si>
  <si>
    <t/>
  </si>
  <si>
    <t>Nicor Gas PY7-PY10 Adjustable Goals Template_2017-06-30, Tab 4.4.11</t>
  </si>
  <si>
    <t>Nicor Gas PY7-PY10 Adjustable Goals Template_2017-06-30, Tab 4.4.5</t>
  </si>
  <si>
    <t>Nicor Gas PY7-PY10 Adjustable Goals Template_2017-06-30, Tab 4.4.12</t>
  </si>
  <si>
    <t>Nicor Gas PY7-PY10 Adjustable Goals Template_2017-06-30, Tab 4.3.6</t>
  </si>
  <si>
    <t>Nicor Gas PY7-PY10 Adjustable Goals Template_2017-06-30, Tab 4.4.19</t>
  </si>
  <si>
    <t>Nicor Gas PY7-PY10 Adjustable Goals Template_2017-06-30, Tab 4.8.4</t>
  </si>
  <si>
    <t>Nicor Gas PY7-PY10 Adjustable Goals Template_2017-06-30, Tab 4.4.14</t>
  </si>
  <si>
    <t>Nicor Gas PY7-PY10 Adjustable Goals Template_2017-06-30, Tab 4.3.4</t>
  </si>
  <si>
    <t>Nicor Gas PY7-PY10 Adjustable Goals Template_2017-06-30, Tab 4.2.15</t>
  </si>
  <si>
    <t>Nicor Gas PY7-PY10 Adjustable Goals Template_2017-06-30, Tab 4.2.12</t>
  </si>
  <si>
    <t>Nicor Gas PY7-PY10 Adjustable Goals Template_2017-06-30, Tab 4.2.17</t>
  </si>
  <si>
    <t>Nicor Gas PY7-PY10 Adjustable Goals Template_2017-06-30, Tab 4.2.13</t>
  </si>
  <si>
    <t>Nicor Gas PY7-PY10 Adjustable Goals Template_2017-06-30, Tab 4.2.14</t>
  </si>
  <si>
    <t>Nicor Gas PY7-PY10 Adjustable Goals Template_2017-06-30, Tab 4.2.3</t>
  </si>
  <si>
    <t>Nicor Gas PY7-PY10 Adjustable Goals Template_2017-06-30, Tab 4.2.5</t>
  </si>
  <si>
    <t>Nicor Gas PY7-PY10 Adjustable Goals Template_2017-06-30, Tab 4.2.1</t>
  </si>
  <si>
    <t>Nicor Gas PY7-PY10 Adjustable Goals Template_2017-06-30, Tab 4.2.18</t>
  </si>
  <si>
    <t>Nicor Gas PY7-PY10 Adjustable Goals Template_2017-06-30, Tab 4.2.7</t>
  </si>
  <si>
    <t>Nicor Gas PY7-PY10 Adjustable Goals Template_2017-06-30, Tab 4.2.8</t>
  </si>
  <si>
    <t>Nicor Gas PY7-PY10 Adjustable Goals Template_2017-06-30, Tab 4.2.4</t>
  </si>
  <si>
    <t>Nicor Gas PY7-PY10 Adjustable Goals Template_2017-06-30, Tab 4.4.16</t>
  </si>
  <si>
    <t>Nicor Gas PY7-PY10 Adjustable Goals Template_2017-06-30, Tab 4.2.11</t>
  </si>
  <si>
    <t>Nicor Gas PY7-PY10 Adjustable Goals Template_2017-06-30, Tab 4.3.2</t>
  </si>
  <si>
    <t>Nicor Gas PY7-PY10 Adjustable Goals Template_2017-06-30, Tab 4.3.3</t>
  </si>
  <si>
    <t>Nicor Gas PY7-PY10 Adjustable Goals Template_2017-06-30, Tab 4.4.18</t>
  </si>
  <si>
    <t>Nicor Gas PY7-PY10 Adjustable Goals Template_2017-06-30, Tab 5.4.4, 5.4.5, 5.4.6, 5.4.9</t>
  </si>
  <si>
    <t>Nicor Gas PY7-PY10 Adjustable Goals Template_2017-06-30, Tab 5.4.4, 5.4.5,  5.4.9</t>
  </si>
  <si>
    <t>Nicor Gas PY7-PY10 Adjustable Goals Template_2017-06-30, Tab 5.3.7</t>
  </si>
  <si>
    <t>Nicor Gas PY7-PY10 Adjustable Goals Template_2017-06-30, Tab 5.3.6</t>
  </si>
  <si>
    <t>Nicor Gas PY7-PY10 Adjustable Goals Template_2017-06-30, Tab 5.3.13</t>
  </si>
  <si>
    <t>Nicor Gas PY7-PY10 Adjustable Goals Template_2017-06-30, Tab 5.3.16</t>
  </si>
  <si>
    <t>Nicor Gas PY7-PY10 Adjustable Goals Template_2017-06-30, Tab 5.4.4</t>
  </si>
  <si>
    <t>Nicor Gas PY7-PY10 Adjustable Goals Template_2017-06-30, Tab 5.4.5</t>
  </si>
  <si>
    <t>Nicor Gas PY7-PY10 Adjustable Goals Template_2017-06-30, Tab 5.4.6</t>
  </si>
  <si>
    <t>Nicor Gas PY7-PY10 Adjustable Goals Template_2017-06-30, Tab 5.4.1</t>
  </si>
  <si>
    <t>Nicor Gas PY7-PY10 Adjustable Goals Template_2017-06-30, Tab 5.3.11</t>
  </si>
  <si>
    <t>Nicor Gas PY7-PY10 Adjustable Goals Template_2017-06-30, Tab 5.6.1</t>
  </si>
  <si>
    <t>Nicor Gas PY7-PY10 Adjustable Goals Template_2017-06-30, Tab 5.6.4</t>
  </si>
  <si>
    <t>Nicor Gas PY7-PY10 Adjustable Goals Template_2017-06-30, Tab 5.3.4</t>
  </si>
  <si>
    <t>Nicor Gas PY7-PY10 Adjustable Goals Template_2017-06-30, Tab 5.6.2</t>
  </si>
  <si>
    <t>Nicor Gas PY7-PY10 Adjustable Goals Template_2017-06-30, Tab 5.6.3</t>
  </si>
  <si>
    <t>Nicor Gas PY7-PY10 Adjustable Goals Template_2017-06-30, Tab 4.4.24</t>
  </si>
  <si>
    <t>Nicor Gas PY7-PY10 Adjustable Goals Template_2017-06-30, Tab 5.4.2</t>
  </si>
  <si>
    <t>0.6483 – (0.0017 * Rated Storage Volume in Gallons) EF</t>
  </si>
  <si>
    <t>0.789 – (0.0004 * Rated Storage Volume in Gallons) EF</t>
  </si>
  <si>
    <t>0.6002 – (0.0011 * Rated Storage Volume in Gallons) EF</t>
  </si>
  <si>
    <t>CAPInput (Btuh_actual)</t>
  </si>
  <si>
    <t>ΔTherms = (((EFLH * CAPinput)/(1-Derating(eff)) * (((AFUE(eff)*(1-Derating(eff))/(AFUE(base)*(1-Derating(base))) – 1))/100000</t>
  </si>
  <si>
    <t>CAPInput</t>
  </si>
  <si>
    <t>EFHL</t>
  </si>
  <si>
    <t>Gas Furnace input capacity (Btuh)</t>
  </si>
  <si>
    <t>=Actual</t>
  </si>
  <si>
    <t>=Equivalent Full Load Hours for gas heating</t>
  </si>
  <si>
    <t>ΔTherms = EFLH * CAPInput * (AFUE(eff) /AFUE(base) - 1)/ 100000</t>
  </si>
  <si>
    <t>Household Type Unknown</t>
  </si>
  <si>
    <t>DISingle FamilyUnknown</t>
  </si>
  <si>
    <t>Direct Install - Single Family Unknown</t>
  </si>
  <si>
    <t>DIMultifamilyUnknown</t>
  </si>
  <si>
    <t>Direct Install – Multi Family Unknown</t>
  </si>
  <si>
    <t>CI-HW_-HWE-V03-190101</t>
  </si>
  <si>
    <t>CI-HVC-DCV-V05-190101</t>
  </si>
  <si>
    <t>RS-HVC-GHEF-V08-190101</t>
  </si>
  <si>
    <t>RS-HVC-GHEB-V07-190101</t>
  </si>
  <si>
    <t>RS-HWE-LFFA-V07-190101</t>
  </si>
  <si>
    <t>RS-HWE-LFSH-V06-190101</t>
  </si>
  <si>
    <t>Deemed TRM value = 255 for SF Direct Install; 208 for MF Direct Install</t>
  </si>
  <si>
    <t>Deemed TRM Value of 267 for SF Retrofit, Efficiency Kits, NC and TOS; 219 for MF Retrofit, Efficiency Kits, NC and TOS</t>
  </si>
  <si>
    <t>ΔkWh = ((Cexist/Rexist – Cnew/Rnew) * L * ΔT * 8,766)/ ηDHW / 3412</t>
  </si>
  <si>
    <t>ΔTherm= ((Cexist/Rexist – Cnew/Rnew) * L * ΔT * 8,766) / ηDHW /100,000</t>
  </si>
  <si>
    <t>C_exist</t>
  </si>
  <si>
    <t>C-new</t>
  </si>
  <si>
    <t>ADJAirSealingGasHeat</t>
  </si>
  <si>
    <t>ΔTherms = (((CFM50_existing - CFM50_new)/N_heat) * 60 * 24 * HDD * 0.018) / (ηHeat * 100,000) * ADJAirSealingGasHeat</t>
  </si>
  <si>
    <t>For &lt;=55 gallons: 0.6483 – (0.0017 * tank_size)</t>
  </si>
  <si>
    <t>For &gt; 55 gallons: 0.7897 – (0.0004 * tank size)</t>
  </si>
  <si>
    <t>If tank size unknown assume 40 gallons and EF_Baseline of 0.58</t>
  </si>
  <si>
    <r>
      <t>Gas Storage (</t>
    </r>
    <r>
      <rPr>
        <sz val="10"/>
        <color theme="1"/>
        <rFont val="Calibri"/>
        <family val="2"/>
      </rPr>
      <t>≤55 gallons)</t>
    </r>
  </si>
  <si>
    <r>
      <t>Gas Storage (</t>
    </r>
    <r>
      <rPr>
        <sz val="10"/>
        <color theme="1"/>
        <rFont val="Calibri"/>
        <family val="2"/>
      </rPr>
      <t>&gt;</t>
    </r>
    <r>
      <rPr>
        <sz val="10"/>
        <color theme="1"/>
        <rFont val="Calibri"/>
        <family val="2"/>
        <scheme val="minor"/>
      </rPr>
      <t>55 gallons)</t>
    </r>
  </si>
  <si>
    <t>RS-DHW-SHTM-V02-190101</t>
  </si>
  <si>
    <t>RS-HWE-TMPS-V06-190101</t>
  </si>
  <si>
    <t>TRM V.7</t>
  </si>
  <si>
    <t>Therm Savings (2019-2021)</t>
  </si>
  <si>
    <t>Measure Life (2019-2021)</t>
  </si>
  <si>
    <t>No change</t>
  </si>
  <si>
    <t>Refer TRM V.7 Updates</t>
  </si>
  <si>
    <t>5.6.1.3</t>
  </si>
  <si>
    <t>Adjustment for gas heating savings to account for inaccuracies in engineering algorithms</t>
  </si>
  <si>
    <t>Air sealing and attic insulation = 72%</t>
  </si>
  <si>
    <t>Air sealing without attic insulation = 100%</t>
  </si>
  <si>
    <t>part of the methodology 1 calculation</t>
  </si>
  <si>
    <t>Air sealing and attic insulation</t>
  </si>
  <si>
    <t>Air sealing without attic insulation</t>
  </si>
  <si>
    <t>With Insulation</t>
  </si>
  <si>
    <t>Air Sealing with or Without Insulaion</t>
  </si>
  <si>
    <t>Without Insulation</t>
  </si>
  <si>
    <t>Δtherms_Wall = (((1/R_old - 1/R_wall) * A_wall * (1-Framing_factor_wall)) * 24 * HDD) / (ηHeat * 100,000 Btu/therm)*ADJWallHeat</t>
  </si>
  <si>
    <t>Δtherms_Attic = (((1/R_old - 1/R_attic) * A_attic * (1-Framing_factor_attic)) * 24 * HDD) / (ηHeat * 100,000 Btu/therm)*ADJAtticHeat</t>
  </si>
  <si>
    <r>
      <t>ADJ</t>
    </r>
    <r>
      <rPr>
        <vertAlign val="subscript"/>
        <sz val="10"/>
        <color theme="1"/>
        <rFont val="Calibri"/>
        <family val="2"/>
        <scheme val="minor"/>
      </rPr>
      <t>AtticHeat</t>
    </r>
  </si>
  <si>
    <r>
      <t>ADJ</t>
    </r>
    <r>
      <rPr>
        <vertAlign val="subscript"/>
        <sz val="10"/>
        <color theme="1"/>
        <rFont val="Calibri"/>
        <family val="2"/>
        <scheme val="minor"/>
      </rPr>
      <t>WallHeat</t>
    </r>
  </si>
  <si>
    <r>
      <t>ADJ</t>
    </r>
    <r>
      <rPr>
        <vertAlign val="subscript"/>
        <sz val="10"/>
        <color theme="1"/>
        <rFont val="Calibri"/>
        <family val="2"/>
        <scheme val="minor"/>
      </rPr>
      <t>Wall/AtticHeat</t>
    </r>
  </si>
  <si>
    <t>2018 Plan Measure Life</t>
  </si>
  <si>
    <t>2019 Plan Measure Life</t>
  </si>
  <si>
    <t>2020 Plan Measure Life</t>
  </si>
  <si>
    <t>2021 Plan Measure Life</t>
  </si>
  <si>
    <t>(bd)</t>
  </si>
  <si>
    <t>(be)</t>
  </si>
  <si>
    <t>(bf)</t>
  </si>
  <si>
    <t>(bg)</t>
  </si>
  <si>
    <t>Adjusted Measure Life</t>
  </si>
  <si>
    <t>Life Cycle Therms 2018</t>
  </si>
  <si>
    <t>Life Cycle Therms 2019</t>
  </si>
  <si>
    <t>Life Cycle Therms 2020</t>
  </si>
  <si>
    <t>Life Cycle Therms 2021</t>
  </si>
  <si>
    <t>Total Life Cycle Therms 2018-2021</t>
  </si>
  <si>
    <t>WAML</t>
  </si>
  <si>
    <t>Check</t>
  </si>
  <si>
    <t>Plan</t>
  </si>
  <si>
    <t>Adjusted Savings Goals</t>
  </si>
  <si>
    <t>Table 7-1 Showerhead custom and Deemed Values - PY6 Draft Evaluation</t>
  </si>
  <si>
    <t>Table 7-3 Bathroom Aerators custom and Deemed Values - PY6 Draft Evaluation</t>
  </si>
  <si>
    <t>Table 7-2 Kitchen Aerators custom and Deemed Values - PY6 Draft Evaluation</t>
  </si>
  <si>
    <t>Table 7-4 Hot Water Temperature Setback custom and Deemed Values - PY6 Draft Evaluation</t>
  </si>
  <si>
    <t>proportion of water heating supplied by Natural Gas heating; using the PY6 draft evaluation Navigant value</t>
  </si>
  <si>
    <t>Custom TRM</t>
  </si>
  <si>
    <t>WAML (Plan) ==&gt;</t>
  </si>
  <si>
    <t>Row#</t>
  </si>
  <si>
    <t>Adjusted Life Cycle Therms</t>
  </si>
  <si>
    <t>Plan Life Cycle Therms</t>
  </si>
  <si>
    <t>Plan Measure Life</t>
  </si>
  <si>
    <t>(bn)</t>
  </si>
  <si>
    <t>(bo)</t>
  </si>
  <si>
    <t>WAML (Adjusted) ==&gt;</t>
  </si>
  <si>
    <t>(u)</t>
  </si>
  <si>
    <t>(v)</t>
  </si>
  <si>
    <t>(w)</t>
  </si>
  <si>
    <t>(x)</t>
  </si>
  <si>
    <t>Total Adjusted Life Cycle Therms 2018-2021</t>
  </si>
  <si>
    <t xml:space="preserve">Life Cycle Therms </t>
  </si>
  <si>
    <t>(ac)</t>
  </si>
  <si>
    <t>(ad)</t>
  </si>
  <si>
    <t>(bh)</t>
  </si>
  <si>
    <t>(bp)</t>
  </si>
  <si>
    <t>(bq)</t>
  </si>
  <si>
    <t>(br)=(f x p x aa x bn)</t>
  </si>
  <si>
    <t>(bs)=(g x q x ag x bo)</t>
  </si>
  <si>
    <t>(bt)=(h x r x am x bp)</t>
  </si>
  <si>
    <t>(bu)=(i x s x as x bq)</t>
  </si>
  <si>
    <t>(bv)=(br+bs+bt+bu)</t>
  </si>
  <si>
    <t>(bi)=(f x p x l x be)</t>
  </si>
  <si>
    <t>(bj)-(g x q x m x bf)</t>
  </si>
  <si>
    <t>(bk)=(h x r x n x bg)</t>
  </si>
  <si>
    <t>(bl)=(i x s x o x bh)</t>
  </si>
  <si>
    <t>(bm)=(bi+bj+bk+bl)</t>
  </si>
  <si>
    <t xml:space="preserve">Measure Life Adjustable?
(1 if yes; 0 if no) </t>
  </si>
  <si>
    <t>Customized TRM</t>
  </si>
  <si>
    <t xml:space="preserve"> 2018 Plan Life Cycle Therms</t>
  </si>
  <si>
    <t xml:space="preserve"> 2019 Plan Life Cycle Therms</t>
  </si>
  <si>
    <t xml:space="preserve"> 2020 Plan Life Cycle Therms</t>
  </si>
  <si>
    <t xml:space="preserve"> 2021 Plan Life Cycle Therms</t>
  </si>
  <si>
    <t>Total Plan Life Cycle Therms 2018-2021</t>
  </si>
  <si>
    <t>2018 Measure Life</t>
  </si>
  <si>
    <t>2019 Measure Life</t>
  </si>
  <si>
    <t>2020 Measure Life</t>
  </si>
  <si>
    <t>2021 Measure Life</t>
  </si>
  <si>
    <t>2018 Life Cycle Therms</t>
  </si>
  <si>
    <t>2019 Life Cycle Therms</t>
  </si>
  <si>
    <t>2020 Life Cycle Therms</t>
  </si>
  <si>
    <t>2021 Life Cycle Therms</t>
  </si>
  <si>
    <t>Updated 01/11/19</t>
  </si>
  <si>
    <t>Updated 1/11/2019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</si>
</sst>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quot;$&quot;* #,##0_);_(&quot;$&quot;* \(#,##0\);_(&quot;$&quot;* &quot;-&quot;??_);_(@_)"/>
    <numFmt numFmtId="167" formatCode="_(* #,##0.0000_);_(* \(#,##0.0000\);_(* &quot;-&quot;??_);_(@_)"/>
    <numFmt numFmtId="168" formatCode="0.000"/>
    <numFmt numFmtId="169" formatCode="0.0%"/>
    <numFmt numFmtId="170" formatCode="_(* #,##0_);_(* \(#,##0\);_(* &quot;-&quot;??_);_(@_)"/>
    <numFmt numFmtId="171" formatCode="_(* #,##0.0_);_(* \(#,##0.0\);_(* &quot;-&quot;??_);_(@_)"/>
    <numFmt numFmtId="172" formatCode="_(&quot;$&quot;* #,##0.000_);_(&quot;$&quot;* \(#,##0.000\);_(&quot;$&quot;* &quot;-&quot;??_);_(@_)"/>
    <numFmt numFmtId="173" formatCode="&quot;$&quot;#,##0"/>
    <numFmt numFmtId="174" formatCode="0.0000"/>
    <numFmt numFmtId="175" formatCode="_(* #,##0.000_);_(* \(#,##0.000\);_(* &quot;-&quot;??_);_(@_)"/>
    <numFmt numFmtId="176" formatCode="_(* #,##0.00000_);_(* \(#,##0.00000\);_(* &quot;-&quot;??_);_(@_)"/>
    <numFmt numFmtId="177" formatCode="_(* #,##0.00000000_);_(* \(#,##0.00000000\);_(* &quot;-&quot;????????_);_(@_)"/>
    <numFmt numFmtId="178" formatCode="&quot;$&quot;#,##0.00"/>
    <numFmt numFmtId="179" formatCode="_(* #,##0.000000_);_(* \(#,##0.000000\);_(* &quot;-&quot;??_);_(@_)"/>
    <numFmt numFmtId="180" formatCode="#,##0.000"/>
  </numFmts>
  <fonts count="160" x14ac:knownFonts="1">
    <font>
      <sz val="11"/>
      <color theme="1"/>
      <name val="Calibri"/>
      <family val="2"/>
      <scheme val="minor"/>
    </font>
    <font>
      <sz val="12"/>
      <color theme="1"/>
      <name val="Arial"/>
      <family val="2"/>
    </font>
    <font>
      <i/>
      <sz val="12"/>
      <color theme="1"/>
      <name val="Arial"/>
      <family val="2"/>
    </font>
    <font>
      <b/>
      <sz val="18"/>
      <color theme="1"/>
      <name val="Arial"/>
      <family val="2"/>
    </font>
    <font>
      <b/>
      <sz val="12"/>
      <color theme="1"/>
      <name val="Arial"/>
      <family val="2"/>
    </font>
    <font>
      <b/>
      <sz val="14"/>
      <color theme="1"/>
      <name val="Arial"/>
      <family val="2"/>
    </font>
    <font>
      <b/>
      <sz val="16"/>
      <color theme="1"/>
      <name val="Arial"/>
      <family val="2"/>
    </font>
    <font>
      <b/>
      <i/>
      <sz val="12"/>
      <color theme="1"/>
      <name val="Arial"/>
      <family val="2"/>
    </font>
    <font>
      <b/>
      <sz val="11"/>
      <color theme="1"/>
      <name val="Calibri"/>
      <family val="2"/>
      <scheme val="minor"/>
    </font>
    <font>
      <sz val="11"/>
      <color theme="1"/>
      <name val="Arial"/>
      <family val="2"/>
    </font>
    <font>
      <sz val="13"/>
      <color theme="1"/>
      <name val="Arial"/>
      <family val="2"/>
    </font>
    <font>
      <b/>
      <sz val="13"/>
      <color theme="1"/>
      <name val="Arial"/>
      <family val="2"/>
    </font>
    <font>
      <i/>
      <sz val="8"/>
      <color theme="1"/>
      <name val="Arial"/>
      <family val="2"/>
    </font>
    <font>
      <b/>
      <sz val="11"/>
      <color theme="1"/>
      <name val="Arial"/>
      <family val="2"/>
    </font>
    <font>
      <i/>
      <sz val="11"/>
      <color theme="1"/>
      <name val="Arial"/>
      <family val="2"/>
    </font>
    <font>
      <b/>
      <i/>
      <sz val="11"/>
      <color theme="1"/>
      <name val="Arial"/>
      <family val="2"/>
    </font>
    <font>
      <sz val="11"/>
      <color rgb="FF000000"/>
      <name val="Arial"/>
      <family val="2"/>
    </font>
    <font>
      <b/>
      <sz val="9"/>
      <color indexed="81"/>
      <name val="Tahoma"/>
      <family val="2"/>
    </font>
    <font>
      <sz val="9"/>
      <color indexed="81"/>
      <name val="Tahoma"/>
      <family val="2"/>
    </font>
    <font>
      <u/>
      <sz val="9"/>
      <color indexed="81"/>
      <name val="Tahoma"/>
      <family val="2"/>
    </font>
    <font>
      <sz val="8"/>
      <color theme="1"/>
      <name val="Arial"/>
      <family val="2"/>
    </font>
    <font>
      <sz val="8"/>
      <color theme="1"/>
      <name val="Calibri"/>
      <family val="2"/>
      <scheme val="minor"/>
    </font>
    <font>
      <b/>
      <sz val="14"/>
      <color theme="1"/>
      <name val="Calibri"/>
      <family val="2"/>
      <scheme val="minor"/>
    </font>
    <font>
      <sz val="14"/>
      <color theme="1"/>
      <name val="Calibri"/>
      <family val="2"/>
      <scheme val="minor"/>
    </font>
    <font>
      <sz val="14"/>
      <color theme="1"/>
      <name val="Arial"/>
      <family val="2"/>
    </font>
    <font>
      <b/>
      <i/>
      <sz val="12"/>
      <name val="Arial"/>
      <family val="2"/>
    </font>
    <font>
      <i/>
      <u/>
      <sz val="8"/>
      <color theme="1"/>
      <name val="Arial"/>
      <family val="2"/>
    </font>
    <font>
      <b/>
      <sz val="20"/>
      <color theme="1"/>
      <name val="Arial"/>
      <family val="2"/>
    </font>
    <font>
      <u/>
      <sz val="11"/>
      <color theme="1"/>
      <name val="Arial"/>
      <family val="2"/>
    </font>
    <font>
      <vertAlign val="superscript"/>
      <sz val="11"/>
      <color theme="1"/>
      <name val="Arial"/>
      <family val="2"/>
    </font>
    <font>
      <b/>
      <u/>
      <sz val="9"/>
      <color indexed="81"/>
      <name val="Tahoma"/>
      <family val="2"/>
    </font>
    <font>
      <i/>
      <sz val="14"/>
      <color theme="1"/>
      <name val="Arial"/>
      <family val="2"/>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10"/>
      <color theme="1"/>
      <name val="Calibri"/>
      <family val="2"/>
      <scheme val="minor"/>
    </font>
    <font>
      <sz val="11"/>
      <name val="Calibri"/>
      <family val="2"/>
      <scheme val="minor"/>
    </font>
    <font>
      <vertAlign val="subscript"/>
      <sz val="10"/>
      <color theme="1"/>
      <name val="Calibri"/>
      <family val="2"/>
      <scheme val="minor"/>
    </font>
    <font>
      <b/>
      <sz val="10"/>
      <color rgb="FFFFFFFF"/>
      <name val="Calibri"/>
      <family val="2"/>
      <scheme val="minor"/>
    </font>
    <font>
      <b/>
      <sz val="10"/>
      <color theme="1"/>
      <name val="Calibri"/>
      <family val="2"/>
      <scheme val="minor"/>
    </font>
    <font>
      <b/>
      <sz val="11"/>
      <name val="Calibri"/>
      <family val="2"/>
      <scheme val="minor"/>
    </font>
    <font>
      <sz val="9"/>
      <color theme="1"/>
      <name val="Calibri"/>
      <family val="2"/>
      <scheme val="minor"/>
    </font>
    <font>
      <b/>
      <sz val="10"/>
      <color theme="0"/>
      <name val="Calibri"/>
      <family val="2"/>
      <scheme val="minor"/>
    </font>
    <font>
      <u/>
      <sz val="11"/>
      <color theme="10"/>
      <name val="Calibri"/>
      <family val="2"/>
    </font>
    <font>
      <u/>
      <sz val="8"/>
      <color rgb="FF008080"/>
      <name val="Calibri"/>
      <family val="2"/>
    </font>
    <font>
      <b/>
      <u/>
      <vertAlign val="superscript"/>
      <sz val="10"/>
      <color rgb="FFFFFFFF"/>
      <name val="Arial"/>
      <family val="2"/>
    </font>
    <font>
      <sz val="8"/>
      <color theme="1"/>
      <name val="Calibri"/>
      <family val="2"/>
    </font>
    <font>
      <sz val="9"/>
      <color theme="0"/>
      <name val="Calibri"/>
      <family val="2"/>
      <scheme val="minor"/>
    </font>
    <font>
      <sz val="11"/>
      <color theme="5"/>
      <name val="Calibri"/>
      <family val="2"/>
      <scheme val="minor"/>
    </font>
    <font>
      <b/>
      <u/>
      <sz val="10"/>
      <color theme="0"/>
      <name val="Calibri"/>
      <family val="2"/>
      <scheme val="minor"/>
    </font>
    <font>
      <u/>
      <sz val="10"/>
      <name val="Calibri"/>
      <family val="2"/>
      <scheme val="minor"/>
    </font>
    <font>
      <u/>
      <sz val="11"/>
      <name val="Calibri"/>
      <family val="2"/>
    </font>
    <font>
      <b/>
      <sz val="12"/>
      <color theme="1"/>
      <name val="Calibri"/>
      <family val="2"/>
      <scheme val="minor"/>
    </font>
    <font>
      <sz val="10"/>
      <name val="Calibri"/>
      <family val="2"/>
      <scheme val="minor"/>
    </font>
    <font>
      <b/>
      <sz val="10"/>
      <name val="Calibri"/>
      <family val="2"/>
      <scheme val="minor"/>
    </font>
    <font>
      <sz val="10"/>
      <color rgb="FF000000"/>
      <name val="Calibri"/>
      <family val="2"/>
      <scheme val="minor"/>
    </font>
    <font>
      <b/>
      <sz val="10"/>
      <color rgb="FF000000"/>
      <name val="Calibri"/>
      <family val="2"/>
      <scheme val="minor"/>
    </font>
    <font>
      <b/>
      <sz val="11"/>
      <color rgb="FFFF0000"/>
      <name val="Calibri"/>
      <family val="2"/>
      <scheme val="minor"/>
    </font>
    <font>
      <b/>
      <sz val="11"/>
      <color rgb="FF000000"/>
      <name val="Calibri"/>
      <family val="2"/>
    </font>
    <font>
      <sz val="11"/>
      <color rgb="FF000000"/>
      <name val="Calibri"/>
      <family val="2"/>
    </font>
    <font>
      <sz val="11"/>
      <name val="Calibri"/>
      <family val="2"/>
    </font>
    <font>
      <u/>
      <sz val="10"/>
      <color rgb="FF008080"/>
      <name val="Calibri"/>
      <family val="2"/>
      <scheme val="minor"/>
    </font>
    <font>
      <sz val="10"/>
      <color theme="1"/>
      <name val="Calibri"/>
      <family val="2"/>
    </font>
    <font>
      <sz val="7"/>
      <color theme="1"/>
      <name val="Times New Roman"/>
      <family val="1"/>
    </font>
    <font>
      <u/>
      <sz val="10"/>
      <color theme="1"/>
      <name val="Calibri"/>
      <family val="2"/>
      <scheme val="minor"/>
    </font>
    <font>
      <sz val="11"/>
      <color theme="1"/>
      <name val="Calibri"/>
      <family val="2"/>
    </font>
    <font>
      <b/>
      <sz val="10"/>
      <color rgb="FFFFFFFF"/>
      <name val="Times New Roman"/>
      <family val="1"/>
    </font>
    <font>
      <sz val="10"/>
      <color theme="1"/>
      <name val="Times New Roman"/>
      <family val="1"/>
    </font>
    <font>
      <b/>
      <sz val="9"/>
      <color theme="0"/>
      <name val="Calibri"/>
      <family val="2"/>
      <scheme val="minor"/>
    </font>
    <font>
      <b/>
      <sz val="10"/>
      <color rgb="FFFFFFFF"/>
      <name val="Calibri"/>
      <family val="2"/>
    </font>
    <font>
      <b/>
      <vertAlign val="subscript"/>
      <sz val="10"/>
      <color rgb="FFFFFFFF"/>
      <name val="Calibri"/>
      <family val="2"/>
    </font>
    <font>
      <b/>
      <vertAlign val="subscript"/>
      <sz val="10"/>
      <color rgb="FFFFFFFF"/>
      <name val="Times New Roman"/>
      <family val="1"/>
    </font>
    <font>
      <sz val="10"/>
      <color rgb="FF000000"/>
      <name val="Calibri"/>
      <family val="2"/>
    </font>
    <font>
      <b/>
      <vertAlign val="superscript"/>
      <sz val="11"/>
      <color theme="1"/>
      <name val="Calibri"/>
      <family val="2"/>
      <scheme val="minor"/>
    </font>
    <font>
      <b/>
      <sz val="11"/>
      <color theme="8" tint="-0.249977111117893"/>
      <name val="Calibri"/>
      <family val="2"/>
      <scheme val="minor"/>
    </font>
    <font>
      <vertAlign val="superscript"/>
      <sz val="10"/>
      <color theme="1"/>
      <name val="Calibri"/>
      <family val="2"/>
      <scheme val="minor"/>
    </font>
    <font>
      <b/>
      <sz val="9"/>
      <color rgb="FFFFFFFF"/>
      <name val="Calibri"/>
      <family val="2"/>
      <scheme val="minor"/>
    </font>
    <font>
      <sz val="8"/>
      <name val="Arial"/>
      <family val="2"/>
    </font>
    <font>
      <sz val="10"/>
      <color rgb="FFFF0000"/>
      <name val="Calibri"/>
      <family val="2"/>
      <scheme val="minor"/>
    </font>
    <font>
      <u/>
      <sz val="11"/>
      <color theme="0"/>
      <name val="Calibri"/>
      <family val="2"/>
    </font>
    <font>
      <sz val="10"/>
      <color theme="0"/>
      <name val="Calibri"/>
      <family val="2"/>
      <scheme val="minor"/>
    </font>
    <font>
      <b/>
      <i/>
      <sz val="11"/>
      <color theme="1"/>
      <name val="Calibri"/>
      <family val="2"/>
      <scheme val="minor"/>
    </font>
    <font>
      <sz val="11"/>
      <color theme="3" tint="-0.249977111117893"/>
      <name val="Calibri"/>
      <family val="2"/>
      <scheme val="minor"/>
    </font>
    <font>
      <b/>
      <sz val="10"/>
      <color theme="0"/>
      <name val="Palatino Linotype"/>
      <family val="1"/>
    </font>
    <font>
      <sz val="10"/>
      <color theme="0"/>
      <name val="Palatino Linotype"/>
      <family val="1"/>
    </font>
    <font>
      <sz val="10"/>
      <color theme="1"/>
      <name val="Palatino Linotype"/>
      <family val="1"/>
    </font>
    <font>
      <b/>
      <sz val="10"/>
      <color rgb="FF993300"/>
      <name val="Palatino Linotype"/>
      <family val="1"/>
    </font>
    <font>
      <sz val="10"/>
      <color rgb="FFFFFFFF"/>
      <name val="Palatino Linotype"/>
      <family val="1"/>
    </font>
    <font>
      <vertAlign val="superscript"/>
      <sz val="11"/>
      <color theme="1"/>
      <name val="Calibri"/>
      <family val="2"/>
      <scheme val="minor"/>
    </font>
    <font>
      <b/>
      <vertAlign val="subscript"/>
      <sz val="10"/>
      <color theme="1"/>
      <name val="Calibri"/>
      <family val="2"/>
      <scheme val="minor"/>
    </font>
    <font>
      <i/>
      <sz val="11"/>
      <color theme="1"/>
      <name val="Calibri"/>
      <family val="2"/>
      <scheme val="minor"/>
    </font>
    <font>
      <b/>
      <sz val="9"/>
      <color theme="1"/>
      <name val="Calibri"/>
      <family val="2"/>
      <scheme val="minor"/>
    </font>
    <font>
      <b/>
      <vertAlign val="subscript"/>
      <sz val="9"/>
      <color theme="1"/>
      <name val="Calibri"/>
      <family val="2"/>
      <scheme val="minor"/>
    </font>
    <font>
      <vertAlign val="subscript"/>
      <sz val="10"/>
      <color theme="0"/>
      <name val="Calibri"/>
      <family val="2"/>
      <scheme val="minor"/>
    </font>
    <font>
      <b/>
      <vertAlign val="subscript"/>
      <sz val="10"/>
      <color rgb="FFFFFFFF"/>
      <name val="Calibri"/>
      <family val="2"/>
      <scheme val="minor"/>
    </font>
    <font>
      <b/>
      <sz val="11"/>
      <color theme="1"/>
      <name val="Calibri"/>
      <family val="2"/>
    </font>
    <font>
      <vertAlign val="subscript"/>
      <sz val="10"/>
      <name val="Calibri"/>
      <family val="2"/>
      <scheme val="minor"/>
    </font>
    <font>
      <vertAlign val="subscript"/>
      <sz val="9"/>
      <color theme="1"/>
      <name val="Calibri"/>
      <family val="2"/>
      <scheme val="minor"/>
    </font>
    <font>
      <sz val="10"/>
      <color theme="1"/>
      <name val="Gill Sans MT"/>
      <family val="2"/>
    </font>
    <font>
      <sz val="10"/>
      <color rgb="FFFFFFFF"/>
      <name val="Calibri"/>
      <family val="2"/>
      <scheme val="minor"/>
    </font>
    <font>
      <b/>
      <sz val="18"/>
      <color rgb="FFFF0000"/>
      <name val="Calibri"/>
      <family val="2"/>
      <scheme val="minor"/>
    </font>
    <font>
      <b/>
      <u/>
      <sz val="11"/>
      <color rgb="FFFF0000"/>
      <name val="Calibri"/>
      <family val="2"/>
      <scheme val="minor"/>
    </font>
    <font>
      <b/>
      <u/>
      <sz val="11"/>
      <color theme="0"/>
      <name val="Calibri"/>
      <family val="2"/>
      <scheme val="minor"/>
    </font>
    <font>
      <b/>
      <sz val="11"/>
      <color theme="0" tint="-0.499984740745262"/>
      <name val="Calibri"/>
      <family val="2"/>
      <scheme val="minor"/>
    </font>
    <font>
      <sz val="11"/>
      <color rgb="FF000000"/>
      <name val="Calibri"/>
      <family val="2"/>
      <scheme val="minor"/>
    </font>
    <font>
      <vertAlign val="subscript"/>
      <sz val="11"/>
      <name val="Calibri"/>
      <family val="2"/>
      <scheme val="minor"/>
    </font>
    <font>
      <b/>
      <sz val="11"/>
      <name val="Symbol"/>
      <family val="1"/>
      <charset val="2"/>
    </font>
    <font>
      <sz val="11"/>
      <name val="Symbol"/>
      <family val="1"/>
      <charset val="2"/>
    </font>
    <font>
      <b/>
      <u/>
      <sz val="11"/>
      <color rgb="FF008080"/>
      <name val="Calibri"/>
      <family val="2"/>
      <scheme val="minor"/>
    </font>
    <font>
      <u/>
      <sz val="11"/>
      <name val="Calibri"/>
      <family val="2"/>
      <scheme val="minor"/>
    </font>
    <font>
      <u/>
      <vertAlign val="subscript"/>
      <sz val="11"/>
      <name val="Calibri"/>
      <family val="2"/>
      <scheme val="minor"/>
    </font>
    <font>
      <strike/>
      <u/>
      <sz val="10"/>
      <color rgb="FFFF0000"/>
      <name val="Calibri"/>
      <family val="2"/>
      <scheme val="minor"/>
    </font>
    <font>
      <b/>
      <sz val="12"/>
      <name val="Calibri"/>
      <family val="2"/>
      <scheme val="minor"/>
    </font>
    <font>
      <vertAlign val="subscript"/>
      <sz val="12"/>
      <name val="Calibri"/>
      <family val="2"/>
      <scheme val="minor"/>
    </font>
    <font>
      <sz val="11"/>
      <color rgb="FF008080"/>
      <name val="Calibri"/>
      <family val="2"/>
      <scheme val="minor"/>
    </font>
    <font>
      <sz val="12"/>
      <name val="Calibri"/>
      <family val="2"/>
      <scheme val="minor"/>
    </font>
    <font>
      <b/>
      <sz val="10"/>
      <color theme="0"/>
      <name val="Calibri"/>
      <family val="2"/>
    </font>
    <font>
      <vertAlign val="subscript"/>
      <sz val="12"/>
      <color theme="0"/>
      <name val="Calibri"/>
      <family val="2"/>
      <scheme val="minor"/>
    </font>
    <font>
      <b/>
      <vertAlign val="subscript"/>
      <sz val="10"/>
      <color theme="0"/>
      <name val="Calibri"/>
      <family val="2"/>
    </font>
    <font>
      <b/>
      <strike/>
      <sz val="10"/>
      <color theme="0"/>
      <name val="Calibri"/>
      <family val="2"/>
    </font>
    <font>
      <sz val="10"/>
      <name val="Calibri"/>
      <family val="2"/>
    </font>
    <font>
      <vertAlign val="subscript"/>
      <sz val="10"/>
      <name val="Calibri"/>
      <family val="2"/>
    </font>
    <font>
      <strike/>
      <u/>
      <sz val="10"/>
      <color rgb="FFFF0000"/>
      <name val="Calibri"/>
      <family val="2"/>
    </font>
    <font>
      <b/>
      <sz val="10"/>
      <color theme="0"/>
      <name val="Times New Roman"/>
      <family val="1"/>
    </font>
    <font>
      <b/>
      <sz val="10"/>
      <name val="Calibri"/>
      <family val="2"/>
    </font>
    <font>
      <vertAlign val="subscript"/>
      <sz val="11"/>
      <color theme="0"/>
      <name val="Calibri"/>
      <family val="2"/>
      <scheme val="minor"/>
    </font>
    <font>
      <b/>
      <strike/>
      <sz val="10"/>
      <color theme="0"/>
      <name val="Times New Roman"/>
      <family val="1"/>
    </font>
    <font>
      <u/>
      <sz val="10"/>
      <name val="Calibri"/>
      <family val="2"/>
    </font>
    <font>
      <b/>
      <sz val="9"/>
      <color theme="1"/>
      <name val="Calibri"/>
      <family val="2"/>
    </font>
    <font>
      <vertAlign val="subscript"/>
      <sz val="11"/>
      <color theme="1"/>
      <name val="Calibri"/>
      <family val="2"/>
    </font>
    <font>
      <i/>
      <sz val="11"/>
      <color theme="0"/>
      <name val="Calibri"/>
      <family val="2"/>
      <scheme val="minor"/>
    </font>
    <font>
      <strike/>
      <sz val="10"/>
      <name val="Calibri"/>
      <family val="2"/>
      <scheme val="minor"/>
    </font>
    <font>
      <sz val="11"/>
      <color rgb="FF000000"/>
      <name val="Verdana"/>
      <family val="2"/>
    </font>
    <font>
      <u/>
      <sz val="11"/>
      <color theme="10"/>
      <name val="Calibri"/>
      <family val="2"/>
      <scheme val="minor"/>
    </font>
    <font>
      <vertAlign val="subscript"/>
      <sz val="11"/>
      <color theme="1"/>
      <name val="Calibri"/>
      <family val="2"/>
      <scheme val="minor"/>
    </font>
    <font>
      <sz val="10"/>
      <name val="Times New Roman"/>
      <family val="1"/>
    </font>
    <font>
      <sz val="9"/>
      <name val="Calibri"/>
      <family val="2"/>
      <scheme val="minor"/>
    </font>
    <font>
      <b/>
      <sz val="10"/>
      <color rgb="FFFFFFFF"/>
      <name val="Arial Narrow"/>
      <family val="2"/>
    </font>
    <font>
      <sz val="10"/>
      <color theme="1"/>
      <name val="Arial Narrow"/>
      <family val="2"/>
    </font>
    <font>
      <sz val="10"/>
      <color rgb="FF000000"/>
      <name val="Arial Narrow"/>
      <family val="2"/>
    </font>
    <font>
      <i/>
      <sz val="10"/>
      <color rgb="FF000000"/>
      <name val="Arial Narrow"/>
      <family val="2"/>
    </font>
    <font>
      <i/>
      <sz val="10"/>
      <color theme="1"/>
      <name val="Arial Narrow"/>
      <family val="2"/>
    </font>
    <font>
      <b/>
      <sz val="9"/>
      <color rgb="FF333333"/>
      <name val="Calibri"/>
      <family val="2"/>
      <scheme val="minor"/>
    </font>
    <font>
      <b/>
      <i/>
      <sz val="10"/>
      <name val="Calibri"/>
      <family val="2"/>
      <scheme val="minor"/>
    </font>
    <font>
      <b/>
      <i/>
      <sz val="9"/>
      <color rgb="FFFFFFFF"/>
      <name val="Calibri"/>
      <family val="2"/>
      <scheme val="minor"/>
    </font>
    <font>
      <sz val="9"/>
      <color rgb="FF333333"/>
      <name val="Calibri"/>
      <family val="2"/>
      <scheme val="minor"/>
    </font>
    <font>
      <b/>
      <sz val="12"/>
      <color rgb="FF00B050"/>
      <name val="Arial"/>
      <family val="2"/>
    </font>
    <font>
      <b/>
      <sz val="12"/>
      <color rgb="FFFF0000"/>
      <name val="Arial"/>
      <family val="2"/>
    </font>
    <font>
      <b/>
      <sz val="10"/>
      <name val="Palatino Linotype"/>
      <family val="1"/>
    </font>
    <font>
      <sz val="12"/>
      <name val="Arial"/>
      <family val="2"/>
    </font>
    <font>
      <sz val="12"/>
      <color theme="1"/>
      <name val="Calibri"/>
      <family val="2"/>
      <scheme val="minor"/>
    </font>
    <font>
      <sz val="12"/>
      <color rgb="FFFF0000"/>
      <name val="Arial"/>
      <family val="2"/>
    </font>
    <font>
      <b/>
      <sz val="16"/>
      <color theme="1"/>
      <name val="Calibri"/>
      <family val="2"/>
      <scheme val="minor"/>
    </font>
    <font>
      <u/>
      <sz val="12"/>
      <color theme="10"/>
      <name val="Calibri"/>
      <family val="2"/>
    </font>
    <font>
      <u/>
      <sz val="12"/>
      <color theme="1"/>
      <name val="Calibri"/>
      <family val="2"/>
    </font>
    <font>
      <sz val="12"/>
      <color theme="0"/>
      <name val="Arial"/>
      <family val="2"/>
    </font>
    <font>
      <b/>
      <i/>
      <sz val="12"/>
      <color theme="0"/>
      <name val="Arial"/>
      <family val="2"/>
    </font>
    <font>
      <sz val="12"/>
      <color theme="0"/>
      <name val="Calibri"/>
      <family val="2"/>
      <scheme val="minor"/>
    </font>
  </fonts>
  <fills count="37">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7F7F7F"/>
        <bgColor indexed="64"/>
      </patternFill>
    </fill>
    <fill>
      <patternFill patternType="solid">
        <fgColor theme="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A6A6A6"/>
        <bgColor indexed="64"/>
      </patternFill>
    </fill>
    <fill>
      <patternFill patternType="solid">
        <fgColor rgb="FF80808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A29784"/>
        <bgColor indexed="64"/>
      </patternFill>
    </fill>
    <fill>
      <patternFill patternType="solid">
        <fgColor theme="0"/>
        <bgColor indexed="64"/>
      </patternFill>
    </fill>
    <fill>
      <patternFill patternType="solid">
        <fgColor rgb="FFFFFFFF"/>
        <bgColor indexed="64"/>
      </patternFill>
    </fill>
    <fill>
      <patternFill patternType="solid">
        <fgColor rgb="FF555759"/>
        <bgColor indexed="64"/>
      </patternFill>
    </fill>
    <fill>
      <patternFill patternType="solid">
        <fgColor theme="8" tint="0.79998168889431442"/>
        <bgColor indexed="64"/>
      </patternFill>
    </fill>
    <fill>
      <patternFill patternType="mediumGray">
        <bgColor theme="0" tint="-0.499984740745262"/>
      </patternFill>
    </fill>
    <fill>
      <patternFill patternType="mediumGray">
        <bgColor rgb="FF7F7F7F"/>
      </patternFill>
    </fill>
    <fill>
      <patternFill patternType="solid">
        <fgColor theme="1" tint="0.34998626667073579"/>
        <bgColor indexed="64"/>
      </patternFill>
    </fill>
    <fill>
      <patternFill patternType="solid">
        <fgColor rgb="FFFF0000"/>
        <bgColor indexed="64"/>
      </patternFill>
    </fill>
    <fill>
      <patternFill patternType="solid">
        <fgColor theme="9" tint="0.5999938962981048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bottom/>
      <diagonal/>
    </border>
    <border>
      <left style="medium">
        <color indexed="64"/>
      </left>
      <right style="thin">
        <color theme="0"/>
      </right>
      <top style="thin">
        <color theme="0"/>
      </top>
      <bottom/>
      <diagonal/>
    </border>
    <border>
      <left style="thin">
        <color theme="0"/>
      </left>
      <right style="medium">
        <color indexed="64"/>
      </right>
      <top/>
      <bottom/>
      <diagonal/>
    </border>
    <border>
      <left style="thin">
        <color theme="0"/>
      </left>
      <right/>
      <top style="thin">
        <color theme="0"/>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0"/>
      </right>
      <top style="thin">
        <color theme="0"/>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theme="0"/>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theme="0"/>
      </left>
      <right/>
      <top/>
      <bottom/>
      <diagonal/>
    </border>
    <border>
      <left style="thin">
        <color theme="0"/>
      </left>
      <right style="thin">
        <color theme="0"/>
      </right>
      <top/>
      <bottom style="thin">
        <color theme="0"/>
      </bottom>
      <diagonal/>
    </border>
    <border>
      <left style="thin">
        <color theme="0"/>
      </left>
      <right style="thin">
        <color theme="0"/>
      </right>
      <top style="medium">
        <color auto="1"/>
      </top>
      <bottom style="thin">
        <color theme="0"/>
      </bottom>
      <diagonal/>
    </border>
    <border>
      <left style="thin">
        <color theme="0"/>
      </left>
      <right/>
      <top style="medium">
        <color auto="1"/>
      </top>
      <bottom/>
      <diagonal/>
    </border>
    <border>
      <left style="thin">
        <color theme="0"/>
      </left>
      <right style="thin">
        <color theme="0"/>
      </right>
      <top style="medium">
        <color auto="1"/>
      </top>
      <bottom/>
      <diagonal/>
    </border>
    <border>
      <left/>
      <right style="thin">
        <color theme="0"/>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rgb="FFFFFFFF"/>
      </right>
      <top style="medium">
        <color indexed="64"/>
      </top>
      <bottom style="medium">
        <color indexed="64"/>
      </bottom>
      <diagonal/>
    </border>
    <border>
      <left style="medium">
        <color rgb="FFFFFFFF"/>
      </left>
      <right/>
      <top style="medium">
        <color indexed="64"/>
      </top>
      <bottom style="medium">
        <color indexed="64"/>
      </bottom>
      <diagonal/>
    </border>
    <border>
      <left style="medium">
        <color indexed="64"/>
      </left>
      <right style="medium">
        <color rgb="FFA29784"/>
      </right>
      <top/>
      <bottom style="medium">
        <color rgb="FFA29784"/>
      </bottom>
      <diagonal/>
    </border>
    <border>
      <left/>
      <right style="medium">
        <color indexed="64"/>
      </right>
      <top/>
      <bottom style="medium">
        <color rgb="FFA29784"/>
      </bottom>
      <diagonal/>
    </border>
    <border>
      <left style="medium">
        <color indexed="64"/>
      </left>
      <right style="medium">
        <color rgb="FFA29784"/>
      </right>
      <top/>
      <bottom style="medium">
        <color indexed="64"/>
      </bottom>
      <diagonal/>
    </border>
    <border>
      <left style="medium">
        <color indexed="64"/>
      </left>
      <right style="medium">
        <color rgb="FFFFFFFF"/>
      </right>
      <top/>
      <bottom style="medium">
        <color indexed="64"/>
      </bottom>
      <diagonal/>
    </border>
    <border>
      <left style="medium">
        <color rgb="FFFFFFFF"/>
      </left>
      <right/>
      <top/>
      <bottom style="medium">
        <color indexed="64"/>
      </bottom>
      <diagonal/>
    </border>
    <border>
      <left/>
      <right style="medium">
        <color rgb="FFA29784"/>
      </right>
      <top/>
      <bottom style="medium">
        <color rgb="FFA29784"/>
      </bottom>
      <diagonal/>
    </border>
    <border>
      <left/>
      <right/>
      <top/>
      <bottom style="medium">
        <color rgb="FFA29784"/>
      </bottom>
      <diagonal/>
    </border>
    <border>
      <left style="medium">
        <color indexed="64"/>
      </left>
      <right style="medium">
        <color rgb="FFFFFFFF"/>
      </right>
      <top/>
      <bottom/>
      <diagonal/>
    </border>
    <border>
      <left style="medium">
        <color rgb="FFFFFFFF"/>
      </left>
      <right/>
      <top/>
      <bottom style="medium">
        <color rgb="FFA29784"/>
      </bottom>
      <diagonal/>
    </border>
    <border>
      <left style="medium">
        <color indexed="64"/>
      </left>
      <right style="medium">
        <color rgb="FFA29784"/>
      </right>
      <top style="medium">
        <color rgb="FFA29784"/>
      </top>
      <bottom style="medium">
        <color rgb="FFA29784"/>
      </bottom>
      <diagonal/>
    </border>
    <border>
      <left/>
      <right style="medium">
        <color rgb="FFA29784"/>
      </right>
      <top style="medium">
        <color rgb="FFA29784"/>
      </top>
      <bottom style="medium">
        <color rgb="FFA29784"/>
      </bottom>
      <diagonal/>
    </border>
    <border>
      <left style="thin">
        <color theme="0"/>
      </left>
      <right/>
      <top/>
      <bottom style="thin">
        <color indexed="64"/>
      </bottom>
      <diagonal/>
    </border>
    <border>
      <left style="thin">
        <color theme="0"/>
      </left>
      <right style="thin">
        <color theme="0"/>
      </right>
      <top style="thick">
        <color auto="1"/>
      </top>
      <bottom style="thin">
        <color theme="0"/>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top style="thin">
        <color theme="0"/>
      </top>
      <bottom/>
      <diagonal/>
    </border>
    <border>
      <left/>
      <right/>
      <top/>
      <bottom style="thin">
        <color theme="0" tint="-0.14999847407452621"/>
      </bottom>
      <diagonal/>
    </border>
    <border>
      <left/>
      <right/>
      <top style="thin">
        <color theme="0" tint="-0.14999847407452621"/>
      </top>
      <bottom/>
      <diagonal/>
    </border>
    <border>
      <left style="medium">
        <color indexed="64"/>
      </left>
      <right/>
      <top style="medium">
        <color indexed="64"/>
      </top>
      <bottom style="thin">
        <color theme="0" tint="-0.149998474074526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ck">
        <color rgb="FF95D600"/>
      </bottom>
      <diagonal/>
    </border>
    <border>
      <left/>
      <right/>
      <top/>
      <bottom style="thick">
        <color rgb="FF95D600"/>
      </bottom>
      <diagonal/>
    </border>
    <border>
      <left/>
      <right style="medium">
        <color indexed="64"/>
      </right>
      <top/>
      <bottom style="thick">
        <color rgb="FF95D600"/>
      </bottom>
      <diagonal/>
    </border>
    <border>
      <left style="medium">
        <color indexed="64"/>
      </left>
      <right/>
      <top/>
      <bottom style="medium">
        <color rgb="FFDCDDDE"/>
      </bottom>
      <diagonal/>
    </border>
    <border>
      <left/>
      <right/>
      <top/>
      <bottom style="medium">
        <color rgb="FFDCDDDE"/>
      </bottom>
      <diagonal/>
    </border>
    <border>
      <left/>
      <right style="medium">
        <color indexed="64"/>
      </right>
      <top/>
      <bottom style="medium">
        <color rgb="FFDCDDDE"/>
      </bottom>
      <diagonal/>
    </border>
    <border>
      <left style="thin">
        <color indexed="64"/>
      </left>
      <right style="thin">
        <color indexed="64"/>
      </right>
      <top style="thin">
        <color theme="0"/>
      </top>
      <bottom style="thin">
        <color indexed="64"/>
      </bottom>
      <diagonal/>
    </border>
    <border>
      <left/>
      <right style="medium">
        <color indexed="64"/>
      </right>
      <top style="thin">
        <color theme="0"/>
      </top>
      <bottom/>
      <diagonal/>
    </border>
    <border>
      <left style="medium">
        <color indexed="64"/>
      </left>
      <right/>
      <top style="thin">
        <color theme="0"/>
      </top>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indexed="64"/>
      </top>
      <bottom/>
      <diagonal/>
    </border>
    <border>
      <left/>
      <right style="thin">
        <color indexed="64"/>
      </right>
      <top style="thin">
        <color theme="0"/>
      </top>
      <bottom style="thin">
        <color theme="0"/>
      </bottom>
      <diagonal/>
    </border>
    <border>
      <left style="thin">
        <color indexed="64"/>
      </left>
      <right/>
      <top/>
      <bottom style="thin">
        <color theme="0"/>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medium">
        <color indexed="64"/>
      </right>
      <top style="thin">
        <color theme="0" tint="-0.14999847407452621"/>
      </top>
      <bottom style="thin">
        <color theme="0" tint="-0.14999847407452621"/>
      </bottom>
      <diagonal/>
    </border>
  </borders>
  <cellStyleXfs count="8">
    <xf numFmtId="0" fontId="0"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xf numFmtId="0" fontId="45" fillId="0" borderId="0" applyNumberFormat="0" applyFill="0" applyBorder="0" applyAlignment="0" applyProtection="0">
      <alignment vertical="top"/>
      <protection locked="0"/>
    </xf>
    <xf numFmtId="165" fontId="79" fillId="0" borderId="0" applyFont="0" applyFill="0" applyBorder="0" applyAlignment="0" applyProtection="0">
      <alignment horizontal="right"/>
    </xf>
    <xf numFmtId="0" fontId="45" fillId="0" borderId="0" applyNumberFormat="0" applyFill="0" applyBorder="0" applyAlignment="0" applyProtection="0">
      <alignment vertical="top"/>
      <protection locked="0"/>
    </xf>
    <xf numFmtId="0" fontId="135" fillId="0" borderId="0" applyNumberFormat="0" applyFill="0" applyBorder="0" applyAlignment="0" applyProtection="0"/>
  </cellStyleXfs>
  <cellXfs count="2516">
    <xf numFmtId="0" fontId="0" fillId="0" borderId="0" xfId="0"/>
    <xf numFmtId="0" fontId="0" fillId="0" borderId="1" xfId="0" applyBorder="1"/>
    <xf numFmtId="0" fontId="8" fillId="0" borderId="1" xfId="0" applyFont="1" applyBorder="1"/>
    <xf numFmtId="0" fontId="9" fillId="0" borderId="0" xfId="0" applyFont="1"/>
    <xf numFmtId="0" fontId="7" fillId="0" borderId="3" xfId="0" applyFont="1" applyBorder="1" applyAlignment="1">
      <alignment horizontal="center" vertical="center" wrapText="1"/>
    </xf>
    <xf numFmtId="0" fontId="7" fillId="2" borderId="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 fillId="0" borderId="0" xfId="0" applyFont="1" applyAlignment="1">
      <alignment horizontal="center" vertical="center" wrapText="1"/>
    </xf>
    <xf numFmtId="0" fontId="10" fillId="0" borderId="0" xfId="0" applyFont="1" applyAlignment="1">
      <alignment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7" xfId="0" applyFont="1" applyBorder="1" applyAlignment="1">
      <alignment horizontal="center" vertical="center" wrapText="1"/>
    </xf>
    <xf numFmtId="0" fontId="7"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8" xfId="0" applyFont="1" applyBorder="1" applyAlignment="1">
      <alignment wrapText="1"/>
    </xf>
    <xf numFmtId="0" fontId="14" fillId="0" borderId="0" xfId="0" applyFont="1" applyAlignment="1">
      <alignment vertical="center" wrapText="1"/>
    </xf>
    <xf numFmtId="0" fontId="0" fillId="0" borderId="0" xfId="0" applyFill="1"/>
    <xf numFmtId="0" fontId="0" fillId="0" borderId="1" xfId="0" applyBorder="1" applyAlignment="1">
      <alignment horizontal="center"/>
    </xf>
    <xf numFmtId="3" fontId="0" fillId="0" borderId="1" xfId="0" applyNumberFormat="1" applyBorder="1"/>
    <xf numFmtId="0" fontId="2" fillId="10" borderId="0" xfId="0" applyFont="1" applyFill="1"/>
    <xf numFmtId="3" fontId="0" fillId="0" borderId="1" xfId="0" applyNumberFormat="1" applyBorder="1" applyAlignment="1">
      <alignment horizontal="center"/>
    </xf>
    <xf numFmtId="0" fontId="7" fillId="0" borderId="1" xfId="0" applyFont="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0" borderId="0" xfId="0" applyFont="1" applyAlignment="1">
      <alignment horizontal="center" vertical="center" wrapText="1"/>
    </xf>
    <xf numFmtId="3" fontId="0" fillId="0" borderId="0" xfId="0" applyNumberFormat="1"/>
    <xf numFmtId="0" fontId="13" fillId="0" borderId="0" xfId="0" applyFont="1" applyAlignment="1">
      <alignment horizontal="center" vertical="center" wrapText="1"/>
    </xf>
    <xf numFmtId="0" fontId="15" fillId="0" borderId="0" xfId="0" applyFont="1" applyAlignment="1">
      <alignment horizontal="center" vertical="center" wrapText="1"/>
    </xf>
    <xf numFmtId="0" fontId="9" fillId="0" borderId="0" xfId="0" applyFont="1" applyAlignment="1">
      <alignment vertical="center" wrapText="1"/>
    </xf>
    <xf numFmtId="0" fontId="13" fillId="0" borderId="0" xfId="0" applyFont="1" applyAlignment="1">
      <alignment vertical="center" wrapText="1"/>
    </xf>
    <xf numFmtId="0" fontId="16" fillId="0" borderId="0" xfId="0" applyFont="1" applyAlignment="1">
      <alignment horizontal="left" vertical="center" wrapText="1"/>
    </xf>
    <xf numFmtId="0" fontId="16" fillId="0" borderId="0" xfId="0" applyFont="1" applyAlignment="1">
      <alignment vertical="center" wrapText="1"/>
    </xf>
    <xf numFmtId="0" fontId="9" fillId="0" borderId="0" xfId="0" applyFont="1" applyAlignment="1">
      <alignment horizontal="left" vertical="center" wrapText="1"/>
    </xf>
    <xf numFmtId="0" fontId="12" fillId="3" borderId="13"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0" borderId="0" xfId="0" applyFont="1" applyAlignment="1">
      <alignment wrapText="1"/>
    </xf>
    <xf numFmtId="0" fontId="0" fillId="0" borderId="8" xfId="0" applyBorder="1"/>
    <xf numFmtId="0" fontId="7" fillId="4" borderId="1"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25" fillId="11" borderId="3" xfId="0"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4" fillId="11" borderId="1"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7" fillId="2" borderId="1" xfId="0"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4" fillId="0" borderId="0" xfId="0" applyFont="1"/>
    <xf numFmtId="14" fontId="2" fillId="10" borderId="0" xfId="0" applyNumberFormat="1" applyFont="1" applyFill="1"/>
    <xf numFmtId="0" fontId="0" fillId="12" borderId="0" xfId="0" applyFill="1"/>
    <xf numFmtId="0" fontId="8" fillId="14" borderId="17" xfId="0" applyFont="1" applyFill="1" applyBorder="1" applyAlignment="1">
      <alignment horizontal="center"/>
    </xf>
    <xf numFmtId="0" fontId="0" fillId="16" borderId="1" xfId="0" applyFill="1" applyBorder="1"/>
    <xf numFmtId="0" fontId="37" fillId="0" borderId="0" xfId="0" applyFont="1" applyAlignment="1">
      <alignment wrapText="1"/>
    </xf>
    <xf numFmtId="167" fontId="0" fillId="13" borderId="18" xfId="2" applyNumberFormat="1" applyFont="1" applyFill="1" applyBorder="1"/>
    <xf numFmtId="0" fontId="37" fillId="16" borderId="0" xfId="0" applyFont="1" applyFill="1" applyBorder="1"/>
    <xf numFmtId="165" fontId="35" fillId="0" borderId="0" xfId="0" applyNumberFormat="1" applyFont="1" applyFill="1"/>
    <xf numFmtId="0" fontId="0" fillId="0" borderId="0" xfId="0" applyBorder="1"/>
    <xf numFmtId="0" fontId="35" fillId="0" borderId="0" xfId="0" applyFont="1"/>
    <xf numFmtId="0" fontId="37" fillId="0" borderId="0" xfId="0" applyFont="1"/>
    <xf numFmtId="0" fontId="40" fillId="17" borderId="1" xfId="0" applyFont="1" applyFill="1" applyBorder="1" applyAlignment="1">
      <alignment horizontal="center" vertical="center" wrapText="1"/>
    </xf>
    <xf numFmtId="6" fontId="37" fillId="0" borderId="1" xfId="0" applyNumberFormat="1" applyFont="1" applyBorder="1" applyAlignment="1">
      <alignment horizontal="center" vertical="center" wrapText="1"/>
    </xf>
    <xf numFmtId="6" fontId="0" fillId="0" borderId="0" xfId="0" applyNumberFormat="1"/>
    <xf numFmtId="0" fontId="43" fillId="16" borderId="1" xfId="0" applyFont="1" applyFill="1" applyBorder="1" applyAlignment="1">
      <alignment wrapText="1"/>
    </xf>
    <xf numFmtId="0" fontId="0" fillId="0" borderId="0" xfId="0" applyAlignment="1">
      <alignment wrapText="1"/>
    </xf>
    <xf numFmtId="9" fontId="0" fillId="16" borderId="1" xfId="1" applyFont="1" applyFill="1" applyBorder="1"/>
    <xf numFmtId="0" fontId="36" fillId="18" borderId="24" xfId="0" applyFont="1" applyFill="1" applyBorder="1"/>
    <xf numFmtId="0" fontId="36" fillId="18" borderId="25" xfId="0" applyFont="1" applyFill="1" applyBorder="1"/>
    <xf numFmtId="0" fontId="0" fillId="18" borderId="25" xfId="0" applyFill="1" applyBorder="1"/>
    <xf numFmtId="0" fontId="0" fillId="18" borderId="26" xfId="0" applyFill="1" applyBorder="1"/>
    <xf numFmtId="2" fontId="35" fillId="0" borderId="0" xfId="0" applyNumberFormat="1" applyFont="1" applyFill="1"/>
    <xf numFmtId="0" fontId="37" fillId="16" borderId="13" xfId="0" applyFont="1" applyFill="1" applyBorder="1"/>
    <xf numFmtId="0" fontId="37" fillId="16" borderId="0" xfId="0" applyFont="1" applyFill="1" applyBorder="1" applyAlignment="1">
      <alignment horizontal="justify" vertical="center"/>
    </xf>
    <xf numFmtId="0" fontId="0" fillId="16" borderId="0" xfId="0" applyFill="1" applyBorder="1"/>
    <xf numFmtId="0" fontId="0" fillId="16" borderId="12" xfId="0" applyFill="1" applyBorder="1"/>
    <xf numFmtId="0" fontId="37" fillId="16" borderId="7" xfId="0" applyFont="1" applyFill="1" applyBorder="1"/>
    <xf numFmtId="0" fontId="0" fillId="16" borderId="6" xfId="0" applyFill="1" applyBorder="1"/>
    <xf numFmtId="0" fontId="0" fillId="16" borderId="15" xfId="0" applyFill="1" applyBorder="1"/>
    <xf numFmtId="0" fontId="44" fillId="18" borderId="24" xfId="0" applyFont="1" applyFill="1" applyBorder="1"/>
    <xf numFmtId="0" fontId="34" fillId="18" borderId="25" xfId="0" applyFont="1" applyFill="1" applyBorder="1" applyAlignment="1">
      <alignment horizontal="center"/>
    </xf>
    <xf numFmtId="0" fontId="34" fillId="18" borderId="25" xfId="0" applyFont="1" applyFill="1" applyBorder="1"/>
    <xf numFmtId="0" fontId="43" fillId="0" borderId="27" xfId="0" applyFont="1" applyBorder="1" applyAlignment="1">
      <alignment wrapText="1"/>
    </xf>
    <xf numFmtId="9" fontId="0" fillId="0" borderId="28" xfId="1" applyFont="1" applyBorder="1"/>
    <xf numFmtId="0" fontId="37" fillId="0" borderId="28" xfId="0" applyFont="1" applyBorder="1"/>
    <xf numFmtId="0" fontId="0" fillId="0" borderId="28" xfId="0" applyBorder="1"/>
    <xf numFmtId="0" fontId="0" fillId="0" borderId="29" xfId="0" applyBorder="1"/>
    <xf numFmtId="0" fontId="43" fillId="0" borderId="30" xfId="0" applyFont="1" applyBorder="1" applyAlignment="1">
      <alignment wrapText="1"/>
    </xf>
    <xf numFmtId="9" fontId="0" fillId="0" borderId="31" xfId="1" applyFont="1" applyBorder="1"/>
    <xf numFmtId="0" fontId="37" fillId="0" borderId="31" xfId="0" applyFont="1" applyBorder="1"/>
    <xf numFmtId="0" fontId="0" fillId="0" borderId="31" xfId="0" applyBorder="1"/>
    <xf numFmtId="0" fontId="0" fillId="0" borderId="32" xfId="0" applyBorder="1"/>
    <xf numFmtId="170" fontId="0" fillId="0" borderId="28" xfId="2" applyNumberFormat="1" applyFont="1" applyBorder="1"/>
    <xf numFmtId="0" fontId="43" fillId="0" borderId="27" xfId="0" applyFont="1" applyFill="1" applyBorder="1" applyAlignment="1">
      <alignment wrapText="1"/>
    </xf>
    <xf numFmtId="169" fontId="0" fillId="0" borderId="28" xfId="1" applyNumberFormat="1" applyFont="1" applyFill="1" applyBorder="1"/>
    <xf numFmtId="0" fontId="0" fillId="0" borderId="28" xfId="0" applyFill="1" applyBorder="1"/>
    <xf numFmtId="0" fontId="0" fillId="0" borderId="29" xfId="0" applyFill="1" applyBorder="1"/>
    <xf numFmtId="0" fontId="43" fillId="0" borderId="30" xfId="0" applyFont="1" applyFill="1" applyBorder="1" applyAlignment="1">
      <alignment wrapText="1"/>
    </xf>
    <xf numFmtId="9" fontId="0" fillId="0" borderId="31" xfId="1" applyFont="1" applyFill="1" applyBorder="1"/>
    <xf numFmtId="0" fontId="37" fillId="0" borderId="31" xfId="0" applyFont="1" applyFill="1" applyBorder="1"/>
    <xf numFmtId="0" fontId="0" fillId="0" borderId="31" xfId="0" applyFill="1" applyBorder="1"/>
    <xf numFmtId="0" fontId="0" fillId="0" borderId="32" xfId="0" applyFill="1" applyBorder="1"/>
    <xf numFmtId="0" fontId="0" fillId="0" borderId="30" xfId="0" applyBorder="1"/>
    <xf numFmtId="10" fontId="0" fillId="0" borderId="28" xfId="1" applyNumberFormat="1" applyFont="1" applyBorder="1"/>
    <xf numFmtId="1" fontId="0" fillId="0" borderId="28" xfId="1" applyNumberFormat="1" applyFont="1" applyBorder="1"/>
    <xf numFmtId="170" fontId="0" fillId="0" borderId="28" xfId="2" applyNumberFormat="1" applyFont="1" applyFill="1" applyBorder="1"/>
    <xf numFmtId="0" fontId="37" fillId="0" borderId="28" xfId="0" applyFont="1" applyFill="1" applyBorder="1"/>
    <xf numFmtId="170" fontId="0" fillId="0" borderId="31" xfId="2" applyNumberFormat="1" applyFont="1" applyFill="1" applyBorder="1"/>
    <xf numFmtId="9" fontId="0" fillId="0" borderId="28" xfId="1" applyFont="1" applyFill="1" applyBorder="1"/>
    <xf numFmtId="0" fontId="0" fillId="0" borderId="27" xfId="0" applyBorder="1"/>
    <xf numFmtId="0" fontId="0" fillId="0" borderId="24" xfId="0" applyBorder="1"/>
    <xf numFmtId="0" fontId="0" fillId="0" borderId="25" xfId="0" applyBorder="1" applyAlignment="1">
      <alignment wrapText="1"/>
    </xf>
    <xf numFmtId="0" fontId="0" fillId="0" borderId="26" xfId="0" applyBorder="1"/>
    <xf numFmtId="0" fontId="34" fillId="18" borderId="24" xfId="0" applyFont="1" applyFill="1" applyBorder="1" applyAlignment="1">
      <alignment vertical="center"/>
    </xf>
    <xf numFmtId="0" fontId="36" fillId="18" borderId="25" xfId="0" applyFont="1" applyFill="1" applyBorder="1" applyAlignment="1">
      <alignment vertical="center"/>
    </xf>
    <xf numFmtId="0" fontId="0" fillId="16" borderId="33" xfId="0" applyFill="1" applyBorder="1"/>
    <xf numFmtId="0" fontId="0" fillId="16" borderId="34" xfId="0" applyFill="1" applyBorder="1"/>
    <xf numFmtId="0" fontId="37" fillId="16" borderId="1" xfId="0" applyFont="1" applyFill="1" applyBorder="1" applyAlignment="1">
      <alignment horizontal="center" vertical="center" wrapText="1"/>
    </xf>
    <xf numFmtId="9" fontId="37" fillId="16" borderId="1" xfId="0" applyNumberFormat="1" applyFont="1" applyFill="1" applyBorder="1" applyAlignment="1">
      <alignment horizontal="center" vertical="center" wrapText="1"/>
    </xf>
    <xf numFmtId="0" fontId="45" fillId="0" borderId="0" xfId="4" applyAlignment="1" applyProtection="1">
      <alignment vertical="center"/>
    </xf>
    <xf numFmtId="0" fontId="35" fillId="16" borderId="0" xfId="0" applyFont="1" applyFill="1" applyBorder="1"/>
    <xf numFmtId="0" fontId="45" fillId="16" borderId="34" xfId="4" applyFill="1" applyBorder="1" applyAlignment="1" applyProtection="1">
      <alignment vertical="center"/>
    </xf>
    <xf numFmtId="0" fontId="37" fillId="16" borderId="1" xfId="0" applyFont="1" applyFill="1" applyBorder="1" applyAlignment="1">
      <alignment horizontal="right" vertical="center"/>
    </xf>
    <xf numFmtId="3" fontId="37" fillId="16" borderId="1" xfId="0" applyNumberFormat="1" applyFont="1" applyFill="1" applyBorder="1" applyAlignment="1">
      <alignment horizontal="center" vertical="center"/>
    </xf>
    <xf numFmtId="3" fontId="37" fillId="16" borderId="1" xfId="0" applyNumberFormat="1" applyFont="1" applyFill="1" applyBorder="1" applyAlignment="1">
      <alignment horizontal="center" vertical="center" wrapText="1"/>
    </xf>
    <xf numFmtId="0" fontId="37" fillId="16" borderId="1" xfId="0" applyFont="1" applyFill="1" applyBorder="1" applyAlignment="1">
      <alignment horizontal="center" vertical="center"/>
    </xf>
    <xf numFmtId="0" fontId="0" fillId="16" borderId="0" xfId="0" applyFill="1"/>
    <xf numFmtId="0" fontId="35" fillId="16" borderId="34" xfId="0" applyFont="1" applyFill="1" applyBorder="1"/>
    <xf numFmtId="0" fontId="0" fillId="16" borderId="35" xfId="0" applyFill="1" applyBorder="1"/>
    <xf numFmtId="0" fontId="40" fillId="17" borderId="16" xfId="0" applyFont="1" applyFill="1" applyBorder="1" applyAlignment="1">
      <alignment horizontal="center" vertical="center" wrapText="1"/>
    </xf>
    <xf numFmtId="169" fontId="37" fillId="16" borderId="1" xfId="1" applyNumberFormat="1" applyFont="1" applyFill="1" applyBorder="1" applyAlignment="1">
      <alignment horizontal="center" vertical="center" wrapText="1"/>
    </xf>
    <xf numFmtId="0" fontId="45" fillId="0" borderId="0" xfId="4" applyAlignment="1" applyProtection="1">
      <alignment horizontal="justify" vertical="center"/>
    </xf>
    <xf numFmtId="0" fontId="48" fillId="0" borderId="0" xfId="0" applyFont="1" applyAlignment="1">
      <alignment horizontal="justify" vertical="center"/>
    </xf>
    <xf numFmtId="9" fontId="0" fillId="0" borderId="0" xfId="0" applyNumberFormat="1"/>
    <xf numFmtId="44" fontId="0" fillId="16" borderId="1" xfId="3" applyFont="1" applyFill="1" applyBorder="1"/>
    <xf numFmtId="2" fontId="0" fillId="0" borderId="0" xfId="0" applyNumberFormat="1"/>
    <xf numFmtId="10" fontId="0" fillId="0" borderId="0" xfId="0" applyNumberFormat="1"/>
    <xf numFmtId="8" fontId="0" fillId="0" borderId="0" xfId="0" applyNumberFormat="1"/>
    <xf numFmtId="0" fontId="8" fillId="19" borderId="1" xfId="0" applyFont="1" applyFill="1" applyBorder="1" applyAlignment="1">
      <alignment horizontal="center"/>
    </xf>
    <xf numFmtId="0" fontId="8" fillId="19" borderId="1" xfId="0" applyFont="1" applyFill="1" applyBorder="1"/>
    <xf numFmtId="0" fontId="0" fillId="16" borderId="1" xfId="0" applyFill="1" applyBorder="1" applyAlignment="1">
      <alignment horizontal="center"/>
    </xf>
    <xf numFmtId="1" fontId="0" fillId="16" borderId="1" xfId="0" applyNumberFormat="1" applyFill="1" applyBorder="1"/>
    <xf numFmtId="2" fontId="0" fillId="16" borderId="1" xfId="0" applyNumberFormat="1" applyFill="1" applyBorder="1"/>
    <xf numFmtId="168" fontId="0" fillId="16" borderId="1" xfId="0" applyNumberFormat="1" applyFill="1" applyBorder="1"/>
    <xf numFmtId="43" fontId="0" fillId="16" borderId="1" xfId="2" applyFont="1" applyFill="1" applyBorder="1"/>
    <xf numFmtId="0" fontId="37" fillId="0" borderId="0" xfId="0" applyFont="1" applyBorder="1" applyAlignment="1">
      <alignment wrapText="1"/>
    </xf>
    <xf numFmtId="0" fontId="0" fillId="0" borderId="31" xfId="0" applyBorder="1" applyAlignment="1">
      <alignment wrapText="1"/>
    </xf>
    <xf numFmtId="167" fontId="0" fillId="13" borderId="36" xfId="2" applyNumberFormat="1" applyFont="1" applyFill="1" applyBorder="1"/>
    <xf numFmtId="0" fontId="8" fillId="14" borderId="37" xfId="0" applyFont="1" applyFill="1" applyBorder="1" applyAlignment="1">
      <alignment horizontal="center" wrapText="1"/>
    </xf>
    <xf numFmtId="0" fontId="8" fillId="14" borderId="38" xfId="0" applyFont="1" applyFill="1" applyBorder="1" applyAlignment="1">
      <alignment horizontal="center" wrapText="1"/>
    </xf>
    <xf numFmtId="0" fontId="8" fillId="14" borderId="39" xfId="0" applyFont="1" applyFill="1" applyBorder="1" applyAlignment="1">
      <alignment horizontal="center" wrapText="1"/>
    </xf>
    <xf numFmtId="0" fontId="8" fillId="14" borderId="40" xfId="0" applyFont="1" applyFill="1" applyBorder="1" applyAlignment="1">
      <alignment horizontal="center" wrapText="1"/>
    </xf>
    <xf numFmtId="43" fontId="38" fillId="13" borderId="41" xfId="2" applyFont="1" applyFill="1" applyBorder="1"/>
    <xf numFmtId="0" fontId="0" fillId="13" borderId="42" xfId="2" applyNumberFormat="1" applyFont="1" applyFill="1" applyBorder="1"/>
    <xf numFmtId="169" fontId="0" fillId="13" borderId="42" xfId="2" applyNumberFormat="1" applyFont="1" applyFill="1" applyBorder="1"/>
    <xf numFmtId="1" fontId="38" fillId="13" borderId="41" xfId="2" applyNumberFormat="1" applyFont="1" applyFill="1" applyBorder="1"/>
    <xf numFmtId="1" fontId="38" fillId="13" borderId="43" xfId="2" applyNumberFormat="1" applyFont="1" applyFill="1" applyBorder="1"/>
    <xf numFmtId="43" fontId="38" fillId="13" borderId="39" xfId="2" applyFont="1" applyFill="1" applyBorder="1"/>
    <xf numFmtId="2" fontId="0" fillId="16" borderId="45" xfId="0" applyNumberFormat="1" applyFill="1" applyBorder="1"/>
    <xf numFmtId="0" fontId="0" fillId="16" borderId="45" xfId="0" applyFill="1" applyBorder="1"/>
    <xf numFmtId="0" fontId="0" fillId="13" borderId="46" xfId="2" applyNumberFormat="1" applyFont="1" applyFill="1" applyBorder="1"/>
    <xf numFmtId="169" fontId="0" fillId="13" borderId="46" xfId="2" applyNumberFormat="1" applyFont="1" applyFill="1" applyBorder="1"/>
    <xf numFmtId="1" fontId="38" fillId="13" borderId="39" xfId="2" applyNumberFormat="1" applyFont="1" applyFill="1" applyBorder="1"/>
    <xf numFmtId="1" fontId="38" fillId="13" borderId="40" xfId="2" applyNumberFormat="1" applyFont="1" applyFill="1" applyBorder="1"/>
    <xf numFmtId="0" fontId="8" fillId="0" borderId="0" xfId="0" applyFont="1" applyFill="1" applyBorder="1" applyAlignment="1">
      <alignment wrapText="1"/>
    </xf>
    <xf numFmtId="1" fontId="0" fillId="0" borderId="0" xfId="0" applyNumberFormat="1" applyFont="1" applyFill="1" applyBorder="1" applyAlignment="1">
      <alignment horizontal="center" wrapText="1"/>
    </xf>
    <xf numFmtId="166" fontId="0" fillId="0" borderId="0" xfId="3" applyNumberFormat="1" applyFont="1" applyFill="1" applyBorder="1" applyAlignment="1">
      <alignment wrapText="1"/>
    </xf>
    <xf numFmtId="0" fontId="43" fillId="0" borderId="0" xfId="0" applyFont="1" applyFill="1" applyAlignment="1">
      <alignment wrapText="1"/>
    </xf>
    <xf numFmtId="0" fontId="37" fillId="0" borderId="0" xfId="0" applyFont="1" applyFill="1" applyAlignment="1">
      <alignment wrapText="1"/>
    </xf>
    <xf numFmtId="0" fontId="0" fillId="0" borderId="0" xfId="0" applyFill="1" applyAlignment="1">
      <alignment wrapText="1"/>
    </xf>
    <xf numFmtId="43" fontId="0" fillId="0" borderId="0" xfId="2" applyFont="1" applyFill="1" applyBorder="1"/>
    <xf numFmtId="167" fontId="0" fillId="0" borderId="0" xfId="2" applyNumberFormat="1" applyFont="1" applyFill="1" applyBorder="1"/>
    <xf numFmtId="1" fontId="0" fillId="0" borderId="0" xfId="0" applyNumberFormat="1" applyFill="1" applyBorder="1"/>
    <xf numFmtId="2" fontId="0" fillId="0" borderId="0" xfId="0" applyNumberFormat="1" applyFill="1" applyBorder="1"/>
    <xf numFmtId="168" fontId="0" fillId="0" borderId="0" xfId="0" applyNumberFormat="1" applyFill="1" applyBorder="1"/>
    <xf numFmtId="0" fontId="0" fillId="0" borderId="0" xfId="0" applyFill="1" applyBorder="1"/>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34" fillId="18" borderId="24" xfId="0" applyFont="1" applyFill="1" applyBorder="1"/>
    <xf numFmtId="0" fontId="0" fillId="0" borderId="30" xfId="0" applyBorder="1" applyAlignment="1">
      <alignment vertical="center"/>
    </xf>
    <xf numFmtId="0" fontId="0" fillId="0" borderId="31" xfId="0" applyBorder="1" applyAlignment="1">
      <alignment vertical="center"/>
    </xf>
    <xf numFmtId="0" fontId="0" fillId="0" borderId="32" xfId="0" applyBorder="1" applyAlignment="1">
      <alignment vertical="center"/>
    </xf>
    <xf numFmtId="14" fontId="0" fillId="16" borderId="33" xfId="0" applyNumberFormat="1" applyFill="1" applyBorder="1"/>
    <xf numFmtId="0" fontId="0" fillId="0" borderId="27" xfId="0" applyFill="1" applyBorder="1" applyAlignment="1">
      <alignment vertical="center"/>
    </xf>
    <xf numFmtId="0" fontId="0" fillId="0" borderId="28" xfId="0" applyFill="1" applyBorder="1" applyAlignment="1">
      <alignment vertical="center"/>
    </xf>
    <xf numFmtId="0" fontId="0" fillId="0" borderId="29" xfId="0" applyFill="1" applyBorder="1" applyAlignment="1">
      <alignment vertical="center"/>
    </xf>
    <xf numFmtId="9" fontId="0" fillId="16" borderId="0" xfId="0" applyNumberFormat="1" applyFill="1" applyBorder="1"/>
    <xf numFmtId="0" fontId="0" fillId="0" borderId="30" xfId="0" applyFill="1" applyBorder="1" applyAlignment="1">
      <alignment vertical="center"/>
    </xf>
    <xf numFmtId="0" fontId="0" fillId="0" borderId="31" xfId="0" applyFill="1" applyBorder="1" applyAlignment="1">
      <alignment vertical="center"/>
    </xf>
    <xf numFmtId="0" fontId="0" fillId="0" borderId="32" xfId="0" applyFill="1" applyBorder="1" applyAlignment="1">
      <alignment vertical="center"/>
    </xf>
    <xf numFmtId="0" fontId="0" fillId="16" borderId="30" xfId="0" applyFill="1" applyBorder="1" applyAlignment="1">
      <alignment horizontal="left" indent="2"/>
    </xf>
    <xf numFmtId="0" fontId="0" fillId="16" borderId="31" xfId="0" applyFill="1" applyBorder="1"/>
    <xf numFmtId="9" fontId="0" fillId="16" borderId="31" xfId="0" applyNumberFormat="1" applyFill="1" applyBorder="1"/>
    <xf numFmtId="0" fontId="0" fillId="16" borderId="32" xfId="0" applyFill="1" applyBorder="1"/>
    <xf numFmtId="43" fontId="0" fillId="16" borderId="31" xfId="2" applyFont="1" applyFill="1" applyBorder="1"/>
    <xf numFmtId="0" fontId="37" fillId="0" borderId="31" xfId="0" applyFont="1" applyBorder="1" applyAlignment="1">
      <alignment vertical="center"/>
    </xf>
    <xf numFmtId="0" fontId="0" fillId="0" borderId="33" xfId="0" applyBorder="1" applyAlignment="1">
      <alignment vertical="center"/>
    </xf>
    <xf numFmtId="0" fontId="0" fillId="0" borderId="0" xfId="0" applyBorder="1" applyAlignment="1">
      <alignment vertical="center"/>
    </xf>
    <xf numFmtId="0" fontId="0" fillId="0" borderId="34" xfId="0" applyBorder="1" applyAlignment="1">
      <alignment vertical="center"/>
    </xf>
    <xf numFmtId="0" fontId="49" fillId="20" borderId="1" xfId="0" applyFont="1" applyFill="1" applyBorder="1" applyAlignment="1">
      <alignment wrapText="1"/>
    </xf>
    <xf numFmtId="0" fontId="37" fillId="0" borderId="1" xfId="0" applyFont="1" applyBorder="1" applyAlignment="1">
      <alignment wrapText="1"/>
    </xf>
    <xf numFmtId="9" fontId="37" fillId="0" borderId="1" xfId="1" applyFont="1" applyBorder="1" applyAlignment="1">
      <alignment wrapText="1"/>
    </xf>
    <xf numFmtId="9" fontId="0" fillId="0" borderId="1" xfId="1" applyFont="1" applyBorder="1"/>
    <xf numFmtId="0" fontId="43" fillId="0" borderId="1" xfId="0" applyFont="1" applyBorder="1" applyAlignment="1">
      <alignment wrapText="1"/>
    </xf>
    <xf numFmtId="1" fontId="0" fillId="0" borderId="1" xfId="1" applyNumberFormat="1" applyFont="1" applyBorder="1"/>
    <xf numFmtId="171" fontId="0" fillId="0" borderId="1" xfId="0" applyNumberFormat="1" applyBorder="1"/>
    <xf numFmtId="2" fontId="0" fillId="0" borderId="1" xfId="0" applyNumberFormat="1" applyBorder="1"/>
    <xf numFmtId="0" fontId="0" fillId="0" borderId="1" xfId="0" applyFill="1" applyBorder="1"/>
    <xf numFmtId="1" fontId="0" fillId="0" borderId="1" xfId="0" applyNumberFormat="1" applyBorder="1"/>
    <xf numFmtId="0" fontId="45" fillId="0" borderId="0" xfId="4" applyBorder="1" applyAlignment="1" applyProtection="1">
      <alignment horizontal="justify" vertical="center"/>
    </xf>
    <xf numFmtId="0" fontId="50" fillId="0" borderId="0" xfId="0" applyFont="1"/>
    <xf numFmtId="0" fontId="40" fillId="17" borderId="1" xfId="0" applyFont="1" applyFill="1" applyBorder="1" applyAlignment="1">
      <alignment horizontal="center" vertical="center" wrapText="1"/>
    </xf>
    <xf numFmtId="0" fontId="40" fillId="17" borderId="2" xfId="0" applyFont="1" applyFill="1" applyBorder="1" applyAlignment="1">
      <alignment vertical="center" wrapText="1"/>
    </xf>
    <xf numFmtId="9" fontId="37" fillId="0" borderId="1" xfId="0" applyNumberFormat="1" applyFont="1" applyBorder="1" applyAlignment="1">
      <alignment horizontal="center" vertical="center" wrapText="1"/>
    </xf>
    <xf numFmtId="0" fontId="37" fillId="0" borderId="1" xfId="0" applyFont="1" applyBorder="1" applyAlignment="1">
      <alignment horizontal="center" vertical="center"/>
    </xf>
    <xf numFmtId="9" fontId="0" fillId="0" borderId="51" xfId="0" applyNumberFormat="1" applyBorder="1"/>
    <xf numFmtId="0" fontId="0" fillId="0" borderId="0" xfId="0" applyAlignment="1">
      <alignment horizontal="right"/>
    </xf>
    <xf numFmtId="0" fontId="37" fillId="0" borderId="0" xfId="0" applyFont="1" applyBorder="1" applyAlignment="1">
      <alignment horizontal="right" vertical="center"/>
    </xf>
    <xf numFmtId="0" fontId="37" fillId="0" borderId="0" xfId="0" applyFont="1" applyBorder="1" applyAlignment="1">
      <alignment horizontal="center" vertical="center"/>
    </xf>
    <xf numFmtId="0" fontId="45" fillId="0" borderId="0" xfId="4" applyAlignment="1" applyProtection="1">
      <alignment horizontal="left" vertical="center"/>
    </xf>
    <xf numFmtId="0" fontId="37" fillId="0" borderId="0" xfId="0" applyFont="1" applyFill="1" applyBorder="1" applyAlignment="1">
      <alignment horizontal="left" vertical="center"/>
    </xf>
    <xf numFmtId="0" fontId="51" fillId="17" borderId="54" xfId="0" applyFont="1" applyFill="1" applyBorder="1" applyAlignment="1">
      <alignment horizontal="justify" vertical="center" wrapText="1"/>
    </xf>
    <xf numFmtId="0" fontId="51" fillId="17" borderId="26" xfId="0" applyFont="1" applyFill="1" applyBorder="1" applyAlignment="1">
      <alignment horizontal="justify" vertical="center" wrapText="1"/>
    </xf>
    <xf numFmtId="0" fontId="37" fillId="0" borderId="1" xfId="0" applyFont="1" applyBorder="1" applyAlignment="1">
      <alignment horizontal="right" vertical="center"/>
    </xf>
    <xf numFmtId="0" fontId="40" fillId="0" borderId="13" xfId="0" applyFont="1" applyFill="1" applyBorder="1" applyAlignment="1">
      <alignment vertical="center" wrapText="1"/>
    </xf>
    <xf numFmtId="0" fontId="52" fillId="0" borderId="37" xfId="0" applyFont="1" applyBorder="1" applyAlignment="1">
      <alignment horizontal="justify" vertical="center" wrapText="1"/>
    </xf>
    <xf numFmtId="9" fontId="52" fillId="0" borderId="32" xfId="0" applyNumberFormat="1" applyFont="1" applyBorder="1" applyAlignment="1">
      <alignment horizontal="justify" vertical="center" wrapText="1"/>
    </xf>
    <xf numFmtId="0" fontId="40" fillId="0" borderId="0" xfId="0" applyFont="1" applyFill="1" applyBorder="1" applyAlignment="1">
      <alignment horizontal="center" vertical="center" wrapText="1"/>
    </xf>
    <xf numFmtId="9" fontId="53" fillId="0" borderId="32" xfId="4" applyNumberFormat="1" applyFont="1" applyBorder="1" applyAlignment="1" applyProtection="1">
      <alignment horizontal="justify" vertical="center" wrapText="1"/>
    </xf>
    <xf numFmtId="6" fontId="37" fillId="0" borderId="0" xfId="0" applyNumberFormat="1" applyFont="1" applyFill="1" applyBorder="1" applyAlignment="1">
      <alignment horizontal="center" vertical="center" wrapText="1"/>
    </xf>
    <xf numFmtId="0" fontId="53" fillId="0" borderId="32" xfId="4" applyFont="1" applyBorder="1" applyAlignment="1" applyProtection="1">
      <alignment horizontal="justify" vertical="center" wrapText="1"/>
    </xf>
    <xf numFmtId="6" fontId="37" fillId="0" borderId="0" xfId="0" applyNumberFormat="1" applyFont="1" applyBorder="1" applyAlignment="1">
      <alignment horizontal="center" vertical="center" wrapText="1"/>
    </xf>
    <xf numFmtId="0" fontId="8" fillId="0" borderId="0" xfId="0" applyFont="1" applyFill="1" applyBorder="1"/>
    <xf numFmtId="0" fontId="40" fillId="17" borderId="55" xfId="0" applyFont="1" applyFill="1" applyBorder="1" applyAlignment="1">
      <alignment horizontal="center" vertical="center" wrapText="1"/>
    </xf>
    <xf numFmtId="0" fontId="54" fillId="0" borderId="0" xfId="0" applyFont="1" applyAlignment="1">
      <alignment horizontal="left"/>
    </xf>
    <xf numFmtId="0" fontId="40" fillId="17" borderId="37" xfId="0" applyFont="1" applyFill="1" applyBorder="1" applyAlignment="1">
      <alignment horizontal="center" vertical="center" wrapText="1"/>
    </xf>
    <xf numFmtId="0" fontId="37" fillId="0" borderId="0" xfId="0" applyFont="1" applyAlignment="1">
      <alignment horizontal="left" vertical="center"/>
    </xf>
    <xf numFmtId="9" fontId="55" fillId="0" borderId="37" xfId="0" applyNumberFormat="1" applyFont="1" applyBorder="1" applyAlignment="1">
      <alignment horizontal="center" vertical="center" wrapText="1"/>
    </xf>
    <xf numFmtId="6" fontId="55" fillId="0" borderId="32" xfId="0" applyNumberFormat="1" applyFont="1" applyBorder="1" applyAlignment="1">
      <alignment horizontal="center" vertical="center" wrapText="1"/>
    </xf>
    <xf numFmtId="0" fontId="55" fillId="0" borderId="32" xfId="0" applyFont="1" applyBorder="1" applyAlignment="1">
      <alignment horizontal="center" vertical="center" wrapText="1"/>
    </xf>
    <xf numFmtId="0" fontId="55" fillId="0" borderId="54" xfId="0" applyFont="1" applyBorder="1" applyAlignment="1">
      <alignment horizontal="center" vertical="center" wrapText="1"/>
    </xf>
    <xf numFmtId="0" fontId="37" fillId="0" borderId="0" xfId="0" applyFont="1" applyAlignment="1">
      <alignment horizontal="left" vertical="center" wrapText="1"/>
    </xf>
    <xf numFmtId="6" fontId="55" fillId="0" borderId="54" xfId="0" applyNumberFormat="1" applyFont="1" applyBorder="1" applyAlignment="1">
      <alignment horizontal="center" vertical="center" wrapText="1"/>
    </xf>
    <xf numFmtId="8" fontId="55" fillId="0" borderId="54" xfId="0" applyNumberFormat="1" applyFont="1" applyBorder="1" applyAlignment="1">
      <alignment horizontal="center" vertical="center" wrapText="1"/>
    </xf>
    <xf numFmtId="169" fontId="56" fillId="0" borderId="54" xfId="0" applyNumberFormat="1" applyFont="1" applyBorder="1" applyAlignment="1">
      <alignment horizontal="center" vertical="center" wrapText="1"/>
    </xf>
    <xf numFmtId="8" fontId="55" fillId="0" borderId="54" xfId="0" applyNumberFormat="1" applyFont="1" applyFill="1" applyBorder="1" applyAlignment="1">
      <alignment horizontal="center" vertical="center" wrapText="1"/>
    </xf>
    <xf numFmtId="9" fontId="57" fillId="0" borderId="0" xfId="0" applyNumberFormat="1" applyFont="1" applyBorder="1" applyAlignment="1">
      <alignment horizontal="center" vertical="center" wrapText="1"/>
    </xf>
    <xf numFmtId="6" fontId="57" fillId="0" borderId="0" xfId="0" applyNumberFormat="1" applyFont="1" applyBorder="1" applyAlignment="1">
      <alignment horizontal="center" vertical="center" wrapText="1"/>
    </xf>
    <xf numFmtId="8" fontId="57" fillId="0" borderId="0" xfId="0" applyNumberFormat="1" applyFont="1" applyBorder="1" applyAlignment="1">
      <alignment horizontal="center" vertical="center" wrapText="1"/>
    </xf>
    <xf numFmtId="0" fontId="0" fillId="0" borderId="0" xfId="0" applyFill="1" applyBorder="1" applyAlignment="1">
      <alignment horizontal="right"/>
    </xf>
    <xf numFmtId="172" fontId="0" fillId="0" borderId="0" xfId="3" applyNumberFormat="1" applyFont="1" applyAlignment="1">
      <alignment horizontal="right"/>
    </xf>
    <xf numFmtId="10" fontId="0" fillId="0" borderId="0" xfId="1" applyNumberFormat="1" applyFont="1" applyAlignment="1">
      <alignment horizontal="right"/>
    </xf>
    <xf numFmtId="0" fontId="0" fillId="0" borderId="0" xfId="0" applyAlignment="1"/>
    <xf numFmtId="1" fontId="8" fillId="0" borderId="0" xfId="1" applyNumberFormat="1" applyFont="1" applyFill="1" applyBorder="1" applyAlignment="1">
      <alignment horizontal="right"/>
    </xf>
    <xf numFmtId="0" fontId="0" fillId="0" borderId="0" xfId="0" applyFill="1" applyBorder="1" applyAlignment="1">
      <alignment wrapText="1"/>
    </xf>
    <xf numFmtId="6" fontId="0" fillId="0" borderId="0" xfId="0" applyNumberFormat="1" applyFill="1" applyBorder="1"/>
    <xf numFmtId="172" fontId="0" fillId="0" borderId="0" xfId="3" applyNumberFormat="1" applyFont="1"/>
    <xf numFmtId="173" fontId="8" fillId="0" borderId="0" xfId="0" applyNumberFormat="1" applyFont="1" applyBorder="1" applyAlignment="1">
      <alignment horizontal="center"/>
    </xf>
    <xf numFmtId="0" fontId="8" fillId="0" borderId="0" xfId="0" applyFont="1"/>
    <xf numFmtId="0" fontId="58" fillId="0" borderId="1" xfId="0" applyFont="1" applyBorder="1" applyAlignment="1">
      <alignment horizontal="center" vertical="center"/>
    </xf>
    <xf numFmtId="173" fontId="0" fillId="0" borderId="0" xfId="0" applyNumberFormat="1" applyFill="1" applyBorder="1"/>
    <xf numFmtId="0" fontId="58" fillId="0" borderId="1" xfId="0" applyFont="1" applyBorder="1" applyAlignment="1">
      <alignment horizontal="center" vertical="center" wrapText="1"/>
    </xf>
    <xf numFmtId="0" fontId="60" fillId="0" borderId="1" xfId="0" applyFont="1" applyBorder="1" applyAlignment="1">
      <alignment horizontal="center" vertical="center" wrapText="1"/>
    </xf>
    <xf numFmtId="0" fontId="60" fillId="0" borderId="0" xfId="0" applyFont="1" applyBorder="1" applyAlignment="1">
      <alignment horizontal="center" vertical="center" wrapText="1"/>
    </xf>
    <xf numFmtId="0" fontId="8" fillId="0" borderId="0" xfId="0" applyFont="1" applyFill="1" applyBorder="1" applyAlignment="1">
      <alignment horizontal="center"/>
    </xf>
    <xf numFmtId="0" fontId="57" fillId="0" borderId="1" xfId="0" applyFont="1" applyBorder="1" applyAlignment="1">
      <alignment horizontal="right" vertical="center"/>
    </xf>
    <xf numFmtId="9" fontId="57" fillId="0" borderId="1" xfId="0" applyNumberFormat="1" applyFont="1" applyBorder="1" applyAlignment="1">
      <alignment horizontal="right" vertical="center"/>
    </xf>
    <xf numFmtId="0" fontId="61" fillId="0" borderId="1" xfId="0" applyFont="1" applyBorder="1" applyAlignment="1">
      <alignment horizontal="right" vertical="center"/>
    </xf>
    <xf numFmtId="0" fontId="61" fillId="0" borderId="0" xfId="0" applyFont="1" applyBorder="1" applyAlignment="1">
      <alignment horizontal="right" vertical="center"/>
    </xf>
    <xf numFmtId="0" fontId="8" fillId="0" borderId="0" xfId="0" applyFont="1" applyFill="1" applyBorder="1" applyAlignment="1">
      <alignment horizontal="right"/>
    </xf>
    <xf numFmtId="1" fontId="0" fillId="0" borderId="0" xfId="1" applyNumberFormat="1"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xf numFmtId="9" fontId="0" fillId="0" borderId="0" xfId="0" applyNumberFormat="1" applyFill="1" applyBorder="1"/>
    <xf numFmtId="1" fontId="0" fillId="0" borderId="0" xfId="1" applyNumberFormat="1" applyFont="1" applyFill="1" applyBorder="1" applyAlignment="1">
      <alignment horizontal="right"/>
    </xf>
    <xf numFmtId="0" fontId="8" fillId="0" borderId="1" xfId="0" applyFont="1" applyFill="1" applyBorder="1" applyAlignment="1">
      <alignment horizontal="center"/>
    </xf>
    <xf numFmtId="0" fontId="0" fillId="0" borderId="1" xfId="0" applyBorder="1" applyAlignment="1">
      <alignment wrapText="1"/>
    </xf>
    <xf numFmtId="169" fontId="0" fillId="0" borderId="1" xfId="1" applyNumberFormat="1" applyFont="1" applyBorder="1" applyAlignment="1">
      <alignment horizontal="center"/>
    </xf>
    <xf numFmtId="9" fontId="0" fillId="0" borderId="1" xfId="0" applyNumberFormat="1" applyBorder="1"/>
    <xf numFmtId="9" fontId="0" fillId="0" borderId="1" xfId="0" applyNumberFormat="1" applyBorder="1" applyAlignment="1">
      <alignment horizontal="center"/>
    </xf>
    <xf numFmtId="43" fontId="0" fillId="0" borderId="1" xfId="0" applyNumberFormat="1" applyBorder="1"/>
    <xf numFmtId="43" fontId="0" fillId="0" borderId="1" xfId="0" applyNumberFormat="1" applyBorder="1" applyAlignment="1">
      <alignment horizontal="center"/>
    </xf>
    <xf numFmtId="6" fontId="0" fillId="0" borderId="1" xfId="0" applyNumberFormat="1" applyBorder="1"/>
    <xf numFmtId="6" fontId="0" fillId="0" borderId="1" xfId="0" applyNumberFormat="1" applyBorder="1" applyAlignment="1">
      <alignment horizontal="center"/>
    </xf>
    <xf numFmtId="0" fontId="35" fillId="0" borderId="0" xfId="0" applyFont="1" applyFill="1" applyBorder="1"/>
    <xf numFmtId="8" fontId="0" fillId="0" borderId="0" xfId="0" applyNumberFormat="1" applyFill="1" applyBorder="1"/>
    <xf numFmtId="0" fontId="40" fillId="22" borderId="54" xfId="0" applyFont="1" applyFill="1" applyBorder="1" applyAlignment="1">
      <alignment horizontal="center" vertical="center" wrapText="1"/>
    </xf>
    <xf numFmtId="0" fontId="40" fillId="22" borderId="26" xfId="0" applyFont="1" applyFill="1" applyBorder="1" applyAlignment="1">
      <alignment horizontal="center" vertical="center" wrapText="1"/>
    </xf>
    <xf numFmtId="0" fontId="37" fillId="0" borderId="37" xfId="0" applyFont="1" applyBorder="1" applyAlignment="1">
      <alignment horizontal="justify" vertical="center" wrapText="1"/>
    </xf>
    <xf numFmtId="9" fontId="37" fillId="0" borderId="32" xfId="0" applyNumberFormat="1" applyFont="1" applyBorder="1" applyAlignment="1">
      <alignment horizontal="center" vertical="center" wrapText="1"/>
    </xf>
    <xf numFmtId="0" fontId="43" fillId="16" borderId="1" xfId="0" applyFont="1" applyFill="1" applyBorder="1"/>
    <xf numFmtId="0" fontId="43" fillId="0" borderId="0" xfId="0" applyFont="1" applyFill="1" applyBorder="1"/>
    <xf numFmtId="10" fontId="0" fillId="16" borderId="1" xfId="0" applyNumberFormat="1" applyFill="1" applyBorder="1"/>
    <xf numFmtId="0" fontId="0" fillId="0" borderId="0" xfId="0" applyFill="1" applyBorder="1" applyAlignment="1"/>
    <xf numFmtId="165" fontId="62" fillId="0" borderId="0" xfId="0" applyNumberFormat="1" applyFont="1" applyFill="1" applyBorder="1"/>
    <xf numFmtId="0" fontId="37" fillId="16" borderId="6" xfId="0" applyFont="1" applyFill="1" applyBorder="1" applyAlignment="1">
      <alignment horizontal="justify" vertical="center"/>
    </xf>
    <xf numFmtId="0" fontId="43" fillId="0" borderId="27" xfId="0" applyFont="1" applyBorder="1"/>
    <xf numFmtId="0" fontId="43" fillId="0" borderId="30" xfId="0" applyFont="1" applyBorder="1"/>
    <xf numFmtId="0" fontId="43" fillId="0" borderId="33" xfId="0" applyFont="1" applyBorder="1"/>
    <xf numFmtId="0" fontId="37" fillId="0" borderId="0" xfId="0" applyFont="1" applyBorder="1"/>
    <xf numFmtId="0" fontId="0" fillId="0" borderId="34" xfId="0" applyBorder="1"/>
    <xf numFmtId="0" fontId="0" fillId="0" borderId="33" xfId="0" applyBorder="1"/>
    <xf numFmtId="0" fontId="43" fillId="0" borderId="27" xfId="0" applyFont="1" applyFill="1" applyBorder="1"/>
    <xf numFmtId="0" fontId="43" fillId="0" borderId="33" xfId="0" applyFont="1" applyFill="1" applyBorder="1"/>
    <xf numFmtId="0" fontId="43" fillId="0" borderId="30" xfId="0" applyFont="1" applyFill="1" applyBorder="1"/>
    <xf numFmtId="0" fontId="37" fillId="16" borderId="1" xfId="0" applyFont="1" applyFill="1" applyBorder="1" applyAlignment="1">
      <alignment vertical="center" wrapText="1"/>
    </xf>
    <xf numFmtId="0" fontId="45" fillId="16" borderId="0" xfId="4" applyFill="1" applyBorder="1" applyAlignment="1" applyProtection="1">
      <alignment vertical="center"/>
    </xf>
    <xf numFmtId="0" fontId="0" fillId="16" borderId="1" xfId="0" applyFill="1" applyBorder="1" applyAlignment="1">
      <alignment wrapText="1"/>
    </xf>
    <xf numFmtId="0" fontId="59" fillId="16" borderId="0" xfId="0" applyFont="1" applyFill="1" applyBorder="1"/>
    <xf numFmtId="0" fontId="40" fillId="17" borderId="10" xfId="0" applyFont="1" applyFill="1" applyBorder="1" applyAlignment="1">
      <alignment horizontal="center" vertical="center" wrapText="1"/>
    </xf>
    <xf numFmtId="0" fontId="0" fillId="16" borderId="1" xfId="0" applyFill="1" applyBorder="1" applyAlignment="1">
      <alignment horizontal="right"/>
    </xf>
    <xf numFmtId="0" fontId="0" fillId="16" borderId="30" xfId="0" applyFill="1" applyBorder="1"/>
    <xf numFmtId="0" fontId="43" fillId="0" borderId="0" xfId="0" applyFont="1" applyFill="1" applyBorder="1" applyAlignment="1">
      <alignment wrapText="1"/>
    </xf>
    <xf numFmtId="10" fontId="0" fillId="16" borderId="1" xfId="1" applyNumberFormat="1" applyFont="1" applyFill="1" applyBorder="1"/>
    <xf numFmtId="169" fontId="0" fillId="16" borderId="1" xfId="1" applyNumberFormat="1" applyFont="1" applyFill="1" applyBorder="1"/>
    <xf numFmtId="169" fontId="0" fillId="0" borderId="0" xfId="1" applyNumberFormat="1" applyFont="1" applyBorder="1"/>
    <xf numFmtId="9" fontId="0" fillId="0" borderId="0" xfId="1" applyFont="1" applyBorder="1"/>
    <xf numFmtId="169" fontId="0" fillId="0" borderId="28" xfId="1" applyNumberFormat="1" applyFont="1" applyBorder="1"/>
    <xf numFmtId="0" fontId="37" fillId="0" borderId="16" xfId="0" applyFont="1" applyBorder="1"/>
    <xf numFmtId="0" fontId="37" fillId="0" borderId="16" xfId="0" applyFont="1" applyBorder="1" applyAlignment="1">
      <alignment wrapText="1"/>
    </xf>
    <xf numFmtId="0" fontId="37" fillId="0" borderId="16" xfId="0" applyFont="1" applyBorder="1" applyAlignment="1">
      <alignment horizontal="justify" vertical="center"/>
    </xf>
    <xf numFmtId="2" fontId="37" fillId="0" borderId="1" xfId="0" applyNumberFormat="1" applyFont="1" applyBorder="1"/>
    <xf numFmtId="0" fontId="37" fillId="0" borderId="1" xfId="0" applyFont="1" applyBorder="1"/>
    <xf numFmtId="170" fontId="0" fillId="0" borderId="1" xfId="0" applyNumberFormat="1" applyBorder="1"/>
    <xf numFmtId="170" fontId="0" fillId="0" borderId="1" xfId="2" applyNumberFormat="1" applyFont="1" applyBorder="1"/>
    <xf numFmtId="0" fontId="41" fillId="16" borderId="13" xfId="0" applyFont="1" applyFill="1" applyBorder="1"/>
    <xf numFmtId="0" fontId="0" fillId="21" borderId="0" xfId="0" applyFill="1" applyBorder="1"/>
    <xf numFmtId="0" fontId="37" fillId="0" borderId="0" xfId="0" applyFont="1" applyAlignment="1">
      <alignment horizontal="justify" vertical="center"/>
    </xf>
    <xf numFmtId="9" fontId="0" fillId="0" borderId="28" xfId="0" applyNumberFormat="1" applyBorder="1"/>
    <xf numFmtId="0" fontId="0" fillId="0" borderId="28" xfId="0" applyFill="1" applyBorder="1" applyAlignment="1">
      <alignment vertical="center" wrapText="1"/>
    </xf>
    <xf numFmtId="0" fontId="0" fillId="0" borderId="31" xfId="0" applyFill="1" applyBorder="1" applyAlignment="1">
      <alignment vertical="center" wrapText="1"/>
    </xf>
    <xf numFmtId="0" fontId="0" fillId="0" borderId="33"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vertical="center"/>
    </xf>
    <xf numFmtId="0" fontId="0" fillId="0" borderId="34" xfId="0" applyFill="1" applyBorder="1" applyAlignment="1">
      <alignment vertical="center"/>
    </xf>
    <xf numFmtId="0" fontId="0" fillId="0" borderId="33" xfId="0" applyFill="1" applyBorder="1"/>
    <xf numFmtId="0" fontId="0" fillId="0" borderId="31" xfId="0" applyFill="1" applyBorder="1" applyAlignment="1">
      <alignment wrapText="1"/>
    </xf>
    <xf numFmtId="0" fontId="0" fillId="0" borderId="34" xfId="0" applyFill="1" applyBorder="1"/>
    <xf numFmtId="10" fontId="0" fillId="0" borderId="28" xfId="0" applyNumberFormat="1" applyBorder="1"/>
    <xf numFmtId="0" fontId="37" fillId="0" borderId="0" xfId="0" applyFont="1" applyFill="1" applyBorder="1"/>
    <xf numFmtId="0" fontId="68" fillId="17" borderId="50" xfId="0" applyFont="1" applyFill="1" applyBorder="1" applyAlignment="1">
      <alignment horizontal="center" vertical="center" wrapText="1"/>
    </xf>
    <xf numFmtId="0" fontId="68" fillId="17" borderId="5" xfId="0" applyFont="1" applyFill="1" applyBorder="1" applyAlignment="1">
      <alignment horizontal="center" vertical="center" wrapText="1"/>
    </xf>
    <xf numFmtId="0" fontId="68" fillId="17" borderId="3" xfId="0" applyFont="1" applyFill="1" applyBorder="1" applyAlignment="1">
      <alignment horizontal="center" vertical="center" wrapText="1"/>
    </xf>
    <xf numFmtId="0" fontId="68" fillId="17" borderId="1" xfId="0" applyFont="1" applyFill="1" applyBorder="1" applyAlignment="1">
      <alignment horizontal="center" vertical="center" wrapText="1"/>
    </xf>
    <xf numFmtId="0" fontId="69" fillId="16" borderId="1" xfId="0" applyFont="1" applyFill="1" applyBorder="1" applyAlignment="1">
      <alignment horizontal="center" vertical="center" wrapText="1"/>
    </xf>
    <xf numFmtId="0" fontId="44" fillId="17" borderId="1" xfId="0" applyFont="1" applyFill="1" applyBorder="1" applyAlignment="1">
      <alignment wrapText="1"/>
    </xf>
    <xf numFmtId="0" fontId="70" fillId="17" borderId="1" xfId="0" applyFont="1" applyFill="1" applyBorder="1" applyAlignment="1">
      <alignment wrapText="1"/>
    </xf>
    <xf numFmtId="0" fontId="0" fillId="16" borderId="1" xfId="0" applyFill="1" applyBorder="1" applyAlignment="1">
      <alignment horizontal="left" wrapText="1"/>
    </xf>
    <xf numFmtId="0" fontId="37" fillId="16" borderId="50" xfId="0" applyFont="1" applyFill="1" applyBorder="1"/>
    <xf numFmtId="0" fontId="0" fillId="16" borderId="1" xfId="0" quotePrefix="1" applyFill="1" applyBorder="1"/>
    <xf numFmtId="0" fontId="0" fillId="16" borderId="50" xfId="0" applyFill="1" applyBorder="1"/>
    <xf numFmtId="9" fontId="0" fillId="16" borderId="1" xfId="0" applyNumberFormat="1" applyFill="1" applyBorder="1"/>
    <xf numFmtId="0" fontId="40" fillId="17" borderId="50" xfId="0" applyFont="1" applyFill="1" applyBorder="1" applyAlignment="1">
      <alignment horizontal="right" vertical="center" wrapText="1"/>
    </xf>
    <xf numFmtId="0" fontId="40" fillId="17" borderId="1" xfId="0" applyFont="1" applyFill="1" applyBorder="1" applyAlignment="1">
      <alignment horizontal="center" vertical="center"/>
    </xf>
    <xf numFmtId="0" fontId="40" fillId="17" borderId="50" xfId="0" applyFont="1" applyFill="1" applyBorder="1" applyAlignment="1">
      <alignment horizontal="right" vertical="center"/>
    </xf>
    <xf numFmtId="0" fontId="40" fillId="17" borderId="3" xfId="0" applyFont="1" applyFill="1" applyBorder="1" applyAlignment="1">
      <alignment horizontal="center" vertical="center" wrapText="1"/>
    </xf>
    <xf numFmtId="0" fontId="37" fillId="16" borderId="50" xfId="0" applyFont="1" applyFill="1" applyBorder="1" applyAlignment="1">
      <alignment horizontal="right" vertical="center"/>
    </xf>
    <xf numFmtId="0" fontId="37" fillId="16" borderId="3" xfId="0" applyFont="1" applyFill="1" applyBorder="1" applyAlignment="1">
      <alignment horizontal="center" vertical="center" wrapText="1"/>
    </xf>
    <xf numFmtId="43" fontId="0" fillId="0" borderId="0" xfId="0" applyNumberFormat="1"/>
    <xf numFmtId="0" fontId="43" fillId="16" borderId="1" xfId="0" applyFont="1" applyFill="1" applyBorder="1" applyAlignment="1">
      <alignment vertical="center" wrapText="1"/>
    </xf>
    <xf numFmtId="0" fontId="0" fillId="16" borderId="1" xfId="0" applyFont="1" applyFill="1" applyBorder="1" applyAlignment="1">
      <alignment vertical="center" wrapText="1"/>
    </xf>
    <xf numFmtId="0" fontId="0" fillId="16" borderId="1" xfId="0" applyFill="1" applyBorder="1" applyAlignment="1">
      <alignment vertical="center" wrapText="1"/>
    </xf>
    <xf numFmtId="0" fontId="37" fillId="16" borderId="1" xfId="0" applyFont="1" applyFill="1" applyBorder="1" applyAlignment="1">
      <alignment wrapText="1"/>
    </xf>
    <xf numFmtId="170" fontId="0" fillId="16" borderId="1" xfId="0" applyNumberFormat="1" applyFill="1" applyBorder="1"/>
    <xf numFmtId="169" fontId="0" fillId="16" borderId="1" xfId="0" applyNumberFormat="1" applyFill="1" applyBorder="1"/>
    <xf numFmtId="0" fontId="37" fillId="16" borderId="33" xfId="0" applyFont="1" applyFill="1" applyBorder="1"/>
    <xf numFmtId="0" fontId="41" fillId="16" borderId="33" xfId="0" applyFont="1" applyFill="1" applyBorder="1"/>
    <xf numFmtId="0" fontId="37" fillId="16" borderId="33" xfId="0" applyFont="1" applyFill="1" applyBorder="1" applyAlignment="1">
      <alignment horizontal="left" indent="1"/>
    </xf>
    <xf numFmtId="165" fontId="38" fillId="0" borderId="0" xfId="0" applyNumberFormat="1" applyFont="1" applyFill="1"/>
    <xf numFmtId="0" fontId="41" fillId="16" borderId="0" xfId="0" applyFont="1" applyFill="1" applyBorder="1"/>
    <xf numFmtId="0" fontId="37" fillId="16" borderId="30" xfId="0" applyFont="1" applyFill="1" applyBorder="1"/>
    <xf numFmtId="0" fontId="37" fillId="16" borderId="31" xfId="0" applyFont="1" applyFill="1" applyBorder="1" applyAlignment="1">
      <alignment horizontal="center" vertical="center"/>
    </xf>
    <xf numFmtId="0" fontId="43" fillId="0" borderId="27" xfId="0" applyFont="1" applyBorder="1" applyAlignment="1">
      <alignment vertical="center"/>
    </xf>
    <xf numFmtId="0" fontId="37" fillId="0" borderId="28" xfId="0" applyFont="1" applyBorder="1" applyAlignment="1">
      <alignment vertical="center"/>
    </xf>
    <xf numFmtId="0" fontId="43" fillId="0" borderId="30" xfId="0" applyFont="1" applyBorder="1" applyAlignment="1">
      <alignment vertical="center"/>
    </xf>
    <xf numFmtId="0" fontId="0" fillId="0" borderId="27" xfId="0" applyFont="1" applyBorder="1" applyAlignment="1">
      <alignment vertical="center" wrapText="1"/>
    </xf>
    <xf numFmtId="0" fontId="37" fillId="0" borderId="27" xfId="0" applyFont="1" applyBorder="1" applyAlignment="1">
      <alignment vertical="center" wrapText="1"/>
    </xf>
    <xf numFmtId="170" fontId="0" fillId="0" borderId="28" xfId="0" applyNumberFormat="1" applyBorder="1" applyAlignment="1">
      <alignment vertical="center"/>
    </xf>
    <xf numFmtId="0" fontId="0" fillId="0" borderId="28" xfId="0" applyBorder="1" applyAlignment="1">
      <alignment vertical="center" wrapText="1"/>
    </xf>
    <xf numFmtId="0" fontId="43" fillId="0" borderId="33" xfId="0" applyFont="1" applyBorder="1" applyAlignment="1">
      <alignment vertical="center"/>
    </xf>
    <xf numFmtId="0" fontId="37" fillId="0" borderId="0" xfId="0" applyFont="1" applyBorder="1" applyAlignment="1">
      <alignment vertical="center"/>
    </xf>
    <xf numFmtId="0" fontId="37" fillId="0" borderId="31" xfId="0" applyFont="1" applyFill="1" applyBorder="1" applyAlignment="1">
      <alignment vertical="center"/>
    </xf>
    <xf numFmtId="0" fontId="37" fillId="0" borderId="27" xfId="0" applyFont="1" applyBorder="1" applyAlignment="1">
      <alignment vertical="center"/>
    </xf>
    <xf numFmtId="170" fontId="0" fillId="0" borderId="28" xfId="2" applyNumberFormat="1" applyFont="1" applyBorder="1" applyAlignment="1">
      <alignment vertical="center" wrapText="1"/>
    </xf>
    <xf numFmtId="170" fontId="0" fillId="0" borderId="31" xfId="2" applyNumberFormat="1" applyFont="1" applyBorder="1" applyAlignment="1">
      <alignment vertical="center"/>
    </xf>
    <xf numFmtId="169" fontId="0" fillId="0" borderId="28" xfId="1" applyNumberFormat="1" applyFont="1" applyBorder="1" applyAlignment="1">
      <alignment vertical="center"/>
    </xf>
    <xf numFmtId="0" fontId="37" fillId="0" borderId="28" xfId="0" applyFont="1" applyFill="1" applyBorder="1" applyAlignment="1">
      <alignment vertical="center"/>
    </xf>
    <xf numFmtId="10" fontId="0" fillId="0" borderId="28" xfId="1" applyNumberFormat="1" applyFont="1" applyBorder="1" applyAlignment="1">
      <alignment vertical="center"/>
    </xf>
    <xf numFmtId="169" fontId="0" fillId="0" borderId="31" xfId="1" applyNumberFormat="1" applyFont="1" applyBorder="1" applyAlignment="1">
      <alignment vertical="center"/>
    </xf>
    <xf numFmtId="169" fontId="0" fillId="0" borderId="28" xfId="1" applyNumberFormat="1" applyFont="1" applyBorder="1" applyAlignment="1">
      <alignment vertical="center" wrapText="1"/>
    </xf>
    <xf numFmtId="169" fontId="0" fillId="0" borderId="0" xfId="1" applyNumberFormat="1" applyFont="1" applyBorder="1" applyAlignment="1">
      <alignment vertical="center"/>
    </xf>
    <xf numFmtId="0" fontId="37" fillId="0" borderId="0" xfId="0" applyFont="1" applyFill="1" applyBorder="1" applyAlignment="1">
      <alignment vertical="center"/>
    </xf>
    <xf numFmtId="0" fontId="40" fillId="17" borderId="2" xfId="0" applyFont="1" applyFill="1" applyBorder="1" applyAlignment="1">
      <alignment vertical="center"/>
    </xf>
    <xf numFmtId="0" fontId="40" fillId="17" borderId="3" xfId="0" applyFont="1" applyFill="1" applyBorder="1" applyAlignment="1">
      <alignment horizontal="center" vertical="center"/>
    </xf>
    <xf numFmtId="0" fontId="37" fillId="16" borderId="3" xfId="0" applyFont="1" applyFill="1" applyBorder="1" applyAlignment="1">
      <alignment horizontal="center" vertical="center"/>
    </xf>
    <xf numFmtId="0" fontId="37" fillId="16" borderId="1" xfId="0" applyFont="1" applyFill="1" applyBorder="1" applyAlignment="1">
      <alignment horizontal="justify" vertical="center" wrapText="1"/>
    </xf>
    <xf numFmtId="0" fontId="37" fillId="16" borderId="0" xfId="0" applyFont="1" applyFill="1" applyBorder="1" applyAlignment="1">
      <alignment horizontal="center" vertical="center" wrapText="1"/>
    </xf>
    <xf numFmtId="0" fontId="40" fillId="17" borderId="50" xfId="0" applyFont="1" applyFill="1" applyBorder="1" applyAlignment="1">
      <alignment horizontal="center" vertical="center"/>
    </xf>
    <xf numFmtId="3" fontId="0" fillId="16" borderId="0" xfId="0" applyNumberFormat="1" applyFill="1" applyBorder="1"/>
    <xf numFmtId="0" fontId="57" fillId="16" borderId="50" xfId="0" applyFont="1" applyFill="1" applyBorder="1" applyAlignment="1">
      <alignment horizontal="left" vertical="center"/>
    </xf>
    <xf numFmtId="0" fontId="36" fillId="18" borderId="26" xfId="0" applyFont="1" applyFill="1" applyBorder="1"/>
    <xf numFmtId="0" fontId="71" fillId="23" borderId="55" xfId="0" applyFont="1" applyFill="1" applyBorder="1" applyAlignment="1">
      <alignment horizontal="center" vertical="center" wrapText="1"/>
    </xf>
    <xf numFmtId="0" fontId="71" fillId="23" borderId="24" xfId="0" applyFont="1" applyFill="1" applyBorder="1" applyAlignment="1">
      <alignment horizontal="center" vertical="center" wrapText="1"/>
    </xf>
    <xf numFmtId="0" fontId="68" fillId="23" borderId="29" xfId="0" applyFont="1" applyFill="1" applyBorder="1" applyAlignment="1">
      <alignment horizontal="center" vertical="center" wrapText="1"/>
    </xf>
    <xf numFmtId="0" fontId="71" fillId="23" borderId="29"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71" fillId="23" borderId="32" xfId="0" applyFont="1" applyFill="1" applyBorder="1" applyAlignment="1">
      <alignment horizontal="center" vertical="center" wrapText="1"/>
    </xf>
    <xf numFmtId="0" fontId="64" fillId="16" borderId="37" xfId="0" applyFont="1" applyFill="1" applyBorder="1" applyAlignment="1">
      <alignment horizontal="center" vertical="center" wrapText="1"/>
    </xf>
    <xf numFmtId="0" fontId="74" fillId="16" borderId="32" xfId="0" applyFont="1" applyFill="1" applyBorder="1" applyAlignment="1">
      <alignment horizontal="center" vertical="center" wrapText="1"/>
    </xf>
    <xf numFmtId="0" fontId="71" fillId="23" borderId="33" xfId="0" applyFont="1" applyFill="1" applyBorder="1" applyAlignment="1">
      <alignment horizontal="center" vertical="center" wrapText="1"/>
    </xf>
    <xf numFmtId="0" fontId="64" fillId="16" borderId="47" xfId="0" applyFont="1" applyFill="1" applyBorder="1" applyAlignment="1">
      <alignment horizontal="center" vertical="center" wrapText="1"/>
    </xf>
    <xf numFmtId="0" fontId="74" fillId="16" borderId="31" xfId="0" applyFont="1" applyFill="1" applyBorder="1" applyAlignment="1">
      <alignment horizontal="center" vertical="center" wrapText="1"/>
    </xf>
    <xf numFmtId="0" fontId="64" fillId="16" borderId="0" xfId="0" applyFont="1" applyFill="1" applyBorder="1" applyAlignment="1">
      <alignment horizontal="center" vertical="center" wrapText="1"/>
    </xf>
    <xf numFmtId="0" fontId="74" fillId="16" borderId="0" xfId="0" applyFont="1" applyFill="1" applyBorder="1" applyAlignment="1">
      <alignment horizontal="center" vertical="center" wrapText="1"/>
    </xf>
    <xf numFmtId="0" fontId="37" fillId="16" borderId="1" xfId="0" applyFont="1" applyFill="1" applyBorder="1"/>
    <xf numFmtId="9" fontId="37" fillId="16" borderId="1" xfId="0" applyNumberFormat="1" applyFont="1" applyFill="1" applyBorder="1"/>
    <xf numFmtId="0" fontId="0" fillId="16" borderId="16" xfId="0" applyFill="1" applyBorder="1"/>
    <xf numFmtId="170" fontId="0" fillId="16" borderId="16" xfId="0" applyNumberFormat="1" applyFill="1" applyBorder="1"/>
    <xf numFmtId="9" fontId="0" fillId="16" borderId="16" xfId="0" applyNumberFormat="1" applyFill="1" applyBorder="1"/>
    <xf numFmtId="10" fontId="0" fillId="16" borderId="16" xfId="0" applyNumberFormat="1" applyFill="1" applyBorder="1"/>
    <xf numFmtId="170" fontId="0" fillId="16" borderId="45" xfId="0" applyNumberFormat="1" applyFill="1" applyBorder="1"/>
    <xf numFmtId="9" fontId="0" fillId="16" borderId="45" xfId="0" applyNumberFormat="1" applyFill="1" applyBorder="1"/>
    <xf numFmtId="10" fontId="0" fillId="16" borderId="45" xfId="0" applyNumberFormat="1" applyFill="1" applyBorder="1"/>
    <xf numFmtId="170" fontId="0" fillId="0" borderId="28" xfId="2" applyNumberFormat="1" applyFont="1" applyBorder="1" applyAlignment="1">
      <alignment wrapText="1"/>
    </xf>
    <xf numFmtId="0" fontId="37" fillId="0" borderId="28" xfId="0" applyFont="1" applyBorder="1" applyAlignment="1">
      <alignment wrapText="1"/>
    </xf>
    <xf numFmtId="0" fontId="0" fillId="0" borderId="28" xfId="0" applyBorder="1" applyAlignment="1">
      <alignment wrapText="1"/>
    </xf>
    <xf numFmtId="170" fontId="0" fillId="0" borderId="0" xfId="0" applyNumberFormat="1" applyBorder="1"/>
    <xf numFmtId="9" fontId="0" fillId="0" borderId="0" xfId="0" applyNumberFormat="1" applyBorder="1"/>
    <xf numFmtId="10" fontId="0" fillId="0" borderId="0" xfId="0" applyNumberFormat="1" applyBorder="1"/>
    <xf numFmtId="170" fontId="0" fillId="0" borderId="0" xfId="0" applyNumberFormat="1"/>
    <xf numFmtId="0" fontId="37" fillId="16" borderId="0" xfId="0" applyFont="1" applyFill="1" applyBorder="1" applyAlignment="1">
      <alignment horizontal="left" vertical="center" indent="15"/>
    </xf>
    <xf numFmtId="0" fontId="64" fillId="16" borderId="13" xfId="0" applyFont="1" applyFill="1" applyBorder="1"/>
    <xf numFmtId="0" fontId="37" fillId="0" borderId="27" xfId="0" applyFont="1" applyBorder="1"/>
    <xf numFmtId="2" fontId="0" fillId="0" borderId="28" xfId="0" applyNumberFormat="1" applyBorder="1"/>
    <xf numFmtId="0" fontId="37" fillId="0" borderId="30" xfId="0" applyFont="1" applyBorder="1"/>
    <xf numFmtId="2" fontId="0" fillId="0" borderId="31" xfId="0" applyNumberFormat="1" applyBorder="1"/>
    <xf numFmtId="43" fontId="0" fillId="0" borderId="28" xfId="2" applyFont="1" applyBorder="1"/>
    <xf numFmtId="170" fontId="0" fillId="0" borderId="28" xfId="0" applyNumberFormat="1" applyBorder="1"/>
    <xf numFmtId="0" fontId="37" fillId="0" borderId="27" xfId="0" applyFont="1" applyFill="1" applyBorder="1"/>
    <xf numFmtId="9" fontId="0" fillId="0" borderId="28" xfId="0" applyNumberFormat="1" applyFill="1" applyBorder="1"/>
    <xf numFmtId="0" fontId="0" fillId="0" borderId="30" xfId="0" applyFill="1" applyBorder="1"/>
    <xf numFmtId="0" fontId="0" fillId="0" borderId="25" xfId="0" applyBorder="1"/>
    <xf numFmtId="0" fontId="78" fillId="17" borderId="1" xfId="0" applyFont="1" applyFill="1" applyBorder="1" applyAlignment="1">
      <alignment horizontal="right" vertical="center"/>
    </xf>
    <xf numFmtId="0" fontId="40" fillId="17" borderId="8" xfId="0" applyFont="1" applyFill="1" applyBorder="1" applyAlignment="1">
      <alignment vertical="center"/>
    </xf>
    <xf numFmtId="0" fontId="40" fillId="17" borderId="0" xfId="0" applyFont="1" applyFill="1" applyBorder="1" applyAlignment="1">
      <alignment horizontal="center" vertical="center" wrapText="1"/>
    </xf>
    <xf numFmtId="0" fontId="40" fillId="17" borderId="54" xfId="0" applyFont="1" applyFill="1" applyBorder="1" applyAlignment="1">
      <alignment horizontal="center" vertical="center" wrapText="1"/>
    </xf>
    <xf numFmtId="0" fontId="40" fillId="17" borderId="26" xfId="0" applyFont="1" applyFill="1" applyBorder="1" applyAlignment="1">
      <alignment horizontal="center" vertical="center" wrapText="1"/>
    </xf>
    <xf numFmtId="0" fontId="37" fillId="16" borderId="32" xfId="0" applyFont="1" applyFill="1" applyBorder="1" applyAlignment="1">
      <alignment horizontal="justify" vertical="center" wrapText="1"/>
    </xf>
    <xf numFmtId="0" fontId="37" fillId="16" borderId="32" xfId="0" applyFont="1" applyFill="1" applyBorder="1" applyAlignment="1">
      <alignment horizontal="center" vertical="center" wrapText="1"/>
    </xf>
    <xf numFmtId="3" fontId="37" fillId="16" borderId="3" xfId="0" applyNumberFormat="1" applyFont="1" applyFill="1" applyBorder="1" applyAlignment="1">
      <alignment horizontal="center" vertical="center"/>
    </xf>
    <xf numFmtId="0" fontId="37" fillId="16" borderId="37" xfId="0" applyFont="1" applyFill="1" applyBorder="1" applyAlignment="1">
      <alignment horizontal="justify" vertical="center" wrapText="1"/>
    </xf>
    <xf numFmtId="3" fontId="37" fillId="16" borderId="3" xfId="0" applyNumberFormat="1" applyFont="1" applyFill="1" applyBorder="1" applyAlignment="1">
      <alignment horizontal="center" vertical="center" wrapText="1"/>
    </xf>
    <xf numFmtId="0" fontId="37" fillId="16" borderId="1" xfId="0" applyFont="1" applyFill="1" applyBorder="1" applyAlignment="1">
      <alignment horizontal="right"/>
    </xf>
    <xf numFmtId="43" fontId="0" fillId="16" borderId="1" xfId="0" applyNumberFormat="1" applyFill="1" applyBorder="1"/>
    <xf numFmtId="43" fontId="0" fillId="16" borderId="1" xfId="2" applyNumberFormat="1" applyFont="1" applyFill="1" applyBorder="1"/>
    <xf numFmtId="0" fontId="36" fillId="18" borderId="28" xfId="0" applyFont="1" applyFill="1" applyBorder="1"/>
    <xf numFmtId="0" fontId="36" fillId="18" borderId="29" xfId="0" applyFont="1" applyFill="1" applyBorder="1"/>
    <xf numFmtId="0" fontId="0" fillId="16" borderId="27" xfId="0" applyFill="1" applyBorder="1"/>
    <xf numFmtId="0" fontId="0" fillId="16" borderId="28" xfId="0" applyFill="1" applyBorder="1"/>
    <xf numFmtId="0" fontId="0" fillId="16" borderId="29" xfId="0" applyFill="1" applyBorder="1"/>
    <xf numFmtId="0" fontId="0" fillId="16" borderId="0" xfId="0" quotePrefix="1" applyFill="1" applyBorder="1"/>
    <xf numFmtId="0" fontId="0" fillId="16" borderId="30" xfId="0" applyFill="1" applyBorder="1" applyAlignment="1"/>
    <xf numFmtId="0" fontId="0" fillId="18" borderId="28" xfId="0" applyFill="1" applyBorder="1"/>
    <xf numFmtId="0" fontId="0" fillId="18" borderId="29" xfId="0" applyFill="1" applyBorder="1"/>
    <xf numFmtId="0" fontId="0" fillId="0" borderId="0" xfId="0" applyAlignment="1">
      <alignment vertical="center"/>
    </xf>
    <xf numFmtId="0" fontId="0" fillId="0" borderId="28" xfId="0" applyBorder="1" applyAlignment="1">
      <alignment horizontal="center" vertical="center"/>
    </xf>
    <xf numFmtId="165" fontId="0" fillId="0" borderId="0" xfId="5" applyFont="1" applyAlignment="1">
      <alignment vertical="center"/>
    </xf>
    <xf numFmtId="9" fontId="0" fillId="0" borderId="28" xfId="1" applyFont="1" applyBorder="1" applyAlignment="1">
      <alignment vertical="center"/>
    </xf>
    <xf numFmtId="0" fontId="37" fillId="0" borderId="28" xfId="0" applyFont="1" applyBorder="1" applyAlignment="1">
      <alignment vertical="center" wrapText="1"/>
    </xf>
    <xf numFmtId="0" fontId="0" fillId="0" borderId="0" xfId="0" applyBorder="1" applyAlignment="1">
      <alignment vertical="center" wrapText="1"/>
    </xf>
    <xf numFmtId="0" fontId="0" fillId="0" borderId="31" xfId="0" applyBorder="1" applyAlignment="1">
      <alignment vertical="center" wrapText="1"/>
    </xf>
    <xf numFmtId="0" fontId="0" fillId="0" borderId="28" xfId="0" applyBorder="1" applyAlignment="1">
      <alignment horizontal="center"/>
    </xf>
    <xf numFmtId="0" fontId="37" fillId="0" borderId="33" xfId="0" applyFont="1" applyBorder="1"/>
    <xf numFmtId="0" fontId="37" fillId="0" borderId="31" xfId="0" applyFont="1" applyBorder="1" applyAlignment="1">
      <alignment vertical="top" wrapText="1"/>
    </xf>
    <xf numFmtId="0" fontId="37" fillId="0" borderId="32" xfId="0" applyFont="1" applyBorder="1" applyAlignment="1">
      <alignment vertical="top" wrapText="1"/>
    </xf>
    <xf numFmtId="0" fontId="8" fillId="0" borderId="27" xfId="0" applyFont="1" applyFill="1" applyBorder="1"/>
    <xf numFmtId="0" fontId="0" fillId="0" borderId="28" xfId="0" applyFill="1" applyBorder="1" applyAlignment="1">
      <alignment wrapText="1"/>
    </xf>
    <xf numFmtId="0" fontId="41" fillId="0" borderId="27" xfId="0" applyFont="1" applyFill="1" applyBorder="1"/>
    <xf numFmtId="43" fontId="0" fillId="0" borderId="28" xfId="2" applyFont="1" applyFill="1" applyBorder="1"/>
    <xf numFmtId="0" fontId="37" fillId="0" borderId="28" xfId="0" applyFont="1" applyFill="1" applyBorder="1" applyAlignment="1">
      <alignment wrapText="1"/>
    </xf>
    <xf numFmtId="0" fontId="37" fillId="0" borderId="28" xfId="0" applyFont="1" applyFill="1" applyBorder="1" applyAlignment="1">
      <alignment horizontal="left" vertical="top" wrapText="1"/>
    </xf>
    <xf numFmtId="0" fontId="37" fillId="0" borderId="29" xfId="0" applyFont="1" applyFill="1" applyBorder="1" applyAlignment="1">
      <alignment horizontal="left" vertical="top" wrapText="1"/>
    </xf>
    <xf numFmtId="0" fontId="8" fillId="0" borderId="30" xfId="0" applyFont="1" applyFill="1" applyBorder="1"/>
    <xf numFmtId="0" fontId="37" fillId="0" borderId="31" xfId="0" applyFont="1" applyFill="1" applyBorder="1" applyAlignment="1">
      <alignment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41" fillId="0" borderId="27" xfId="0" applyFont="1" applyFill="1" applyBorder="1" applyAlignment="1">
      <alignment vertical="center"/>
    </xf>
    <xf numFmtId="9" fontId="0" fillId="0" borderId="28" xfId="1" applyFont="1" applyFill="1" applyBorder="1" applyAlignment="1">
      <alignment vertical="center"/>
    </xf>
    <xf numFmtId="0" fontId="37" fillId="0" borderId="28" xfId="0" applyFont="1" applyFill="1" applyBorder="1" applyAlignment="1">
      <alignment vertical="center" wrapText="1"/>
    </xf>
    <xf numFmtId="0" fontId="37" fillId="0" borderId="28" xfId="0" applyFont="1" applyFill="1" applyBorder="1" applyAlignment="1">
      <alignment horizontal="left" vertical="center" wrapText="1"/>
    </xf>
    <xf numFmtId="0" fontId="37" fillId="0" borderId="29" xfId="0" applyFont="1" applyFill="1" applyBorder="1" applyAlignment="1">
      <alignment horizontal="left" vertical="center" wrapText="1"/>
    </xf>
    <xf numFmtId="0" fontId="41" fillId="0" borderId="30" xfId="0" applyFont="1" applyFill="1" applyBorder="1"/>
    <xf numFmtId="43" fontId="0" fillId="0" borderId="31" xfId="2" applyFont="1" applyFill="1" applyBorder="1"/>
    <xf numFmtId="0" fontId="41" fillId="0" borderId="30" xfId="0" applyFont="1" applyFill="1" applyBorder="1" applyAlignment="1">
      <alignment vertical="center"/>
    </xf>
    <xf numFmtId="0" fontId="63" fillId="0" borderId="28" xfId="0" applyFont="1" applyFill="1" applyBorder="1" applyAlignment="1">
      <alignment horizontal="left" vertical="top" wrapText="1"/>
    </xf>
    <xf numFmtId="0" fontId="63" fillId="0" borderId="29" xfId="0" applyFont="1" applyFill="1" applyBorder="1" applyAlignment="1">
      <alignment horizontal="left" vertical="top" wrapText="1"/>
    </xf>
    <xf numFmtId="0" fontId="63" fillId="0" borderId="31" xfId="0" applyFont="1" applyFill="1" applyBorder="1" applyAlignment="1">
      <alignment horizontal="left" vertical="top" wrapText="1"/>
    </xf>
    <xf numFmtId="0" fontId="63" fillId="0" borderId="32" xfId="0" applyFont="1" applyFill="1" applyBorder="1" applyAlignment="1">
      <alignment horizontal="left" vertical="top" wrapText="1"/>
    </xf>
    <xf numFmtId="0" fontId="37" fillId="0" borderId="24" xfId="0" applyFont="1" applyFill="1" applyBorder="1"/>
    <xf numFmtId="43" fontId="0" fillId="0" borderId="25" xfId="2" applyFont="1" applyFill="1" applyBorder="1"/>
    <xf numFmtId="0" fontId="37" fillId="0" borderId="25" xfId="0" applyFont="1" applyFill="1" applyBorder="1" applyAlignment="1">
      <alignment horizontal="left" vertical="top" wrapText="1"/>
    </xf>
    <xf numFmtId="0" fontId="37" fillId="0" borderId="26" xfId="0" applyFont="1" applyFill="1" applyBorder="1" applyAlignment="1">
      <alignment horizontal="left" vertical="top" wrapText="1"/>
    </xf>
    <xf numFmtId="0" fontId="0" fillId="0" borderId="28" xfId="0" applyFill="1" applyBorder="1" applyAlignment="1">
      <alignment horizontal="center"/>
    </xf>
    <xf numFmtId="0" fontId="37" fillId="0" borderId="30" xfId="0" applyFont="1" applyFill="1" applyBorder="1"/>
    <xf numFmtId="0" fontId="37" fillId="0" borderId="0" xfId="0" applyFont="1" applyBorder="1" applyAlignment="1">
      <alignment horizontal="left" vertical="top" wrapText="1"/>
    </xf>
    <xf numFmtId="0" fontId="37" fillId="18" borderId="28" xfId="0" applyFont="1" applyFill="1" applyBorder="1"/>
    <xf numFmtId="0" fontId="0" fillId="0" borderId="1" xfId="0" applyBorder="1" applyAlignment="1">
      <alignment horizontal="right"/>
    </xf>
    <xf numFmtId="0" fontId="37" fillId="0" borderId="1" xfId="0" applyFont="1" applyBorder="1" applyAlignment="1">
      <alignment vertical="center" wrapText="1"/>
    </xf>
    <xf numFmtId="166" fontId="37" fillId="0" borderId="1" xfId="3" applyNumberFormat="1" applyFont="1" applyBorder="1" applyAlignment="1">
      <alignment vertical="center"/>
    </xf>
    <xf numFmtId="166" fontId="80" fillId="0" borderId="3" xfId="3" applyNumberFormat="1" applyFont="1" applyBorder="1" applyAlignment="1">
      <alignment vertical="center"/>
    </xf>
    <xf numFmtId="0" fontId="37" fillId="0" borderId="3" xfId="0" applyFont="1" applyBorder="1" applyAlignment="1">
      <alignment vertical="center"/>
    </xf>
    <xf numFmtId="0" fontId="37" fillId="0" borderId="1" xfId="0" applyFont="1" applyBorder="1" applyAlignment="1">
      <alignment vertical="center"/>
    </xf>
    <xf numFmtId="10" fontId="37" fillId="0" borderId="1" xfId="0" applyNumberFormat="1" applyFont="1" applyBorder="1" applyAlignment="1">
      <alignment vertical="center"/>
    </xf>
    <xf numFmtId="9" fontId="37" fillId="0" borderId="1" xfId="1" applyFont="1" applyBorder="1" applyAlignment="1">
      <alignment vertical="center"/>
    </xf>
    <xf numFmtId="3" fontId="37" fillId="0" borderId="1" xfId="0" applyNumberFormat="1" applyFont="1" applyBorder="1" applyAlignment="1">
      <alignment vertical="center"/>
    </xf>
    <xf numFmtId="166" fontId="37" fillId="0" borderId="3" xfId="3" applyNumberFormat="1" applyFont="1" applyBorder="1" applyAlignment="1">
      <alignment vertical="center"/>
    </xf>
    <xf numFmtId="170" fontId="37" fillId="0" borderId="1" xfId="2" applyNumberFormat="1" applyFont="1" applyBorder="1" applyAlignment="1"/>
    <xf numFmtId="0" fontId="37" fillId="0" borderId="1" xfId="0" applyFont="1" applyFill="1" applyBorder="1" applyAlignment="1">
      <alignment vertical="center" wrapText="1"/>
    </xf>
    <xf numFmtId="166" fontId="37" fillId="0" borderId="1" xfId="3" applyNumberFormat="1" applyFont="1" applyFill="1" applyBorder="1" applyAlignment="1">
      <alignment vertical="center"/>
    </xf>
    <xf numFmtId="166" fontId="80" fillId="0" borderId="3" xfId="3" applyNumberFormat="1" applyFont="1" applyFill="1" applyBorder="1" applyAlignment="1">
      <alignment vertical="center"/>
    </xf>
    <xf numFmtId="0" fontId="37" fillId="0" borderId="3" xfId="0" applyFont="1" applyFill="1" applyBorder="1" applyAlignment="1">
      <alignment vertical="center"/>
    </xf>
    <xf numFmtId="0" fontId="37" fillId="0" borderId="1" xfId="0" applyFont="1" applyFill="1" applyBorder="1" applyAlignment="1">
      <alignment vertical="center"/>
    </xf>
    <xf numFmtId="10" fontId="37" fillId="0" borderId="1" xfId="0" applyNumberFormat="1" applyFont="1" applyFill="1" applyBorder="1" applyAlignment="1">
      <alignment vertical="center"/>
    </xf>
    <xf numFmtId="9" fontId="37" fillId="0" borderId="1" xfId="1" applyFont="1" applyFill="1" applyBorder="1" applyAlignment="1">
      <alignment vertical="center"/>
    </xf>
    <xf numFmtId="3" fontId="37" fillId="0" borderId="1" xfId="0" applyNumberFormat="1" applyFont="1" applyFill="1" applyBorder="1" applyAlignment="1">
      <alignment vertical="center"/>
    </xf>
    <xf numFmtId="166" fontId="37" fillId="0" borderId="3" xfId="3" applyNumberFormat="1" applyFont="1" applyFill="1" applyBorder="1" applyAlignment="1">
      <alignment vertical="center"/>
    </xf>
    <xf numFmtId="9" fontId="0" fillId="16" borderId="0" xfId="1" applyFont="1" applyFill="1" applyBorder="1"/>
    <xf numFmtId="0" fontId="81" fillId="20" borderId="1" xfId="4" applyFont="1" applyFill="1" applyBorder="1" applyAlignment="1" applyProtection="1">
      <alignment vertical="center"/>
    </xf>
    <xf numFmtId="0" fontId="82" fillId="20" borderId="1" xfId="0" applyFont="1" applyFill="1" applyBorder="1" applyAlignment="1">
      <alignment vertical="center" wrapText="1"/>
    </xf>
    <xf numFmtId="0" fontId="81" fillId="24" borderId="1" xfId="4" applyFont="1" applyFill="1" applyBorder="1" applyAlignment="1" applyProtection="1">
      <alignment vertical="center" wrapText="1"/>
    </xf>
    <xf numFmtId="9" fontId="0" fillId="0" borderId="1" xfId="1" applyFont="1" applyBorder="1" applyAlignment="1">
      <alignment horizontal="center"/>
    </xf>
    <xf numFmtId="0" fontId="83" fillId="16" borderId="0" xfId="0" applyFont="1" applyFill="1" applyBorder="1"/>
    <xf numFmtId="0" fontId="54" fillId="0" borderId="0" xfId="0" applyFont="1"/>
    <xf numFmtId="5" fontId="0" fillId="0" borderId="0" xfId="0" applyNumberFormat="1"/>
    <xf numFmtId="0" fontId="0" fillId="0" borderId="6" xfId="0" applyBorder="1" applyAlignment="1">
      <alignment wrapText="1"/>
    </xf>
    <xf numFmtId="0" fontId="0" fillId="25" borderId="6" xfId="0" applyFill="1" applyBorder="1" applyAlignment="1">
      <alignment wrapText="1"/>
    </xf>
    <xf numFmtId="0" fontId="0" fillId="16" borderId="27" xfId="0" applyFill="1" applyBorder="1" applyAlignment="1">
      <alignment wrapText="1"/>
    </xf>
    <xf numFmtId="2" fontId="0" fillId="16" borderId="28" xfId="0" applyNumberFormat="1" applyFill="1" applyBorder="1"/>
    <xf numFmtId="0" fontId="0" fillId="16" borderId="33" xfId="0" applyFill="1" applyBorder="1" applyAlignment="1">
      <alignment wrapText="1"/>
    </xf>
    <xf numFmtId="2" fontId="0" fillId="16" borderId="0" xfId="0" applyNumberFormat="1" applyFill="1" applyBorder="1"/>
    <xf numFmtId="0" fontId="0" fillId="16" borderId="68" xfId="0" applyFill="1" applyBorder="1" applyAlignment="1">
      <alignment wrapText="1"/>
    </xf>
    <xf numFmtId="0" fontId="0" fillId="16" borderId="69" xfId="0" applyFill="1" applyBorder="1"/>
    <xf numFmtId="43" fontId="8" fillId="19" borderId="30" xfId="2" applyFont="1" applyFill="1" applyBorder="1"/>
    <xf numFmtId="43" fontId="8" fillId="19" borderId="32" xfId="2" applyFont="1" applyFill="1" applyBorder="1"/>
    <xf numFmtId="2" fontId="8" fillId="0" borderId="0" xfId="0" applyNumberFormat="1" applyFont="1"/>
    <xf numFmtId="170" fontId="84" fillId="0" borderId="0" xfId="2" applyNumberFormat="1" applyFont="1"/>
    <xf numFmtId="170" fontId="0" fillId="0" borderId="0" xfId="2" applyNumberFormat="1" applyFont="1"/>
    <xf numFmtId="0" fontId="86" fillId="18" borderId="70" xfId="0" applyFont="1" applyFill="1" applyBorder="1" applyAlignment="1">
      <alignment horizontal="center" vertical="center" wrapText="1"/>
    </xf>
    <xf numFmtId="0" fontId="86" fillId="18" borderId="71" xfId="0" applyFont="1" applyFill="1" applyBorder="1" applyAlignment="1">
      <alignment horizontal="center" vertical="center" wrapText="1"/>
    </xf>
    <xf numFmtId="0" fontId="87" fillId="2" borderId="72" xfId="0" applyFont="1" applyFill="1" applyBorder="1" applyAlignment="1">
      <alignment vertical="center" wrapText="1"/>
    </xf>
    <xf numFmtId="0" fontId="87" fillId="2" borderId="73" xfId="0" applyFont="1" applyFill="1" applyBorder="1" applyAlignment="1">
      <alignment horizontal="center" vertical="center" wrapText="1"/>
    </xf>
    <xf numFmtId="43" fontId="8" fillId="19" borderId="24" xfId="2" applyFont="1" applyFill="1" applyBorder="1"/>
    <xf numFmtId="43" fontId="8" fillId="19" borderId="25" xfId="2" applyFont="1" applyFill="1" applyBorder="1"/>
    <xf numFmtId="43" fontId="8" fillId="19" borderId="26" xfId="2" applyFont="1" applyFill="1" applyBorder="1"/>
    <xf numFmtId="7" fontId="0" fillId="0" borderId="0" xfId="0" applyNumberFormat="1"/>
    <xf numFmtId="0" fontId="87" fillId="2" borderId="74" xfId="0" applyFont="1" applyFill="1" applyBorder="1" applyAlignment="1">
      <alignment vertical="center" wrapText="1"/>
    </xf>
    <xf numFmtId="3" fontId="43" fillId="0" borderId="0" xfId="0" applyNumberFormat="1" applyFont="1" applyFill="1" applyBorder="1" applyAlignment="1">
      <alignment horizontal="center" vertical="center" wrapText="1"/>
    </xf>
    <xf numFmtId="174" fontId="0" fillId="0" borderId="0" xfId="0" applyNumberFormat="1"/>
    <xf numFmtId="0" fontId="8" fillId="19" borderId="24" xfId="0" applyFont="1" applyFill="1" applyBorder="1" applyAlignment="1">
      <alignment vertical="center"/>
    </xf>
    <xf numFmtId="0" fontId="8" fillId="19" borderId="25" xfId="0" applyFont="1" applyFill="1" applyBorder="1" applyAlignment="1">
      <alignment horizontal="center" vertical="center"/>
    </xf>
    <xf numFmtId="0" fontId="8" fillId="19" borderId="26" xfId="0" applyFont="1" applyFill="1" applyBorder="1" applyAlignment="1">
      <alignment horizontal="center" vertical="center"/>
    </xf>
    <xf numFmtId="0" fontId="8" fillId="16" borderId="0" xfId="0" applyFont="1" applyFill="1" applyBorder="1"/>
    <xf numFmtId="0" fontId="8" fillId="16" borderId="34" xfId="0" applyFont="1" applyFill="1" applyBorder="1"/>
    <xf numFmtId="0" fontId="0" fillId="15" borderId="0" xfId="0" applyFill="1"/>
    <xf numFmtId="0" fontId="8" fillId="15" borderId="0" xfId="0" applyFont="1" applyFill="1"/>
    <xf numFmtId="170" fontId="0" fillId="15" borderId="0" xfId="2" applyNumberFormat="1" applyFont="1" applyFill="1"/>
    <xf numFmtId="0" fontId="34" fillId="18" borderId="26" xfId="0" applyFont="1" applyFill="1" applyBorder="1"/>
    <xf numFmtId="0" fontId="0" fillId="25" borderId="0" xfId="0" applyFill="1" applyBorder="1" applyAlignment="1">
      <alignment horizontal="center" wrapText="1"/>
    </xf>
    <xf numFmtId="165" fontId="0" fillId="25" borderId="0" xfId="0" applyNumberFormat="1" applyFill="1" applyBorder="1" applyAlignment="1">
      <alignment horizontal="center" wrapText="1"/>
    </xf>
    <xf numFmtId="0" fontId="34" fillId="18" borderId="25" xfId="0" applyFont="1" applyFill="1" applyBorder="1" applyAlignment="1">
      <alignment horizontal="center"/>
    </xf>
    <xf numFmtId="169" fontId="8" fillId="16" borderId="29" xfId="0" applyNumberFormat="1" applyFont="1" applyFill="1" applyBorder="1"/>
    <xf numFmtId="0" fontId="0" fillId="25" borderId="33" xfId="0" applyFill="1" applyBorder="1"/>
    <xf numFmtId="0" fontId="0" fillId="25" borderId="0" xfId="0" applyFill="1" applyBorder="1" applyAlignment="1">
      <alignment wrapText="1"/>
    </xf>
    <xf numFmtId="0" fontId="0" fillId="25" borderId="34" xfId="0" applyFill="1" applyBorder="1"/>
    <xf numFmtId="169" fontId="0" fillId="16" borderId="0" xfId="1" applyNumberFormat="1" applyFont="1" applyFill="1" applyBorder="1"/>
    <xf numFmtId="9" fontId="8" fillId="16" borderId="34" xfId="0" applyNumberFormat="1" applyFont="1" applyFill="1" applyBorder="1"/>
    <xf numFmtId="9" fontId="0" fillId="25" borderId="30" xfId="1" applyFont="1" applyFill="1" applyBorder="1"/>
    <xf numFmtId="9" fontId="0" fillId="25" borderId="31" xfId="1" applyFont="1" applyFill="1" applyBorder="1"/>
    <xf numFmtId="9" fontId="0" fillId="25" borderId="32" xfId="1" applyFont="1" applyFill="1" applyBorder="1"/>
    <xf numFmtId="169" fontId="8" fillId="16" borderId="34" xfId="0" applyNumberFormat="1" applyFont="1" applyFill="1" applyBorder="1"/>
    <xf numFmtId="3" fontId="0" fillId="25" borderId="0" xfId="0" applyNumberFormat="1" applyFill="1" applyBorder="1"/>
    <xf numFmtId="0" fontId="0" fillId="25" borderId="0" xfId="0" applyFill="1" applyBorder="1"/>
    <xf numFmtId="9" fontId="0" fillId="0" borderId="0" xfId="1" applyFont="1"/>
    <xf numFmtId="0" fontId="0" fillId="25" borderId="30" xfId="0" applyFill="1" applyBorder="1"/>
    <xf numFmtId="0" fontId="0" fillId="25" borderId="31" xfId="0" applyFill="1" applyBorder="1"/>
    <xf numFmtId="0" fontId="0" fillId="25" borderId="32" xfId="0" applyFill="1" applyBorder="1"/>
    <xf numFmtId="0" fontId="85" fillId="18" borderId="75" xfId="0" applyFont="1" applyFill="1" applyBorder="1" applyAlignment="1">
      <alignment horizontal="center" vertical="center" wrapText="1"/>
    </xf>
    <xf numFmtId="0" fontId="87" fillId="0" borderId="77" xfId="0" applyFont="1" applyBorder="1" applyAlignment="1">
      <alignment vertical="center" wrapText="1"/>
    </xf>
    <xf numFmtId="0" fontId="87" fillId="0" borderId="77" xfId="0" applyFont="1" applyBorder="1" applyAlignment="1">
      <alignment horizontal="center" vertical="center" wrapText="1"/>
    </xf>
    <xf numFmtId="0" fontId="87" fillId="0" borderId="78" xfId="0" applyFont="1" applyBorder="1" applyAlignment="1">
      <alignment horizontal="center" vertical="center" wrapText="1"/>
    </xf>
    <xf numFmtId="2" fontId="0" fillId="15" borderId="0" xfId="0" applyNumberFormat="1" applyFill="1"/>
    <xf numFmtId="174" fontId="0" fillId="15" borderId="0" xfId="0" applyNumberFormat="1" applyFill="1"/>
    <xf numFmtId="2" fontId="8" fillId="15" borderId="0" xfId="0" applyNumberFormat="1" applyFont="1" applyFill="1"/>
    <xf numFmtId="170" fontId="84" fillId="15" borderId="0" xfId="2" applyNumberFormat="1" applyFont="1" applyFill="1"/>
    <xf numFmtId="5" fontId="0" fillId="15" borderId="0" xfId="0" applyNumberFormat="1" applyFill="1"/>
    <xf numFmtId="0" fontId="34" fillId="18" borderId="27" xfId="0" applyFont="1" applyFill="1" applyBorder="1"/>
    <xf numFmtId="2" fontId="8" fillId="16" borderId="28" xfId="0" applyNumberFormat="1" applyFont="1" applyFill="1" applyBorder="1"/>
    <xf numFmtId="170" fontId="84" fillId="16" borderId="28" xfId="2" applyNumberFormat="1" applyFont="1" applyFill="1" applyBorder="1"/>
    <xf numFmtId="5" fontId="0" fillId="16" borderId="28" xfId="0" applyNumberFormat="1" applyFill="1" applyBorder="1"/>
    <xf numFmtId="7" fontId="0" fillId="16" borderId="28" xfId="0" applyNumberFormat="1" applyFill="1" applyBorder="1"/>
    <xf numFmtId="0" fontId="8" fillId="16" borderId="31" xfId="0" applyFont="1" applyFill="1" applyBorder="1"/>
    <xf numFmtId="170" fontId="0" fillId="16" borderId="31" xfId="2" applyNumberFormat="1" applyFont="1" applyFill="1" applyBorder="1"/>
    <xf numFmtId="5" fontId="0" fillId="16" borderId="31" xfId="0" applyNumberFormat="1" applyFill="1" applyBorder="1"/>
    <xf numFmtId="43" fontId="0" fillId="12" borderId="54" xfId="2" applyFont="1" applyFill="1" applyBorder="1"/>
    <xf numFmtId="0" fontId="34" fillId="18" borderId="33" xfId="0" applyFont="1" applyFill="1" applyBorder="1"/>
    <xf numFmtId="43" fontId="0" fillId="12" borderId="37" xfId="2" applyFont="1" applyFill="1" applyBorder="1"/>
    <xf numFmtId="0" fontId="36" fillId="18" borderId="54" xfId="0" applyFont="1" applyFill="1" applyBorder="1"/>
    <xf numFmtId="170" fontId="36" fillId="18" borderId="25" xfId="2" applyNumberFormat="1" applyFont="1" applyFill="1" applyBorder="1"/>
    <xf numFmtId="9" fontId="8" fillId="21" borderId="54" xfId="0" applyNumberFormat="1" applyFont="1" applyFill="1" applyBorder="1"/>
    <xf numFmtId="0" fontId="8" fillId="21" borderId="25" xfId="0" applyFont="1" applyFill="1" applyBorder="1"/>
    <xf numFmtId="170" fontId="0" fillId="21" borderId="25" xfId="2" applyNumberFormat="1" applyFont="1" applyFill="1" applyBorder="1"/>
    <xf numFmtId="0" fontId="0" fillId="21" borderId="25" xfId="0" applyFill="1" applyBorder="1"/>
    <xf numFmtId="43" fontId="0" fillId="21" borderId="54" xfId="0" applyNumberFormat="1" applyFill="1" applyBorder="1"/>
    <xf numFmtId="0" fontId="0" fillId="21" borderId="54" xfId="0" applyFill="1" applyBorder="1"/>
    <xf numFmtId="170" fontId="84" fillId="21" borderId="25" xfId="2" applyNumberFormat="1" applyFont="1" applyFill="1" applyBorder="1"/>
    <xf numFmtId="5" fontId="0" fillId="21" borderId="25" xfId="0" applyNumberFormat="1" applyFill="1" applyBorder="1"/>
    <xf numFmtId="7" fontId="0" fillId="21" borderId="25" xfId="0" applyNumberFormat="1" applyFill="1" applyBorder="1"/>
    <xf numFmtId="0" fontId="34" fillId="18" borderId="0" xfId="0" applyFont="1" applyFill="1" applyBorder="1"/>
    <xf numFmtId="0" fontId="0" fillId="21" borderId="47" xfId="0" applyFill="1" applyBorder="1"/>
    <xf numFmtId="0" fontId="0" fillId="21" borderId="0" xfId="0" applyFont="1" applyFill="1" applyBorder="1"/>
    <xf numFmtId="170" fontId="0" fillId="21" borderId="0" xfId="2" applyNumberFormat="1" applyFont="1" applyFill="1" applyBorder="1"/>
    <xf numFmtId="0" fontId="0" fillId="21" borderId="55" xfId="0" applyFill="1" applyBorder="1"/>
    <xf numFmtId="0" fontId="0" fillId="21" borderId="28" xfId="0" applyFill="1" applyBorder="1"/>
    <xf numFmtId="0" fontId="8" fillId="21" borderId="28" xfId="0" applyFont="1" applyFill="1" applyBorder="1"/>
    <xf numFmtId="0" fontId="34" fillId="18" borderId="30" xfId="0" applyFont="1" applyFill="1" applyBorder="1"/>
    <xf numFmtId="0" fontId="0" fillId="21" borderId="37" xfId="0" applyFill="1" applyBorder="1"/>
    <xf numFmtId="0" fontId="0" fillId="21" borderId="31" xfId="0" applyFill="1" applyBorder="1"/>
    <xf numFmtId="0" fontId="8" fillId="21" borderId="31" xfId="0" applyFont="1" applyFill="1" applyBorder="1"/>
    <xf numFmtId="9" fontId="0" fillId="21" borderId="54" xfId="0" applyNumberFormat="1" applyFill="1" applyBorder="1"/>
    <xf numFmtId="0" fontId="34" fillId="0" borderId="0" xfId="0" applyFont="1" applyFill="1" applyBorder="1"/>
    <xf numFmtId="43" fontId="0" fillId="21" borderId="54" xfId="2" applyFont="1" applyFill="1" applyBorder="1"/>
    <xf numFmtId="0" fontId="34" fillId="26" borderId="24" xfId="0" applyFont="1" applyFill="1" applyBorder="1"/>
    <xf numFmtId="0" fontId="34" fillId="26" borderId="25" xfId="0" applyFont="1" applyFill="1" applyBorder="1"/>
    <xf numFmtId="0" fontId="34" fillId="26" borderId="26" xfId="0" applyFont="1" applyFill="1" applyBorder="1"/>
    <xf numFmtId="0" fontId="34" fillId="26" borderId="27" xfId="0" applyFont="1" applyFill="1" applyBorder="1"/>
    <xf numFmtId="0" fontId="34" fillId="26" borderId="33" xfId="0" applyFont="1" applyFill="1" applyBorder="1"/>
    <xf numFmtId="0" fontId="36" fillId="26" borderId="24" xfId="0" applyFont="1" applyFill="1" applyBorder="1"/>
    <xf numFmtId="0" fontId="36" fillId="26" borderId="25" xfId="0" applyFont="1" applyFill="1" applyBorder="1"/>
    <xf numFmtId="0" fontId="36" fillId="26" borderId="54" xfId="0" applyFont="1" applyFill="1" applyBorder="1"/>
    <xf numFmtId="170" fontId="36" fillId="26" borderId="25" xfId="2" applyNumberFormat="1" applyFont="1" applyFill="1" applyBorder="1"/>
    <xf numFmtId="0" fontId="36" fillId="26" borderId="26" xfId="0" applyFont="1" applyFill="1" applyBorder="1"/>
    <xf numFmtId="0" fontId="0" fillId="21" borderId="26" xfId="0" applyFill="1" applyBorder="1"/>
    <xf numFmtId="0" fontId="34" fillId="26" borderId="0" xfId="0" applyFont="1" applyFill="1" applyBorder="1"/>
    <xf numFmtId="0" fontId="0" fillId="21" borderId="34" xfId="0" applyFill="1" applyBorder="1"/>
    <xf numFmtId="0" fontId="0" fillId="21" borderId="29" xfId="0" applyFill="1" applyBorder="1"/>
    <xf numFmtId="0" fontId="34" fillId="26" borderId="30" xfId="0" applyFont="1" applyFill="1" applyBorder="1"/>
    <xf numFmtId="0" fontId="0" fillId="21" borderId="32" xfId="0" applyFill="1" applyBorder="1"/>
    <xf numFmtId="169" fontId="0" fillId="21" borderId="54" xfId="0" applyNumberFormat="1" applyFill="1" applyBorder="1"/>
    <xf numFmtId="43" fontId="8" fillId="21" borderId="54" xfId="2" applyFont="1" applyFill="1" applyBorder="1"/>
    <xf numFmtId="43" fontId="0" fillId="12" borderId="54" xfId="0" applyNumberFormat="1" applyFill="1" applyBorder="1"/>
    <xf numFmtId="0" fontId="34" fillId="18" borderId="32" xfId="0" applyFont="1" applyFill="1" applyBorder="1"/>
    <xf numFmtId="0" fontId="0" fillId="21" borderId="33" xfId="0" applyFont="1" applyFill="1" applyBorder="1"/>
    <xf numFmtId="9" fontId="0" fillId="21" borderId="34" xfId="0" applyNumberFormat="1" applyFont="1" applyFill="1" applyBorder="1"/>
    <xf numFmtId="0" fontId="0" fillId="21" borderId="33" xfId="0" applyFill="1" applyBorder="1"/>
    <xf numFmtId="0" fontId="0" fillId="21" borderId="30" xfId="0" applyFont="1" applyFill="1" applyBorder="1" applyAlignment="1">
      <alignment horizontal="left" vertical="center"/>
    </xf>
    <xf numFmtId="9" fontId="0" fillId="21" borderId="32" xfId="0" applyNumberFormat="1" applyFont="1" applyFill="1" applyBorder="1" applyAlignment="1">
      <alignment horizontal="left" vertical="center"/>
    </xf>
    <xf numFmtId="0" fontId="0" fillId="21" borderId="0" xfId="0" applyFill="1" applyBorder="1" applyAlignment="1">
      <alignment horizontal="left" vertical="center"/>
    </xf>
    <xf numFmtId="0" fontId="0" fillId="21" borderId="30" xfId="0" applyFill="1" applyBorder="1" applyAlignment="1">
      <alignment horizontal="left" vertical="center"/>
    </xf>
    <xf numFmtId="0" fontId="0" fillId="21" borderId="32" xfId="0" applyFill="1" applyBorder="1" applyAlignment="1">
      <alignment horizontal="left" vertical="center" wrapText="1"/>
    </xf>
    <xf numFmtId="0" fontId="0" fillId="21" borderId="0" xfId="0" applyFill="1" applyBorder="1" applyAlignment="1">
      <alignment horizontal="center" vertical="center"/>
    </xf>
    <xf numFmtId="0" fontId="0" fillId="21" borderId="30" xfId="0" applyFill="1" applyBorder="1" applyAlignment="1">
      <alignment horizontal="center" vertical="center"/>
    </xf>
    <xf numFmtId="0" fontId="0" fillId="21" borderId="32" xfId="0" applyFill="1" applyBorder="1" applyAlignment="1">
      <alignment horizontal="center" vertical="center" wrapText="1"/>
    </xf>
    <xf numFmtId="43" fontId="0" fillId="21" borderId="34" xfId="2" applyFont="1" applyFill="1" applyBorder="1"/>
    <xf numFmtId="9" fontId="0" fillId="21" borderId="34" xfId="0" applyNumberFormat="1" applyFill="1" applyBorder="1"/>
    <xf numFmtId="0" fontId="0" fillId="21" borderId="30" xfId="0" applyFont="1" applyFill="1" applyBorder="1" applyAlignment="1">
      <alignment vertical="center"/>
    </xf>
    <xf numFmtId="0" fontId="0" fillId="21" borderId="33" xfId="0" applyFill="1" applyBorder="1" applyAlignment="1">
      <alignment vertical="center"/>
    </xf>
    <xf numFmtId="0" fontId="0" fillId="21" borderId="34" xfId="0" applyFill="1" applyBorder="1" applyAlignment="1">
      <alignment vertical="center"/>
    </xf>
    <xf numFmtId="0" fontId="0" fillId="21" borderId="30" xfId="0" applyFont="1" applyFill="1" applyBorder="1" applyAlignment="1">
      <alignment vertical="center" wrapText="1"/>
    </xf>
    <xf numFmtId="43" fontId="0" fillId="21" borderId="32" xfId="2" quotePrefix="1" applyFont="1" applyFill="1" applyBorder="1" applyAlignment="1">
      <alignment vertical="center" wrapText="1"/>
    </xf>
    <xf numFmtId="0" fontId="0" fillId="21" borderId="33" xfId="0" applyFill="1" applyBorder="1" applyAlignment="1">
      <alignment horizontal="left"/>
    </xf>
    <xf numFmtId="9" fontId="0" fillId="21" borderId="34" xfId="0" applyNumberFormat="1" applyFill="1" applyBorder="1" applyAlignment="1">
      <alignment horizontal="left"/>
    </xf>
    <xf numFmtId="10" fontId="0" fillId="21" borderId="32" xfId="0" applyNumberFormat="1" applyFill="1" applyBorder="1" applyAlignment="1">
      <alignment horizontal="left" vertical="center" wrapText="1"/>
    </xf>
    <xf numFmtId="0" fontId="0" fillId="21" borderId="34" xfId="0" applyFill="1" applyBorder="1" applyAlignment="1">
      <alignment horizontal="right"/>
    </xf>
    <xf numFmtId="0" fontId="0" fillId="21" borderId="30" xfId="0" applyFill="1" applyBorder="1"/>
    <xf numFmtId="0" fontId="0" fillId="21" borderId="28" xfId="0" applyFill="1" applyBorder="1" applyAlignment="1">
      <alignment horizontal="center" vertical="center"/>
    </xf>
    <xf numFmtId="0" fontId="0" fillId="21" borderId="28" xfId="0" applyFill="1" applyBorder="1" applyAlignment="1">
      <alignment horizontal="center" vertical="center" wrapText="1"/>
    </xf>
    <xf numFmtId="0" fontId="0" fillId="21" borderId="34" xfId="0" applyFill="1" applyBorder="1" applyAlignment="1">
      <alignment horizontal="right" vertical="center" wrapText="1"/>
    </xf>
    <xf numFmtId="0" fontId="0" fillId="21" borderId="30" xfId="0" applyFill="1" applyBorder="1" applyAlignment="1">
      <alignment vertical="center"/>
    </xf>
    <xf numFmtId="9" fontId="0" fillId="21" borderId="32" xfId="0" applyNumberFormat="1" applyFill="1" applyBorder="1" applyAlignment="1">
      <alignment vertical="center"/>
    </xf>
    <xf numFmtId="0" fontId="0" fillId="21" borderId="33" xfId="0" applyFill="1" applyBorder="1" applyAlignment="1">
      <alignment wrapText="1"/>
    </xf>
    <xf numFmtId="0" fontId="0" fillId="21" borderId="32" xfId="0" applyFill="1" applyBorder="1" applyAlignment="1">
      <alignment horizontal="right" vertical="center" wrapText="1"/>
    </xf>
    <xf numFmtId="0" fontId="0" fillId="21" borderId="30" xfId="0" applyFill="1" applyBorder="1" applyAlignment="1">
      <alignment wrapText="1"/>
    </xf>
    <xf numFmtId="0" fontId="89" fillId="27" borderId="79" xfId="0" applyFont="1" applyFill="1" applyBorder="1" applyAlignment="1">
      <alignment horizontal="center" vertical="center" wrapText="1"/>
    </xf>
    <xf numFmtId="0" fontId="89" fillId="27" borderId="80" xfId="0" applyFont="1" applyFill="1" applyBorder="1" applyAlignment="1">
      <alignment vertical="center" wrapText="1"/>
    </xf>
    <xf numFmtId="0" fontId="87" fillId="21" borderId="81" xfId="0" applyFont="1" applyFill="1" applyBorder="1" applyAlignment="1">
      <alignment vertical="center" wrapText="1"/>
    </xf>
    <xf numFmtId="0" fontId="87" fillId="21" borderId="82" xfId="0" applyFont="1" applyFill="1" applyBorder="1" applyAlignment="1">
      <alignment horizontal="center" vertical="center" wrapText="1"/>
    </xf>
    <xf numFmtId="0" fontId="87" fillId="21" borderId="72" xfId="0" applyFont="1" applyFill="1" applyBorder="1" applyAlignment="1">
      <alignment vertical="center" wrapText="1"/>
    </xf>
    <xf numFmtId="0" fontId="87" fillId="21" borderId="77" xfId="0" applyFont="1" applyFill="1" applyBorder="1" applyAlignment="1">
      <alignment horizontal="center" vertical="center" wrapText="1"/>
    </xf>
    <xf numFmtId="0" fontId="8" fillId="21" borderId="33" xfId="0" applyFont="1" applyFill="1" applyBorder="1"/>
    <xf numFmtId="9" fontId="0" fillId="21" borderId="32" xfId="0" applyNumberFormat="1" applyFill="1" applyBorder="1"/>
    <xf numFmtId="0" fontId="0" fillId="16" borderId="24" xfId="0" applyFill="1" applyBorder="1" applyAlignment="1">
      <alignment horizontal="center"/>
    </xf>
    <xf numFmtId="0" fontId="0" fillId="16" borderId="26" xfId="0" applyFill="1" applyBorder="1" applyAlignment="1">
      <alignment horizontal="center"/>
    </xf>
    <xf numFmtId="0" fontId="41" fillId="16" borderId="1" xfId="0" applyFont="1" applyFill="1" applyBorder="1" applyAlignment="1">
      <alignment horizontal="center"/>
    </xf>
    <xf numFmtId="165" fontId="0" fillId="16" borderId="1" xfId="0" applyNumberFormat="1" applyFill="1" applyBorder="1"/>
    <xf numFmtId="0" fontId="37" fillId="16" borderId="33" xfId="0" applyFont="1" applyFill="1" applyBorder="1" applyAlignment="1"/>
    <xf numFmtId="0" fontId="37" fillId="16" borderId="0" xfId="0" applyFont="1" applyFill="1" applyBorder="1" applyAlignment="1"/>
    <xf numFmtId="0" fontId="36" fillId="0" borderId="0" xfId="0" applyFont="1" applyFill="1" applyBorder="1" applyAlignment="1">
      <alignment vertical="center"/>
    </xf>
    <xf numFmtId="0" fontId="93" fillId="16" borderId="27" xfId="0" applyFont="1" applyFill="1" applyBorder="1"/>
    <xf numFmtId="9" fontId="43" fillId="16" borderId="28" xfId="1" applyFont="1" applyFill="1" applyBorder="1" applyAlignment="1">
      <alignment horizontal="center"/>
    </xf>
    <xf numFmtId="0" fontId="43" fillId="16" borderId="28" xfId="0" applyFont="1" applyFill="1" applyBorder="1"/>
    <xf numFmtId="170" fontId="40" fillId="0" borderId="0" xfId="2" applyNumberFormat="1" applyFont="1" applyFill="1" applyBorder="1" applyAlignment="1">
      <alignment horizontal="center" vertical="center" wrapText="1"/>
    </xf>
    <xf numFmtId="0" fontId="93" fillId="16" borderId="30" xfId="0" applyFont="1" applyFill="1" applyBorder="1"/>
    <xf numFmtId="0" fontId="43" fillId="16" borderId="31" xfId="0" applyFont="1" applyFill="1" applyBorder="1" applyAlignment="1">
      <alignment horizontal="center"/>
    </xf>
    <xf numFmtId="0" fontId="43" fillId="16" borderId="31" xfId="0" applyFont="1" applyFill="1" applyBorder="1"/>
    <xf numFmtId="170" fontId="0" fillId="0" borderId="0" xfId="2" applyNumberFormat="1" applyFont="1" applyFill="1" applyBorder="1"/>
    <xf numFmtId="9" fontId="0" fillId="0" borderId="0" xfId="1" applyFont="1" applyFill="1" applyBorder="1"/>
    <xf numFmtId="43" fontId="43" fillId="16" borderId="28" xfId="2" applyNumberFormat="1" applyFont="1" applyFill="1" applyBorder="1" applyAlignment="1">
      <alignment horizontal="center"/>
    </xf>
    <xf numFmtId="0" fontId="37" fillId="16" borderId="28" xfId="0" applyFont="1" applyFill="1" applyBorder="1" applyAlignment="1">
      <alignment wrapText="1"/>
    </xf>
    <xf numFmtId="0" fontId="37" fillId="16" borderId="29" xfId="0" applyFont="1" applyFill="1" applyBorder="1" applyAlignment="1">
      <alignment wrapText="1"/>
    </xf>
    <xf numFmtId="1" fontId="43" fillId="16" borderId="28" xfId="0" applyNumberFormat="1" applyFont="1" applyFill="1" applyBorder="1" applyAlignment="1">
      <alignment horizontal="center"/>
    </xf>
    <xf numFmtId="0" fontId="43" fillId="16" borderId="0" xfId="0" applyFont="1" applyFill="1" applyBorder="1" applyAlignment="1">
      <alignment horizontal="center"/>
    </xf>
    <xf numFmtId="0" fontId="43" fillId="16" borderId="0" xfId="0" applyFont="1" applyFill="1" applyBorder="1"/>
    <xf numFmtId="0" fontId="43" fillId="16" borderId="28" xfId="0" applyFont="1" applyFill="1" applyBorder="1" applyAlignment="1">
      <alignment horizontal="center"/>
    </xf>
    <xf numFmtId="2" fontId="43" fillId="16" borderId="28" xfId="1" applyNumberFormat="1" applyFont="1" applyFill="1" applyBorder="1" applyAlignment="1">
      <alignment horizontal="center"/>
    </xf>
    <xf numFmtId="0" fontId="93" fillId="16" borderId="27" xfId="0" applyFont="1" applyFill="1" applyBorder="1" applyAlignment="1">
      <alignment horizontal="center"/>
    </xf>
    <xf numFmtId="0" fontId="93" fillId="16" borderId="33" xfId="0" applyFont="1" applyFill="1" applyBorder="1" applyAlignment="1">
      <alignment horizontal="center"/>
    </xf>
    <xf numFmtId="2" fontId="43" fillId="16" borderId="0" xfId="1" applyNumberFormat="1" applyFont="1" applyFill="1" applyBorder="1" applyAlignment="1">
      <alignment horizontal="center"/>
    </xf>
    <xf numFmtId="0" fontId="93" fillId="16" borderId="30" xfId="0" applyFont="1" applyFill="1" applyBorder="1" applyAlignment="1">
      <alignment horizontal="center"/>
    </xf>
    <xf numFmtId="2" fontId="43" fillId="16" borderId="31" xfId="1" applyNumberFormat="1" applyFont="1" applyFill="1" applyBorder="1" applyAlignment="1">
      <alignment horizontal="center"/>
    </xf>
    <xf numFmtId="0" fontId="93" fillId="16" borderId="24" xfId="0" applyFont="1" applyFill="1" applyBorder="1" applyAlignment="1">
      <alignment horizontal="center"/>
    </xf>
    <xf numFmtId="2" fontId="43" fillId="16" borderId="25" xfId="1" applyNumberFormat="1" applyFont="1" applyFill="1" applyBorder="1" applyAlignment="1">
      <alignment horizontal="center"/>
    </xf>
    <xf numFmtId="0" fontId="43" fillId="16" borderId="25" xfId="0" applyFont="1" applyFill="1" applyBorder="1"/>
    <xf numFmtId="0" fontId="0" fillId="16" borderId="25" xfId="0" applyFill="1" applyBorder="1"/>
    <xf numFmtId="0" fontId="0" fillId="16" borderId="26" xfId="0" applyFill="1" applyBorder="1"/>
    <xf numFmtId="0" fontId="43" fillId="16" borderId="25" xfId="0" applyFont="1" applyFill="1" applyBorder="1" applyAlignment="1">
      <alignment horizontal="center"/>
    </xf>
    <xf numFmtId="0" fontId="0" fillId="16" borderId="28" xfId="0" applyFill="1" applyBorder="1" applyAlignment="1">
      <alignment horizontal="center"/>
    </xf>
    <xf numFmtId="0" fontId="0" fillId="16" borderId="0" xfId="0" applyFill="1" applyBorder="1" applyAlignment="1">
      <alignment horizontal="center"/>
    </xf>
    <xf numFmtId="0" fontId="0" fillId="16" borderId="31" xfId="0" applyFill="1" applyBorder="1" applyAlignment="1">
      <alignment horizontal="center"/>
    </xf>
    <xf numFmtId="0" fontId="8" fillId="16" borderId="27" xfId="0" applyFont="1" applyFill="1" applyBorder="1" applyAlignment="1">
      <alignment horizontal="left" vertical="center"/>
    </xf>
    <xf numFmtId="0" fontId="8" fillId="16" borderId="30" xfId="0" applyFont="1" applyFill="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left"/>
    </xf>
    <xf numFmtId="0" fontId="34" fillId="18" borderId="27" xfId="0" applyFont="1" applyFill="1" applyBorder="1" applyAlignment="1">
      <alignment vertical="center"/>
    </xf>
    <xf numFmtId="0" fontId="36" fillId="18" borderId="28" xfId="0" applyFont="1" applyFill="1" applyBorder="1" applyAlignment="1">
      <alignment vertical="center"/>
    </xf>
    <xf numFmtId="0" fontId="36" fillId="18" borderId="29" xfId="0" applyFont="1" applyFill="1" applyBorder="1" applyAlignment="1">
      <alignment vertical="center"/>
    </xf>
    <xf numFmtId="0" fontId="44" fillId="24" borderId="1" xfId="0" applyFont="1" applyFill="1" applyBorder="1" applyAlignment="1">
      <alignment horizontal="center" vertical="center" wrapText="1"/>
    </xf>
    <xf numFmtId="166" fontId="0" fillId="16" borderId="1" xfId="3" applyNumberFormat="1" applyFont="1" applyFill="1" applyBorder="1"/>
    <xf numFmtId="170" fontId="0" fillId="16" borderId="1" xfId="2" applyNumberFormat="1" applyFont="1" applyFill="1" applyBorder="1"/>
    <xf numFmtId="0" fontId="8" fillId="16" borderId="33" xfId="0" applyFont="1" applyFill="1" applyBorder="1"/>
    <xf numFmtId="0" fontId="40" fillId="24" borderId="50" xfId="0" applyFont="1" applyFill="1" applyBorder="1" applyAlignment="1">
      <alignment horizontal="center" vertical="center" wrapText="1"/>
    </xf>
    <xf numFmtId="0" fontId="40" fillId="24" borderId="1" xfId="0" applyFont="1" applyFill="1" applyBorder="1" applyAlignment="1">
      <alignment horizontal="center" vertical="center" wrapText="1"/>
    </xf>
    <xf numFmtId="0" fontId="40" fillId="24" borderId="51" xfId="0" applyFont="1" applyFill="1" applyBorder="1" applyAlignment="1">
      <alignment horizontal="center" vertical="center" wrapText="1"/>
    </xf>
    <xf numFmtId="0" fontId="37" fillId="16" borderId="50" xfId="0" applyFont="1" applyFill="1" applyBorder="1" applyAlignment="1">
      <alignment vertical="center"/>
    </xf>
    <xf numFmtId="3" fontId="37" fillId="16" borderId="1" xfId="0" applyNumberFormat="1" applyFont="1" applyFill="1" applyBorder="1" applyAlignment="1">
      <alignment vertical="center"/>
    </xf>
    <xf numFmtId="0" fontId="37" fillId="16" borderId="1" xfId="0" applyFont="1" applyFill="1" applyBorder="1" applyAlignment="1">
      <alignment vertical="center"/>
    </xf>
    <xf numFmtId="0" fontId="37" fillId="16" borderId="51" xfId="0" applyFont="1" applyFill="1" applyBorder="1" applyAlignment="1">
      <alignment vertical="center" wrapText="1"/>
    </xf>
    <xf numFmtId="0" fontId="37" fillId="16" borderId="0" xfId="0" applyFont="1" applyFill="1" applyBorder="1" applyAlignment="1">
      <alignment vertical="center" wrapText="1"/>
    </xf>
    <xf numFmtId="0" fontId="37" fillId="16" borderId="50" xfId="0" applyFont="1" applyFill="1" applyBorder="1" applyAlignment="1">
      <alignment vertical="center" wrapText="1"/>
    </xf>
    <xf numFmtId="2" fontId="37" fillId="16" borderId="1" xfId="0" applyNumberFormat="1" applyFont="1" applyFill="1" applyBorder="1" applyAlignment="1">
      <alignment vertical="center" wrapText="1"/>
    </xf>
    <xf numFmtId="0" fontId="37" fillId="16" borderId="52" xfId="0" applyFont="1" applyFill="1" applyBorder="1" applyAlignment="1">
      <alignment vertical="center"/>
    </xf>
    <xf numFmtId="0" fontId="37" fillId="16" borderId="45" xfId="0" applyFont="1" applyFill="1" applyBorder="1" applyAlignment="1">
      <alignment vertical="center" wrapText="1"/>
    </xf>
    <xf numFmtId="9" fontId="0" fillId="0" borderId="31" xfId="0" applyNumberFormat="1" applyBorder="1"/>
    <xf numFmtId="0" fontId="0" fillId="16" borderId="33" xfId="0" applyFill="1" applyBorder="1" applyAlignment="1">
      <alignment horizontal="left" indent="2"/>
    </xf>
    <xf numFmtId="0" fontId="44" fillId="18" borderId="27" xfId="0" applyFont="1" applyFill="1" applyBorder="1"/>
    <xf numFmtId="0" fontId="34" fillId="18" borderId="28" xfId="0" applyFont="1" applyFill="1" applyBorder="1" applyAlignment="1">
      <alignment horizontal="center"/>
    </xf>
    <xf numFmtId="0" fontId="34" fillId="18" borderId="28" xfId="0" applyFont="1" applyFill="1" applyBorder="1"/>
    <xf numFmtId="0" fontId="37" fillId="16" borderId="27" xfId="0" applyFont="1" applyFill="1" applyBorder="1"/>
    <xf numFmtId="0" fontId="37" fillId="16" borderId="28" xfId="0" applyFont="1" applyFill="1" applyBorder="1"/>
    <xf numFmtId="0" fontId="37" fillId="16" borderId="31" xfId="0" applyFont="1" applyFill="1" applyBorder="1"/>
    <xf numFmtId="9" fontId="0" fillId="16" borderId="28" xfId="1" applyFont="1" applyFill="1" applyBorder="1"/>
    <xf numFmtId="0" fontId="37" fillId="16" borderId="24" xfId="0" applyFont="1" applyFill="1" applyBorder="1"/>
    <xf numFmtId="2" fontId="0" fillId="16" borderId="28" xfId="1" applyNumberFormat="1" applyFont="1" applyFill="1" applyBorder="1"/>
    <xf numFmtId="16" fontId="0" fillId="16" borderId="29" xfId="0" applyNumberFormat="1" applyFill="1" applyBorder="1"/>
    <xf numFmtId="2" fontId="0" fillId="16" borderId="25" xfId="1" applyNumberFormat="1" applyFont="1" applyFill="1" applyBorder="1"/>
    <xf numFmtId="0" fontId="37" fillId="16" borderId="25" xfId="0" applyFont="1" applyFill="1" applyBorder="1"/>
    <xf numFmtId="0" fontId="40" fillId="15" borderId="48" xfId="0" applyFont="1" applyFill="1" applyBorder="1" applyAlignment="1">
      <alignment horizontal="center" vertical="center" wrapText="1"/>
    </xf>
    <xf numFmtId="0" fontId="40" fillId="15" borderId="85" xfId="0" applyFont="1" applyFill="1" applyBorder="1" applyAlignment="1">
      <alignment horizontal="center" vertical="center" wrapText="1"/>
    </xf>
    <xf numFmtId="0" fontId="40" fillId="15" borderId="50" xfId="0" applyFont="1" applyFill="1" applyBorder="1" applyAlignment="1">
      <alignment horizontal="center" vertical="center" wrapText="1"/>
    </xf>
    <xf numFmtId="0" fontId="40" fillId="15" borderId="1" xfId="0" applyFont="1" applyFill="1" applyBorder="1" applyAlignment="1">
      <alignment horizontal="center" vertical="center" wrapText="1"/>
    </xf>
    <xf numFmtId="0" fontId="0" fillId="16" borderId="52" xfId="0" applyFill="1" applyBorder="1"/>
    <xf numFmtId="0" fontId="0" fillId="16" borderId="1" xfId="0" applyFill="1" applyBorder="1" applyAlignment="1">
      <alignment horizontal="center" wrapText="1"/>
    </xf>
    <xf numFmtId="0" fontId="8" fillId="0" borderId="0" xfId="0" applyFont="1" applyBorder="1"/>
    <xf numFmtId="170" fontId="0" fillId="16" borderId="1" xfId="0" applyNumberFormat="1" applyFill="1" applyBorder="1" applyAlignment="1">
      <alignment wrapText="1"/>
    </xf>
    <xf numFmtId="1" fontId="0" fillId="16" borderId="1" xfId="0" applyNumberFormat="1" applyFill="1" applyBorder="1" applyAlignment="1">
      <alignment wrapText="1"/>
    </xf>
    <xf numFmtId="175" fontId="0" fillId="16" borderId="1" xfId="0" applyNumberFormat="1" applyFill="1" applyBorder="1" applyAlignment="1">
      <alignment wrapText="1"/>
    </xf>
    <xf numFmtId="175" fontId="0" fillId="16" borderId="1" xfId="0" applyNumberFormat="1" applyFill="1" applyBorder="1" applyAlignment="1"/>
    <xf numFmtId="0" fontId="55" fillId="16" borderId="16" xfId="0" applyFont="1" applyFill="1" applyBorder="1"/>
    <xf numFmtId="0" fontId="55" fillId="16" borderId="6" xfId="0" applyFont="1" applyFill="1" applyBorder="1"/>
    <xf numFmtId="0" fontId="55" fillId="16" borderId="15" xfId="0" applyFont="1" applyFill="1" applyBorder="1"/>
    <xf numFmtId="0" fontId="0" fillId="16" borderId="24" xfId="0" applyFill="1" applyBorder="1"/>
    <xf numFmtId="0" fontId="0" fillId="16" borderId="28" xfId="0" applyFill="1" applyBorder="1" applyAlignment="1">
      <alignment horizontal="center" wrapText="1"/>
    </xf>
    <xf numFmtId="10" fontId="0" fillId="16" borderId="31" xfId="0" applyNumberFormat="1" applyFill="1" applyBorder="1"/>
    <xf numFmtId="0" fontId="0" fillId="16" borderId="48" xfId="0" applyFill="1" applyBorder="1"/>
    <xf numFmtId="0" fontId="59" fillId="16" borderId="85" xfId="3" applyNumberFormat="1" applyFont="1" applyFill="1" applyBorder="1"/>
    <xf numFmtId="0" fontId="40" fillId="17" borderId="50" xfId="0" applyFont="1" applyFill="1" applyBorder="1" applyAlignment="1">
      <alignment horizontal="center" vertical="center" wrapText="1"/>
    </xf>
    <xf numFmtId="0" fontId="40" fillId="17" borderId="51" xfId="0" applyFont="1" applyFill="1" applyBorder="1" applyAlignment="1">
      <alignment horizontal="center" vertical="center" wrapText="1"/>
    </xf>
    <xf numFmtId="0" fontId="0" fillId="16" borderId="50" xfId="0" applyFill="1" applyBorder="1" applyAlignment="1">
      <alignment horizontal="right"/>
    </xf>
    <xf numFmtId="0" fontId="0" fillId="16" borderId="51" xfId="0" applyFill="1" applyBorder="1"/>
    <xf numFmtId="0" fontId="0" fillId="16" borderId="45" xfId="0" applyFill="1" applyBorder="1" applyAlignment="1">
      <alignment wrapText="1"/>
    </xf>
    <xf numFmtId="9" fontId="0" fillId="4" borderId="1" xfId="0" applyNumberFormat="1" applyFill="1" applyBorder="1"/>
    <xf numFmtId="0" fontId="8" fillId="0" borderId="6" xfId="0" applyFont="1" applyBorder="1"/>
    <xf numFmtId="170" fontId="0" fillId="16" borderId="28" xfId="2" applyNumberFormat="1" applyFont="1" applyFill="1" applyBorder="1"/>
    <xf numFmtId="10" fontId="0" fillId="16" borderId="28" xfId="0" applyNumberFormat="1" applyFill="1" applyBorder="1"/>
    <xf numFmtId="3" fontId="35" fillId="16" borderId="31" xfId="0" applyNumberFormat="1" applyFont="1" applyFill="1" applyBorder="1"/>
    <xf numFmtId="0" fontId="35" fillId="16" borderId="25" xfId="0" applyFont="1" applyFill="1" applyBorder="1"/>
    <xf numFmtId="0" fontId="35" fillId="16" borderId="1" xfId="0" applyFont="1" applyFill="1" applyBorder="1"/>
    <xf numFmtId="177" fontId="0" fillId="0" borderId="0" xfId="0" applyNumberFormat="1" applyFill="1"/>
    <xf numFmtId="0" fontId="35" fillId="0" borderId="0" xfId="0" applyFont="1" applyFill="1"/>
    <xf numFmtId="0" fontId="0" fillId="0" borderId="13" xfId="0" applyBorder="1"/>
    <xf numFmtId="0" fontId="37" fillId="0" borderId="24" xfId="0" applyFont="1" applyBorder="1"/>
    <xf numFmtId="0" fontId="37" fillId="0" borderId="25" xfId="0" applyFont="1" applyBorder="1"/>
    <xf numFmtId="0" fontId="100" fillId="0" borderId="0" xfId="0" applyFont="1" applyFill="1" applyBorder="1" applyProtection="1">
      <protection locked="0"/>
    </xf>
    <xf numFmtId="0" fontId="101" fillId="17" borderId="1" xfId="0" applyFont="1" applyFill="1" applyBorder="1" applyAlignment="1">
      <alignment horizontal="center" vertical="center" wrapText="1"/>
    </xf>
    <xf numFmtId="9" fontId="37" fillId="16" borderId="1" xfId="0" applyNumberFormat="1" applyFont="1" applyFill="1" applyBorder="1" applyAlignment="1">
      <alignment vertical="center" wrapText="1"/>
    </xf>
    <xf numFmtId="6" fontId="37" fillId="16" borderId="1" xfId="0" applyNumberFormat="1" applyFont="1" applyFill="1" applyBorder="1" applyAlignment="1">
      <alignment vertical="center" wrapText="1"/>
    </xf>
    <xf numFmtId="9" fontId="37" fillId="16" borderId="1" xfId="0" applyNumberFormat="1" applyFont="1" applyFill="1" applyBorder="1" applyAlignment="1">
      <alignment horizontal="right" vertical="center" wrapText="1"/>
    </xf>
    <xf numFmtId="10" fontId="37" fillId="16" borderId="1" xfId="0" applyNumberFormat="1" applyFont="1" applyFill="1" applyBorder="1" applyAlignment="1">
      <alignment vertical="center" wrapText="1"/>
    </xf>
    <xf numFmtId="0" fontId="40" fillId="17" borderId="50" xfId="0" applyFont="1" applyFill="1" applyBorder="1" applyAlignment="1">
      <alignment horizontal="left" vertical="center"/>
    </xf>
    <xf numFmtId="0" fontId="0" fillId="16" borderId="1" xfId="0" applyFill="1" applyBorder="1" applyAlignment="1">
      <alignment horizontal="center" vertical="center"/>
    </xf>
    <xf numFmtId="0" fontId="37" fillId="16" borderId="52" xfId="0" applyFont="1" applyFill="1" applyBorder="1" applyAlignment="1">
      <alignment vertical="center" wrapText="1"/>
    </xf>
    <xf numFmtId="9" fontId="37" fillId="16" borderId="45" xfId="0" applyNumberFormat="1" applyFont="1" applyFill="1" applyBorder="1" applyAlignment="1">
      <alignment horizontal="center" vertical="center" wrapText="1"/>
    </xf>
    <xf numFmtId="0" fontId="0" fillId="16" borderId="45" xfId="0" applyFill="1" applyBorder="1" applyAlignment="1">
      <alignment horizontal="center" vertical="center"/>
    </xf>
    <xf numFmtId="0" fontId="37" fillId="16" borderId="1" xfId="0" applyFont="1" applyFill="1" applyBorder="1" applyAlignment="1">
      <alignment horizontal="left"/>
    </xf>
    <xf numFmtId="0" fontId="37" fillId="16" borderId="1" xfId="0" applyFont="1" applyFill="1" applyBorder="1" applyAlignment="1">
      <alignment horizontal="left" wrapText="1"/>
    </xf>
    <xf numFmtId="0" fontId="0" fillId="16" borderId="1" xfId="0" applyFill="1" applyBorder="1" applyAlignment="1">
      <alignment horizontal="left"/>
    </xf>
    <xf numFmtId="0" fontId="37" fillId="0" borderId="0" xfId="0" applyFont="1" applyFill="1" applyBorder="1" applyAlignment="1">
      <alignment horizontal="left"/>
    </xf>
    <xf numFmtId="0" fontId="102" fillId="0" borderId="0" xfId="0" applyFont="1"/>
    <xf numFmtId="0" fontId="37" fillId="0" borderId="27" xfId="0" applyFont="1" applyBorder="1" applyAlignment="1">
      <alignment horizontal="left"/>
    </xf>
    <xf numFmtId="0" fontId="37" fillId="0" borderId="27" xfId="0" applyFont="1" applyBorder="1" applyAlignment="1">
      <alignment horizontal="left" wrapText="1"/>
    </xf>
    <xf numFmtId="0" fontId="0" fillId="0" borderId="24" xfId="0" applyBorder="1" applyAlignment="1">
      <alignment horizontal="left"/>
    </xf>
    <xf numFmtId="0" fontId="37" fillId="0" borderId="27" xfId="0" applyFont="1" applyFill="1" applyBorder="1" applyAlignment="1">
      <alignment horizontal="left"/>
    </xf>
    <xf numFmtId="0" fontId="0" fillId="0" borderId="31" xfId="0" applyBorder="1" applyAlignment="1">
      <alignment horizontal="left"/>
    </xf>
    <xf numFmtId="0" fontId="0" fillId="0" borderId="31" xfId="0" applyBorder="1" applyAlignment="1">
      <alignment horizontal="left" wrapText="1"/>
    </xf>
    <xf numFmtId="0" fontId="0" fillId="0" borderId="32" xfId="0" applyBorder="1" applyAlignment="1">
      <alignment horizontal="left" wrapText="1"/>
    </xf>
    <xf numFmtId="0" fontId="0" fillId="0" borderId="28" xfId="0" applyBorder="1" applyAlignment="1">
      <alignment horizontal="left"/>
    </xf>
    <xf numFmtId="0" fontId="0" fillId="0" borderId="28" xfId="0" applyBorder="1" applyAlignment="1">
      <alignment horizontal="left" wrapText="1"/>
    </xf>
    <xf numFmtId="0" fontId="0" fillId="0" borderId="29" xfId="0" applyBorder="1" applyAlignment="1">
      <alignment horizontal="left" wrapText="1"/>
    </xf>
    <xf numFmtId="0" fontId="0" fillId="0" borderId="0" xfId="0" applyBorder="1" applyAlignment="1">
      <alignment horizontal="left" wrapText="1"/>
    </xf>
    <xf numFmtId="0" fontId="0" fillId="18" borderId="28" xfId="0" applyFill="1" applyBorder="1" applyAlignment="1">
      <alignment horizontal="left" wrapText="1"/>
    </xf>
    <xf numFmtId="0" fontId="0" fillId="16" borderId="1" xfId="0" applyNumberFormat="1" applyFill="1" applyBorder="1" applyAlignment="1">
      <alignment horizontal="left"/>
    </xf>
    <xf numFmtId="6" fontId="0" fillId="16" borderId="1" xfId="0" applyNumberFormat="1" applyFill="1" applyBorder="1"/>
    <xf numFmtId="6" fontId="0" fillId="4" borderId="1" xfId="0" applyNumberFormat="1" applyFill="1" applyBorder="1"/>
    <xf numFmtId="0" fontId="103" fillId="16" borderId="1" xfId="0" applyFont="1" applyFill="1" applyBorder="1"/>
    <xf numFmtId="0" fontId="36" fillId="20" borderId="8" xfId="0" applyFont="1" applyFill="1" applyBorder="1"/>
    <xf numFmtId="0" fontId="36" fillId="20" borderId="9" xfId="0" applyFont="1" applyFill="1" applyBorder="1"/>
    <xf numFmtId="0" fontId="104" fillId="20" borderId="9" xfId="0" applyFont="1" applyFill="1" applyBorder="1"/>
    <xf numFmtId="0" fontId="36" fillId="20" borderId="87" xfId="0" applyFont="1" applyFill="1" applyBorder="1"/>
    <xf numFmtId="0" fontId="0" fillId="16" borderId="13" xfId="0" applyFill="1" applyBorder="1"/>
    <xf numFmtId="0" fontId="0" fillId="16" borderId="0" xfId="0" applyFill="1" applyBorder="1" applyAlignment="1">
      <alignment horizontal="right"/>
    </xf>
    <xf numFmtId="3" fontId="0" fillId="16" borderId="0" xfId="0" applyNumberFormat="1" applyFill="1" applyBorder="1" applyAlignment="1">
      <alignment horizontal="center"/>
    </xf>
    <xf numFmtId="0" fontId="0" fillId="16" borderId="7" xfId="0" applyFill="1" applyBorder="1"/>
    <xf numFmtId="0" fontId="0" fillId="16" borderId="6" xfId="0" applyFill="1" applyBorder="1" applyAlignment="1">
      <alignment horizontal="right"/>
    </xf>
    <xf numFmtId="3" fontId="0" fillId="16" borderId="6" xfId="0" applyNumberFormat="1" applyFill="1" applyBorder="1" applyAlignment="1">
      <alignment horizontal="center"/>
    </xf>
    <xf numFmtId="10" fontId="37" fillId="16" borderId="1" xfId="1" applyNumberFormat="1" applyFont="1" applyFill="1" applyBorder="1" applyAlignment="1">
      <alignment vertical="center" wrapText="1"/>
    </xf>
    <xf numFmtId="9" fontId="0" fillId="16" borderId="0" xfId="1" applyFont="1" applyFill="1" applyBorder="1" applyAlignment="1">
      <alignment horizontal="center"/>
    </xf>
    <xf numFmtId="0" fontId="64" fillId="16" borderId="37" xfId="0" applyFont="1" applyFill="1" applyBorder="1" applyAlignment="1">
      <alignment vertical="center"/>
    </xf>
    <xf numFmtId="3" fontId="64" fillId="16" borderId="32" xfId="0" applyNumberFormat="1" applyFont="1" applyFill="1" applyBorder="1" applyAlignment="1">
      <alignment horizontal="center" vertical="center"/>
    </xf>
    <xf numFmtId="0" fontId="8" fillId="16" borderId="1" xfId="0" applyFont="1" applyFill="1" applyBorder="1" applyAlignment="1">
      <alignment wrapText="1"/>
    </xf>
    <xf numFmtId="0" fontId="0" fillId="0" borderId="27" xfId="0" applyFill="1" applyBorder="1"/>
    <xf numFmtId="0" fontId="34" fillId="0" borderId="31" xfId="0" applyFont="1" applyFill="1" applyBorder="1" applyAlignment="1">
      <alignment horizontal="left" vertical="center"/>
    </xf>
    <xf numFmtId="0" fontId="40" fillId="0" borderId="28" xfId="0" applyFont="1" applyFill="1" applyBorder="1" applyAlignment="1">
      <alignment horizontal="center" vertical="center"/>
    </xf>
    <xf numFmtId="0" fontId="34" fillId="0" borderId="28" xfId="0" applyFont="1" applyFill="1" applyBorder="1" applyAlignment="1">
      <alignment horizontal="left" vertical="center"/>
    </xf>
    <xf numFmtId="0" fontId="40" fillId="0" borderId="0" xfId="0" applyFont="1" applyFill="1" applyBorder="1" applyAlignment="1">
      <alignment horizontal="center" vertical="center"/>
    </xf>
    <xf numFmtId="0" fontId="34" fillId="0" borderId="0" xfId="0" applyFont="1" applyFill="1" applyBorder="1" applyAlignment="1">
      <alignment horizontal="center"/>
    </xf>
    <xf numFmtId="0" fontId="40" fillId="0" borderId="31" xfId="0" applyFont="1" applyFill="1" applyBorder="1" applyAlignment="1">
      <alignment horizontal="center" vertical="center"/>
    </xf>
    <xf numFmtId="0" fontId="34" fillId="0" borderId="31" xfId="0" applyFont="1" applyFill="1" applyBorder="1" applyAlignment="1">
      <alignment horizontal="center"/>
    </xf>
    <xf numFmtId="0" fontId="37" fillId="0" borderId="28" xfId="0" applyFont="1" applyFill="1" applyBorder="1" applyAlignment="1">
      <alignment horizontal="center" vertical="center"/>
    </xf>
    <xf numFmtId="0" fontId="57" fillId="0" borderId="28" xfId="0" applyFont="1" applyFill="1" applyBorder="1" applyAlignment="1">
      <alignment horizontal="center" vertical="center"/>
    </xf>
    <xf numFmtId="0" fontId="34" fillId="0" borderId="28" xfId="0" applyFont="1" applyFill="1" applyBorder="1" applyAlignment="1">
      <alignment horizontal="center"/>
    </xf>
    <xf numFmtId="0" fontId="37" fillId="0" borderId="0" xfId="0" applyFont="1" applyFill="1" applyBorder="1" applyAlignment="1">
      <alignment horizontal="center" vertical="center"/>
    </xf>
    <xf numFmtId="8" fontId="0" fillId="0" borderId="0" xfId="0" applyNumberFormat="1" applyBorder="1"/>
    <xf numFmtId="0" fontId="0" fillId="0" borderId="0" xfId="0" applyFont="1" applyBorder="1"/>
    <xf numFmtId="0" fontId="0" fillId="0" borderId="0" xfId="0" applyFont="1" applyFill="1" applyBorder="1" applyAlignment="1">
      <alignment horizontal="center" vertical="center"/>
    </xf>
    <xf numFmtId="8" fontId="8" fillId="0" borderId="31" xfId="0" applyNumberFormat="1" applyFont="1" applyBorder="1"/>
    <xf numFmtId="0" fontId="0" fillId="0" borderId="31" xfId="0" applyFont="1" applyBorder="1"/>
    <xf numFmtId="0" fontId="0" fillId="0" borderId="31" xfId="0" applyFont="1" applyFill="1" applyBorder="1" applyAlignment="1">
      <alignment horizontal="center" vertical="center"/>
    </xf>
    <xf numFmtId="0" fontId="0" fillId="0" borderId="28" xfId="0" applyFont="1" applyBorder="1"/>
    <xf numFmtId="0" fontId="0" fillId="0" borderId="28" xfId="0" applyFont="1" applyFill="1" applyBorder="1" applyAlignment="1">
      <alignment horizontal="center" vertical="center"/>
    </xf>
    <xf numFmtId="0" fontId="0" fillId="0" borderId="31" xfId="0" applyFont="1" applyFill="1" applyBorder="1"/>
    <xf numFmtId="8" fontId="8" fillId="0" borderId="0" xfId="0" applyNumberFormat="1" applyFont="1" applyBorder="1"/>
    <xf numFmtId="0" fontId="0" fillId="18" borderId="25" xfId="0" applyFont="1" applyFill="1" applyBorder="1"/>
    <xf numFmtId="0" fontId="0" fillId="18" borderId="25" xfId="0" applyFont="1" applyFill="1" applyBorder="1" applyAlignment="1">
      <alignment horizontal="center" vertical="center"/>
    </xf>
    <xf numFmtId="0" fontId="34" fillId="16" borderId="0" xfId="0" applyFont="1" applyFill="1" applyBorder="1" applyAlignment="1">
      <alignment horizontal="center" vertical="center"/>
    </xf>
    <xf numFmtId="8" fontId="8" fillId="20" borderId="2" xfId="0" applyNumberFormat="1" applyFont="1" applyFill="1" applyBorder="1"/>
    <xf numFmtId="0" fontId="34" fillId="16" borderId="0" xfId="0" applyFont="1" applyFill="1" applyBorder="1" applyAlignment="1">
      <alignment horizontal="center"/>
    </xf>
    <xf numFmtId="0" fontId="0" fillId="20" borderId="10" xfId="0" applyFill="1" applyBorder="1"/>
    <xf numFmtId="0" fontId="34" fillId="20" borderId="5" xfId="0" applyFont="1" applyFill="1" applyBorder="1" applyAlignment="1">
      <alignment horizontal="center"/>
    </xf>
    <xf numFmtId="0" fontId="34" fillId="20" borderId="0" xfId="0" applyFont="1" applyFill="1" applyBorder="1" applyAlignment="1">
      <alignment horizontal="center" wrapText="1"/>
    </xf>
    <xf numFmtId="0" fontId="34" fillId="20" borderId="1" xfId="0" applyFont="1" applyFill="1" applyBorder="1" applyAlignment="1">
      <alignment horizontal="center"/>
    </xf>
    <xf numFmtId="0" fontId="34" fillId="20" borderId="3" xfId="0" applyFont="1" applyFill="1" applyBorder="1" applyAlignment="1">
      <alignment vertical="center"/>
    </xf>
    <xf numFmtId="0" fontId="34" fillId="20" borderId="4" xfId="0" applyFont="1" applyFill="1" applyBorder="1" applyAlignment="1">
      <alignment vertical="center"/>
    </xf>
    <xf numFmtId="0" fontId="34" fillId="20" borderId="5" xfId="0" applyFont="1" applyFill="1" applyBorder="1" applyAlignment="1">
      <alignment vertical="center"/>
    </xf>
    <xf numFmtId="0" fontId="105" fillId="16" borderId="0" xfId="0" applyFont="1" applyFill="1" applyBorder="1" applyAlignment="1">
      <alignment horizontal="center"/>
    </xf>
    <xf numFmtId="0" fontId="105" fillId="16" borderId="1" xfId="0" applyFont="1" applyFill="1" applyBorder="1" applyAlignment="1">
      <alignment horizontal="center"/>
    </xf>
    <xf numFmtId="1" fontId="57" fillId="16" borderId="1" xfId="0" applyNumberFormat="1" applyFont="1" applyFill="1" applyBorder="1" applyAlignment="1">
      <alignment horizontal="center" vertical="center"/>
    </xf>
    <xf numFmtId="0" fontId="0" fillId="20" borderId="16" xfId="0" applyFill="1" applyBorder="1"/>
    <xf numFmtId="3" fontId="33" fillId="16" borderId="0" xfId="2" applyNumberFormat="1" applyFont="1" applyFill="1" applyBorder="1" applyAlignment="1">
      <alignment horizontal="center"/>
    </xf>
    <xf numFmtId="3" fontId="33" fillId="16" borderId="1" xfId="2" applyNumberFormat="1" applyFont="1" applyFill="1" applyBorder="1" applyAlignment="1">
      <alignment horizontal="center"/>
    </xf>
    <xf numFmtId="0" fontId="106" fillId="16" borderId="1" xfId="0" applyFont="1" applyFill="1" applyBorder="1" applyAlignment="1">
      <alignment horizontal="center" vertical="center"/>
    </xf>
    <xf numFmtId="0" fontId="0" fillId="16" borderId="1" xfId="0" applyFont="1" applyFill="1" applyBorder="1" applyAlignment="1">
      <alignment horizontal="center" vertical="center"/>
    </xf>
    <xf numFmtId="0" fontId="38" fillId="16" borderId="1" xfId="0" applyFont="1" applyFill="1" applyBorder="1" applyAlignment="1">
      <alignment horizontal="center" vertical="center"/>
    </xf>
    <xf numFmtId="0" fontId="52" fillId="16" borderId="0" xfId="0" applyFont="1" applyFill="1" applyBorder="1" applyAlignment="1">
      <alignment horizontal="center" vertical="center"/>
    </xf>
    <xf numFmtId="0" fontId="52" fillId="16" borderId="0" xfId="0" applyFont="1" applyFill="1" applyBorder="1" applyAlignment="1">
      <alignment horizontal="center" vertical="center" wrapText="1"/>
    </xf>
    <xf numFmtId="0" fontId="34" fillId="16" borderId="1" xfId="0" applyFont="1" applyFill="1" applyBorder="1" applyAlignment="1">
      <alignment horizontal="center"/>
    </xf>
    <xf numFmtId="0" fontId="105" fillId="20" borderId="5" xfId="0" applyFont="1" applyFill="1" applyBorder="1" applyAlignment="1">
      <alignment horizontal="center"/>
    </xf>
    <xf numFmtId="0" fontId="105" fillId="20" borderId="1" xfId="0" applyFont="1" applyFill="1" applyBorder="1" applyAlignment="1">
      <alignment horizontal="center"/>
    </xf>
    <xf numFmtId="0" fontId="34" fillId="20" borderId="7" xfId="0" applyFont="1" applyFill="1" applyBorder="1" applyAlignment="1">
      <alignment vertical="center"/>
    </xf>
    <xf numFmtId="0" fontId="34" fillId="20" borderId="6" xfId="0" applyFont="1" applyFill="1" applyBorder="1" applyAlignment="1">
      <alignment vertical="center"/>
    </xf>
    <xf numFmtId="0" fontId="34" fillId="20" borderId="1" xfId="0" applyFont="1" applyFill="1" applyBorder="1" applyAlignment="1">
      <alignment horizontal="center" vertical="center"/>
    </xf>
    <xf numFmtId="0" fontId="37" fillId="16" borderId="37" xfId="0" applyFont="1" applyFill="1" applyBorder="1" applyAlignment="1">
      <alignment horizontal="left" vertical="center" wrapText="1"/>
    </xf>
    <xf numFmtId="9" fontId="37" fillId="16" borderId="32" xfId="0" applyNumberFormat="1" applyFont="1" applyFill="1" applyBorder="1" applyAlignment="1">
      <alignment horizontal="center" vertical="center" wrapText="1"/>
    </xf>
    <xf numFmtId="0" fontId="0" fillId="16" borderId="54" xfId="0" applyFill="1" applyBorder="1"/>
    <xf numFmtId="9" fontId="37" fillId="16" borderId="32" xfId="1" applyFont="1" applyFill="1" applyBorder="1" applyAlignment="1">
      <alignment horizontal="center" vertical="center" wrapText="1"/>
    </xf>
    <xf numFmtId="0" fontId="37" fillId="16" borderId="54" xfId="0" applyFont="1" applyFill="1" applyBorder="1" applyAlignment="1">
      <alignment horizontal="left" vertical="center" wrapText="1"/>
    </xf>
    <xf numFmtId="0" fontId="40" fillId="23" borderId="24" xfId="0" applyFont="1" applyFill="1" applyBorder="1" applyAlignment="1">
      <alignment horizontal="center" vertical="center" wrapText="1"/>
    </xf>
    <xf numFmtId="0" fontId="40" fillId="23" borderId="26" xfId="0" applyFont="1" applyFill="1" applyBorder="1" applyAlignment="1">
      <alignment horizontal="center" vertical="center" wrapText="1"/>
    </xf>
    <xf numFmtId="0" fontId="0" fillId="16" borderId="0" xfId="0" applyFill="1" applyBorder="1" applyAlignment="1">
      <alignment vertical="center" wrapText="1"/>
    </xf>
    <xf numFmtId="0" fontId="57" fillId="16" borderId="37" xfId="0" applyFont="1" applyFill="1" applyBorder="1" applyAlignment="1">
      <alignment horizontal="center" vertical="center"/>
    </xf>
    <xf numFmtId="0" fontId="57" fillId="16" borderId="32" xfId="0" applyFont="1" applyFill="1" applyBorder="1" applyAlignment="1">
      <alignment horizontal="center" vertical="center"/>
    </xf>
    <xf numFmtId="0" fontId="34" fillId="20" borderId="2" xfId="0" applyFont="1" applyFill="1" applyBorder="1"/>
    <xf numFmtId="0" fontId="34" fillId="20" borderId="5" xfId="0" applyFont="1" applyFill="1" applyBorder="1" applyAlignment="1">
      <alignment horizontal="center" vertical="center"/>
    </xf>
    <xf numFmtId="8" fontId="0" fillId="16" borderId="1" xfId="0" applyNumberFormat="1" applyFill="1" applyBorder="1"/>
    <xf numFmtId="0" fontId="38" fillId="16" borderId="1" xfId="0" applyFont="1" applyFill="1" applyBorder="1" applyAlignment="1">
      <alignment vertical="center"/>
    </xf>
    <xf numFmtId="0" fontId="0" fillId="16" borderId="0" xfId="0" applyFill="1" applyBorder="1" applyAlignment="1"/>
    <xf numFmtId="0" fontId="71" fillId="17" borderId="47" xfId="0" applyFont="1" applyFill="1" applyBorder="1" applyAlignment="1">
      <alignment horizontal="center" vertical="center" wrapText="1"/>
    </xf>
    <xf numFmtId="0" fontId="71" fillId="17" borderId="33" xfId="0" applyFont="1" applyFill="1" applyBorder="1" applyAlignment="1">
      <alignment horizontal="center" vertical="center" wrapText="1"/>
    </xf>
    <xf numFmtId="0" fontId="71" fillId="17" borderId="37" xfId="0" applyFont="1" applyFill="1" applyBorder="1" applyAlignment="1">
      <alignment horizontal="center" vertical="center" wrapText="1"/>
    </xf>
    <xf numFmtId="0" fontId="71" fillId="17" borderId="32" xfId="0" applyFont="1" applyFill="1" applyBorder="1" applyAlignment="1">
      <alignment horizontal="center" vertical="center" wrapText="1"/>
    </xf>
    <xf numFmtId="0" fontId="71" fillId="17" borderId="34" xfId="0" applyFont="1" applyFill="1" applyBorder="1" applyAlignment="1">
      <alignment horizontal="center" vertical="center" wrapText="1"/>
    </xf>
    <xf numFmtId="0" fontId="0" fillId="0" borderId="54" xfId="0" applyBorder="1" applyAlignment="1">
      <alignment vertical="center" wrapText="1"/>
    </xf>
    <xf numFmtId="0" fontId="64" fillId="0" borderId="32" xfId="0" applyFont="1" applyBorder="1" applyAlignment="1">
      <alignment vertical="center" wrapText="1"/>
    </xf>
    <xf numFmtId="3" fontId="64" fillId="0" borderId="32" xfId="0" applyNumberFormat="1" applyFont="1" applyBorder="1" applyAlignment="1">
      <alignment horizontal="center" vertical="center"/>
    </xf>
    <xf numFmtId="0" fontId="0" fillId="16" borderId="54" xfId="0" applyFont="1" applyFill="1" applyBorder="1" applyAlignment="1">
      <alignment vertical="center" wrapText="1"/>
    </xf>
    <xf numFmtId="0" fontId="0" fillId="16" borderId="55" xfId="0" applyFill="1" applyBorder="1"/>
    <xf numFmtId="3" fontId="64" fillId="16" borderId="1" xfId="0" applyNumberFormat="1" applyFont="1" applyFill="1" applyBorder="1" applyAlignment="1">
      <alignment horizontal="center" vertical="center"/>
    </xf>
    <xf numFmtId="0" fontId="0" fillId="16" borderId="2" xfId="0" applyFill="1" applyBorder="1"/>
    <xf numFmtId="0" fontId="0" fillId="16" borderId="11" xfId="0" applyFill="1" applyBorder="1"/>
    <xf numFmtId="0" fontId="83" fillId="0" borderId="0" xfId="0" applyFont="1"/>
    <xf numFmtId="0" fontId="0" fillId="20" borderId="60" xfId="0" applyFill="1" applyBorder="1"/>
    <xf numFmtId="0" fontId="0" fillId="20" borderId="61" xfId="0" applyFill="1" applyBorder="1"/>
    <xf numFmtId="0" fontId="34" fillId="20" borderId="1" xfId="0" applyFont="1" applyFill="1" applyBorder="1"/>
    <xf numFmtId="0" fontId="36" fillId="15" borderId="1" xfId="0" applyFont="1" applyFill="1" applyBorder="1" applyAlignment="1">
      <alignment horizontal="center"/>
    </xf>
    <xf numFmtId="0" fontId="0" fillId="16" borderId="61" xfId="0" applyFill="1" applyBorder="1"/>
    <xf numFmtId="0" fontId="37" fillId="16" borderId="0" xfId="0" applyFont="1" applyFill="1" applyBorder="1" applyAlignment="1">
      <alignment horizontal="center" vertical="center"/>
    </xf>
    <xf numFmtId="0" fontId="0" fillId="16" borderId="0" xfId="0" applyFont="1" applyFill="1" applyBorder="1" applyAlignment="1">
      <alignment horizontal="center" vertical="center"/>
    </xf>
    <xf numFmtId="0" fontId="0" fillId="16" borderId="0" xfId="0" applyFont="1" applyFill="1" applyBorder="1"/>
    <xf numFmtId="0" fontId="34" fillId="20" borderId="50" xfId="0" applyFont="1" applyFill="1" applyBorder="1" applyAlignment="1">
      <alignment horizontal="center" vertical="center"/>
    </xf>
    <xf numFmtId="0" fontId="34" fillId="20" borderId="50" xfId="0" applyFont="1" applyFill="1" applyBorder="1" applyAlignment="1">
      <alignment horizontal="center"/>
    </xf>
    <xf numFmtId="0" fontId="36" fillId="16" borderId="0" xfId="0" applyFont="1" applyFill="1" applyBorder="1"/>
    <xf numFmtId="0" fontId="40" fillId="23" borderId="32" xfId="0" applyFont="1" applyFill="1" applyBorder="1" applyAlignment="1">
      <alignment horizontal="center" vertical="center"/>
    </xf>
    <xf numFmtId="0" fontId="57" fillId="16" borderId="32" xfId="0" applyFont="1" applyFill="1" applyBorder="1" applyAlignment="1">
      <alignment horizontal="left" vertical="center"/>
    </xf>
    <xf numFmtId="0" fontId="57" fillId="21" borderId="32" xfId="0" applyFont="1" applyFill="1" applyBorder="1" applyAlignment="1">
      <alignment horizontal="center" vertical="center"/>
    </xf>
    <xf numFmtId="168" fontId="57" fillId="16" borderId="32" xfId="0" applyNumberFormat="1" applyFont="1" applyFill="1" applyBorder="1" applyAlignment="1">
      <alignment horizontal="center" vertical="center"/>
    </xf>
    <xf numFmtId="0" fontId="57" fillId="16" borderId="1" xfId="0" applyFont="1" applyFill="1" applyBorder="1" applyAlignment="1">
      <alignment horizontal="right" vertical="center"/>
    </xf>
    <xf numFmtId="0" fontId="57" fillId="16" borderId="37" xfId="0" applyFont="1" applyFill="1" applyBorder="1" applyAlignment="1">
      <alignment horizontal="center" vertical="center" textRotation="90" wrapText="1"/>
    </xf>
    <xf numFmtId="0" fontId="57" fillId="16" borderId="32" xfId="0" applyFont="1" applyFill="1" applyBorder="1" applyAlignment="1">
      <alignment horizontal="left" vertical="center" wrapText="1"/>
    </xf>
    <xf numFmtId="0" fontId="57" fillId="16" borderId="37" xfId="0" applyFont="1" applyFill="1" applyBorder="1" applyAlignment="1">
      <alignment horizontal="left" vertical="center" wrapText="1"/>
    </xf>
    <xf numFmtId="0" fontId="8" fillId="19" borderId="1" xfId="0" applyFont="1" applyFill="1" applyBorder="1" applyAlignment="1">
      <alignment horizontal="center" wrapText="1"/>
    </xf>
    <xf numFmtId="0" fontId="108" fillId="19" borderId="1" xfId="0" applyFont="1" applyFill="1" applyBorder="1" applyAlignment="1">
      <alignment horizontal="center" wrapText="1"/>
    </xf>
    <xf numFmtId="0" fontId="42" fillId="19" borderId="1" xfId="0" applyFont="1" applyFill="1" applyBorder="1" applyAlignment="1">
      <alignment horizontal="center" vertical="center" wrapText="1"/>
    </xf>
    <xf numFmtId="0" fontId="110" fillId="19" borderId="1" xfId="0" applyFont="1" applyFill="1" applyBorder="1" applyAlignment="1">
      <alignment horizontal="center" vertical="center" wrapText="1"/>
    </xf>
    <xf numFmtId="0" fontId="114" fillId="19" borderId="1" xfId="0" applyFont="1" applyFill="1" applyBorder="1" applyAlignment="1">
      <alignment horizontal="center" vertical="center" wrapText="1"/>
    </xf>
    <xf numFmtId="0" fontId="38" fillId="0" borderId="0" xfId="0" applyFont="1" applyBorder="1" applyAlignment="1">
      <alignment horizontal="justify" vertical="center"/>
    </xf>
    <xf numFmtId="0" fontId="38" fillId="0" borderId="0" xfId="0" applyFont="1" applyAlignment="1">
      <alignment horizontal="justify" vertical="center"/>
    </xf>
    <xf numFmtId="170" fontId="0" fillId="0" borderId="1" xfId="2" applyNumberFormat="1" applyFont="1" applyFill="1" applyBorder="1"/>
    <xf numFmtId="0" fontId="0" fillId="0" borderId="31" xfId="0" quotePrefix="1" applyBorder="1"/>
    <xf numFmtId="0" fontId="63" fillId="0" borderId="31" xfId="0" applyFont="1" applyBorder="1" applyAlignment="1">
      <alignment horizontal="justify" vertical="center"/>
    </xf>
    <xf numFmtId="0" fontId="109" fillId="0" borderId="27" xfId="0" applyFont="1" applyBorder="1"/>
    <xf numFmtId="0" fontId="63" fillId="0" borderId="28" xfId="0" applyFont="1" applyBorder="1"/>
    <xf numFmtId="0" fontId="0" fillId="0" borderId="28" xfId="0" quotePrefix="1" applyBorder="1"/>
    <xf numFmtId="0" fontId="63" fillId="0" borderId="28" xfId="0" applyFont="1" applyBorder="1" applyAlignment="1">
      <alignment horizontal="justify" vertical="center"/>
    </xf>
    <xf numFmtId="0" fontId="38" fillId="0" borderId="27" xfId="0" applyFont="1" applyBorder="1" applyAlignment="1">
      <alignment horizontal="justify" vertical="center"/>
    </xf>
    <xf numFmtId="0" fontId="116" fillId="0" borderId="27" xfId="0" applyFont="1" applyBorder="1" applyAlignment="1">
      <alignment horizontal="justify" vertical="center"/>
    </xf>
    <xf numFmtId="0" fontId="38" fillId="0" borderId="28" xfId="0" quotePrefix="1" applyFont="1" applyBorder="1" applyAlignment="1">
      <alignment horizontal="justify" vertical="center"/>
    </xf>
    <xf numFmtId="0" fontId="0" fillId="0" borderId="30" xfId="0" applyFont="1" applyBorder="1"/>
    <xf numFmtId="0" fontId="38" fillId="0" borderId="27" xfId="0" applyFont="1" applyBorder="1" applyAlignment="1">
      <alignment horizontal="left" vertical="center"/>
    </xf>
    <xf numFmtId="0" fontId="63" fillId="0" borderId="31" xfId="0" quotePrefix="1" applyFont="1" applyBorder="1" applyAlignment="1">
      <alignment horizontal="justify" vertical="center"/>
    </xf>
    <xf numFmtId="0" fontId="63" fillId="0" borderId="31" xfId="0" quotePrefix="1" applyFont="1" applyBorder="1" applyAlignment="1">
      <alignment horizontal="left" vertical="center"/>
    </xf>
    <xf numFmtId="0" fontId="117" fillId="0" borderId="27" xfId="0" applyFont="1" applyBorder="1" applyAlignment="1">
      <alignment horizontal="justify" vertical="center"/>
    </xf>
    <xf numFmtId="0" fontId="38" fillId="0" borderId="33" xfId="0" applyFont="1" applyBorder="1" applyAlignment="1">
      <alignment horizontal="justify" vertical="center"/>
    </xf>
    <xf numFmtId="0" fontId="38" fillId="0" borderId="30" xfId="0" applyFont="1" applyBorder="1" applyAlignment="1">
      <alignment horizontal="justify" vertical="center"/>
    </xf>
    <xf numFmtId="0" fontId="63" fillId="0" borderId="28" xfId="0" quotePrefix="1" applyFont="1" applyBorder="1" applyAlignment="1">
      <alignment horizontal="left" vertical="center"/>
    </xf>
    <xf numFmtId="0" fontId="63" fillId="0" borderId="31" xfId="0" quotePrefix="1" applyFont="1" applyBorder="1" applyAlignment="1">
      <alignment horizontal="left" vertical="center" indent="5"/>
    </xf>
    <xf numFmtId="0" fontId="63" fillId="0" borderId="28" xfId="0" quotePrefix="1" applyFont="1" applyBorder="1" applyAlignment="1">
      <alignment horizontal="justify" vertical="center"/>
    </xf>
    <xf numFmtId="0" fontId="63" fillId="0" borderId="30" xfId="0" applyFont="1" applyBorder="1" applyAlignment="1">
      <alignment horizontal="justify" vertical="center"/>
    </xf>
    <xf numFmtId="0" fontId="36" fillId="18" borderId="27" xfId="0" applyFont="1" applyFill="1" applyBorder="1"/>
    <xf numFmtId="0" fontId="113" fillId="16" borderId="33" xfId="0" applyFont="1" applyFill="1" applyBorder="1" applyAlignment="1">
      <alignment horizontal="justify" vertical="center"/>
    </xf>
    <xf numFmtId="0" fontId="38" fillId="16" borderId="33" xfId="0" applyFont="1" applyFill="1" applyBorder="1" applyAlignment="1">
      <alignment horizontal="justify" vertical="center"/>
    </xf>
    <xf numFmtId="0" fontId="63" fillId="16" borderId="0" xfId="0" quotePrefix="1" applyFont="1" applyFill="1" applyBorder="1" applyAlignment="1">
      <alignment horizontal="justify" vertical="center"/>
    </xf>
    <xf numFmtId="0" fontId="118" fillId="15" borderId="1" xfId="0" applyFont="1" applyFill="1" applyBorder="1" applyAlignment="1">
      <alignment horizontal="center" vertical="center" wrapText="1"/>
    </xf>
    <xf numFmtId="0" fontId="118" fillId="15" borderId="54" xfId="0" applyFont="1" applyFill="1" applyBorder="1" applyAlignment="1">
      <alignment horizontal="center" vertical="center" wrapText="1"/>
    </xf>
    <xf numFmtId="0" fontId="118" fillId="15" borderId="26" xfId="0" applyFont="1" applyFill="1" applyBorder="1" applyAlignment="1">
      <alignment horizontal="center" vertical="center" wrapText="1"/>
    </xf>
    <xf numFmtId="0" fontId="0" fillId="0" borderId="1" xfId="0" quotePrefix="1" applyBorder="1"/>
    <xf numFmtId="0" fontId="122" fillId="0" borderId="37" xfId="0" applyFont="1" applyBorder="1" applyAlignment="1">
      <alignment horizontal="left" vertical="center" wrapText="1"/>
    </xf>
    <xf numFmtId="9" fontId="122" fillId="0" borderId="32" xfId="0" applyNumberFormat="1" applyFont="1" applyBorder="1" applyAlignment="1">
      <alignment horizontal="center" vertical="center" wrapText="1"/>
    </xf>
    <xf numFmtId="0" fontId="122" fillId="16" borderId="37" xfId="0" applyFont="1" applyFill="1" applyBorder="1" applyAlignment="1">
      <alignment horizontal="center" vertical="center" wrapText="1"/>
    </xf>
    <xf numFmtId="0" fontId="122" fillId="16" borderId="32" xfId="0" applyFont="1" applyFill="1" applyBorder="1" applyAlignment="1">
      <alignment horizontal="center" vertical="center" wrapText="1"/>
    </xf>
    <xf numFmtId="0" fontId="113" fillId="0" borderId="33" xfId="0" applyFont="1" applyBorder="1" applyAlignment="1">
      <alignment horizontal="justify" vertical="center"/>
    </xf>
    <xf numFmtId="0" fontId="0" fillId="16" borderId="50" xfId="0" applyFill="1" applyBorder="1" applyAlignment="1">
      <alignment horizontal="left"/>
    </xf>
    <xf numFmtId="0" fontId="126" fillId="16" borderId="52" xfId="0" applyFont="1" applyFill="1" applyBorder="1" applyAlignment="1">
      <alignment horizontal="left" vertical="center" wrapText="1"/>
    </xf>
    <xf numFmtId="0" fontId="0" fillId="16" borderId="53" xfId="0" applyFill="1" applyBorder="1"/>
    <xf numFmtId="0" fontId="122" fillId="0" borderId="37" xfId="0" applyFont="1" applyBorder="1" applyAlignment="1">
      <alignment horizontal="center" vertical="center" wrapText="1"/>
    </xf>
    <xf numFmtId="3" fontId="122" fillId="0" borderId="32" xfId="0" applyNumberFormat="1" applyFont="1" applyBorder="1" applyAlignment="1">
      <alignment horizontal="center" vertical="center" wrapText="1"/>
    </xf>
    <xf numFmtId="0" fontId="122" fillId="0" borderId="37" xfId="0" applyFont="1" applyFill="1" applyBorder="1" applyAlignment="1">
      <alignment horizontal="center" vertical="center" wrapText="1"/>
    </xf>
    <xf numFmtId="3" fontId="122" fillId="0" borderId="32" xfId="0" applyNumberFormat="1" applyFont="1" applyFill="1" applyBorder="1" applyAlignment="1">
      <alignment horizontal="center" vertical="center" wrapText="1"/>
    </xf>
    <xf numFmtId="0" fontId="129" fillId="16" borderId="37" xfId="0" applyFont="1" applyFill="1" applyBorder="1" applyAlignment="1">
      <alignment horizontal="center" vertical="center" wrapText="1"/>
    </xf>
    <xf numFmtId="0" fontId="129" fillId="16" borderId="32" xfId="0" applyFont="1" applyFill="1" applyBorder="1" applyAlignment="1">
      <alignment horizontal="center" vertical="center" wrapText="1"/>
    </xf>
    <xf numFmtId="0" fontId="63" fillId="16" borderId="0" xfId="0" quotePrefix="1" applyFont="1" applyFill="1" applyBorder="1" applyAlignment="1">
      <alignment horizontal="left" vertical="center"/>
    </xf>
    <xf numFmtId="0" fontId="63" fillId="16" borderId="33" xfId="0" applyFont="1" applyFill="1" applyBorder="1" applyAlignment="1">
      <alignment horizontal="left" vertical="center"/>
    </xf>
    <xf numFmtId="0" fontId="63" fillId="16" borderId="30" xfId="0" applyFont="1" applyFill="1" applyBorder="1" applyAlignment="1">
      <alignment horizontal="left" vertical="center"/>
    </xf>
    <xf numFmtId="0" fontId="63" fillId="0" borderId="0" xfId="0" quotePrefix="1" applyFont="1" applyAlignment="1">
      <alignment horizontal="justify" vertical="center"/>
    </xf>
    <xf numFmtId="0" fontId="63" fillId="0" borderId="0" xfId="0" applyFont="1" applyAlignment="1">
      <alignment horizontal="justify" vertical="center"/>
    </xf>
    <xf numFmtId="170" fontId="0" fillId="0" borderId="0" xfId="2" applyNumberFormat="1" applyFont="1" applyBorder="1"/>
    <xf numFmtId="0" fontId="0" fillId="0" borderId="27" xfId="0" applyFill="1" applyBorder="1" applyAlignment="1">
      <alignment vertical="top"/>
    </xf>
    <xf numFmtId="0" fontId="0" fillId="0" borderId="30" xfId="0" applyFill="1" applyBorder="1" applyAlignment="1">
      <alignment vertical="top"/>
    </xf>
    <xf numFmtId="0" fontId="37" fillId="0" borderId="27" xfId="0" applyFont="1" applyBorder="1" applyAlignment="1">
      <alignment wrapText="1"/>
    </xf>
    <xf numFmtId="0" fontId="37" fillId="0" borderId="30" xfId="0" applyFont="1" applyBorder="1" applyAlignment="1">
      <alignment wrapText="1"/>
    </xf>
    <xf numFmtId="9" fontId="0" fillId="0" borderId="28" xfId="1" applyFont="1" applyBorder="1" applyAlignment="1">
      <alignment wrapText="1"/>
    </xf>
    <xf numFmtId="9" fontId="0" fillId="0" borderId="31" xfId="1" applyFont="1" applyBorder="1" applyAlignment="1">
      <alignment wrapText="1"/>
    </xf>
    <xf numFmtId="3" fontId="0" fillId="0" borderId="28" xfId="0" applyNumberFormat="1" applyBorder="1" applyAlignment="1">
      <alignment wrapText="1"/>
    </xf>
    <xf numFmtId="3" fontId="0" fillId="0" borderId="31" xfId="0" applyNumberFormat="1" applyBorder="1" applyAlignment="1">
      <alignment wrapText="1"/>
    </xf>
    <xf numFmtId="164" fontId="0" fillId="0" borderId="28" xfId="0" applyNumberFormat="1" applyBorder="1" applyAlignment="1">
      <alignment wrapText="1"/>
    </xf>
    <xf numFmtId="0" fontId="37" fillId="0" borderId="33" xfId="0" applyFont="1" applyBorder="1" applyAlignment="1">
      <alignment wrapText="1"/>
    </xf>
    <xf numFmtId="164" fontId="0" fillId="0" borderId="0" xfId="0" applyNumberFormat="1" applyBorder="1" applyAlignment="1">
      <alignment wrapText="1"/>
    </xf>
    <xf numFmtId="164" fontId="0" fillId="0" borderId="31" xfId="0" applyNumberFormat="1" applyBorder="1" applyAlignment="1">
      <alignment wrapText="1"/>
    </xf>
    <xf numFmtId="0" fontId="37" fillId="0" borderId="25" xfId="0" applyFont="1" applyFill="1" applyBorder="1"/>
    <xf numFmtId="43" fontId="0" fillId="16" borderId="1" xfId="2" applyFont="1" applyFill="1" applyBorder="1" applyAlignment="1">
      <alignment wrapText="1"/>
    </xf>
    <xf numFmtId="0" fontId="37" fillId="0" borderId="24" xfId="0" applyFont="1" applyBorder="1" applyAlignment="1">
      <alignment wrapText="1"/>
    </xf>
    <xf numFmtId="3" fontId="0" fillId="0" borderId="25" xfId="0" applyNumberFormat="1" applyBorder="1" applyAlignment="1">
      <alignment wrapText="1"/>
    </xf>
    <xf numFmtId="0" fontId="37" fillId="0" borderId="27" xfId="0" applyFont="1" applyFill="1" applyBorder="1" applyAlignment="1">
      <alignment wrapText="1"/>
    </xf>
    <xf numFmtId="0" fontId="37" fillId="0" borderId="30" xfId="0" applyFont="1" applyFill="1" applyBorder="1" applyAlignment="1">
      <alignment wrapText="1"/>
    </xf>
    <xf numFmtId="0" fontId="82" fillId="18" borderId="25" xfId="0" applyFont="1" applyFill="1" applyBorder="1" applyAlignment="1">
      <alignment horizontal="justify" vertical="center"/>
    </xf>
    <xf numFmtId="0" fontId="37" fillId="16" borderId="31" xfId="0" applyFont="1" applyFill="1" applyBorder="1" applyAlignment="1">
      <alignment horizontal="justify" vertical="center"/>
    </xf>
    <xf numFmtId="0" fontId="0" fillId="20" borderId="0" xfId="0" applyFill="1"/>
    <xf numFmtId="43" fontId="38" fillId="0" borderId="1" xfId="2" applyFont="1" applyFill="1" applyBorder="1"/>
    <xf numFmtId="43" fontId="38" fillId="28" borderId="1" xfId="2" applyFont="1" applyFill="1" applyBorder="1"/>
    <xf numFmtId="43" fontId="0" fillId="0" borderId="1" xfId="2" applyFont="1" applyBorder="1"/>
    <xf numFmtId="0" fontId="0" fillId="20" borderId="0" xfId="0" applyFill="1" applyBorder="1"/>
    <xf numFmtId="0" fontId="40" fillId="20" borderId="0" xfId="0" applyFont="1" applyFill="1" applyBorder="1" applyAlignment="1">
      <alignment horizontal="center" vertical="center" wrapText="1"/>
    </xf>
    <xf numFmtId="43" fontId="0" fillId="0" borderId="28" xfId="2" applyFont="1" applyFill="1" applyBorder="1" applyAlignment="1">
      <alignment wrapText="1"/>
    </xf>
    <xf numFmtId="170" fontId="0" fillId="0" borderId="28" xfId="2" applyNumberFormat="1" applyFont="1" applyFill="1" applyBorder="1" applyAlignment="1">
      <alignment wrapText="1"/>
    </xf>
    <xf numFmtId="170" fontId="0" fillId="0" borderId="31" xfId="2" applyNumberFormat="1" applyFont="1" applyFill="1" applyBorder="1" applyAlignment="1">
      <alignment wrapText="1"/>
    </xf>
    <xf numFmtId="0" fontId="37" fillId="0" borderId="31" xfId="0" applyFont="1" applyFill="1" applyBorder="1" applyAlignment="1">
      <alignment horizontal="left"/>
    </xf>
    <xf numFmtId="0" fontId="37" fillId="0" borderId="31" xfId="0" applyFont="1" applyFill="1" applyBorder="1" applyAlignment="1">
      <alignment horizontal="left" wrapText="1"/>
    </xf>
    <xf numFmtId="0" fontId="37" fillId="0" borderId="0" xfId="0" applyFont="1" applyFill="1" applyBorder="1" applyAlignment="1">
      <alignment horizontal="left" vertical="top" wrapText="1"/>
    </xf>
    <xf numFmtId="0" fontId="40" fillId="17" borderId="10" xfId="0" applyFont="1" applyFill="1" applyBorder="1" applyAlignment="1">
      <alignment vertical="center" wrapText="1"/>
    </xf>
    <xf numFmtId="0" fontId="38" fillId="16" borderId="0" xfId="0" applyFont="1" applyFill="1" applyBorder="1"/>
    <xf numFmtId="0" fontId="0" fillId="18" borderId="0" xfId="0" applyFill="1"/>
    <xf numFmtId="0" fontId="8" fillId="16" borderId="1" xfId="0" applyFont="1" applyFill="1" applyBorder="1" applyAlignment="1">
      <alignment horizontal="center" wrapText="1"/>
    </xf>
    <xf numFmtId="0" fontId="8" fillId="16" borderId="1" xfId="0" applyFont="1" applyFill="1" applyBorder="1" applyAlignment="1">
      <alignment horizontal="center"/>
    </xf>
    <xf numFmtId="0" fontId="97" fillId="16" borderId="1" xfId="0" applyFont="1" applyFill="1" applyBorder="1" applyAlignment="1">
      <alignment horizontal="center"/>
    </xf>
    <xf numFmtId="0" fontId="8" fillId="16" borderId="1" xfId="0" applyFont="1" applyFill="1" applyBorder="1"/>
    <xf numFmtId="0" fontId="8" fillId="16" borderId="1" xfId="0" applyFont="1" applyFill="1" applyBorder="1" applyAlignment="1">
      <alignment vertical="center" wrapText="1"/>
    </xf>
    <xf numFmtId="0" fontId="67" fillId="0" borderId="0" xfId="0" applyFont="1"/>
    <xf numFmtId="0" fontId="8" fillId="0" borderId="89" xfId="0" applyFont="1" applyBorder="1"/>
    <xf numFmtId="2" fontId="0" fillId="16" borderId="1" xfId="0" applyNumberFormat="1" applyFill="1" applyBorder="1" applyAlignment="1">
      <alignment wrapText="1"/>
    </xf>
    <xf numFmtId="170" fontId="0" fillId="16" borderId="1" xfId="2" applyNumberFormat="1" applyFont="1" applyFill="1" applyBorder="1" applyAlignment="1">
      <alignment wrapText="1"/>
    </xf>
    <xf numFmtId="0" fontId="0" fillId="0" borderId="90" xfId="0" applyBorder="1" applyAlignment="1">
      <alignment wrapText="1"/>
    </xf>
    <xf numFmtId="171" fontId="0" fillId="16" borderId="1" xfId="2" applyNumberFormat="1" applyFont="1" applyFill="1" applyBorder="1" applyAlignment="1">
      <alignment wrapText="1"/>
    </xf>
    <xf numFmtId="43" fontId="0" fillId="16" borderId="1" xfId="2" applyNumberFormat="1" applyFont="1" applyFill="1" applyBorder="1" applyAlignment="1">
      <alignment wrapText="1"/>
    </xf>
    <xf numFmtId="0" fontId="35" fillId="16" borderId="28" xfId="0" applyFont="1" applyFill="1" applyBorder="1"/>
    <xf numFmtId="0" fontId="67" fillId="16" borderId="33" xfId="0" applyFont="1" applyFill="1" applyBorder="1"/>
    <xf numFmtId="0" fontId="8" fillId="0" borderId="27" xfId="0" applyFont="1" applyFill="1" applyBorder="1" applyAlignment="1">
      <alignment wrapText="1"/>
    </xf>
    <xf numFmtId="0" fontId="8" fillId="0" borderId="33" xfId="0" applyFont="1" applyFill="1" applyBorder="1" applyAlignment="1">
      <alignment vertical="top"/>
    </xf>
    <xf numFmtId="0" fontId="92" fillId="0" borderId="0" xfId="0" applyFont="1" applyFill="1" applyBorder="1"/>
    <xf numFmtId="0" fontId="97" fillId="0" borderId="91" xfId="0" applyFont="1" applyFill="1" applyBorder="1"/>
    <xf numFmtId="0" fontId="8" fillId="0" borderId="91" xfId="0" applyFont="1" applyFill="1" applyBorder="1" applyAlignment="1">
      <alignment vertical="top"/>
    </xf>
    <xf numFmtId="0" fontId="0" fillId="0" borderId="31" xfId="0" applyFill="1" applyBorder="1" applyAlignment="1">
      <alignment horizontal="left" vertical="top"/>
    </xf>
    <xf numFmtId="0" fontId="0" fillId="0" borderId="31" xfId="0" applyFill="1" applyBorder="1" applyAlignment="1">
      <alignment horizontal="left" vertical="top" wrapText="1"/>
    </xf>
    <xf numFmtId="0" fontId="0" fillId="0" borderId="32" xfId="0" applyFill="1" applyBorder="1" applyAlignment="1">
      <alignment horizontal="left" vertical="top" wrapText="1"/>
    </xf>
    <xf numFmtId="0" fontId="0" fillId="0" borderId="28" xfId="0" applyFont="1" applyFill="1" applyBorder="1"/>
    <xf numFmtId="0" fontId="8" fillId="0" borderId="27" xfId="0" applyFont="1" applyFill="1" applyBorder="1" applyAlignment="1">
      <alignment vertical="center"/>
    </xf>
    <xf numFmtId="0" fontId="0" fillId="0" borderId="28" xfId="0" applyFont="1" applyFill="1" applyBorder="1" applyAlignment="1">
      <alignment vertical="center"/>
    </xf>
    <xf numFmtId="0" fontId="0" fillId="0" borderId="31" xfId="0" applyFont="1" applyFill="1" applyBorder="1" applyAlignment="1">
      <alignment vertical="center"/>
    </xf>
    <xf numFmtId="0" fontId="8" fillId="0" borderId="33" xfId="0" applyFont="1" applyFill="1" applyBorder="1"/>
    <xf numFmtId="0" fontId="0" fillId="0" borderId="0" xfId="0" quotePrefix="1" applyFill="1" applyBorder="1"/>
    <xf numFmtId="0" fontId="0" fillId="0" borderId="31" xfId="0" quotePrefix="1" applyFill="1" applyBorder="1"/>
    <xf numFmtId="0" fontId="71" fillId="17" borderId="61" xfId="0" applyFont="1" applyFill="1" applyBorder="1" applyAlignment="1">
      <alignment horizontal="center" vertical="center" wrapText="1"/>
    </xf>
    <xf numFmtId="0" fontId="40" fillId="17" borderId="92" xfId="0" applyFont="1" applyFill="1" applyBorder="1" applyAlignment="1">
      <alignment horizontal="center" vertical="center" wrapText="1"/>
    </xf>
    <xf numFmtId="0" fontId="37" fillId="16" borderId="61" xfId="0" applyFont="1" applyFill="1" applyBorder="1" applyAlignment="1">
      <alignment vertical="center" wrapText="1"/>
    </xf>
    <xf numFmtId="0" fontId="37" fillId="16" borderId="16" xfId="0" applyFont="1" applyFill="1" applyBorder="1" applyAlignment="1">
      <alignment vertical="center" wrapText="1"/>
    </xf>
    <xf numFmtId="0" fontId="71" fillId="17" borderId="50" xfId="0" applyFont="1" applyFill="1" applyBorder="1" applyAlignment="1">
      <alignment horizontal="center" vertical="center" wrapText="1"/>
    </xf>
    <xf numFmtId="3" fontId="37" fillId="16" borderId="1" xfId="0" applyNumberFormat="1" applyFont="1" applyFill="1" applyBorder="1" applyAlignment="1">
      <alignment vertical="center" wrapText="1"/>
    </xf>
    <xf numFmtId="0" fontId="37" fillId="16" borderId="50" xfId="0" applyFont="1" applyFill="1" applyBorder="1" applyAlignment="1">
      <alignment horizontal="center" vertical="center" wrapText="1"/>
    </xf>
    <xf numFmtId="0" fontId="37" fillId="16" borderId="98" xfId="0" applyFont="1" applyFill="1" applyBorder="1" applyAlignment="1">
      <alignment vertical="center" wrapText="1"/>
    </xf>
    <xf numFmtId="0" fontId="40" fillId="17" borderId="99"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37" fillId="16" borderId="60" xfId="0" applyFont="1" applyFill="1" applyBorder="1" applyAlignment="1">
      <alignment vertical="center" wrapText="1"/>
    </xf>
    <xf numFmtId="0" fontId="37" fillId="16" borderId="48" xfId="0" applyFont="1" applyFill="1" applyBorder="1" applyAlignment="1">
      <alignment horizontal="center" vertical="center" wrapText="1"/>
    </xf>
    <xf numFmtId="0" fontId="37" fillId="16" borderId="48" xfId="0" applyFont="1" applyFill="1" applyBorder="1" applyAlignment="1">
      <alignment vertical="center" wrapText="1"/>
    </xf>
    <xf numFmtId="0" fontId="37" fillId="16" borderId="99" xfId="0" applyFont="1" applyFill="1" applyBorder="1" applyAlignment="1">
      <alignment vertical="center" wrapText="1"/>
    </xf>
    <xf numFmtId="0" fontId="37" fillId="16" borderId="52" xfId="0" applyFont="1" applyFill="1" applyBorder="1" applyAlignment="1">
      <alignment horizontal="center" vertical="center" wrapText="1"/>
    </xf>
    <xf numFmtId="0" fontId="37" fillId="16" borderId="100" xfId="0" applyFont="1" applyFill="1" applyBorder="1" applyAlignment="1">
      <alignment vertical="center" wrapText="1"/>
    </xf>
    <xf numFmtId="0" fontId="37" fillId="21" borderId="1" xfId="0" applyFont="1" applyFill="1" applyBorder="1" applyAlignment="1">
      <alignment wrapText="1"/>
    </xf>
    <xf numFmtId="0" fontId="37" fillId="21" borderId="1" xfId="0" applyFont="1" applyFill="1" applyBorder="1"/>
    <xf numFmtId="0" fontId="37" fillId="21" borderId="2" xfId="0" applyFont="1" applyFill="1" applyBorder="1"/>
    <xf numFmtId="0" fontId="37" fillId="21" borderId="2" xfId="0" applyFont="1" applyFill="1" applyBorder="1" applyAlignment="1">
      <alignment wrapText="1"/>
    </xf>
    <xf numFmtId="9" fontId="0" fillId="21" borderId="1" xfId="1" applyFont="1" applyFill="1" applyBorder="1"/>
    <xf numFmtId="0" fontId="0" fillId="21" borderId="1" xfId="0" applyFill="1" applyBorder="1"/>
    <xf numFmtId="2" fontId="0" fillId="21" borderId="1" xfId="0" applyNumberFormat="1" applyFill="1" applyBorder="1"/>
    <xf numFmtId="0" fontId="0" fillId="21" borderId="3" xfId="1" applyNumberFormat="1" applyFont="1" applyFill="1" applyBorder="1"/>
    <xf numFmtId="170" fontId="0" fillId="21" borderId="1" xfId="2" applyNumberFormat="1" applyFont="1" applyFill="1" applyBorder="1"/>
    <xf numFmtId="0" fontId="55" fillId="16" borderId="13" xfId="0" applyFont="1" applyFill="1" applyBorder="1"/>
    <xf numFmtId="176" fontId="37" fillId="16" borderId="1" xfId="2" applyNumberFormat="1" applyFont="1" applyFill="1" applyBorder="1" applyAlignment="1">
      <alignment horizontal="center" vertical="center" wrapText="1"/>
    </xf>
    <xf numFmtId="2" fontId="0" fillId="16" borderId="1" xfId="0" applyNumberFormat="1" applyFill="1" applyBorder="1" applyAlignment="1">
      <alignment horizontal="left"/>
    </xf>
    <xf numFmtId="1" fontId="0" fillId="16" borderId="1" xfId="0" applyNumberFormat="1" applyFill="1" applyBorder="1" applyAlignment="1">
      <alignment horizontal="left"/>
    </xf>
    <xf numFmtId="1" fontId="0" fillId="16" borderId="1" xfId="0" applyNumberFormat="1" applyFill="1" applyBorder="1" applyAlignment="1">
      <alignment horizontal="center"/>
    </xf>
    <xf numFmtId="174" fontId="0" fillId="16" borderId="1" xfId="0" applyNumberFormat="1" applyFill="1" applyBorder="1" applyAlignment="1">
      <alignment horizontal="center"/>
    </xf>
    <xf numFmtId="0" fontId="8" fillId="0" borderId="6" xfId="0" applyFont="1" applyFill="1" applyBorder="1"/>
    <xf numFmtId="44" fontId="0" fillId="0" borderId="1" xfId="3" applyFont="1" applyBorder="1"/>
    <xf numFmtId="0" fontId="36" fillId="15" borderId="1" xfId="0" applyFont="1" applyFill="1" applyBorder="1" applyAlignment="1">
      <alignment wrapText="1"/>
    </xf>
    <xf numFmtId="0" fontId="134" fillId="16" borderId="34" xfId="0" applyFont="1" applyFill="1" applyBorder="1"/>
    <xf numFmtId="8" fontId="0" fillId="16" borderId="0" xfId="0" applyNumberFormat="1" applyFill="1" applyBorder="1"/>
    <xf numFmtId="0" fontId="37" fillId="16" borderId="33" xfId="0" applyFont="1" applyFill="1" applyBorder="1" applyAlignment="1">
      <alignment vertical="center"/>
    </xf>
    <xf numFmtId="0" fontId="37" fillId="16" borderId="0" xfId="0" applyFont="1" applyFill="1" applyBorder="1" applyAlignment="1">
      <alignment vertical="center"/>
    </xf>
    <xf numFmtId="0" fontId="37" fillId="16" borderId="34" xfId="0" applyFont="1" applyFill="1" applyBorder="1" applyAlignment="1">
      <alignment vertical="center"/>
    </xf>
    <xf numFmtId="0" fontId="37" fillId="0" borderId="0" xfId="0" applyFont="1" applyAlignment="1">
      <alignment vertical="center"/>
    </xf>
    <xf numFmtId="0" fontId="135" fillId="0" borderId="0" xfId="7" applyAlignment="1">
      <alignment vertical="center"/>
    </xf>
    <xf numFmtId="0" fontId="0" fillId="0" borderId="0" xfId="0" applyNumberFormat="1"/>
    <xf numFmtId="0" fontId="64" fillId="16" borderId="7" xfId="0" applyFont="1" applyFill="1" applyBorder="1"/>
    <xf numFmtId="0" fontId="8" fillId="0" borderId="67" xfId="0" applyFont="1" applyFill="1" applyBorder="1" applyAlignment="1">
      <alignment wrapText="1"/>
    </xf>
    <xf numFmtId="0" fontId="36" fillId="20" borderId="1" xfId="0" applyFont="1" applyFill="1" applyBorder="1"/>
    <xf numFmtId="0" fontId="0" fillId="16" borderId="25" xfId="0" applyFill="1" applyBorder="1" applyAlignment="1">
      <alignment wrapText="1"/>
    </xf>
    <xf numFmtId="0" fontId="0" fillId="19" borderId="18" xfId="0" applyFill="1" applyBorder="1"/>
    <xf numFmtId="0" fontId="0" fillId="19" borderId="57" xfId="0" applyFill="1" applyBorder="1"/>
    <xf numFmtId="0" fontId="8" fillId="19" borderId="57" xfId="0" applyFont="1" applyFill="1" applyBorder="1" applyAlignment="1">
      <alignment wrapText="1"/>
    </xf>
    <xf numFmtId="0" fontId="8" fillId="19" borderId="88" xfId="0" applyFont="1" applyFill="1" applyBorder="1" applyAlignment="1">
      <alignment wrapText="1"/>
    </xf>
    <xf numFmtId="0" fontId="8" fillId="19" borderId="57" xfId="0" applyFont="1" applyFill="1" applyBorder="1" applyAlignment="1">
      <alignment horizontal="center" wrapText="1"/>
    </xf>
    <xf numFmtId="0" fontId="8" fillId="19" borderId="17" xfId="0" applyFont="1" applyFill="1" applyBorder="1" applyAlignment="1">
      <alignment wrapText="1"/>
    </xf>
    <xf numFmtId="0" fontId="8" fillId="19" borderId="22" xfId="0" applyFont="1" applyFill="1" applyBorder="1"/>
    <xf numFmtId="0" fontId="8" fillId="19" borderId="19" xfId="0" applyFont="1" applyFill="1" applyBorder="1" applyAlignment="1">
      <alignment wrapText="1"/>
    </xf>
    <xf numFmtId="0" fontId="8" fillId="16" borderId="41" xfId="0" applyFont="1" applyFill="1" applyBorder="1" applyAlignment="1">
      <alignment wrapText="1"/>
    </xf>
    <xf numFmtId="0" fontId="8" fillId="16" borderId="0" xfId="0" applyFont="1" applyFill="1" applyBorder="1" applyAlignment="1">
      <alignment wrapText="1"/>
    </xf>
    <xf numFmtId="0" fontId="8" fillId="16" borderId="23" xfId="0" applyFont="1" applyFill="1" applyBorder="1" applyAlignment="1">
      <alignment wrapText="1"/>
    </xf>
    <xf numFmtId="0" fontId="0" fillId="16" borderId="41" xfId="0" applyFont="1" applyFill="1" applyBorder="1" applyAlignment="1">
      <alignment horizontal="center" wrapText="1"/>
    </xf>
    <xf numFmtId="0" fontId="0" fillId="16" borderId="17" xfId="0" applyFill="1" applyBorder="1" applyAlignment="1">
      <alignment horizontal="right"/>
    </xf>
    <xf numFmtId="44" fontId="0" fillId="16" borderId="41" xfId="3" applyFont="1" applyFill="1" applyBorder="1" applyAlignment="1">
      <alignment horizontal="center" wrapText="1"/>
    </xf>
    <xf numFmtId="0" fontId="0" fillId="16" borderId="17" xfId="0" applyFill="1" applyBorder="1"/>
    <xf numFmtId="43" fontId="0" fillId="16" borderId="17" xfId="2" applyNumberFormat="1" applyFont="1" applyFill="1" applyBorder="1"/>
    <xf numFmtId="175" fontId="0" fillId="16" borderId="41" xfId="2" applyNumberFormat="1" applyFont="1" applyFill="1" applyBorder="1" applyAlignment="1">
      <alignment wrapText="1"/>
    </xf>
    <xf numFmtId="43" fontId="0" fillId="16" borderId="62" xfId="2" applyNumberFormat="1" applyFont="1" applyFill="1" applyBorder="1" applyAlignment="1">
      <alignment wrapText="1"/>
    </xf>
    <xf numFmtId="44" fontId="37" fillId="16" borderId="41" xfId="3" applyFont="1" applyFill="1" applyBorder="1" applyAlignment="1">
      <alignment horizontal="center" wrapText="1"/>
    </xf>
    <xf numFmtId="0" fontId="8" fillId="16" borderId="18" xfId="0" applyFont="1" applyFill="1" applyBorder="1" applyAlignment="1">
      <alignment wrapText="1"/>
    </xf>
    <xf numFmtId="0" fontId="0" fillId="19" borderId="17" xfId="0" applyFill="1" applyBorder="1"/>
    <xf numFmtId="0" fontId="8" fillId="19" borderId="18" xfId="0" applyFont="1" applyFill="1" applyBorder="1" applyAlignment="1">
      <alignment wrapText="1"/>
    </xf>
    <xf numFmtId="0" fontId="8" fillId="19" borderId="17" xfId="0" applyFont="1" applyFill="1" applyBorder="1"/>
    <xf numFmtId="0" fontId="8" fillId="19" borderId="17" xfId="0" applyFont="1" applyFill="1" applyBorder="1" applyAlignment="1">
      <alignment horizontal="center"/>
    </xf>
    <xf numFmtId="0" fontId="8" fillId="19" borderId="19" xfId="0" applyFont="1" applyFill="1" applyBorder="1" applyAlignment="1">
      <alignment horizontal="center"/>
    </xf>
    <xf numFmtId="0" fontId="0" fillId="16" borderId="0" xfId="0" applyFill="1" applyAlignment="1">
      <alignment wrapText="1"/>
    </xf>
    <xf numFmtId="0" fontId="0" fillId="16" borderId="0" xfId="0" applyFill="1" applyAlignment="1">
      <alignment horizontal="center"/>
    </xf>
    <xf numFmtId="0" fontId="37" fillId="16" borderId="0" xfId="0" applyFont="1" applyFill="1" applyAlignment="1">
      <alignment wrapText="1"/>
    </xf>
    <xf numFmtId="1" fontId="0" fillId="16" borderId="18" xfId="0" applyNumberFormat="1" applyFont="1" applyFill="1" applyBorder="1" applyAlignment="1">
      <alignment horizontal="center" wrapText="1"/>
    </xf>
    <xf numFmtId="166" fontId="0" fillId="16" borderId="18" xfId="3" applyNumberFormat="1" applyFont="1" applyFill="1" applyBorder="1" applyAlignment="1">
      <alignment wrapText="1"/>
    </xf>
    <xf numFmtId="166" fontId="0" fillId="16" borderId="0" xfId="3" applyNumberFormat="1" applyFont="1" applyFill="1" applyBorder="1" applyAlignment="1">
      <alignment wrapText="1"/>
    </xf>
    <xf numFmtId="43" fontId="0" fillId="16" borderId="18" xfId="2" applyFont="1" applyFill="1" applyBorder="1"/>
    <xf numFmtId="167" fontId="0" fillId="16" borderId="18" xfId="2" applyNumberFormat="1" applyFont="1" applyFill="1" applyBorder="1"/>
    <xf numFmtId="43" fontId="0" fillId="16" borderId="23" xfId="2" applyFont="1" applyFill="1" applyBorder="1"/>
    <xf numFmtId="0" fontId="0" fillId="16" borderId="18" xfId="0" applyFill="1" applyBorder="1"/>
    <xf numFmtId="0" fontId="0" fillId="16" borderId="18" xfId="0" applyFill="1" applyBorder="1" applyAlignment="1">
      <alignment wrapText="1"/>
    </xf>
    <xf numFmtId="0" fontId="8" fillId="16" borderId="18" xfId="0" applyFont="1" applyFill="1" applyBorder="1"/>
    <xf numFmtId="0" fontId="0" fillId="16" borderId="84" xfId="0" applyFill="1" applyBorder="1"/>
    <xf numFmtId="0" fontId="8" fillId="16" borderId="84" xfId="0" applyFont="1" applyFill="1" applyBorder="1"/>
    <xf numFmtId="0" fontId="8" fillId="16" borderId="84" xfId="0" applyFont="1" applyFill="1" applyBorder="1" applyAlignment="1">
      <alignment wrapText="1"/>
    </xf>
    <xf numFmtId="43" fontId="0" fillId="16" borderId="0" xfId="2" applyFont="1" applyFill="1" applyBorder="1"/>
    <xf numFmtId="167" fontId="0" fillId="16" borderId="0" xfId="2" applyNumberFormat="1" applyFont="1" applyFill="1"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wrapText="1"/>
    </xf>
    <xf numFmtId="0" fontId="0" fillId="16" borderId="41" xfId="0" applyFill="1" applyBorder="1" applyAlignment="1">
      <alignment horizontal="center" wrapText="1"/>
    </xf>
    <xf numFmtId="43" fontId="0" fillId="16" borderId="41" xfId="2" applyFont="1" applyFill="1" applyBorder="1" applyAlignment="1">
      <alignment wrapText="1"/>
    </xf>
    <xf numFmtId="167" fontId="0" fillId="16" borderId="41" xfId="2" applyNumberFormat="1" applyFont="1" applyFill="1" applyBorder="1" applyAlignment="1">
      <alignment wrapText="1"/>
    </xf>
    <xf numFmtId="43" fontId="0" fillId="16" borderId="41" xfId="2" applyNumberFormat="1" applyFont="1" applyFill="1" applyBorder="1" applyAlignment="1">
      <alignment wrapText="1"/>
    </xf>
    <xf numFmtId="0" fontId="8" fillId="19" borderId="41" xfId="0" applyFont="1" applyFill="1" applyBorder="1" applyAlignment="1">
      <alignment wrapText="1"/>
    </xf>
    <xf numFmtId="170" fontId="0" fillId="16" borderId="0" xfId="2" applyNumberFormat="1" applyFont="1" applyFill="1" applyAlignment="1">
      <alignment horizontal="center"/>
    </xf>
    <xf numFmtId="0" fontId="0" fillId="20" borderId="33" xfId="0" applyFill="1" applyBorder="1"/>
    <xf numFmtId="0" fontId="0" fillId="20" borderId="34" xfId="0" applyFill="1" applyBorder="1"/>
    <xf numFmtId="0" fontId="8" fillId="19" borderId="67" xfId="0" applyFont="1" applyFill="1" applyBorder="1" applyAlignment="1">
      <alignment wrapText="1"/>
    </xf>
    <xf numFmtId="0" fontId="8" fillId="19" borderId="22" xfId="0" applyFont="1" applyFill="1" applyBorder="1" applyAlignment="1">
      <alignment wrapText="1"/>
    </xf>
    <xf numFmtId="0" fontId="8" fillId="19" borderId="20" xfId="0" applyFont="1" applyFill="1" applyBorder="1" applyAlignment="1">
      <alignment wrapText="1"/>
    </xf>
    <xf numFmtId="0" fontId="0" fillId="16" borderId="18" xfId="0" applyFill="1" applyBorder="1" applyAlignment="1">
      <alignment horizontal="center" wrapText="1"/>
    </xf>
    <xf numFmtId="44" fontId="0" fillId="16" borderId="18" xfId="3" applyFont="1" applyFill="1" applyBorder="1" applyAlignment="1">
      <alignment horizontal="center" wrapText="1"/>
    </xf>
    <xf numFmtId="0" fontId="37" fillId="16" borderId="18" xfId="0" applyFont="1" applyFill="1" applyBorder="1" applyAlignment="1">
      <alignment horizontal="center" wrapText="1"/>
    </xf>
    <xf numFmtId="43" fontId="0" fillId="16" borderId="18" xfId="2" applyFont="1" applyFill="1" applyBorder="1" applyAlignment="1">
      <alignment wrapText="1"/>
    </xf>
    <xf numFmtId="43" fontId="0" fillId="16" borderId="18" xfId="2" applyNumberFormat="1" applyFont="1" applyFill="1" applyBorder="1" applyAlignment="1">
      <alignment wrapText="1"/>
    </xf>
    <xf numFmtId="167" fontId="0" fillId="16" borderId="18" xfId="2" applyNumberFormat="1" applyFont="1" applyFill="1" applyBorder="1" applyAlignment="1">
      <alignment wrapText="1"/>
    </xf>
    <xf numFmtId="2" fontId="0" fillId="16" borderId="23" xfId="0" applyNumberFormat="1" applyFill="1" applyBorder="1" applyAlignment="1">
      <alignment wrapText="1"/>
    </xf>
    <xf numFmtId="44" fontId="0" fillId="16" borderId="17" xfId="3" applyFont="1" applyFill="1" applyBorder="1"/>
    <xf numFmtId="0" fontId="0" fillId="16" borderId="19" xfId="0" applyFill="1" applyBorder="1"/>
    <xf numFmtId="9" fontId="37" fillId="16" borderId="50" xfId="1" applyFont="1" applyFill="1" applyBorder="1" applyAlignment="1">
      <alignment vertical="center" wrapText="1"/>
    </xf>
    <xf numFmtId="176" fontId="0" fillId="21" borderId="3" xfId="1" applyNumberFormat="1" applyFont="1" applyFill="1" applyBorder="1"/>
    <xf numFmtId="0" fontId="8" fillId="16" borderId="41" xfId="0" applyFont="1" applyFill="1" applyBorder="1" applyAlignment="1"/>
    <xf numFmtId="2" fontId="0" fillId="16" borderId="18" xfId="0" applyNumberFormat="1" applyFill="1" applyBorder="1" applyAlignment="1">
      <alignment wrapText="1"/>
    </xf>
    <xf numFmtId="0" fontId="93" fillId="19" borderId="57" xfId="0" applyFont="1" applyFill="1" applyBorder="1" applyAlignment="1">
      <alignment wrapText="1"/>
    </xf>
    <xf numFmtId="0" fontId="0" fillId="16" borderId="23" xfId="0" applyFill="1" applyBorder="1" applyAlignment="1">
      <alignment horizontal="center" wrapText="1"/>
    </xf>
    <xf numFmtId="0" fontId="0" fillId="16" borderId="57" xfId="0" applyFill="1" applyBorder="1" applyAlignment="1">
      <alignment horizontal="center" wrapText="1"/>
    </xf>
    <xf numFmtId="8" fontId="0" fillId="16" borderId="18" xfId="3" applyNumberFormat="1" applyFont="1" applyFill="1" applyBorder="1" applyAlignment="1">
      <alignment horizontal="center" wrapText="1"/>
    </xf>
    <xf numFmtId="0" fontId="36" fillId="15" borderId="1" xfId="0" applyFont="1" applyFill="1" applyBorder="1" applyAlignment="1">
      <alignment horizontal="center" wrapText="1"/>
    </xf>
    <xf numFmtId="0" fontId="37" fillId="16" borderId="1" xfId="0" applyNumberFormat="1" applyFont="1" applyFill="1" applyBorder="1"/>
    <xf numFmtId="0" fontId="0" fillId="16" borderId="1" xfId="0" applyFont="1" applyFill="1" applyBorder="1"/>
    <xf numFmtId="0" fontId="0" fillId="16" borderId="1" xfId="1" applyNumberFormat="1" applyFont="1" applyFill="1" applyBorder="1"/>
    <xf numFmtId="0" fontId="0" fillId="16" borderId="16" xfId="0" applyFill="1" applyBorder="1" applyAlignment="1">
      <alignment wrapText="1"/>
    </xf>
    <xf numFmtId="0" fontId="0" fillId="18" borderId="26" xfId="0" applyNumberFormat="1" applyFill="1" applyBorder="1"/>
    <xf numFmtId="1" fontId="0" fillId="16" borderId="18" xfId="3" applyNumberFormat="1" applyFont="1" applyFill="1" applyBorder="1" applyAlignment="1">
      <alignment horizontal="center" wrapText="1"/>
    </xf>
    <xf numFmtId="170" fontId="0" fillId="16" borderId="18" xfId="2" applyNumberFormat="1" applyFont="1" applyFill="1" applyBorder="1" applyAlignment="1">
      <alignment wrapText="1"/>
    </xf>
    <xf numFmtId="44" fontId="0" fillId="16" borderId="18" xfId="3" applyNumberFormat="1" applyFont="1" applyFill="1" applyBorder="1" applyAlignment="1">
      <alignment wrapText="1"/>
    </xf>
    <xf numFmtId="43" fontId="0" fillId="16" borderId="23" xfId="2" applyFont="1" applyFill="1" applyBorder="1" applyAlignment="1">
      <alignment wrapText="1"/>
    </xf>
    <xf numFmtId="0" fontId="8" fillId="16" borderId="67" xfId="0" applyFont="1" applyFill="1" applyBorder="1" applyAlignment="1">
      <alignment wrapText="1"/>
    </xf>
    <xf numFmtId="0" fontId="0" fillId="16" borderId="0" xfId="0" applyFill="1" applyAlignment="1">
      <alignment horizontal="center" wrapText="1"/>
    </xf>
    <xf numFmtId="9" fontId="0" fillId="16" borderId="0" xfId="0" applyNumberFormat="1" applyFill="1" applyAlignment="1">
      <alignment wrapText="1"/>
    </xf>
    <xf numFmtId="0" fontId="36" fillId="20" borderId="24" xfId="0" applyFont="1" applyFill="1" applyBorder="1"/>
    <xf numFmtId="0" fontId="36" fillId="20" borderId="26" xfId="0" applyFont="1" applyFill="1" applyBorder="1"/>
    <xf numFmtId="0" fontId="34" fillId="20" borderId="54" xfId="0" applyFont="1" applyFill="1" applyBorder="1" applyAlignment="1">
      <alignment horizontal="center"/>
    </xf>
    <xf numFmtId="10" fontId="0" fillId="16" borderId="47" xfId="0" applyNumberFormat="1" applyFill="1" applyBorder="1"/>
    <xf numFmtId="0" fontId="40" fillId="20" borderId="1" xfId="0" applyFont="1" applyFill="1" applyBorder="1" applyAlignment="1">
      <alignment horizontal="center" vertical="center" wrapText="1"/>
    </xf>
    <xf numFmtId="0" fontId="0" fillId="16" borderId="0" xfId="0" applyFill="1" applyBorder="1" applyAlignment="1">
      <alignment wrapText="1"/>
    </xf>
    <xf numFmtId="0" fontId="8" fillId="16" borderId="88" xfId="0" applyFont="1" applyFill="1" applyBorder="1" applyAlignment="1">
      <alignment wrapText="1"/>
    </xf>
    <xf numFmtId="0" fontId="37" fillId="16" borderId="0" xfId="0" applyFont="1" applyFill="1" applyAlignment="1">
      <alignment horizontal="center" wrapText="1"/>
    </xf>
    <xf numFmtId="178" fontId="0" fillId="16" borderId="18" xfId="0" applyNumberFormat="1" applyFill="1" applyBorder="1" applyAlignment="1">
      <alignment horizontal="center" wrapText="1"/>
    </xf>
    <xf numFmtId="0" fontId="0" fillId="16" borderId="63" xfId="0" applyFill="1" applyBorder="1"/>
    <xf numFmtId="0" fontId="0" fillId="0" borderId="33" xfId="0" applyFill="1" applyBorder="1" applyAlignment="1"/>
    <xf numFmtId="0" fontId="8" fillId="19" borderId="57" xfId="0" applyFont="1" applyFill="1" applyBorder="1"/>
    <xf numFmtId="9" fontId="0" fillId="16" borderId="0" xfId="2" applyNumberFormat="1" applyFont="1" applyFill="1" applyAlignment="1">
      <alignment horizontal="center"/>
    </xf>
    <xf numFmtId="169" fontId="0" fillId="16" borderId="0" xfId="1" applyNumberFormat="1" applyFont="1" applyFill="1" applyAlignment="1">
      <alignment horizontal="center"/>
    </xf>
    <xf numFmtId="0" fontId="0" fillId="28" borderId="1" xfId="0" applyFill="1" applyBorder="1"/>
    <xf numFmtId="0" fontId="0" fillId="16" borderId="1" xfId="3" applyNumberFormat="1" applyFont="1" applyFill="1" applyBorder="1"/>
    <xf numFmtId="9" fontId="0" fillId="16" borderId="0" xfId="0" applyNumberFormat="1" applyFill="1" applyBorder="1" applyAlignment="1">
      <alignment horizontal="center" wrapText="1"/>
    </xf>
    <xf numFmtId="10" fontId="0" fillId="16" borderId="0" xfId="0" applyNumberFormat="1" applyFill="1" applyBorder="1" applyAlignment="1">
      <alignment horizontal="center" wrapText="1"/>
    </xf>
    <xf numFmtId="170" fontId="0" fillId="16" borderId="0" xfId="0" applyNumberFormat="1" applyFill="1" applyAlignment="1">
      <alignment horizontal="center"/>
    </xf>
    <xf numFmtId="0" fontId="8" fillId="19" borderId="41" xfId="0" applyFont="1" applyFill="1" applyBorder="1" applyAlignment="1"/>
    <xf numFmtId="0" fontId="41" fillId="19" borderId="17" xfId="0" applyFont="1" applyFill="1" applyBorder="1" applyAlignment="1">
      <alignment wrapText="1"/>
    </xf>
    <xf numFmtId="0" fontId="42" fillId="19" borderId="17" xfId="0" applyFont="1" applyFill="1" applyBorder="1" applyAlignment="1">
      <alignment horizontal="center"/>
    </xf>
    <xf numFmtId="44" fontId="0" fillId="16" borderId="0" xfId="3" applyFont="1" applyFill="1" applyBorder="1" applyAlignment="1">
      <alignment horizontal="center" wrapText="1"/>
    </xf>
    <xf numFmtId="0" fontId="43" fillId="16" borderId="0" xfId="0" applyFont="1" applyFill="1" applyAlignment="1">
      <alignment wrapText="1"/>
    </xf>
    <xf numFmtId="9" fontId="37" fillId="16" borderId="0" xfId="1" applyFont="1" applyFill="1" applyAlignment="1">
      <alignment wrapText="1"/>
    </xf>
    <xf numFmtId="43" fontId="38" fillId="16" borderId="18" xfId="2" applyFont="1" applyFill="1" applyBorder="1"/>
    <xf numFmtId="0" fontId="0" fillId="19" borderId="19" xfId="0" applyFill="1" applyBorder="1"/>
    <xf numFmtId="43" fontId="37" fillId="16" borderId="0" xfId="2" applyFont="1" applyFill="1" applyAlignment="1">
      <alignment wrapText="1"/>
    </xf>
    <xf numFmtId="44" fontId="37" fillId="16" borderId="0" xfId="3" applyFont="1" applyFill="1" applyAlignment="1">
      <alignment wrapText="1"/>
    </xf>
    <xf numFmtId="0" fontId="66" fillId="16" borderId="13" xfId="0" applyFont="1" applyFill="1" applyBorder="1"/>
    <xf numFmtId="0" fontId="0" fillId="16" borderId="0" xfId="0" quotePrefix="1" applyFill="1"/>
    <xf numFmtId="0" fontId="8" fillId="19" borderId="58" xfId="0" applyFont="1" applyFill="1" applyBorder="1" applyAlignment="1">
      <alignment wrapText="1"/>
    </xf>
    <xf numFmtId="0" fontId="8" fillId="19" borderId="21" xfId="0" applyFont="1" applyFill="1" applyBorder="1" applyAlignment="1">
      <alignment wrapText="1"/>
    </xf>
    <xf numFmtId="0" fontId="8" fillId="16" borderId="17" xfId="0" applyFont="1" applyFill="1" applyBorder="1" applyAlignment="1">
      <alignment wrapText="1"/>
    </xf>
    <xf numFmtId="44" fontId="38" fillId="16" borderId="18" xfId="3" applyNumberFormat="1" applyFont="1" applyFill="1" applyBorder="1" applyAlignment="1">
      <alignment wrapText="1"/>
    </xf>
    <xf numFmtId="0" fontId="21" fillId="16" borderId="0" xfId="0" applyFont="1" applyFill="1" applyAlignment="1">
      <alignment wrapText="1"/>
    </xf>
    <xf numFmtId="170" fontId="0" fillId="16" borderId="0" xfId="2" applyNumberFormat="1" applyFont="1" applyFill="1" applyBorder="1" applyAlignment="1">
      <alignment wrapText="1"/>
    </xf>
    <xf numFmtId="167" fontId="0" fillId="16" borderId="17" xfId="2" applyNumberFormat="1" applyFont="1" applyFill="1" applyBorder="1" applyAlignment="1">
      <alignment wrapText="1"/>
    </xf>
    <xf numFmtId="43" fontId="0" fillId="16" borderId="17" xfId="2" applyNumberFormat="1" applyFont="1" applyFill="1" applyBorder="1" applyAlignment="1">
      <alignment wrapText="1"/>
    </xf>
    <xf numFmtId="0" fontId="37" fillId="16" borderId="1" xfId="0" applyFont="1" applyFill="1" applyBorder="1" applyAlignment="1">
      <alignment horizontal="center"/>
    </xf>
    <xf numFmtId="6" fontId="37" fillId="16" borderId="1" xfId="0" applyNumberFormat="1" applyFont="1" applyFill="1" applyBorder="1" applyAlignment="1">
      <alignment horizontal="center" vertical="center" wrapText="1"/>
    </xf>
    <xf numFmtId="0" fontId="37" fillId="0" borderId="0" xfId="0" applyFont="1" applyFill="1" applyBorder="1" applyAlignment="1">
      <alignment horizontal="right" vertical="center"/>
    </xf>
    <xf numFmtId="174" fontId="0" fillId="16" borderId="18" xfId="0" applyNumberFormat="1" applyFill="1" applyBorder="1"/>
    <xf numFmtId="0" fontId="8" fillId="16" borderId="31" xfId="0" applyFont="1" applyFill="1" applyBorder="1" applyAlignment="1">
      <alignment wrapText="1"/>
    </xf>
    <xf numFmtId="0" fontId="8" fillId="16" borderId="36" xfId="0" applyFont="1" applyFill="1" applyBorder="1" applyAlignment="1">
      <alignment wrapText="1"/>
    </xf>
    <xf numFmtId="1" fontId="0" fillId="16" borderId="31" xfId="0" applyNumberFormat="1" applyFont="1" applyFill="1" applyBorder="1" applyAlignment="1">
      <alignment horizontal="center" wrapText="1"/>
    </xf>
    <xf numFmtId="166" fontId="0" fillId="16" borderId="36" xfId="3" applyNumberFormat="1" applyFont="1" applyFill="1" applyBorder="1" applyAlignment="1">
      <alignment wrapText="1"/>
    </xf>
    <xf numFmtId="0" fontId="43" fillId="16" borderId="31" xfId="0" applyFont="1" applyFill="1" applyBorder="1" applyAlignment="1">
      <alignment wrapText="1"/>
    </xf>
    <xf numFmtId="0" fontId="37" fillId="16" borderId="31" xfId="0" applyFont="1" applyFill="1" applyBorder="1" applyAlignment="1">
      <alignment wrapText="1"/>
    </xf>
    <xf numFmtId="0" fontId="0" fillId="16" borderId="31" xfId="0" applyFill="1" applyBorder="1" applyAlignment="1">
      <alignment wrapText="1"/>
    </xf>
    <xf numFmtId="43" fontId="0" fillId="16" borderId="36" xfId="2" applyFont="1" applyFill="1" applyBorder="1"/>
    <xf numFmtId="167" fontId="0" fillId="16" borderId="36" xfId="2" applyNumberFormat="1" applyFont="1" applyFill="1" applyBorder="1"/>
    <xf numFmtId="0" fontId="38" fillId="16" borderId="0" xfId="0" applyFont="1" applyFill="1"/>
    <xf numFmtId="0" fontId="8" fillId="16" borderId="39" xfId="0" applyFont="1" applyFill="1" applyBorder="1" applyAlignment="1">
      <alignment wrapText="1"/>
    </xf>
    <xf numFmtId="0" fontId="8" fillId="16" borderId="44" xfId="0" applyFont="1" applyFill="1" applyBorder="1" applyAlignment="1">
      <alignment wrapText="1"/>
    </xf>
    <xf numFmtId="1" fontId="0" fillId="16" borderId="36" xfId="0" applyNumberFormat="1" applyFont="1" applyFill="1" applyBorder="1" applyAlignment="1">
      <alignment horizontal="center" wrapText="1"/>
    </xf>
    <xf numFmtId="0" fontId="38" fillId="16" borderId="31" xfId="0" applyFont="1" applyFill="1" applyBorder="1"/>
    <xf numFmtId="0" fontId="8" fillId="19" borderId="5" xfId="0" applyFont="1" applyFill="1" applyBorder="1" applyAlignment="1"/>
    <xf numFmtId="0" fontId="62" fillId="16" borderId="1" xfId="4" applyFont="1" applyFill="1" applyBorder="1" applyAlignment="1" applyProtection="1">
      <alignment horizontal="right"/>
    </xf>
    <xf numFmtId="10" fontId="37" fillId="16" borderId="1" xfId="0" applyNumberFormat="1" applyFont="1" applyFill="1" applyBorder="1" applyAlignment="1">
      <alignment horizontal="center" vertical="center" wrapText="1"/>
    </xf>
    <xf numFmtId="0" fontId="45" fillId="16" borderId="0" xfId="4" applyFill="1" applyBorder="1" applyAlignment="1" applyProtection="1">
      <alignment horizontal="justify" vertical="center"/>
    </xf>
    <xf numFmtId="0" fontId="137" fillId="16" borderId="2" xfId="0" applyFont="1" applyFill="1" applyBorder="1" applyAlignment="1">
      <alignment vertical="center" wrapText="1"/>
    </xf>
    <xf numFmtId="0" fontId="137" fillId="16" borderId="1" xfId="0" applyFont="1" applyFill="1" applyBorder="1" applyAlignment="1">
      <alignment horizontal="center" vertical="center" wrapText="1"/>
    </xf>
    <xf numFmtId="0" fontId="137" fillId="16" borderId="10" xfId="0" applyFont="1" applyFill="1" applyBorder="1" applyAlignment="1">
      <alignment vertical="center" wrapText="1"/>
    </xf>
    <xf numFmtId="0" fontId="137" fillId="16" borderId="16" xfId="0" applyFont="1" applyFill="1" applyBorder="1" applyAlignment="1">
      <alignment vertical="center" wrapText="1"/>
    </xf>
    <xf numFmtId="0" fontId="37" fillId="19" borderId="17" xfId="0" applyFont="1" applyFill="1" applyBorder="1" applyAlignment="1">
      <alignment wrapText="1"/>
    </xf>
    <xf numFmtId="0" fontId="8" fillId="28" borderId="1" xfId="0" applyFont="1" applyFill="1" applyBorder="1" applyAlignment="1">
      <alignment horizontal="center" wrapText="1"/>
    </xf>
    <xf numFmtId="0" fontId="36" fillId="17" borderId="50" xfId="0" applyFont="1" applyFill="1" applyBorder="1"/>
    <xf numFmtId="0" fontId="36" fillId="17" borderId="1" xfId="0" applyFont="1" applyFill="1" applyBorder="1"/>
    <xf numFmtId="0" fontId="36" fillId="24" borderId="54" xfId="0" applyFont="1" applyFill="1" applyBorder="1" applyAlignment="1">
      <alignment horizontal="center" vertical="center"/>
    </xf>
    <xf numFmtId="44" fontId="0" fillId="16" borderId="0" xfId="3" applyFont="1" applyFill="1"/>
    <xf numFmtId="44" fontId="37" fillId="16" borderId="18" xfId="3" applyNumberFormat="1" applyFont="1" applyFill="1" applyBorder="1" applyAlignment="1">
      <alignment horizontal="left" wrapText="1"/>
    </xf>
    <xf numFmtId="44" fontId="37" fillId="16" borderId="0" xfId="3" applyNumberFormat="1" applyFont="1" applyFill="1" applyBorder="1" applyAlignment="1">
      <alignment horizontal="left" wrapText="1"/>
    </xf>
    <xf numFmtId="0" fontId="37" fillId="16" borderId="0" xfId="3" applyNumberFormat="1" applyFont="1" applyFill="1" applyBorder="1" applyAlignment="1">
      <alignment horizontal="left" wrapText="1"/>
    </xf>
    <xf numFmtId="2" fontId="0" fillId="16" borderId="18" xfId="2" applyNumberFormat="1" applyFont="1" applyFill="1" applyBorder="1" applyAlignment="1">
      <alignment horizontal="center" wrapText="1"/>
    </xf>
    <xf numFmtId="174" fontId="0" fillId="16" borderId="18" xfId="2" applyNumberFormat="1" applyFont="1" applyFill="1" applyBorder="1" applyAlignment="1">
      <alignment horizontal="center" wrapText="1"/>
    </xf>
    <xf numFmtId="165" fontId="0" fillId="16" borderId="18" xfId="2" applyNumberFormat="1" applyFont="1" applyFill="1" applyBorder="1" applyAlignment="1">
      <alignment horizontal="center" wrapText="1"/>
    </xf>
    <xf numFmtId="2" fontId="0" fillId="16" borderId="23" xfId="2" applyNumberFormat="1" applyFont="1" applyFill="1" applyBorder="1" applyAlignment="1">
      <alignment horizontal="center" wrapText="1"/>
    </xf>
    <xf numFmtId="0" fontId="42" fillId="16" borderId="18" xfId="0" applyFont="1" applyFill="1" applyBorder="1" applyAlignment="1">
      <alignment wrapText="1"/>
    </xf>
    <xf numFmtId="0" fontId="42" fillId="16" borderId="0" xfId="0" applyFont="1" applyFill="1" applyBorder="1" applyAlignment="1">
      <alignment wrapText="1"/>
    </xf>
    <xf numFmtId="0" fontId="42" fillId="16" borderId="23" xfId="0" applyFont="1" applyFill="1" applyBorder="1" applyAlignment="1">
      <alignment wrapText="1"/>
    </xf>
    <xf numFmtId="0" fontId="38" fillId="16" borderId="17" xfId="0" applyFont="1" applyFill="1" applyBorder="1"/>
    <xf numFmtId="170" fontId="38" fillId="16" borderId="0" xfId="2" applyNumberFormat="1" applyFont="1" applyFill="1" applyAlignment="1">
      <alignment wrapText="1"/>
    </xf>
    <xf numFmtId="0" fontId="38" fillId="16" borderId="0" xfId="0" applyFont="1" applyFill="1" applyAlignment="1">
      <alignment wrapText="1"/>
    </xf>
    <xf numFmtId="0" fontId="55" fillId="16" borderId="0" xfId="0" applyFont="1" applyFill="1" applyAlignment="1">
      <alignment wrapText="1"/>
    </xf>
    <xf numFmtId="0" fontId="38" fillId="16" borderId="0" xfId="0" applyFont="1" applyFill="1" applyAlignment="1">
      <alignment horizontal="center" wrapText="1"/>
    </xf>
    <xf numFmtId="44" fontId="38" fillId="16" borderId="0" xfId="3" applyFont="1" applyFill="1"/>
    <xf numFmtId="2" fontId="38" fillId="16" borderId="18" xfId="0" applyNumberFormat="1" applyFont="1" applyFill="1" applyBorder="1" applyAlignment="1">
      <alignment wrapText="1"/>
    </xf>
    <xf numFmtId="0" fontId="138" fillId="16" borderId="0" xfId="0" applyFont="1" applyFill="1" applyAlignment="1">
      <alignment wrapText="1"/>
    </xf>
    <xf numFmtId="2" fontId="38" fillId="16" borderId="18" xfId="0" applyNumberFormat="1" applyFont="1" applyFill="1" applyBorder="1"/>
    <xf numFmtId="174" fontId="38" fillId="16" borderId="18" xfId="0" applyNumberFormat="1" applyFont="1" applyFill="1" applyBorder="1"/>
    <xf numFmtId="175" fontId="38" fillId="16" borderId="18" xfId="2" applyNumberFormat="1" applyFont="1" applyFill="1" applyBorder="1"/>
    <xf numFmtId="43" fontId="38" fillId="16" borderId="23" xfId="2" applyNumberFormat="1" applyFont="1" applyFill="1" applyBorder="1"/>
    <xf numFmtId="170" fontId="0" fillId="18" borderId="25" xfId="0" applyNumberFormat="1" applyFill="1" applyBorder="1"/>
    <xf numFmtId="2" fontId="0" fillId="0" borderId="28" xfId="0" applyNumberFormat="1" applyBorder="1" applyAlignment="1">
      <alignment vertical="center"/>
    </xf>
    <xf numFmtId="0" fontId="37" fillId="0" borderId="30" xfId="0" applyFont="1" applyBorder="1" applyAlignment="1">
      <alignment vertical="center" wrapText="1"/>
    </xf>
    <xf numFmtId="43" fontId="0" fillId="0" borderId="28" xfId="0" applyNumberFormat="1" applyBorder="1" applyAlignment="1">
      <alignment vertical="center"/>
    </xf>
    <xf numFmtId="2" fontId="0" fillId="0" borderId="31" xfId="0" applyNumberFormat="1" applyBorder="1" applyAlignment="1">
      <alignment vertical="center"/>
    </xf>
    <xf numFmtId="0" fontId="37" fillId="0" borderId="27" xfId="0" applyFont="1" applyFill="1" applyBorder="1" applyAlignment="1">
      <alignment vertical="center" wrapText="1"/>
    </xf>
    <xf numFmtId="0" fontId="37" fillId="0" borderId="30" xfId="0" applyFont="1" applyFill="1" applyBorder="1" applyAlignment="1">
      <alignment vertical="center" wrapText="1"/>
    </xf>
    <xf numFmtId="2" fontId="0" fillId="0" borderId="31" xfId="0" applyNumberFormat="1" applyFill="1" applyBorder="1" applyAlignment="1">
      <alignment vertical="center"/>
    </xf>
    <xf numFmtId="0" fontId="37" fillId="0" borderId="33" xfId="0" applyFont="1" applyFill="1" applyBorder="1" applyAlignment="1">
      <alignment vertical="center" wrapText="1"/>
    </xf>
    <xf numFmtId="2" fontId="0" fillId="0" borderId="0" xfId="0" applyNumberFormat="1" applyFill="1" applyBorder="1" applyAlignment="1">
      <alignment vertical="center"/>
    </xf>
    <xf numFmtId="0" fontId="37" fillId="0" borderId="33" xfId="0" applyFont="1" applyBorder="1" applyAlignment="1">
      <alignment vertical="center" wrapText="1"/>
    </xf>
    <xf numFmtId="2" fontId="0" fillId="0" borderId="0" xfId="0" applyNumberFormat="1" applyBorder="1" applyAlignment="1">
      <alignment vertical="center"/>
    </xf>
    <xf numFmtId="167" fontId="0" fillId="0" borderId="28" xfId="2" applyNumberFormat="1" applyFont="1" applyBorder="1" applyAlignment="1">
      <alignment vertical="center" wrapText="1"/>
    </xf>
    <xf numFmtId="0" fontId="37" fillId="0" borderId="27" xfId="0" applyFont="1" applyFill="1" applyBorder="1" applyAlignment="1">
      <alignment vertical="center"/>
    </xf>
    <xf numFmtId="0" fontId="37" fillId="16" borderId="34" xfId="0" applyFont="1" applyFill="1" applyBorder="1" applyAlignment="1">
      <alignment horizontal="center" vertical="center" wrapText="1"/>
    </xf>
    <xf numFmtId="0" fontId="37" fillId="29" borderId="0" xfId="0" applyFont="1" applyFill="1" applyBorder="1" applyAlignment="1">
      <alignment horizontal="center" vertical="center" wrapText="1"/>
    </xf>
    <xf numFmtId="0" fontId="40" fillId="17" borderId="1" xfId="0" applyFont="1" applyFill="1" applyBorder="1" applyAlignment="1">
      <alignment horizontal="left" vertical="center"/>
    </xf>
    <xf numFmtId="0" fontId="40" fillId="17" borderId="1" xfId="0" applyFont="1" applyFill="1" applyBorder="1" applyAlignment="1">
      <alignment horizontal="right" vertical="center"/>
    </xf>
    <xf numFmtId="0" fontId="37" fillId="16" borderId="32" xfId="0" applyFont="1" applyFill="1" applyBorder="1" applyAlignment="1">
      <alignment horizontal="left" vertical="center" wrapText="1"/>
    </xf>
    <xf numFmtId="0" fontId="57" fillId="16" borderId="1" xfId="0" applyFont="1" applyFill="1" applyBorder="1" applyAlignment="1">
      <alignment horizontal="left" vertical="center"/>
    </xf>
    <xf numFmtId="170" fontId="8" fillId="16" borderId="23" xfId="0" applyNumberFormat="1" applyFont="1" applyFill="1" applyBorder="1" applyAlignment="1">
      <alignment wrapText="1"/>
    </xf>
    <xf numFmtId="170" fontId="0" fillId="16" borderId="0" xfId="2" applyNumberFormat="1" applyFont="1" applyFill="1" applyAlignment="1">
      <alignment wrapText="1"/>
    </xf>
    <xf numFmtId="2" fontId="0" fillId="16" borderId="18" xfId="0" applyNumberFormat="1" applyFont="1" applyFill="1" applyBorder="1" applyAlignment="1">
      <alignment wrapText="1"/>
    </xf>
    <xf numFmtId="2" fontId="0" fillId="16" borderId="18" xfId="2" applyNumberFormat="1" applyFont="1" applyFill="1" applyBorder="1"/>
    <xf numFmtId="43" fontId="0" fillId="16" borderId="18" xfId="2" applyNumberFormat="1" applyFont="1" applyFill="1" applyBorder="1"/>
    <xf numFmtId="43" fontId="0" fillId="16" borderId="23" xfId="2" applyNumberFormat="1" applyFont="1" applyFill="1" applyBorder="1"/>
    <xf numFmtId="9" fontId="0" fillId="0" borderId="28" xfId="0" applyNumberFormat="1" applyFill="1" applyBorder="1" applyAlignment="1">
      <alignment vertical="center"/>
    </xf>
    <xf numFmtId="1" fontId="0" fillId="16" borderId="18" xfId="0" applyNumberFormat="1" applyFont="1" applyFill="1" applyBorder="1" applyAlignment="1">
      <alignment wrapText="1"/>
    </xf>
    <xf numFmtId="0" fontId="76" fillId="16" borderId="41" xfId="0" applyFont="1" applyFill="1" applyBorder="1" applyAlignment="1">
      <alignment wrapText="1"/>
    </xf>
    <xf numFmtId="0" fontId="76" fillId="16" borderId="0" xfId="0" applyFont="1" applyFill="1" applyBorder="1" applyAlignment="1">
      <alignment wrapText="1"/>
    </xf>
    <xf numFmtId="0" fontId="76" fillId="16" borderId="62" xfId="0" applyFont="1" applyFill="1" applyBorder="1" applyAlignment="1">
      <alignment wrapText="1"/>
    </xf>
    <xf numFmtId="1" fontId="0" fillId="16" borderId="41" xfId="0" applyNumberFormat="1" applyFont="1" applyFill="1" applyBorder="1" applyAlignment="1">
      <alignment wrapText="1"/>
    </xf>
    <xf numFmtId="43" fontId="0" fillId="16" borderId="41" xfId="2" applyFont="1" applyFill="1" applyBorder="1"/>
    <xf numFmtId="174" fontId="0" fillId="16" borderId="41" xfId="0" applyNumberFormat="1" applyFill="1" applyBorder="1"/>
    <xf numFmtId="43" fontId="0" fillId="16" borderId="62" xfId="2" applyNumberFormat="1" applyFont="1" applyFill="1" applyBorder="1"/>
    <xf numFmtId="0" fontId="76" fillId="16" borderId="18" xfId="0" applyFont="1" applyFill="1" applyBorder="1" applyAlignment="1">
      <alignment wrapText="1"/>
    </xf>
    <xf numFmtId="0" fontId="76" fillId="16" borderId="23" xfId="0" applyFont="1" applyFill="1" applyBorder="1" applyAlignment="1">
      <alignment wrapText="1"/>
    </xf>
    <xf numFmtId="0" fontId="76" fillId="16" borderId="36" xfId="0" applyFont="1" applyFill="1" applyBorder="1" applyAlignment="1">
      <alignment wrapText="1"/>
    </xf>
    <xf numFmtId="44" fontId="0" fillId="16" borderId="31" xfId="3" applyFont="1" applyFill="1" applyBorder="1"/>
    <xf numFmtId="0" fontId="8" fillId="16" borderId="64" xfId="0" applyFont="1" applyFill="1" applyBorder="1" applyAlignment="1">
      <alignment wrapText="1"/>
    </xf>
    <xf numFmtId="0" fontId="8" fillId="16" borderId="28" xfId="0" applyFont="1" applyFill="1" applyBorder="1" applyAlignment="1">
      <alignment wrapText="1"/>
    </xf>
    <xf numFmtId="0" fontId="8" fillId="16" borderId="65" xfId="0" applyFont="1" applyFill="1" applyBorder="1" applyAlignment="1">
      <alignment wrapText="1"/>
    </xf>
    <xf numFmtId="0" fontId="0" fillId="16" borderId="64" xfId="0" applyFill="1" applyBorder="1"/>
    <xf numFmtId="170" fontId="0" fillId="16" borderId="28" xfId="2" applyNumberFormat="1" applyFont="1" applyFill="1" applyBorder="1" applyAlignment="1">
      <alignment wrapText="1"/>
    </xf>
    <xf numFmtId="0" fontId="0" fillId="16" borderId="28" xfId="0" applyFill="1" applyBorder="1" applyAlignment="1">
      <alignment wrapText="1"/>
    </xf>
    <xf numFmtId="1" fontId="0" fillId="16" borderId="66" xfId="0" applyNumberFormat="1" applyFont="1" applyFill="1" applyBorder="1" applyAlignment="1">
      <alignment wrapText="1"/>
    </xf>
    <xf numFmtId="0" fontId="43" fillId="16" borderId="28" xfId="0" applyFont="1" applyFill="1" applyBorder="1" applyAlignment="1">
      <alignment wrapText="1"/>
    </xf>
    <xf numFmtId="43" fontId="0" fillId="16" borderId="64" xfId="2" applyFont="1" applyFill="1" applyBorder="1"/>
    <xf numFmtId="43" fontId="0" fillId="16" borderId="17" xfId="2" applyFont="1" applyFill="1" applyBorder="1"/>
    <xf numFmtId="0" fontId="40" fillId="17" borderId="1" xfId="0" applyFont="1" applyFill="1" applyBorder="1" applyAlignment="1">
      <alignment horizontal="center" vertical="center" wrapText="1"/>
    </xf>
    <xf numFmtId="0" fontId="44" fillId="17" borderId="1" xfId="0" applyFont="1" applyFill="1" applyBorder="1" applyAlignment="1">
      <alignment horizontal="center" vertical="center" wrapText="1"/>
    </xf>
    <xf numFmtId="0" fontId="55" fillId="0" borderId="1" xfId="0" applyFont="1" applyBorder="1" applyAlignment="1">
      <alignment horizontal="left" vertical="center"/>
    </xf>
    <xf numFmtId="3" fontId="55" fillId="0" borderId="1" xfId="0" applyNumberFormat="1" applyFont="1" applyBorder="1" applyAlignment="1">
      <alignment horizontal="center" vertical="center"/>
    </xf>
    <xf numFmtId="0" fontId="55" fillId="0" borderId="1" xfId="0" applyFont="1" applyBorder="1" applyAlignment="1">
      <alignment horizontal="center" vertical="center"/>
    </xf>
    <xf numFmtId="0" fontId="0" fillId="0" borderId="5" xfId="0" applyBorder="1"/>
    <xf numFmtId="0" fontId="0" fillId="0" borderId="16" xfId="0" applyBorder="1"/>
    <xf numFmtId="0" fontId="0" fillId="0" borderId="15" xfId="0" applyBorder="1"/>
    <xf numFmtId="0" fontId="0" fillId="0" borderId="12" xfId="0" applyBorder="1"/>
    <xf numFmtId="0" fontId="55" fillId="0" borderId="1" xfId="0" applyFont="1" applyFill="1" applyBorder="1" applyAlignment="1">
      <alignment horizontal="left" vertical="center"/>
    </xf>
    <xf numFmtId="3" fontId="37" fillId="0" borderId="1" xfId="0" applyNumberFormat="1" applyFont="1" applyBorder="1" applyAlignment="1">
      <alignment horizontal="center"/>
    </xf>
    <xf numFmtId="3" fontId="37" fillId="0" borderId="1" xfId="0" applyNumberFormat="1" applyFont="1" applyBorder="1" applyAlignment="1">
      <alignment horizontal="right"/>
    </xf>
    <xf numFmtId="0" fontId="36" fillId="20" borderId="0" xfId="0" applyFont="1" applyFill="1"/>
    <xf numFmtId="0" fontId="0" fillId="20" borderId="1" xfId="0" applyFill="1" applyBorder="1"/>
    <xf numFmtId="0" fontId="0" fillId="0" borderId="9" xfId="0" applyBorder="1"/>
    <xf numFmtId="0" fontId="0" fillId="0" borderId="14" xfId="0" applyBorder="1"/>
    <xf numFmtId="0" fontId="0" fillId="0" borderId="7" xfId="0" applyBorder="1"/>
    <xf numFmtId="0" fontId="0" fillId="0" borderId="6" xfId="0" applyBorder="1"/>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4" fillId="18" borderId="25" xfId="0" applyFont="1" applyFill="1" applyBorder="1" applyAlignment="1">
      <alignment horizontal="center"/>
    </xf>
    <xf numFmtId="0" fontId="1" fillId="0" borderId="1" xfId="0" applyFont="1" applyBorder="1" applyAlignment="1">
      <alignment wrapText="1"/>
    </xf>
    <xf numFmtId="0" fontId="37" fillId="0" borderId="0" xfId="0" applyFont="1" applyFill="1" applyBorder="1" applyAlignment="1">
      <alignment horizontal="justify" vertical="center"/>
    </xf>
    <xf numFmtId="0" fontId="37" fillId="0" borderId="27" xfId="0" applyFont="1" applyBorder="1" applyAlignment="1">
      <alignment horizontal="justify" vertical="center"/>
    </xf>
    <xf numFmtId="0" fontId="37" fillId="0" borderId="30" xfId="0" applyFont="1" applyBorder="1" applyAlignment="1">
      <alignment horizontal="justify" vertical="center"/>
    </xf>
    <xf numFmtId="168" fontId="0" fillId="0" borderId="28" xfId="0" applyNumberFormat="1" applyBorder="1"/>
    <xf numFmtId="0" fontId="38" fillId="16" borderId="50" xfId="0" applyFont="1" applyFill="1" applyBorder="1"/>
    <xf numFmtId="2" fontId="38" fillId="16" borderId="50" xfId="0" applyNumberFormat="1" applyFont="1" applyFill="1" applyBorder="1"/>
    <xf numFmtId="0" fontId="0" fillId="16" borderId="0" xfId="0" applyFill="1" applyAlignment="1">
      <alignment horizontal="left" wrapText="1"/>
    </xf>
    <xf numFmtId="43" fontId="0" fillId="16" borderId="18" xfId="2" applyNumberFormat="1" applyFont="1" applyFill="1" applyBorder="1" applyAlignment="1">
      <alignment horizontal="center" wrapText="1"/>
    </xf>
    <xf numFmtId="167" fontId="0" fillId="16" borderId="18" xfId="2" applyNumberFormat="1" applyFont="1" applyFill="1" applyBorder="1" applyAlignment="1">
      <alignment horizontal="center" wrapText="1"/>
    </xf>
    <xf numFmtId="43" fontId="0" fillId="16" borderId="18" xfId="2" applyFont="1" applyFill="1" applyBorder="1" applyAlignment="1">
      <alignment horizontal="center" wrapText="1"/>
    </xf>
    <xf numFmtId="43" fontId="0" fillId="16" borderId="23" xfId="2" applyFont="1" applyFill="1" applyBorder="1" applyAlignment="1">
      <alignment horizontal="center" wrapText="1"/>
    </xf>
    <xf numFmtId="14" fontId="0" fillId="16" borderId="26" xfId="0" applyNumberFormat="1" applyFill="1" applyBorder="1" applyAlignment="1">
      <alignment horizontal="center"/>
    </xf>
    <xf numFmtId="0" fontId="37" fillId="16" borderId="101" xfId="0" applyFont="1" applyFill="1" applyBorder="1"/>
    <xf numFmtId="0" fontId="37" fillId="16" borderId="102" xfId="0" applyFont="1" applyFill="1" applyBorder="1"/>
    <xf numFmtId="0" fontId="0" fillId="16" borderId="102" xfId="0" applyFill="1" applyBorder="1"/>
    <xf numFmtId="0" fontId="0" fillId="16" borderId="103" xfId="0" applyFill="1" applyBorder="1"/>
    <xf numFmtId="0" fontId="1" fillId="0" borderId="0" xfId="0" applyFont="1" applyAlignment="1">
      <alignment wrapText="1"/>
    </xf>
    <xf numFmtId="170" fontId="36" fillId="20" borderId="1" xfId="2" applyNumberFormat="1" applyFont="1" applyFill="1" applyBorder="1"/>
    <xf numFmtId="170" fontId="36" fillId="20" borderId="1" xfId="0" applyNumberFormat="1" applyFont="1" applyFill="1" applyBorder="1"/>
    <xf numFmtId="0" fontId="83" fillId="16" borderId="10" xfId="0" applyFont="1" applyFill="1" applyBorder="1"/>
    <xf numFmtId="43" fontId="0" fillId="16" borderId="0" xfId="2" applyFont="1" applyFill="1" applyBorder="1" applyAlignment="1">
      <alignment wrapText="1"/>
    </xf>
    <xf numFmtId="170" fontId="0" fillId="16" borderId="0" xfId="0" applyNumberFormat="1" applyFill="1" applyBorder="1"/>
    <xf numFmtId="0" fontId="8" fillId="19" borderId="19" xfId="0" applyFont="1" applyFill="1" applyBorder="1" applyAlignment="1">
      <alignment horizontal="center" wrapText="1"/>
    </xf>
    <xf numFmtId="0" fontId="40" fillId="17" borderId="93" xfId="0" applyFont="1" applyFill="1" applyBorder="1" applyAlignment="1">
      <alignment horizontal="center" vertical="center" wrapText="1"/>
    </xf>
    <xf numFmtId="0" fontId="40" fillId="17" borderId="50" xfId="0" applyFont="1" applyFill="1" applyBorder="1" applyAlignment="1">
      <alignment horizontal="center" vertical="center" wrapText="1"/>
    </xf>
    <xf numFmtId="0" fontId="71" fillId="17" borderId="1" xfId="0" applyFont="1" applyFill="1" applyBorder="1" applyAlignment="1">
      <alignment horizontal="center" vertical="center" wrapText="1"/>
    </xf>
    <xf numFmtId="0" fontId="40" fillId="17" borderId="16" xfId="0" applyFont="1" applyFill="1" applyBorder="1" applyAlignment="1">
      <alignment horizontal="center" vertical="center" wrapText="1"/>
    </xf>
    <xf numFmtId="170" fontId="0" fillId="16" borderId="53" xfId="2" applyNumberFormat="1" applyFont="1" applyFill="1" applyBorder="1"/>
    <xf numFmtId="170" fontId="0" fillId="16" borderId="51" xfId="2" applyNumberFormat="1" applyFont="1" applyFill="1" applyBorder="1"/>
    <xf numFmtId="0" fontId="8" fillId="19" borderId="1" xfId="0" applyFont="1" applyFill="1" applyBorder="1" applyAlignment="1">
      <alignment horizontal="center"/>
    </xf>
    <xf numFmtId="0" fontId="40" fillId="17" borderId="16" xfId="0" applyFont="1" applyFill="1" applyBorder="1" applyAlignment="1">
      <alignment horizontal="center" vertical="center" wrapText="1"/>
    </xf>
    <xf numFmtId="0" fontId="67" fillId="16" borderId="27" xfId="0" applyFont="1" applyFill="1" applyBorder="1" applyAlignment="1">
      <alignment horizontal="left" vertical="center"/>
    </xf>
    <xf numFmtId="0" fontId="0" fillId="16" borderId="28" xfId="0" applyFill="1" applyBorder="1" applyAlignment="1">
      <alignment horizontal="left" vertical="center"/>
    </xf>
    <xf numFmtId="0" fontId="0" fillId="16" borderId="28" xfId="0" quotePrefix="1" applyFill="1" applyBorder="1" applyAlignment="1">
      <alignment horizontal="left" vertical="center"/>
    </xf>
    <xf numFmtId="0" fontId="0" fillId="16" borderId="29" xfId="0" applyFill="1" applyBorder="1" applyAlignment="1">
      <alignment horizontal="left" vertical="center"/>
    </xf>
    <xf numFmtId="0" fontId="67" fillId="16" borderId="30" xfId="0" applyFont="1" applyFill="1" applyBorder="1" applyAlignment="1">
      <alignment horizontal="left" vertical="center"/>
    </xf>
    <xf numFmtId="0" fontId="0" fillId="16" borderId="31" xfId="0" applyFill="1" applyBorder="1" applyAlignment="1">
      <alignment horizontal="left" vertical="center"/>
    </xf>
    <xf numFmtId="0" fontId="0" fillId="16" borderId="32" xfId="0" applyFill="1" applyBorder="1" applyAlignment="1">
      <alignment horizontal="left" vertical="center"/>
    </xf>
    <xf numFmtId="0" fontId="0" fillId="16" borderId="27" xfId="0" applyFill="1" applyBorder="1" applyAlignment="1">
      <alignment horizontal="left" vertical="center"/>
    </xf>
    <xf numFmtId="0" fontId="0" fillId="16" borderId="30" xfId="0" applyFill="1" applyBorder="1" applyAlignment="1">
      <alignment horizontal="left" vertical="center"/>
    </xf>
    <xf numFmtId="0" fontId="0" fillId="16" borderId="33" xfId="0" applyFill="1" applyBorder="1" applyAlignment="1">
      <alignment horizontal="left" vertical="center"/>
    </xf>
    <xf numFmtId="0" fontId="0" fillId="16" borderId="0" xfId="0" applyFill="1" applyBorder="1" applyAlignment="1">
      <alignment horizontal="left" vertical="center"/>
    </xf>
    <xf numFmtId="0" fontId="0" fillId="16" borderId="34" xfId="0" applyFill="1" applyBorder="1" applyAlignment="1">
      <alignment horizontal="left" vertical="center"/>
    </xf>
    <xf numFmtId="0" fontId="0" fillId="16" borderId="28" xfId="0" applyFill="1" applyBorder="1" applyAlignment="1">
      <alignment vertical="center"/>
    </xf>
    <xf numFmtId="0" fontId="0" fillId="16" borderId="31" xfId="0" applyFill="1" applyBorder="1" applyAlignment="1">
      <alignment vertical="center"/>
    </xf>
    <xf numFmtId="170" fontId="0" fillId="16" borderId="28" xfId="2" applyNumberFormat="1" applyFont="1" applyFill="1" applyBorder="1" applyAlignment="1">
      <alignment vertical="center"/>
    </xf>
    <xf numFmtId="170" fontId="0" fillId="16" borderId="31" xfId="2" applyNumberFormat="1" applyFont="1" applyFill="1" applyBorder="1" applyAlignment="1">
      <alignment vertical="center"/>
    </xf>
    <xf numFmtId="9" fontId="0" fillId="16" borderId="28" xfId="0" applyNumberFormat="1" applyFill="1" applyBorder="1" applyAlignment="1">
      <alignment vertical="center"/>
    </xf>
    <xf numFmtId="170" fontId="0" fillId="16" borderId="0" xfId="2" applyNumberFormat="1" applyFont="1" applyFill="1" applyBorder="1" applyAlignment="1">
      <alignment vertical="center"/>
    </xf>
    <xf numFmtId="166" fontId="0" fillId="16" borderId="28" xfId="3" applyNumberFormat="1" applyFont="1" applyFill="1" applyBorder="1" applyAlignment="1">
      <alignment vertical="center"/>
    </xf>
    <xf numFmtId="0" fontId="0" fillId="16" borderId="31" xfId="0" applyFill="1" applyBorder="1" applyAlignment="1">
      <alignment horizontal="center" vertical="center"/>
    </xf>
    <xf numFmtId="0" fontId="0" fillId="16" borderId="28" xfId="0" applyFill="1" applyBorder="1" applyAlignment="1">
      <alignment horizontal="right" vertical="center"/>
    </xf>
    <xf numFmtId="0" fontId="0" fillId="16" borderId="31" xfId="0" applyFill="1" applyBorder="1" applyAlignment="1">
      <alignment horizontal="right" vertical="center"/>
    </xf>
    <xf numFmtId="170" fontId="0" fillId="16" borderId="28" xfId="2" applyNumberFormat="1" applyFont="1" applyFill="1" applyBorder="1" applyAlignment="1">
      <alignment horizontal="right" vertical="center"/>
    </xf>
    <xf numFmtId="170" fontId="0" fillId="16" borderId="31" xfId="2" applyNumberFormat="1" applyFont="1" applyFill="1" applyBorder="1" applyAlignment="1">
      <alignment horizontal="right" vertical="center"/>
    </xf>
    <xf numFmtId="9" fontId="0" fillId="16" borderId="28" xfId="0" applyNumberFormat="1" applyFill="1" applyBorder="1" applyAlignment="1">
      <alignment horizontal="right" vertical="center"/>
    </xf>
    <xf numFmtId="170" fontId="0" fillId="16" borderId="0" xfId="2" applyNumberFormat="1" applyFont="1" applyFill="1" applyBorder="1" applyAlignment="1">
      <alignment horizontal="right" vertical="center"/>
    </xf>
    <xf numFmtId="166" fontId="0" fillId="16" borderId="28" xfId="3" applyNumberFormat="1" applyFont="1" applyFill="1" applyBorder="1" applyAlignment="1">
      <alignment horizontal="right" vertical="center"/>
    </xf>
    <xf numFmtId="0" fontId="0" fillId="16" borderId="27" xfId="0" applyFill="1" applyBorder="1" applyAlignment="1">
      <alignment vertical="center"/>
    </xf>
    <xf numFmtId="0" fontId="0" fillId="16" borderId="30" xfId="0" applyFill="1" applyBorder="1" applyAlignment="1">
      <alignment vertical="center"/>
    </xf>
    <xf numFmtId="0" fontId="0" fillId="16" borderId="33" xfId="0" applyFill="1" applyBorder="1" applyAlignment="1">
      <alignment vertical="center"/>
    </xf>
    <xf numFmtId="0" fontId="0" fillId="16" borderId="0" xfId="0" applyFill="1" applyBorder="1" applyAlignment="1">
      <alignment vertical="center"/>
    </xf>
    <xf numFmtId="0" fontId="0" fillId="16" borderId="29" xfId="0" applyFill="1" applyBorder="1" applyAlignment="1">
      <alignment vertical="center"/>
    </xf>
    <xf numFmtId="0" fontId="0" fillId="16" borderId="32" xfId="0" applyFill="1" applyBorder="1" applyAlignment="1">
      <alignment vertical="center"/>
    </xf>
    <xf numFmtId="0" fontId="0" fillId="16" borderId="34" xfId="0" applyFill="1" applyBorder="1" applyAlignment="1">
      <alignment vertical="center"/>
    </xf>
    <xf numFmtId="166" fontId="0" fillId="16" borderId="41" xfId="0" applyNumberFormat="1" applyFill="1" applyBorder="1" applyAlignment="1">
      <alignment horizontal="center" wrapText="1"/>
    </xf>
    <xf numFmtId="0" fontId="0" fillId="19" borderId="17" xfId="0" applyFont="1" applyFill="1" applyBorder="1" applyAlignment="1">
      <alignment horizontal="center" vertical="center" wrapText="1"/>
    </xf>
    <xf numFmtId="0" fontId="0" fillId="0" borderId="17" xfId="0" applyBorder="1"/>
    <xf numFmtId="170" fontId="0" fillId="16" borderId="17" xfId="2" applyNumberFormat="1" applyFont="1" applyFill="1" applyBorder="1" applyAlignment="1">
      <alignment wrapText="1"/>
    </xf>
    <xf numFmtId="0" fontId="0" fillId="16" borderId="17" xfId="0" applyFill="1" applyBorder="1" applyAlignment="1">
      <alignment wrapText="1"/>
    </xf>
    <xf numFmtId="170" fontId="0" fillId="16" borderId="17" xfId="0" applyNumberFormat="1" applyFill="1" applyBorder="1" applyAlignment="1">
      <alignment wrapText="1"/>
    </xf>
    <xf numFmtId="171" fontId="0" fillId="16" borderId="17" xfId="0" applyNumberFormat="1" applyFill="1" applyBorder="1" applyAlignment="1">
      <alignment wrapText="1"/>
    </xf>
    <xf numFmtId="170" fontId="0" fillId="16" borderId="41" xfId="2" applyNumberFormat="1" applyFont="1" applyFill="1" applyBorder="1" applyAlignment="1">
      <alignment wrapText="1"/>
    </xf>
    <xf numFmtId="9" fontId="0" fillId="16" borderId="41" xfId="1" applyFont="1" applyFill="1" applyBorder="1" applyAlignment="1">
      <alignment wrapText="1"/>
    </xf>
    <xf numFmtId="9" fontId="0" fillId="16" borderId="28" xfId="0" applyNumberFormat="1" applyFill="1" applyBorder="1"/>
    <xf numFmtId="170" fontId="0" fillId="16" borderId="0" xfId="2" applyNumberFormat="1" applyFont="1" applyFill="1" applyBorder="1"/>
    <xf numFmtId="166" fontId="0" fillId="16" borderId="28" xfId="3" applyNumberFormat="1" applyFont="1" applyFill="1" applyBorder="1"/>
    <xf numFmtId="0" fontId="0" fillId="16" borderId="31" xfId="0" applyFill="1" applyBorder="1" applyAlignment="1">
      <alignment vertical="top"/>
    </xf>
    <xf numFmtId="0" fontId="0" fillId="16" borderId="27" xfId="0" applyFill="1" applyBorder="1" applyAlignment="1">
      <alignment horizontal="left" vertical="top"/>
    </xf>
    <xf numFmtId="0" fontId="0" fillId="16" borderId="28" xfId="0" applyFill="1" applyBorder="1" applyAlignment="1">
      <alignment horizontal="left" vertical="top"/>
    </xf>
    <xf numFmtId="0" fontId="0" fillId="16" borderId="30" xfId="0" applyFill="1" applyBorder="1" applyAlignment="1">
      <alignment horizontal="left" vertical="top"/>
    </xf>
    <xf numFmtId="0" fontId="0" fillId="16" borderId="31" xfId="0" applyFill="1" applyBorder="1" applyAlignment="1">
      <alignment horizontal="left" vertical="top"/>
    </xf>
    <xf numFmtId="0" fontId="0" fillId="16" borderId="33" xfId="0" applyFill="1" applyBorder="1" applyAlignment="1">
      <alignment horizontal="left" vertical="top"/>
    </xf>
    <xf numFmtId="0" fontId="0" fillId="16" borderId="0" xfId="0" applyFill="1" applyBorder="1" applyAlignment="1">
      <alignment horizontal="left" vertical="top"/>
    </xf>
    <xf numFmtId="0" fontId="0" fillId="16" borderId="29" xfId="0" applyFill="1" applyBorder="1" applyAlignment="1">
      <alignment horizontal="left" vertical="top"/>
    </xf>
    <xf numFmtId="0" fontId="0" fillId="16" borderId="32" xfId="0" applyFill="1" applyBorder="1" applyAlignment="1">
      <alignment horizontal="left" vertical="top"/>
    </xf>
    <xf numFmtId="0" fontId="0" fillId="16" borderId="34" xfId="0" applyFill="1" applyBorder="1" applyAlignment="1">
      <alignment horizontal="left" vertical="top"/>
    </xf>
    <xf numFmtId="170" fontId="0" fillId="16" borderId="28" xfId="2" applyNumberFormat="1" applyFont="1" applyFill="1" applyBorder="1" applyAlignment="1">
      <alignment horizontal="right" vertical="top"/>
    </xf>
    <xf numFmtId="170" fontId="0" fillId="16" borderId="31" xfId="2" applyNumberFormat="1" applyFont="1" applyFill="1" applyBorder="1" applyAlignment="1">
      <alignment horizontal="right" vertical="top"/>
    </xf>
    <xf numFmtId="9" fontId="0" fillId="16" borderId="28" xfId="1" applyFont="1" applyFill="1" applyBorder="1" applyAlignment="1">
      <alignment horizontal="right" vertical="top"/>
    </xf>
    <xf numFmtId="0" fontId="0" fillId="16" borderId="31" xfId="0" applyFill="1" applyBorder="1" applyAlignment="1">
      <alignment horizontal="right" vertical="top"/>
    </xf>
    <xf numFmtId="9" fontId="0" fillId="16" borderId="28" xfId="0" applyNumberFormat="1" applyFill="1" applyBorder="1" applyAlignment="1">
      <alignment horizontal="right" vertical="top"/>
    </xf>
    <xf numFmtId="0" fontId="0" fillId="16" borderId="28" xfId="0" applyFill="1" applyBorder="1" applyAlignment="1">
      <alignment horizontal="right" vertical="top"/>
    </xf>
    <xf numFmtId="170" fontId="0" fillId="16" borderId="0" xfId="2" applyNumberFormat="1" applyFont="1" applyFill="1" applyBorder="1" applyAlignment="1">
      <alignment horizontal="right" vertical="top"/>
    </xf>
    <xf numFmtId="166" fontId="0" fillId="16" borderId="28" xfId="3" applyNumberFormat="1" applyFont="1" applyFill="1" applyBorder="1" applyAlignment="1">
      <alignment horizontal="right" vertical="top"/>
    </xf>
    <xf numFmtId="0" fontId="40" fillId="17" borderId="61" xfId="0" applyFont="1" applyFill="1" applyBorder="1" applyAlignment="1">
      <alignment horizontal="center" vertical="center" wrapText="1"/>
    </xf>
    <xf numFmtId="170" fontId="37" fillId="16" borderId="1" xfId="2" applyNumberFormat="1" applyFont="1" applyFill="1" applyBorder="1" applyAlignment="1">
      <alignment vertical="center" wrapText="1"/>
    </xf>
    <xf numFmtId="9" fontId="37" fillId="16" borderId="52" xfId="1" applyFont="1" applyFill="1" applyBorder="1" applyAlignment="1">
      <alignment vertical="center" wrapText="1"/>
    </xf>
    <xf numFmtId="0" fontId="37" fillId="16" borderId="53" xfId="0" applyFont="1" applyFill="1" applyBorder="1" applyAlignment="1">
      <alignment vertical="center" wrapText="1"/>
    </xf>
    <xf numFmtId="0" fontId="37" fillId="16" borderId="27" xfId="0" applyFont="1" applyFill="1" applyBorder="1" applyAlignment="1">
      <alignment horizontal="left" vertical="center"/>
    </xf>
    <xf numFmtId="9" fontId="0" fillId="16" borderId="28" xfId="1" applyFont="1" applyFill="1" applyBorder="1" applyAlignment="1">
      <alignment horizontal="left" vertical="center"/>
    </xf>
    <xf numFmtId="0" fontId="37" fillId="16" borderId="28" xfId="0" applyFont="1" applyFill="1" applyBorder="1" applyAlignment="1">
      <alignment horizontal="left" vertical="center"/>
    </xf>
    <xf numFmtId="0" fontId="0" fillId="16" borderId="28" xfId="1" applyNumberFormat="1" applyFont="1" applyFill="1" applyBorder="1" applyAlignment="1">
      <alignment horizontal="left" vertical="center"/>
    </xf>
    <xf numFmtId="0" fontId="37" fillId="16" borderId="33" xfId="0" applyFont="1" applyFill="1" applyBorder="1" applyAlignment="1">
      <alignment horizontal="left" vertical="center"/>
    </xf>
    <xf numFmtId="0" fontId="37" fillId="16" borderId="0" xfId="0" applyFont="1" applyFill="1" applyBorder="1" applyAlignment="1">
      <alignment horizontal="left" vertical="center"/>
    </xf>
    <xf numFmtId="2" fontId="0" fillId="16" borderId="28" xfId="0" applyNumberFormat="1" applyFill="1" applyBorder="1" applyAlignment="1">
      <alignment horizontal="left" vertical="center"/>
    </xf>
    <xf numFmtId="0" fontId="37" fillId="16" borderId="31" xfId="0" applyFont="1" applyFill="1" applyBorder="1" applyAlignment="1">
      <alignment horizontal="left" vertical="center"/>
    </xf>
    <xf numFmtId="0" fontId="37" fillId="16" borderId="24" xfId="0" applyFont="1" applyFill="1" applyBorder="1" applyAlignment="1">
      <alignment vertical="center"/>
    </xf>
    <xf numFmtId="170" fontId="0" fillId="16" borderId="25" xfId="2" applyNumberFormat="1" applyFont="1" applyFill="1" applyBorder="1" applyAlignment="1">
      <alignment vertical="center" wrapText="1"/>
    </xf>
    <xf numFmtId="0" fontId="37" fillId="16" borderId="25" xfId="0" applyFont="1" applyFill="1" applyBorder="1" applyAlignment="1">
      <alignment vertical="center"/>
    </xf>
    <xf numFmtId="0" fontId="0" fillId="16" borderId="25" xfId="0" applyFill="1" applyBorder="1" applyAlignment="1">
      <alignment vertical="center"/>
    </xf>
    <xf numFmtId="0" fontId="0" fillId="16" borderId="26" xfId="0" applyFill="1" applyBorder="1" applyAlignment="1">
      <alignment vertical="center"/>
    </xf>
    <xf numFmtId="0" fontId="37" fillId="16" borderId="28" xfId="0" applyFont="1" applyFill="1" applyBorder="1" applyAlignment="1">
      <alignment horizontal="justify" vertical="center"/>
    </xf>
    <xf numFmtId="9" fontId="0" fillId="16" borderId="31" xfId="1" applyFont="1" applyFill="1" applyBorder="1"/>
    <xf numFmtId="175" fontId="0" fillId="16" borderId="31" xfId="2" applyNumberFormat="1" applyFont="1" applyFill="1" applyBorder="1"/>
    <xf numFmtId="0" fontId="0" fillId="16" borderId="29" xfId="0" applyNumberFormat="1" applyFill="1" applyBorder="1"/>
    <xf numFmtId="0" fontId="0" fillId="16" borderId="32" xfId="0" applyNumberFormat="1" applyFill="1" applyBorder="1"/>
    <xf numFmtId="0" fontId="0" fillId="16" borderId="26" xfId="0" applyNumberFormat="1" applyFill="1" applyBorder="1"/>
    <xf numFmtId="9" fontId="0" fillId="16" borderId="25" xfId="0" applyNumberFormat="1" applyFill="1" applyBorder="1"/>
    <xf numFmtId="0" fontId="0" fillId="16" borderId="25" xfId="0" quotePrefix="1" applyFill="1" applyBorder="1"/>
    <xf numFmtId="44" fontId="0" fillId="16" borderId="28" xfId="0" applyNumberFormat="1" applyFill="1" applyBorder="1"/>
    <xf numFmtId="0" fontId="0" fillId="16" borderId="34" xfId="0" applyNumberFormat="1" applyFill="1" applyBorder="1"/>
    <xf numFmtId="0" fontId="135" fillId="16" borderId="0" xfId="7" applyFill="1" applyBorder="1" applyAlignment="1">
      <alignment vertical="center"/>
    </xf>
    <xf numFmtId="0" fontId="0" fillId="16" borderId="24" xfId="0" applyFill="1" applyBorder="1" applyAlignment="1">
      <alignment vertical="center"/>
    </xf>
    <xf numFmtId="0" fontId="0" fillId="16" borderId="27" xfId="0" applyFill="1" applyBorder="1" applyAlignment="1">
      <alignment vertical="top"/>
    </xf>
    <xf numFmtId="0" fontId="0" fillId="16" borderId="28" xfId="0" applyFill="1" applyBorder="1" applyAlignment="1">
      <alignment vertical="top"/>
    </xf>
    <xf numFmtId="0" fontId="0" fillId="16" borderId="30" xfId="0" applyFill="1" applyBorder="1" applyAlignment="1">
      <alignment vertical="top"/>
    </xf>
    <xf numFmtId="0" fontId="0" fillId="16" borderId="29" xfId="0" applyFill="1" applyBorder="1" applyAlignment="1">
      <alignment vertical="top"/>
    </xf>
    <xf numFmtId="0" fontId="0" fillId="16" borderId="32" xfId="0" applyFill="1" applyBorder="1" applyAlignment="1">
      <alignment vertical="top"/>
    </xf>
    <xf numFmtId="10" fontId="0" fillId="16" borderId="0" xfId="0" applyNumberFormat="1" applyFill="1" applyBorder="1"/>
    <xf numFmtId="169" fontId="0" fillId="16" borderId="28" xfId="0" applyNumberFormat="1" applyFill="1" applyBorder="1"/>
    <xf numFmtId="10" fontId="0" fillId="0" borderId="28" xfId="0" applyNumberFormat="1" applyBorder="1" applyAlignment="1">
      <alignment vertical="center"/>
    </xf>
    <xf numFmtId="9" fontId="0" fillId="0" borderId="28" xfId="0" applyNumberFormat="1" applyBorder="1" applyAlignment="1">
      <alignment vertical="center"/>
    </xf>
    <xf numFmtId="169" fontId="0" fillId="16" borderId="45" xfId="1" applyNumberFormat="1" applyFont="1" applyFill="1" applyBorder="1"/>
    <xf numFmtId="0" fontId="36" fillId="18" borderId="0" xfId="0" applyFont="1" applyFill="1"/>
    <xf numFmtId="0" fontId="0" fillId="16" borderId="1" xfId="0" applyFill="1" applyBorder="1" applyAlignment="1">
      <alignment vertical="center"/>
    </xf>
    <xf numFmtId="14" fontId="8" fillId="0" borderId="0" xfId="0" applyNumberFormat="1" applyFont="1"/>
    <xf numFmtId="14" fontId="0" fillId="0" borderId="0" xfId="0" applyNumberFormat="1"/>
    <xf numFmtId="0" fontId="8" fillId="19" borderId="26" xfId="0" applyFont="1" applyFill="1" applyBorder="1" applyAlignment="1">
      <alignment horizontal="center" vertical="center" wrapText="1"/>
    </xf>
    <xf numFmtId="9" fontId="8" fillId="0" borderId="0" xfId="1" applyFont="1"/>
    <xf numFmtId="9" fontId="8" fillId="19" borderId="25" xfId="1" applyFont="1" applyFill="1" applyBorder="1"/>
    <xf numFmtId="0" fontId="0" fillId="16" borderId="27" xfId="0" quotePrefix="1" applyFill="1" applyBorder="1"/>
    <xf numFmtId="0" fontId="83" fillId="16" borderId="54" xfId="0" applyFont="1" applyFill="1" applyBorder="1" applyAlignment="1">
      <alignment horizontal="center"/>
    </xf>
    <xf numFmtId="0" fontId="83" fillId="16" borderId="26" xfId="0" applyFont="1" applyFill="1" applyBorder="1" applyAlignment="1">
      <alignment horizontal="center"/>
    </xf>
    <xf numFmtId="5" fontId="0" fillId="16" borderId="0" xfId="0" applyNumberFormat="1" applyFill="1" applyBorder="1"/>
    <xf numFmtId="43" fontId="32" fillId="21" borderId="54" xfId="2" applyFont="1" applyFill="1" applyBorder="1"/>
    <xf numFmtId="0" fontId="0" fillId="21" borderId="25" xfId="0" applyFont="1" applyFill="1" applyBorder="1"/>
    <xf numFmtId="0" fontId="22" fillId="16" borderId="28" xfId="0" applyFont="1" applyFill="1" applyBorder="1"/>
    <xf numFmtId="43" fontId="0" fillId="16" borderId="32" xfId="0" applyNumberFormat="1" applyFill="1" applyBorder="1"/>
    <xf numFmtId="43" fontId="8" fillId="16" borderId="31" xfId="0" applyNumberFormat="1" applyFont="1" applyFill="1" applyBorder="1"/>
    <xf numFmtId="43" fontId="0" fillId="16" borderId="31" xfId="2" applyNumberFormat="1" applyFont="1" applyFill="1" applyBorder="1"/>
    <xf numFmtId="43" fontId="0" fillId="12" borderId="37" xfId="2" applyNumberFormat="1" applyFont="1" applyFill="1" applyBorder="1"/>
    <xf numFmtId="9" fontId="8" fillId="21" borderId="54" xfId="2" applyNumberFormat="1" applyFont="1" applyFill="1" applyBorder="1"/>
    <xf numFmtId="179" fontId="0" fillId="21" borderId="54" xfId="2" applyNumberFormat="1" applyFont="1" applyFill="1" applyBorder="1"/>
    <xf numFmtId="170" fontId="0" fillId="21" borderId="54" xfId="2" applyNumberFormat="1" applyFont="1" applyFill="1" applyBorder="1"/>
    <xf numFmtId="43" fontId="0" fillId="12" borderId="26" xfId="2" applyFont="1" applyFill="1" applyBorder="1"/>
    <xf numFmtId="43" fontId="0" fillId="12" borderId="32" xfId="2" applyFont="1" applyFill="1" applyBorder="1"/>
    <xf numFmtId="0" fontId="36" fillId="26" borderId="24" xfId="0" applyFont="1" applyFill="1" applyBorder="1" applyAlignment="1">
      <alignment vertical="center"/>
    </xf>
    <xf numFmtId="0" fontId="36" fillId="26" borderId="25" xfId="0" applyFont="1" applyFill="1" applyBorder="1" applyAlignment="1">
      <alignment vertical="center"/>
    </xf>
    <xf numFmtId="0" fontId="36" fillId="26" borderId="54" xfId="0" applyFont="1" applyFill="1" applyBorder="1" applyAlignment="1">
      <alignment vertical="center"/>
    </xf>
    <xf numFmtId="0" fontId="36" fillId="26" borderId="54" xfId="0" applyFont="1" applyFill="1" applyBorder="1" applyAlignment="1">
      <alignment vertical="center" wrapText="1"/>
    </xf>
    <xf numFmtId="170" fontId="36" fillId="26" borderId="25" xfId="2" applyNumberFormat="1" applyFont="1" applyFill="1" applyBorder="1" applyAlignment="1">
      <alignment vertical="center"/>
    </xf>
    <xf numFmtId="0" fontId="139" fillId="30" borderId="27" xfId="0" applyFont="1" applyFill="1" applyBorder="1" applyAlignment="1">
      <alignment horizontal="center" vertical="center" wrapText="1"/>
    </xf>
    <xf numFmtId="0" fontId="139" fillId="30" borderId="28" xfId="0" applyFont="1" applyFill="1" applyBorder="1" applyAlignment="1">
      <alignment horizontal="center" vertical="center" wrapText="1"/>
    </xf>
    <xf numFmtId="0" fontId="139" fillId="30" borderId="104"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40" fillId="0" borderId="107" xfId="0" applyFont="1" applyBorder="1" applyAlignment="1">
      <alignment horizontal="center" vertical="center"/>
    </xf>
    <xf numFmtId="0" fontId="140" fillId="0" borderId="108" xfId="0" applyFont="1" applyBorder="1" applyAlignment="1">
      <alignment horizontal="center" vertical="center" wrapText="1"/>
    </xf>
    <xf numFmtId="0" fontId="141" fillId="0" borderId="108" xfId="0" applyFont="1" applyBorder="1" applyAlignment="1">
      <alignment horizontal="center" vertical="center" wrapText="1"/>
    </xf>
    <xf numFmtId="0" fontId="142" fillId="0" borderId="108" xfId="0" applyFont="1" applyBorder="1" applyAlignment="1">
      <alignment horizontal="center" vertical="center" wrapText="1"/>
    </xf>
    <xf numFmtId="0" fontId="141" fillId="0" borderId="109" xfId="0" applyFont="1" applyBorder="1" applyAlignment="1">
      <alignment horizontal="center" vertical="center" wrapText="1"/>
    </xf>
    <xf numFmtId="0" fontId="140" fillId="29" borderId="107" xfId="0" applyFont="1" applyFill="1" applyBorder="1" applyAlignment="1">
      <alignment horizontal="center" vertical="center"/>
    </xf>
    <xf numFmtId="0" fontId="140" fillId="29" borderId="108" xfId="0" applyFont="1" applyFill="1" applyBorder="1" applyAlignment="1">
      <alignment horizontal="center" vertical="center" wrapText="1"/>
    </xf>
    <xf numFmtId="0" fontId="141" fillId="29" borderId="108" xfId="0" applyFont="1" applyFill="1" applyBorder="1" applyAlignment="1">
      <alignment horizontal="center" vertical="center" wrapText="1"/>
    </xf>
    <xf numFmtId="0" fontId="142" fillId="29" borderId="108" xfId="0" applyFont="1" applyFill="1" applyBorder="1" applyAlignment="1">
      <alignment horizontal="center" vertical="center" wrapText="1"/>
    </xf>
    <xf numFmtId="0" fontId="141" fillId="29" borderId="109" xfId="0" applyFont="1" applyFill="1" applyBorder="1" applyAlignment="1">
      <alignment horizontal="center" vertical="center" wrapText="1"/>
    </xf>
    <xf numFmtId="0" fontId="34" fillId="26" borderId="54" xfId="0" applyFont="1" applyFill="1" applyBorder="1"/>
    <xf numFmtId="0" fontId="140" fillId="0" borderId="31" xfId="0" applyFont="1" applyBorder="1" applyAlignment="1">
      <alignment horizontal="center" vertical="center" wrapText="1"/>
    </xf>
    <xf numFmtId="0" fontId="141" fillId="0" borderId="31" xfId="0" applyFont="1" applyBorder="1" applyAlignment="1">
      <alignment horizontal="center" vertical="center" wrapText="1"/>
    </xf>
    <xf numFmtId="0" fontId="142" fillId="0" borderId="31" xfId="0" applyFont="1" applyBorder="1" applyAlignment="1">
      <alignment horizontal="center" vertical="center" wrapText="1"/>
    </xf>
    <xf numFmtId="0" fontId="141" fillId="0" borderId="32" xfId="0" applyFont="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40" fillId="0" borderId="50" xfId="0" applyFont="1" applyBorder="1" applyAlignment="1">
      <alignment horizontal="center" vertical="center" wrapText="1"/>
    </xf>
    <xf numFmtId="0" fontId="140" fillId="0" borderId="1" xfId="0" applyFont="1" applyBorder="1" applyAlignment="1">
      <alignment horizontal="center" vertical="center" wrapText="1"/>
    </xf>
    <xf numFmtId="0" fontId="141" fillId="0" borderId="1" xfId="0" applyFont="1" applyBorder="1" applyAlignment="1">
      <alignment horizontal="center" vertical="center" wrapText="1"/>
    </xf>
    <xf numFmtId="0" fontId="142" fillId="0" borderId="1" xfId="0" applyFont="1" applyBorder="1" applyAlignment="1">
      <alignment horizontal="center" vertical="center" wrapText="1"/>
    </xf>
    <xf numFmtId="0" fontId="141" fillId="0" borderId="51" xfId="0" applyFont="1" applyBorder="1" applyAlignment="1">
      <alignment horizontal="center" vertical="center" wrapText="1"/>
    </xf>
    <xf numFmtId="0" fontId="140" fillId="29" borderId="50" xfId="0" applyFont="1" applyFill="1" applyBorder="1" applyAlignment="1">
      <alignment horizontal="center" vertical="center" wrapText="1"/>
    </xf>
    <xf numFmtId="0" fontId="140" fillId="29" borderId="1" xfId="0" applyFont="1" applyFill="1" applyBorder="1" applyAlignment="1">
      <alignment horizontal="center" vertical="center" wrapText="1"/>
    </xf>
    <xf numFmtId="0" fontId="141" fillId="29" borderId="1" xfId="0" applyFont="1" applyFill="1" applyBorder="1" applyAlignment="1">
      <alignment horizontal="center" vertical="center" wrapText="1"/>
    </xf>
    <xf numFmtId="0" fontId="142" fillId="29" borderId="1" xfId="0" applyFont="1" applyFill="1" applyBorder="1" applyAlignment="1">
      <alignment horizontal="center" vertical="center" wrapText="1"/>
    </xf>
    <xf numFmtId="0" fontId="141" fillId="29" borderId="51" xfId="0" applyFont="1" applyFill="1" applyBorder="1" applyAlignment="1">
      <alignment horizontal="center" vertical="center" wrapText="1"/>
    </xf>
    <xf numFmtId="0" fontId="143" fillId="0" borderId="1" xfId="0" applyFont="1" applyBorder="1" applyAlignment="1">
      <alignment horizontal="center" vertical="center" wrapText="1"/>
    </xf>
    <xf numFmtId="0" fontId="143" fillId="29" borderId="1" xfId="0" applyFont="1" applyFill="1" applyBorder="1" applyAlignment="1">
      <alignment horizontal="center" vertical="center" wrapText="1"/>
    </xf>
    <xf numFmtId="0" fontId="140" fillId="0" borderId="45" xfId="0" applyFont="1" applyBorder="1" applyAlignment="1">
      <alignment horizontal="center" vertical="center" wrapText="1"/>
    </xf>
    <xf numFmtId="0" fontId="141" fillId="0" borderId="45" xfId="0" applyFont="1" applyBorder="1" applyAlignment="1">
      <alignment horizontal="center" vertical="center" wrapText="1"/>
    </xf>
    <xf numFmtId="0" fontId="142" fillId="0" borderId="45" xfId="0" applyFont="1" applyBorder="1" applyAlignment="1">
      <alignment horizontal="center" vertical="center" wrapText="1"/>
    </xf>
    <xf numFmtId="0" fontId="141" fillId="0" borderId="53" xfId="0" applyFont="1" applyBorder="1" applyAlignment="1">
      <alignment horizontal="center" vertical="center" wrapText="1"/>
    </xf>
    <xf numFmtId="0" fontId="141" fillId="0" borderId="50" xfId="0" applyFont="1" applyBorder="1" applyAlignment="1">
      <alignment horizontal="center" vertical="center" wrapText="1"/>
    </xf>
    <xf numFmtId="0" fontId="141" fillId="29" borderId="50" xfId="0" applyFont="1" applyFill="1" applyBorder="1" applyAlignment="1">
      <alignment horizontal="center" vertical="center" wrapText="1"/>
    </xf>
    <xf numFmtId="0" fontId="140" fillId="29" borderId="45" xfId="0" applyFont="1" applyFill="1" applyBorder="1" applyAlignment="1">
      <alignment horizontal="center" vertical="center" wrapText="1"/>
    </xf>
    <xf numFmtId="0" fontId="141" fillId="29" borderId="45" xfId="0" applyFont="1" applyFill="1" applyBorder="1" applyAlignment="1">
      <alignment horizontal="center" vertical="center" wrapText="1"/>
    </xf>
    <xf numFmtId="0" fontId="142" fillId="29" borderId="45" xfId="0" applyFont="1" applyFill="1" applyBorder="1" applyAlignment="1">
      <alignment horizontal="center" vertical="center" wrapText="1"/>
    </xf>
    <xf numFmtId="0" fontId="141" fillId="29" borderId="53" xfId="0" applyFont="1" applyFill="1" applyBorder="1" applyAlignment="1">
      <alignment horizontal="center" vertical="center" wrapText="1"/>
    </xf>
    <xf numFmtId="175" fontId="8" fillId="21" borderId="54" xfId="2" applyNumberFormat="1" applyFont="1" applyFill="1" applyBorder="1"/>
    <xf numFmtId="0" fontId="139" fillId="30" borderId="48"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40" fillId="0" borderId="50" xfId="0" applyFont="1" applyBorder="1" applyAlignment="1">
      <alignment horizontal="center" vertical="center"/>
    </xf>
    <xf numFmtId="0" fontId="140" fillId="0" borderId="51" xfId="0" applyFont="1" applyBorder="1" applyAlignment="1">
      <alignment horizontal="center" vertical="center" wrapText="1"/>
    </xf>
    <xf numFmtId="0" fontId="140" fillId="29" borderId="50" xfId="0" applyFont="1" applyFill="1" applyBorder="1" applyAlignment="1">
      <alignment horizontal="center" vertical="center"/>
    </xf>
    <xf numFmtId="0" fontId="140" fillId="29" borderId="51" xfId="0" applyFont="1" applyFill="1" applyBorder="1" applyAlignment="1">
      <alignment horizontal="center" vertical="center" wrapText="1"/>
    </xf>
    <xf numFmtId="3" fontId="140" fillId="29" borderId="50" xfId="0" applyNumberFormat="1" applyFont="1" applyFill="1" applyBorder="1" applyAlignment="1">
      <alignment horizontal="center" vertical="center" wrapText="1"/>
    </xf>
    <xf numFmtId="3" fontId="140" fillId="29" borderId="1" xfId="0" applyNumberFormat="1" applyFont="1" applyFill="1" applyBorder="1" applyAlignment="1">
      <alignment horizontal="center" vertical="center" wrapText="1"/>
    </xf>
    <xf numFmtId="3" fontId="140" fillId="0" borderId="50" xfId="0" applyNumberFormat="1" applyFont="1" applyBorder="1" applyAlignment="1">
      <alignment horizontal="center" vertical="center" wrapText="1"/>
    </xf>
    <xf numFmtId="3" fontId="140" fillId="0" borderId="1" xfId="0" applyNumberFormat="1" applyFont="1" applyBorder="1" applyAlignment="1">
      <alignment horizontal="center" vertical="center" wrapText="1"/>
    </xf>
    <xf numFmtId="0" fontId="140" fillId="0" borderId="53" xfId="0" applyFont="1" applyBorder="1" applyAlignment="1">
      <alignment horizontal="center" vertical="center" wrapText="1"/>
    </xf>
    <xf numFmtId="0" fontId="140" fillId="29" borderId="52" xfId="0" applyFont="1" applyFill="1" applyBorder="1" applyAlignment="1">
      <alignment horizontal="center" vertical="center" wrapText="1"/>
    </xf>
    <xf numFmtId="0" fontId="8" fillId="16" borderId="32" xfId="0" applyFont="1" applyFill="1" applyBorder="1"/>
    <xf numFmtId="0" fontId="1" fillId="0" borderId="0" xfId="0" applyFont="1"/>
    <xf numFmtId="0" fontId="1" fillId="10" borderId="0" xfId="0" applyFont="1" applyFill="1" applyAlignment="1"/>
    <xf numFmtId="0" fontId="4" fillId="31" borderId="1" xfId="0" applyFont="1" applyFill="1" applyBorder="1" applyAlignment="1">
      <alignment horizontal="center" vertical="center" wrapText="1"/>
    </xf>
    <xf numFmtId="0" fontId="1" fillId="0" borderId="0" xfId="0" applyFont="1" applyAlignment="1">
      <alignment horizontal="center" vertical="center" wrapText="1"/>
    </xf>
    <xf numFmtId="0" fontId="7" fillId="31" borderId="1" xfId="0" applyFont="1" applyFill="1" applyBorder="1" applyAlignment="1">
      <alignment horizontal="center" vertical="center" wrapText="1"/>
    </xf>
    <xf numFmtId="0" fontId="5" fillId="0" borderId="1"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0" fillId="0" borderId="1" xfId="0" applyFont="1" applyBorder="1" applyAlignment="1">
      <alignment vertical="center"/>
    </xf>
    <xf numFmtId="0" fontId="20" fillId="0" borderId="3" xfId="0" applyFont="1" applyBorder="1" applyAlignment="1">
      <alignment vertical="center"/>
    </xf>
    <xf numFmtId="0" fontId="4" fillId="0" borderId="1"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 fillId="0" borderId="0" xfId="0" applyFont="1" applyAlignment="1">
      <alignment vertical="center" wrapText="1"/>
    </xf>
    <xf numFmtId="3" fontId="4" fillId="0" borderId="1" xfId="0" applyNumberFormat="1" applyFont="1" applyBorder="1" applyAlignment="1">
      <alignment horizontal="center" vertical="center" wrapText="1"/>
    </xf>
    <xf numFmtId="0" fontId="22" fillId="0" borderId="1" xfId="0" applyFont="1" applyBorder="1" applyAlignment="1">
      <alignment vertical="center"/>
    </xf>
    <xf numFmtId="0" fontId="8" fillId="0" borderId="1" xfId="0" applyFont="1" applyBorder="1" applyAlignment="1">
      <alignment horizontal="center" vertical="center"/>
    </xf>
    <xf numFmtId="0" fontId="8" fillId="0" borderId="1" xfId="0" applyFont="1" applyBorder="1" applyAlignment="1">
      <alignment vertical="center"/>
    </xf>
    <xf numFmtId="0" fontId="21" fillId="0" borderId="1" xfId="0" applyFont="1" applyBorder="1" applyAlignment="1">
      <alignment vertical="center"/>
    </xf>
    <xf numFmtId="0" fontId="21" fillId="0" borderId="3" xfId="0" applyFont="1" applyBorder="1" applyAlignment="1">
      <alignment vertical="center"/>
    </xf>
    <xf numFmtId="0" fontId="22" fillId="0" borderId="5" xfId="0" applyFont="1" applyBorder="1" applyAlignment="1">
      <alignment horizontal="center" vertical="center"/>
    </xf>
    <xf numFmtId="0" fontId="22" fillId="0" borderId="1" xfId="0" applyFont="1" applyBorder="1" applyAlignment="1">
      <alignment horizontal="center" vertical="center"/>
    </xf>
    <xf numFmtId="0" fontId="5"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xf>
    <xf numFmtId="0" fontId="21" fillId="0" borderId="2" xfId="0" applyFont="1" applyBorder="1" applyAlignment="1">
      <alignment vertical="center"/>
    </xf>
    <xf numFmtId="0" fontId="21" fillId="0" borderId="8" xfId="0" applyFont="1" applyBorder="1" applyAlignment="1">
      <alignment vertical="center"/>
    </xf>
    <xf numFmtId="0" fontId="23" fillId="0" borderId="12" xfId="0" applyFont="1" applyBorder="1" applyAlignment="1">
      <alignment horizontal="center" vertical="center"/>
    </xf>
    <xf numFmtId="0" fontId="23" fillId="0" borderId="10" xfId="0" applyFont="1" applyBorder="1" applyAlignment="1">
      <alignment horizontal="center" vertical="center"/>
    </xf>
    <xf numFmtId="0" fontId="23" fillId="0" borderId="10" xfId="0" applyFont="1" applyBorder="1" applyAlignment="1">
      <alignment vertical="center"/>
    </xf>
    <xf numFmtId="0" fontId="5" fillId="0" borderId="11" xfId="0" applyFont="1" applyBorder="1" applyAlignment="1">
      <alignment vertical="center"/>
    </xf>
    <xf numFmtId="3" fontId="5" fillId="9" borderId="11" xfId="0" applyNumberFormat="1" applyFont="1" applyFill="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31" borderId="1" xfId="0" applyFont="1" applyFill="1" applyBorder="1" applyAlignment="1">
      <alignment horizontal="center" vertical="center" wrapText="1"/>
    </xf>
    <xf numFmtId="0" fontId="7" fillId="31" borderId="1" xfId="0" applyFont="1" applyFill="1" applyBorder="1" applyAlignment="1" applyProtection="1">
      <alignment horizontal="center" vertical="center" wrapText="1"/>
    </xf>
    <xf numFmtId="0" fontId="25" fillId="31" borderId="1" xfId="0" applyFont="1" applyFill="1" applyBorder="1" applyAlignment="1" applyProtection="1">
      <alignment horizontal="center" vertical="center"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3" fontId="1" fillId="0" borderId="1" xfId="0" applyNumberFormat="1" applyFont="1" applyBorder="1" applyAlignment="1">
      <alignment horizontal="center" wrapText="1"/>
    </xf>
    <xf numFmtId="0" fontId="34" fillId="18" borderId="25" xfId="0" applyFont="1" applyFill="1" applyBorder="1" applyAlignment="1">
      <alignment horizontal="center"/>
    </xf>
    <xf numFmtId="0" fontId="8" fillId="19" borderId="1" xfId="0" applyFont="1" applyFill="1" applyBorder="1" applyAlignment="1">
      <alignment horizontal="center"/>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8" fillId="19" borderId="19" xfId="0" applyFont="1" applyFill="1" applyBorder="1" applyAlignment="1">
      <alignment horizontal="center"/>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8" fillId="19" borderId="17"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40" fillId="17" borderId="1" xfId="0" applyFont="1" applyFill="1" applyBorder="1" applyAlignment="1">
      <alignment horizontal="center"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43" fillId="16" borderId="1" xfId="1" applyNumberFormat="1" applyFont="1" applyFill="1" applyBorder="1" applyAlignment="1">
      <alignment wrapText="1"/>
    </xf>
    <xf numFmtId="10" fontId="0" fillId="0" borderId="0" xfId="1" applyNumberFormat="1" applyFont="1"/>
    <xf numFmtId="0" fontId="82" fillId="20" borderId="55" xfId="0" applyFont="1" applyFill="1" applyBorder="1" applyAlignment="1">
      <alignment horizontal="center" vertical="center"/>
    </xf>
    <xf numFmtId="0" fontId="144" fillId="16" borderId="55" xfId="0" applyFont="1" applyFill="1" applyBorder="1" applyAlignment="1">
      <alignment vertical="center"/>
    </xf>
    <xf numFmtId="0" fontId="145" fillId="16" borderId="29" xfId="0" applyFont="1" applyFill="1" applyBorder="1" applyAlignment="1">
      <alignment horizontal="left" vertical="center"/>
    </xf>
    <xf numFmtId="0" fontId="145" fillId="16" borderId="26" xfId="0" applyFont="1" applyFill="1" applyBorder="1" applyAlignment="1">
      <alignment horizontal="left" vertical="center"/>
    </xf>
    <xf numFmtId="0" fontId="145" fillId="16" borderId="32" xfId="0" applyFont="1" applyFill="1" applyBorder="1" applyAlignment="1">
      <alignment horizontal="left" vertical="center"/>
    </xf>
    <xf numFmtId="0" fontId="145" fillId="16" borderId="34" xfId="0" applyFont="1" applyFill="1" applyBorder="1" applyAlignment="1">
      <alignment horizontal="left" vertical="center"/>
    </xf>
    <xf numFmtId="0" fontId="145" fillId="16" borderId="54" xfId="0" applyFont="1" applyFill="1" applyBorder="1" applyAlignment="1">
      <alignment horizontal="left" vertical="center"/>
    </xf>
    <xf numFmtId="0" fontId="145" fillId="16" borderId="37" xfId="0" applyFont="1" applyFill="1" applyBorder="1" applyAlignment="1">
      <alignment horizontal="left" vertical="center"/>
    </xf>
    <xf numFmtId="0" fontId="144" fillId="16" borderId="54" xfId="0" applyFont="1" applyFill="1" applyBorder="1" applyAlignment="1">
      <alignment vertical="center"/>
    </xf>
    <xf numFmtId="0" fontId="0" fillId="23" borderId="54" xfId="0" applyFill="1" applyBorder="1" applyAlignment="1">
      <alignment vertical="top"/>
    </xf>
    <xf numFmtId="0" fontId="78" fillId="23" borderId="26" xfId="0" applyFont="1" applyFill="1" applyBorder="1" applyAlignment="1">
      <alignment horizontal="center" vertical="center"/>
    </xf>
    <xf numFmtId="0" fontId="78" fillId="23" borderId="26" xfId="0" applyFont="1" applyFill="1" applyBorder="1" applyAlignment="1">
      <alignment horizontal="center" vertical="center" wrapText="1"/>
    </xf>
    <xf numFmtId="0" fontId="78" fillId="23" borderId="37" xfId="0" applyFont="1" applyFill="1" applyBorder="1" applyAlignment="1">
      <alignment horizontal="left" vertical="center"/>
    </xf>
    <xf numFmtId="0" fontId="82" fillId="20" borderId="1" xfId="0" applyFont="1" applyFill="1" applyBorder="1"/>
    <xf numFmtId="0" fontId="82" fillId="20" borderId="16" xfId="0" applyFont="1" applyFill="1" applyBorder="1"/>
    <xf numFmtId="0" fontId="78" fillId="23" borderId="32" xfId="0" applyFont="1" applyFill="1" applyBorder="1" applyAlignment="1">
      <alignment horizontal="center" vertical="center" wrapText="1"/>
    </xf>
    <xf numFmtId="0" fontId="147" fillId="16" borderId="32" xfId="0" applyFont="1" applyFill="1" applyBorder="1" applyAlignment="1">
      <alignment horizontal="center" vertical="center"/>
    </xf>
    <xf numFmtId="0" fontId="147" fillId="16" borderId="54" xfId="0" applyFont="1" applyFill="1" applyBorder="1" applyAlignment="1">
      <alignment horizontal="center" vertical="center"/>
    </xf>
    <xf numFmtId="0" fontId="147" fillId="16" borderId="55" xfId="0" applyFont="1" applyFill="1" applyBorder="1" applyAlignment="1">
      <alignment vertical="center" wrapText="1"/>
    </xf>
    <xf numFmtId="0" fontId="147" fillId="16" borderId="54" xfId="0" applyFont="1" applyFill="1" applyBorder="1" applyAlignment="1">
      <alignment vertical="center" wrapText="1"/>
    </xf>
    <xf numFmtId="0" fontId="147" fillId="16" borderId="37" xfId="0" applyFont="1" applyFill="1" applyBorder="1" applyAlignment="1">
      <alignment vertical="center" wrapText="1"/>
    </xf>
    <xf numFmtId="2" fontId="35" fillId="16" borderId="0" xfId="0" applyNumberFormat="1" applyFont="1" applyFill="1" applyBorder="1"/>
    <xf numFmtId="0" fontId="78" fillId="23" borderId="1" xfId="0" applyFont="1" applyFill="1" applyBorder="1" applyAlignment="1">
      <alignment horizontal="left" vertical="center"/>
    </xf>
    <xf numFmtId="0" fontId="0" fillId="19" borderId="18" xfId="0" applyFill="1" applyBorder="1" applyAlignment="1">
      <alignment vertical="center" wrapText="1"/>
    </xf>
    <xf numFmtId="0" fontId="8" fillId="19" borderId="17" xfId="0" applyFont="1" applyFill="1" applyBorder="1" applyAlignment="1">
      <alignment vertical="center" wrapText="1"/>
    </xf>
    <xf numFmtId="0" fontId="8" fillId="19" borderId="18" xfId="0" applyFont="1" applyFill="1" applyBorder="1" applyAlignment="1">
      <alignment vertical="center" wrapText="1"/>
    </xf>
    <xf numFmtId="0" fontId="43" fillId="16" borderId="113" xfId="0" applyFont="1" applyFill="1" applyBorder="1" applyAlignment="1">
      <alignment wrapText="1"/>
    </xf>
    <xf numFmtId="0" fontId="0" fillId="16" borderId="113" xfId="0" applyFill="1" applyBorder="1"/>
    <xf numFmtId="1" fontId="0" fillId="16" borderId="17" xfId="0" applyNumberFormat="1" applyFont="1" applyFill="1" applyBorder="1" applyAlignment="1">
      <alignment horizontal="center" wrapText="1"/>
    </xf>
    <xf numFmtId="44" fontId="0" fillId="16" borderId="17" xfId="3" applyFont="1" applyFill="1" applyBorder="1" applyAlignment="1">
      <alignment horizontal="center" wrapText="1"/>
    </xf>
    <xf numFmtId="167" fontId="0" fillId="16" borderId="17" xfId="2" applyNumberFormat="1" applyFont="1" applyFill="1" applyBorder="1"/>
    <xf numFmtId="0" fontId="0" fillId="16" borderId="2" xfId="1" applyNumberFormat="1" applyFont="1" applyFill="1" applyBorder="1"/>
    <xf numFmtId="0" fontId="0" fillId="16" borderId="114" xfId="0" applyFill="1" applyBorder="1"/>
    <xf numFmtId="0" fontId="43" fillId="16" borderId="17" xfId="0" applyFont="1" applyFill="1" applyBorder="1" applyAlignment="1">
      <alignment wrapText="1"/>
    </xf>
    <xf numFmtId="9" fontId="37" fillId="16" borderId="17" xfId="1" applyFont="1" applyFill="1" applyBorder="1" applyAlignment="1">
      <alignment wrapText="1"/>
    </xf>
    <xf numFmtId="0" fontId="37" fillId="16" borderId="17" xfId="1" applyNumberFormat="1" applyFont="1" applyFill="1" applyBorder="1" applyAlignment="1">
      <alignment wrapText="1"/>
    </xf>
    <xf numFmtId="0" fontId="37" fillId="16" borderId="17" xfId="0" applyFont="1" applyFill="1" applyBorder="1" applyAlignment="1">
      <alignment wrapText="1"/>
    </xf>
    <xf numFmtId="10" fontId="92" fillId="16" borderId="17" xfId="1" applyNumberFormat="1" applyFont="1" applyFill="1" applyBorder="1"/>
    <xf numFmtId="10" fontId="0" fillId="16" borderId="17" xfId="1" applyNumberFormat="1" applyFont="1" applyFill="1" applyBorder="1"/>
    <xf numFmtId="169" fontId="0" fillId="16" borderId="17" xfId="1" applyNumberFormat="1" applyFont="1" applyFill="1" applyBorder="1"/>
    <xf numFmtId="0" fontId="8" fillId="19" borderId="57" xfId="0" applyFont="1" applyFill="1" applyBorder="1" applyAlignment="1">
      <alignment horizontal="center" wrapText="1"/>
    </xf>
    <xf numFmtId="0" fontId="40" fillId="17" borderId="3" xfId="0" applyFont="1" applyFill="1" applyBorder="1" applyAlignment="1">
      <alignment horizontal="center" vertical="center" wrapText="1"/>
    </xf>
    <xf numFmtId="0" fontId="40" fillId="17" borderId="1"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40" fillId="17" borderId="2" xfId="0" applyFont="1" applyFill="1" applyBorder="1" applyAlignment="1">
      <alignment horizontal="center" vertical="center" wrapText="1"/>
    </xf>
    <xf numFmtId="0" fontId="34" fillId="18" borderId="28" xfId="0" applyFont="1" applyFill="1" applyBorder="1" applyAlignment="1">
      <alignment horizontal="center"/>
    </xf>
    <xf numFmtId="10" fontId="0" fillId="0" borderId="0" xfId="1" applyNumberFormat="1" applyFont="1" applyBorder="1"/>
    <xf numFmtId="0" fontId="0" fillId="0" borderId="0" xfId="1" applyNumberFormat="1" applyFont="1" applyBorder="1"/>
    <xf numFmtId="0" fontId="122" fillId="16" borderId="30" xfId="0" applyFont="1" applyFill="1" applyBorder="1"/>
    <xf numFmtId="0" fontId="0" fillId="16" borderId="0" xfId="0" quotePrefix="1" applyFill="1" applyBorder="1" applyAlignment="1">
      <alignment vertical="top"/>
    </xf>
    <xf numFmtId="0" fontId="0" fillId="0" borderId="0" xfId="0" applyAlignment="1">
      <alignment horizontal="left" vertical="top" wrapText="1"/>
    </xf>
    <xf numFmtId="0" fontId="68" fillId="33" borderId="34" xfId="0" applyFont="1" applyFill="1" applyBorder="1" applyAlignment="1">
      <alignment horizontal="center" vertical="center" wrapText="1"/>
    </xf>
    <xf numFmtId="0" fontId="82" fillId="34" borderId="0" xfId="0" applyFont="1" applyFill="1" applyBorder="1" applyAlignment="1">
      <alignment vertical="center"/>
    </xf>
    <xf numFmtId="0" fontId="0" fillId="25" borderId="27" xfId="0" applyFill="1" applyBorder="1"/>
    <xf numFmtId="0" fontId="0" fillId="25" borderId="29" xfId="0" applyFill="1" applyBorder="1"/>
    <xf numFmtId="0" fontId="40" fillId="17" borderId="37" xfId="0" applyFont="1" applyFill="1" applyBorder="1" applyAlignment="1">
      <alignment horizontal="center" vertical="center"/>
    </xf>
    <xf numFmtId="0" fontId="40" fillId="17" borderId="32" xfId="0" applyFont="1" applyFill="1" applyBorder="1" applyAlignment="1">
      <alignment horizontal="center" vertical="center"/>
    </xf>
    <xf numFmtId="170" fontId="37" fillId="16" borderId="17" xfId="2" applyNumberFormat="1" applyFont="1" applyFill="1" applyBorder="1" applyAlignment="1">
      <alignment wrapText="1"/>
    </xf>
    <xf numFmtId="43" fontId="38" fillId="16" borderId="17" xfId="2" applyFont="1" applyFill="1" applyBorder="1"/>
    <xf numFmtId="170" fontId="43" fillId="16" borderId="17" xfId="2" applyNumberFormat="1" applyFont="1" applyFill="1" applyBorder="1" applyAlignment="1">
      <alignment wrapText="1"/>
    </xf>
    <xf numFmtId="43" fontId="43" fillId="16" borderId="17" xfId="2" applyFont="1" applyFill="1" applyBorder="1" applyAlignment="1">
      <alignment wrapText="1"/>
    </xf>
    <xf numFmtId="170" fontId="43" fillId="16" borderId="19" xfId="2" applyNumberFormat="1" applyFont="1" applyFill="1" applyBorder="1" applyAlignment="1">
      <alignment wrapText="1"/>
    </xf>
    <xf numFmtId="0" fontId="35" fillId="0" borderId="0" xfId="0" applyFont="1" applyBorder="1"/>
    <xf numFmtId="0" fontId="55" fillId="16" borderId="35" xfId="0" applyFont="1" applyFill="1" applyBorder="1"/>
    <xf numFmtId="0" fontId="8" fillId="19" borderId="18" xfId="0" applyFont="1" applyFill="1" applyBorder="1"/>
    <xf numFmtId="0" fontId="8" fillId="19" borderId="18" xfId="0" applyFont="1" applyFill="1" applyBorder="1" applyAlignment="1">
      <alignment horizontal="center"/>
    </xf>
    <xf numFmtId="0" fontId="42" fillId="19" borderId="18" xfId="0" applyFont="1" applyFill="1" applyBorder="1" applyAlignment="1">
      <alignment horizontal="center"/>
    </xf>
    <xf numFmtId="0" fontId="8" fillId="19" borderId="23" xfId="0" applyFont="1" applyFill="1" applyBorder="1" applyAlignment="1">
      <alignment horizontal="center"/>
    </xf>
    <xf numFmtId="10" fontId="43" fillId="19" borderId="17" xfId="1" applyNumberFormat="1" applyFont="1" applyFill="1" applyBorder="1" applyAlignment="1">
      <alignment wrapText="1"/>
    </xf>
    <xf numFmtId="0" fontId="43" fillId="19" borderId="17" xfId="0" applyFont="1" applyFill="1" applyBorder="1" applyAlignment="1">
      <alignment wrapText="1"/>
    </xf>
    <xf numFmtId="0" fontId="43" fillId="19" borderId="19" xfId="0" applyFont="1" applyFill="1" applyBorder="1" applyAlignment="1">
      <alignment wrapText="1"/>
    </xf>
    <xf numFmtId="0" fontId="0" fillId="0" borderId="0" xfId="0" applyAlignment="1">
      <alignment vertical="top"/>
    </xf>
    <xf numFmtId="0" fontId="0" fillId="0" borderId="0" xfId="0" applyAlignment="1">
      <alignment horizontal="left" vertical="top"/>
    </xf>
    <xf numFmtId="0" fontId="0" fillId="20" borderId="50" xfId="0" applyFill="1" applyBorder="1" applyAlignment="1">
      <alignment horizontal="center" vertical="center"/>
    </xf>
    <xf numFmtId="0" fontId="0" fillId="20" borderId="1" xfId="0" applyFill="1" applyBorder="1" applyAlignment="1">
      <alignment horizontal="center" vertical="center"/>
    </xf>
    <xf numFmtId="3" fontId="0" fillId="16" borderId="1" xfId="0" applyNumberFormat="1" applyFill="1" applyBorder="1"/>
    <xf numFmtId="0" fontId="8" fillId="19" borderId="18" xfId="0" applyFont="1" applyFill="1" applyBorder="1" applyAlignment="1"/>
    <xf numFmtId="0" fontId="8" fillId="16" borderId="18" xfId="0" applyFont="1" applyFill="1" applyBorder="1" applyAlignment="1"/>
    <xf numFmtId="0" fontId="37" fillId="16" borderId="6" xfId="0" applyFont="1" applyFill="1" applyBorder="1" applyAlignment="1">
      <alignment horizontal="left" indent="1"/>
    </xf>
    <xf numFmtId="0" fontId="41" fillId="16" borderId="6" xfId="0" applyFont="1" applyFill="1" applyBorder="1"/>
    <xf numFmtId="0" fontId="0" fillId="16" borderId="28" xfId="0" applyFill="1" applyBorder="1" applyAlignment="1">
      <alignment vertical="center" wrapText="1"/>
    </xf>
    <xf numFmtId="9" fontId="0" fillId="16" borderId="0" xfId="0" applyNumberFormat="1" applyFill="1" applyBorder="1" applyAlignment="1">
      <alignment vertical="center"/>
    </xf>
    <xf numFmtId="10" fontId="0" fillId="16" borderId="28" xfId="0" applyNumberFormat="1" applyFill="1" applyBorder="1" applyAlignment="1">
      <alignment vertical="center"/>
    </xf>
    <xf numFmtId="0" fontId="0" fillId="16" borderId="27" xfId="0" applyFill="1" applyBorder="1" applyAlignment="1">
      <alignment horizontal="left" vertical="center" wrapText="1"/>
    </xf>
    <xf numFmtId="0" fontId="40" fillId="22" borderId="47" xfId="0" applyFont="1" applyFill="1" applyBorder="1" applyAlignment="1">
      <alignment horizontal="center" vertical="center" wrapText="1"/>
    </xf>
    <xf numFmtId="0" fontId="40" fillId="22" borderId="37" xfId="0" applyFont="1" applyFill="1" applyBorder="1" applyAlignment="1">
      <alignment horizontal="left" vertical="center" wrapText="1"/>
    </xf>
    <xf numFmtId="0" fontId="40" fillId="22" borderId="32" xfId="0" applyFont="1" applyFill="1" applyBorder="1" applyAlignment="1">
      <alignment horizontal="center" vertical="center" wrapText="1"/>
    </xf>
    <xf numFmtId="0" fontId="40" fillId="22" borderId="37" xfId="0" applyFont="1" applyFill="1" applyBorder="1" applyAlignment="1">
      <alignment horizontal="center" vertical="center" wrapText="1"/>
    </xf>
    <xf numFmtId="9" fontId="57" fillId="16" borderId="32" xfId="0" applyNumberFormat="1" applyFont="1" applyFill="1" applyBorder="1" applyAlignment="1">
      <alignment horizontal="center" vertical="center" wrapText="1"/>
    </xf>
    <xf numFmtId="0" fontId="57" fillId="16" borderId="32" xfId="0" applyFont="1" applyFill="1" applyBorder="1" applyAlignment="1">
      <alignment horizontal="center" vertical="center" wrapText="1"/>
    </xf>
    <xf numFmtId="9" fontId="0" fillId="16" borderId="54" xfId="0" applyNumberFormat="1" applyFill="1" applyBorder="1" applyAlignment="1">
      <alignment horizontal="center"/>
    </xf>
    <xf numFmtId="0" fontId="57" fillId="16" borderId="54" xfId="0" applyFont="1" applyFill="1" applyBorder="1" applyAlignment="1">
      <alignment horizontal="left" vertical="center" wrapText="1"/>
    </xf>
    <xf numFmtId="1" fontId="37" fillId="16" borderId="54" xfId="0" applyNumberFormat="1" applyFont="1" applyFill="1" applyBorder="1" applyAlignment="1">
      <alignment horizontal="center" vertical="center"/>
    </xf>
    <xf numFmtId="0" fontId="0" fillId="16" borderId="32" xfId="0" applyFill="1" applyBorder="1" applyAlignment="1">
      <alignment horizontal="left" vertical="center" wrapText="1"/>
    </xf>
    <xf numFmtId="0" fontId="37" fillId="19" borderId="1" xfId="0" applyFont="1" applyFill="1" applyBorder="1" applyAlignment="1">
      <alignment horizontal="center" vertical="center"/>
    </xf>
    <xf numFmtId="0" fontId="37" fillId="19" borderId="1" xfId="0" applyFont="1" applyFill="1" applyBorder="1" applyAlignment="1">
      <alignment horizontal="center" vertical="center" wrapText="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8" fillId="16" borderId="41" xfId="0" applyFont="1" applyFill="1" applyBorder="1" applyAlignment="1">
      <alignment vertical="center" wrapText="1"/>
    </xf>
    <xf numFmtId="0" fontId="0" fillId="16" borderId="17" xfId="0" applyFill="1" applyBorder="1" applyAlignment="1">
      <alignment horizontal="center"/>
    </xf>
    <xf numFmtId="9" fontId="0" fillId="16" borderId="0" xfId="1" applyFont="1" applyFill="1"/>
    <xf numFmtId="10" fontId="0" fillId="16" borderId="0" xfId="0" applyNumberFormat="1" applyFill="1"/>
    <xf numFmtId="9" fontId="0" fillId="16" borderId="0" xfId="1" applyFont="1" applyFill="1" applyAlignment="1">
      <alignment horizontal="center"/>
    </xf>
    <xf numFmtId="167" fontId="0" fillId="16" borderId="0" xfId="2" applyNumberFormat="1" applyFont="1" applyFill="1" applyBorder="1" applyAlignment="1">
      <alignment horizontal="center" wrapText="1"/>
    </xf>
    <xf numFmtId="0" fontId="0" fillId="16" borderId="0" xfId="0" applyFill="1" applyBorder="1" applyAlignment="1">
      <alignment horizontal="center" wrapText="1"/>
    </xf>
    <xf numFmtId="43" fontId="0" fillId="16" borderId="0" xfId="2" applyNumberFormat="1" applyFont="1" applyFill="1" applyBorder="1" applyAlignment="1">
      <alignment horizontal="center" wrapText="1"/>
    </xf>
    <xf numFmtId="43" fontId="0" fillId="16" borderId="0" xfId="2" applyFont="1" applyFill="1" applyBorder="1" applyAlignment="1">
      <alignment horizontal="center" wrapText="1"/>
    </xf>
    <xf numFmtId="0" fontId="37" fillId="16" borderId="34" xfId="0" applyFont="1" applyFill="1" applyBorder="1"/>
    <xf numFmtId="0" fontId="37" fillId="16" borderId="32" xfId="0" applyFont="1" applyFill="1" applyBorder="1"/>
    <xf numFmtId="171" fontId="0" fillId="0" borderId="28" xfId="2" applyNumberFormat="1" applyFont="1" applyBorder="1"/>
    <xf numFmtId="0" fontId="37" fillId="0" borderId="31" xfId="0" applyFont="1" applyBorder="1" applyAlignment="1">
      <alignment vertical="top"/>
    </xf>
    <xf numFmtId="0" fontId="37" fillId="16" borderId="51" xfId="0" applyNumberFormat="1" applyFont="1" applyFill="1" applyBorder="1" applyAlignment="1">
      <alignment horizontal="center" vertical="center" wrapText="1"/>
    </xf>
    <xf numFmtId="6" fontId="0" fillId="16" borderId="0" xfId="0" applyNumberFormat="1" applyFill="1" applyBorder="1"/>
    <xf numFmtId="0" fontId="82" fillId="20" borderId="1" xfId="0" applyFont="1" applyFill="1" applyBorder="1" applyAlignment="1">
      <alignment horizontal="center" vertical="center" wrapText="1"/>
    </xf>
    <xf numFmtId="0" fontId="82" fillId="20" borderId="1" xfId="0" applyFont="1" applyFill="1" applyBorder="1" applyAlignment="1">
      <alignment horizontal="center"/>
    </xf>
    <xf numFmtId="0" fontId="69" fillId="16" borderId="37" xfId="0" applyFont="1" applyFill="1" applyBorder="1" applyAlignment="1">
      <alignment horizontal="justify" vertical="center" wrapText="1"/>
    </xf>
    <xf numFmtId="0" fontId="69" fillId="16" borderId="37" xfId="0" applyFont="1" applyFill="1" applyBorder="1" applyAlignment="1">
      <alignment horizontal="left" vertical="center" wrapText="1"/>
    </xf>
    <xf numFmtId="170" fontId="64" fillId="16" borderId="37" xfId="2" applyNumberFormat="1" applyFont="1" applyFill="1" applyBorder="1" applyAlignment="1">
      <alignment horizontal="left" vertical="center" wrapText="1"/>
    </xf>
    <xf numFmtId="170" fontId="64" fillId="16" borderId="32" xfId="2" applyNumberFormat="1" applyFont="1" applyFill="1" applyBorder="1" applyAlignment="1">
      <alignment horizontal="left" vertical="center" wrapText="1"/>
    </xf>
    <xf numFmtId="170" fontId="64" fillId="16" borderId="31" xfId="2" applyNumberFormat="1" applyFont="1" applyFill="1" applyBorder="1" applyAlignment="1">
      <alignment horizontal="left" vertical="center" wrapText="1"/>
    </xf>
    <xf numFmtId="170" fontId="0" fillId="16" borderId="54" xfId="2" applyNumberFormat="1" applyFont="1" applyFill="1" applyBorder="1" applyAlignment="1">
      <alignment horizontal="left"/>
    </xf>
    <xf numFmtId="0" fontId="37" fillId="16" borderId="37" xfId="0" applyFont="1" applyFill="1" applyBorder="1" applyAlignment="1">
      <alignment vertical="center"/>
    </xf>
    <xf numFmtId="170" fontId="64" fillId="16" borderId="0" xfId="2" applyNumberFormat="1" applyFont="1" applyFill="1" applyBorder="1" applyAlignment="1">
      <alignment horizontal="left" vertical="center" wrapText="1"/>
    </xf>
    <xf numFmtId="170" fontId="0" fillId="16" borderId="0" xfId="2" applyNumberFormat="1" applyFont="1" applyFill="1" applyBorder="1" applyAlignment="1">
      <alignment horizontal="left"/>
    </xf>
    <xf numFmtId="0" fontId="55" fillId="16" borderId="1" xfId="0" applyFont="1" applyFill="1" applyBorder="1" applyAlignment="1">
      <alignment horizontal="center" vertical="center" wrapText="1"/>
    </xf>
    <xf numFmtId="0" fontId="64" fillId="16" borderId="0" xfId="0" applyFont="1" applyFill="1" applyBorder="1" applyAlignment="1">
      <alignment horizontal="justify" vertical="center" wrapText="1"/>
    </xf>
    <xf numFmtId="0" fontId="69" fillId="16" borderId="0" xfId="0" applyFont="1" applyFill="1" applyBorder="1" applyAlignment="1">
      <alignment horizontal="left" vertical="center" wrapText="1"/>
    </xf>
    <xf numFmtId="3" fontId="57" fillId="16" borderId="32" xfId="0" applyNumberFormat="1" applyFont="1" applyFill="1" applyBorder="1" applyAlignment="1">
      <alignment horizontal="center" vertical="center"/>
    </xf>
    <xf numFmtId="0" fontId="0" fillId="0" borderId="0" xfId="0" applyAlignment="1">
      <alignment horizontal="left"/>
    </xf>
    <xf numFmtId="0" fontId="37" fillId="0" borderId="0" xfId="0" applyFont="1" applyBorder="1" applyAlignment="1">
      <alignment horizontal="left" wrapText="1"/>
    </xf>
    <xf numFmtId="169" fontId="0" fillId="0" borderId="0" xfId="1" applyNumberFormat="1" applyFont="1"/>
    <xf numFmtId="0" fontId="0" fillId="0" borderId="118" xfId="0" applyBorder="1"/>
    <xf numFmtId="0" fontId="0" fillId="0" borderId="90" xfId="0" applyBorder="1"/>
    <xf numFmtId="0" fontId="37" fillId="16" borderId="1" xfId="0" applyFont="1" applyFill="1" applyBorder="1" applyAlignment="1">
      <alignment horizontal="justify" vertical="center"/>
    </xf>
    <xf numFmtId="0" fontId="0" fillId="16" borderId="17" xfId="0" applyFill="1" applyBorder="1" applyAlignment="1">
      <alignment horizontal="center" wrapText="1"/>
    </xf>
    <xf numFmtId="0" fontId="21" fillId="16" borderId="17" xfId="0" applyFont="1" applyFill="1" applyBorder="1" applyAlignment="1">
      <alignment wrapText="1"/>
    </xf>
    <xf numFmtId="0" fontId="37" fillId="16" borderId="17" xfId="0" applyFont="1" applyFill="1" applyBorder="1"/>
    <xf numFmtId="2" fontId="0" fillId="16" borderId="17" xfId="2" applyNumberFormat="1" applyFont="1" applyFill="1" applyBorder="1" applyAlignment="1">
      <alignment horizontal="center" wrapText="1"/>
    </xf>
    <xf numFmtId="174" fontId="0" fillId="16" borderId="17" xfId="2" applyNumberFormat="1" applyFont="1" applyFill="1" applyBorder="1" applyAlignment="1">
      <alignment horizontal="center" wrapText="1"/>
    </xf>
    <xf numFmtId="43" fontId="0" fillId="16" borderId="17" xfId="2" applyNumberFormat="1" applyFont="1" applyFill="1" applyBorder="1" applyAlignment="1">
      <alignment horizontal="center" wrapText="1"/>
    </xf>
    <xf numFmtId="43" fontId="0" fillId="16" borderId="17" xfId="2" applyFont="1" applyFill="1" applyBorder="1" applyAlignment="1">
      <alignment horizontal="center" wrapText="1"/>
    </xf>
    <xf numFmtId="2" fontId="0" fillId="16" borderId="17" xfId="0" applyNumberFormat="1" applyFill="1" applyBorder="1"/>
    <xf numFmtId="9" fontId="0" fillId="16" borderId="17" xfId="1" applyFont="1" applyFill="1" applyBorder="1"/>
    <xf numFmtId="170" fontId="0" fillId="16" borderId="17" xfId="2" applyNumberFormat="1" applyFont="1" applyFill="1" applyBorder="1"/>
    <xf numFmtId="0" fontId="37" fillId="0" borderId="0" xfId="0" applyFont="1" applyBorder="1" applyAlignment="1">
      <alignment horizontal="justify" vertical="center"/>
    </xf>
    <xf numFmtId="2" fontId="0" fillId="16" borderId="1" xfId="0" applyNumberFormat="1" applyFill="1" applyBorder="1" applyAlignment="1">
      <alignment horizontal="center"/>
    </xf>
    <xf numFmtId="0" fontId="37" fillId="16" borderId="2" xfId="0" applyFont="1" applyFill="1" applyBorder="1" applyAlignment="1">
      <alignment horizontal="justify" vertical="center"/>
    </xf>
    <xf numFmtId="2" fontId="0" fillId="16" borderId="2" xfId="0" applyNumberFormat="1" applyFill="1" applyBorder="1" applyAlignment="1">
      <alignment horizontal="center"/>
    </xf>
    <xf numFmtId="2" fontId="0" fillId="16" borderId="121" xfId="0" applyNumberFormat="1" applyFill="1" applyBorder="1"/>
    <xf numFmtId="2" fontId="0" fillId="16" borderId="122" xfId="0" applyNumberFormat="1" applyFill="1" applyBorder="1"/>
    <xf numFmtId="0" fontId="0" fillId="16" borderId="121" xfId="0" applyFill="1" applyBorder="1"/>
    <xf numFmtId="0" fontId="0" fillId="16" borderId="122" xfId="0" applyFill="1" applyBorder="1"/>
    <xf numFmtId="0" fontId="37" fillId="16" borderId="92" xfId="0" applyFont="1" applyFill="1" applyBorder="1"/>
    <xf numFmtId="0" fontId="0" fillId="16" borderId="93" xfId="0" applyFill="1" applyBorder="1"/>
    <xf numFmtId="9" fontId="0" fillId="16" borderId="121" xfId="1" applyFont="1" applyFill="1" applyBorder="1"/>
    <xf numFmtId="9" fontId="0" fillId="16" borderId="122" xfId="1" applyFont="1" applyFill="1" applyBorder="1"/>
    <xf numFmtId="170" fontId="0" fillId="16" borderId="122" xfId="2" applyNumberFormat="1" applyFont="1" applyFill="1" applyBorder="1"/>
    <xf numFmtId="9" fontId="0" fillId="16" borderId="121" xfId="0" applyNumberFormat="1" applyFill="1" applyBorder="1"/>
    <xf numFmtId="0" fontId="37" fillId="16" borderId="119" xfId="0" applyFont="1" applyFill="1" applyBorder="1" applyAlignment="1">
      <alignment horizontal="justify" vertical="center"/>
    </xf>
    <xf numFmtId="0" fontId="37" fillId="16" borderId="120" xfId="0" applyFont="1" applyFill="1" applyBorder="1" applyAlignment="1">
      <alignment horizontal="justify" vertical="center"/>
    </xf>
    <xf numFmtId="169" fontId="0" fillId="16" borderId="121" xfId="1" applyNumberFormat="1" applyFont="1" applyFill="1" applyBorder="1"/>
    <xf numFmtId="169" fontId="0" fillId="16" borderId="122" xfId="1" applyNumberFormat="1" applyFont="1" applyFill="1" applyBorder="1"/>
    <xf numFmtId="0" fontId="37" fillId="16" borderId="92" xfId="0" applyFont="1" applyFill="1" applyBorder="1" applyAlignment="1">
      <alignment horizontal="justify" vertical="center"/>
    </xf>
    <xf numFmtId="43" fontId="0" fillId="16" borderId="93" xfId="2" applyFont="1" applyFill="1" applyBorder="1"/>
    <xf numFmtId="43" fontId="0" fillId="16" borderId="17" xfId="0" applyNumberFormat="1" applyFill="1" applyBorder="1" applyAlignment="1">
      <alignment horizontal="center" wrapText="1"/>
    </xf>
    <xf numFmtId="0" fontId="8" fillId="19" borderId="57" xfId="0" applyFont="1" applyFill="1" applyBorder="1" applyAlignment="1">
      <alignment horizontal="center" vertical="center" wrapText="1"/>
    </xf>
    <xf numFmtId="0" fontId="57" fillId="16" borderId="52" xfId="0" applyFont="1" applyFill="1" applyBorder="1" applyAlignment="1">
      <alignment horizontal="left" vertical="center"/>
    </xf>
    <xf numFmtId="10" fontId="37" fillId="29" borderId="123" xfId="0" applyNumberFormat="1" applyFont="1" applyFill="1" applyBorder="1" applyAlignment="1">
      <alignment horizontal="center" vertical="center" wrapText="1"/>
    </xf>
    <xf numFmtId="0" fontId="37" fillId="16" borderId="117" xfId="0" applyFont="1" applyFill="1" applyBorder="1" applyAlignment="1">
      <alignment horizontal="left" vertical="center" wrapText="1"/>
    </xf>
    <xf numFmtId="9" fontId="37" fillId="16" borderId="5" xfId="0" applyNumberFormat="1" applyFont="1" applyFill="1" applyBorder="1" applyAlignment="1">
      <alignment horizontal="center" vertical="center" wrapText="1"/>
    </xf>
    <xf numFmtId="10" fontId="37" fillId="16" borderId="5" xfId="0" applyNumberFormat="1" applyFont="1" applyFill="1" applyBorder="1" applyAlignment="1">
      <alignment horizontal="center" vertical="center" wrapText="1"/>
    </xf>
    <xf numFmtId="0" fontId="37" fillId="16" borderId="124" xfId="0" applyFont="1" applyFill="1" applyBorder="1" applyAlignment="1">
      <alignment horizontal="left" vertical="center" wrapText="1"/>
    </xf>
    <xf numFmtId="0" fontId="1" fillId="19" borderId="1" xfId="0" applyFont="1" applyFill="1" applyBorder="1" applyAlignment="1">
      <alignment wrapText="1"/>
    </xf>
    <xf numFmtId="164" fontId="1" fillId="19" borderId="1" xfId="0" applyNumberFormat="1" applyFont="1" applyFill="1" applyBorder="1" applyAlignment="1">
      <alignment wrapText="1"/>
    </xf>
    <xf numFmtId="0" fontId="36" fillId="0" borderId="0" xfId="0" applyFont="1"/>
    <xf numFmtId="0" fontId="4" fillId="2" borderId="5" xfId="0" applyFont="1" applyFill="1" applyBorder="1" applyAlignment="1">
      <alignment horizontal="center" vertical="center" wrapText="1"/>
    </xf>
    <xf numFmtId="0" fontId="0" fillId="16" borderId="1" xfId="0" applyFont="1" applyFill="1" applyBorder="1" applyAlignment="1">
      <alignment horizontal="center" wrapText="1"/>
    </xf>
    <xf numFmtId="0" fontId="8" fillId="0" borderId="0" xfId="0" applyFont="1" applyBorder="1" applyAlignment="1">
      <alignment wrapText="1"/>
    </xf>
    <xf numFmtId="0" fontId="5" fillId="4"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22" fillId="0" borderId="0" xfId="0" applyFont="1"/>
    <xf numFmtId="0" fontId="23" fillId="0" borderId="0" xfId="0" applyFont="1"/>
    <xf numFmtId="170" fontId="1" fillId="0" borderId="1" xfId="2" applyNumberFormat="1" applyFont="1" applyBorder="1" applyAlignment="1">
      <alignment wrapText="1"/>
    </xf>
    <xf numFmtId="4" fontId="1" fillId="0" borderId="1" xfId="0" applyNumberFormat="1" applyFont="1" applyBorder="1" applyAlignment="1">
      <alignment wrapText="1"/>
    </xf>
    <xf numFmtId="180" fontId="1" fillId="0" borderId="1" xfId="0" applyNumberFormat="1" applyFont="1" applyBorder="1" applyAlignment="1">
      <alignment wrapText="1"/>
    </xf>
    <xf numFmtId="0" fontId="1" fillId="0" borderId="1" xfId="0" applyFont="1" applyFill="1" applyBorder="1" applyAlignment="1">
      <alignment wrapText="1"/>
    </xf>
    <xf numFmtId="0" fontId="1" fillId="0" borderId="1" xfId="0" applyFont="1" applyFill="1" applyBorder="1" applyAlignment="1">
      <alignment horizontal="center" wrapText="1"/>
    </xf>
    <xf numFmtId="3" fontId="1" fillId="0" borderId="1" xfId="0" applyNumberFormat="1" applyFont="1" applyFill="1" applyBorder="1" applyAlignment="1">
      <alignment wrapText="1"/>
    </xf>
    <xf numFmtId="164" fontId="1" fillId="0" borderId="1" xfId="0" applyNumberFormat="1" applyFont="1" applyFill="1" applyBorder="1" applyAlignment="1">
      <alignment wrapText="1"/>
    </xf>
    <xf numFmtId="3" fontId="1" fillId="0" borderId="1" xfId="0" applyNumberFormat="1" applyFont="1" applyFill="1" applyBorder="1" applyAlignment="1">
      <alignment horizontal="center" wrapText="1"/>
    </xf>
    <xf numFmtId="170" fontId="1" fillId="0" borderId="1" xfId="2" applyNumberFormat="1" applyFont="1" applyFill="1" applyBorder="1" applyAlignment="1">
      <alignment wrapText="1"/>
    </xf>
    <xf numFmtId="0" fontId="1" fillId="0" borderId="0" xfId="0" applyFont="1" applyFill="1" applyAlignment="1">
      <alignment wrapText="1"/>
    </xf>
    <xf numFmtId="0" fontId="8" fillId="19" borderId="1" xfId="0" applyFont="1" applyFill="1" applyBorder="1" applyAlignment="1">
      <alignment horizontal="center"/>
    </xf>
    <xf numFmtId="43" fontId="0" fillId="12" borderId="18" xfId="2" applyFont="1" applyFill="1" applyBorder="1" applyAlignment="1">
      <alignment wrapText="1"/>
    </xf>
    <xf numFmtId="0" fontId="37" fillId="12" borderId="16" xfId="0" applyFont="1" applyFill="1" applyBorder="1" applyAlignment="1">
      <alignment vertical="center" wrapText="1"/>
    </xf>
    <xf numFmtId="0" fontId="37" fillId="12" borderId="95" xfId="0" applyFont="1" applyFill="1" applyBorder="1" applyAlignment="1">
      <alignment vertical="center" wrapText="1"/>
    </xf>
    <xf numFmtId="0" fontId="37" fillId="12" borderId="1" xfId="0" applyFont="1" applyFill="1" applyBorder="1" applyAlignment="1">
      <alignment vertical="center" wrapText="1"/>
    </xf>
    <xf numFmtId="0" fontId="37" fillId="12" borderId="51" xfId="0" applyFont="1" applyFill="1" applyBorder="1" applyAlignment="1">
      <alignment vertical="center" wrapText="1"/>
    </xf>
    <xf numFmtId="174" fontId="37" fillId="12" borderId="1" xfId="0" applyNumberFormat="1" applyFont="1" applyFill="1" applyBorder="1" applyAlignment="1">
      <alignment vertical="center" wrapText="1"/>
    </xf>
    <xf numFmtId="2" fontId="0" fillId="12" borderId="23" xfId="0" applyNumberFormat="1" applyFill="1" applyBorder="1" applyAlignment="1">
      <alignment wrapText="1"/>
    </xf>
    <xf numFmtId="2" fontId="0" fillId="12" borderId="1" xfId="0" applyNumberFormat="1" applyFill="1" applyBorder="1" applyAlignment="1">
      <alignment wrapText="1"/>
    </xf>
    <xf numFmtId="43" fontId="38" fillId="12" borderId="17" xfId="2" applyFont="1" applyFill="1" applyBorder="1"/>
    <xf numFmtId="43" fontId="0" fillId="12" borderId="17" xfId="2" applyFont="1" applyFill="1" applyBorder="1"/>
    <xf numFmtId="0" fontId="64" fillId="12" borderId="54" xfId="0" applyFont="1" applyFill="1" applyBorder="1" applyAlignment="1">
      <alignment horizontal="justify" vertical="center" wrapText="1"/>
    </xf>
    <xf numFmtId="0" fontId="64" fillId="12" borderId="26" xfId="0" applyFont="1" applyFill="1" applyBorder="1" applyAlignment="1">
      <alignment horizontal="justify" vertical="center" wrapText="1"/>
    </xf>
    <xf numFmtId="0" fontId="64" fillId="12" borderId="25" xfId="0" applyFont="1" applyFill="1" applyBorder="1" applyAlignment="1">
      <alignment horizontal="justify" vertical="center" wrapText="1"/>
    </xf>
    <xf numFmtId="0" fontId="0" fillId="12" borderId="54" xfId="0" applyFill="1" applyBorder="1"/>
    <xf numFmtId="0" fontId="64" fillId="12" borderId="37" xfId="0" applyFont="1" applyFill="1" applyBorder="1" applyAlignment="1">
      <alignment horizontal="justify" vertical="center" wrapText="1"/>
    </xf>
    <xf numFmtId="0" fontId="64" fillId="12" borderId="32" xfId="0" applyFont="1" applyFill="1" applyBorder="1" applyAlignment="1">
      <alignment horizontal="justify" vertical="center" wrapText="1"/>
    </xf>
    <xf numFmtId="0" fontId="64" fillId="12" borderId="31" xfId="0" applyFont="1" applyFill="1" applyBorder="1" applyAlignment="1">
      <alignment horizontal="justify" vertical="center" wrapText="1"/>
    </xf>
    <xf numFmtId="1" fontId="0" fillId="35" borderId="1" xfId="0" applyNumberFormat="1" applyFill="1" applyBorder="1"/>
    <xf numFmtId="1" fontId="0" fillId="35" borderId="45" xfId="0" applyNumberFormat="1" applyFill="1" applyBorder="1"/>
    <xf numFmtId="0" fontId="43" fillId="35" borderId="1" xfId="0" applyFont="1" applyFill="1" applyBorder="1" applyAlignment="1">
      <alignment horizontal="center" wrapText="1"/>
    </xf>
    <xf numFmtId="0" fontId="0" fillId="35" borderId="1" xfId="0" applyFill="1" applyBorder="1" applyAlignment="1">
      <alignment horizontal="center"/>
    </xf>
    <xf numFmtId="43" fontId="0" fillId="35" borderId="1" xfId="2" applyFont="1" applyFill="1" applyBorder="1"/>
    <xf numFmtId="43" fontId="0" fillId="35" borderId="45" xfId="2" applyFont="1" applyFill="1" applyBorder="1"/>
    <xf numFmtId="0" fontId="0" fillId="12" borderId="1" xfId="0" applyFill="1" applyBorder="1" applyAlignment="1">
      <alignment horizontal="left"/>
    </xf>
    <xf numFmtId="1" fontId="0" fillId="12" borderId="1" xfId="0" applyNumberFormat="1" applyFill="1" applyBorder="1"/>
    <xf numFmtId="0" fontId="37" fillId="12" borderId="3" xfId="0" applyFont="1" applyFill="1" applyBorder="1"/>
    <xf numFmtId="0" fontId="0" fillId="12" borderId="4" xfId="0" applyFill="1" applyBorder="1"/>
    <xf numFmtId="0" fontId="0" fillId="12" borderId="5" xfId="0" applyFill="1" applyBorder="1"/>
    <xf numFmtId="0" fontId="0" fillId="35" borderId="27"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0" fillId="35" borderId="30" xfId="0" applyFill="1" applyBorder="1" applyAlignment="1">
      <alignment vertical="center"/>
    </xf>
    <xf numFmtId="0" fontId="0" fillId="35" borderId="31" xfId="0" applyFill="1" applyBorder="1" applyAlignment="1">
      <alignment vertical="center"/>
    </xf>
    <xf numFmtId="0" fontId="0" fillId="35" borderId="32" xfId="0" applyFill="1" applyBorder="1" applyAlignment="1">
      <alignment vertical="center"/>
    </xf>
    <xf numFmtId="0" fontId="0" fillId="35" borderId="50" xfId="0" applyFill="1" applyBorder="1"/>
    <xf numFmtId="9" fontId="0" fillId="35" borderId="51" xfId="0" applyNumberFormat="1" applyFill="1" applyBorder="1"/>
    <xf numFmtId="0" fontId="0" fillId="35" borderId="52" xfId="0" applyFill="1" applyBorder="1"/>
    <xf numFmtId="0" fontId="0" fillId="35" borderId="53" xfId="0" applyFill="1" applyBorder="1"/>
    <xf numFmtId="0" fontId="37" fillId="12" borderId="1" xfId="0" applyFont="1" applyFill="1" applyBorder="1" applyAlignment="1">
      <alignment horizontal="left" vertical="center"/>
    </xf>
    <xf numFmtId="0" fontId="37" fillId="12" borderId="1" xfId="0" applyFont="1" applyFill="1" applyBorder="1" applyAlignment="1">
      <alignment horizontal="center" vertical="center"/>
    </xf>
    <xf numFmtId="0" fontId="41" fillId="12" borderId="1" xfId="0" applyFont="1" applyFill="1" applyBorder="1" applyAlignment="1">
      <alignment horizontal="center" vertical="center" wrapText="1"/>
    </xf>
    <xf numFmtId="0" fontId="41" fillId="12" borderId="2" xfId="0" applyFont="1" applyFill="1" applyBorder="1" applyAlignment="1">
      <alignment vertical="center" wrapText="1"/>
    </xf>
    <xf numFmtId="6" fontId="55" fillId="12" borderId="32" xfId="0" applyNumberFormat="1" applyFont="1" applyFill="1" applyBorder="1" applyAlignment="1">
      <alignment horizontal="center" vertical="center" wrapText="1"/>
    </xf>
    <xf numFmtId="6" fontId="55" fillId="12" borderId="54" xfId="0" applyNumberFormat="1" applyFont="1" applyFill="1" applyBorder="1" applyAlignment="1">
      <alignment horizontal="center" vertical="center" wrapText="1"/>
    </xf>
    <xf numFmtId="43" fontId="0" fillId="12" borderId="18" xfId="2" applyFont="1" applyFill="1" applyBorder="1"/>
    <xf numFmtId="43" fontId="0" fillId="12" borderId="36" xfId="2" applyFont="1" applyFill="1" applyBorder="1"/>
    <xf numFmtId="43" fontId="0" fillId="12" borderId="31" xfId="2" applyFont="1" applyFill="1" applyBorder="1"/>
    <xf numFmtId="169" fontId="0" fillId="12" borderId="1" xfId="1" applyNumberFormat="1" applyFont="1" applyFill="1" applyBorder="1"/>
    <xf numFmtId="43" fontId="0" fillId="12" borderId="41" xfId="2" applyFont="1" applyFill="1" applyBorder="1"/>
    <xf numFmtId="0" fontId="43" fillId="35" borderId="27" xfId="0" applyFont="1" applyFill="1" applyBorder="1" applyAlignment="1">
      <alignment wrapText="1"/>
    </xf>
    <xf numFmtId="0" fontId="0" fillId="35" borderId="28" xfId="0" applyFill="1" applyBorder="1"/>
    <xf numFmtId="0" fontId="37" fillId="35" borderId="28" xfId="0" applyFont="1" applyFill="1" applyBorder="1"/>
    <xf numFmtId="0" fontId="0" fillId="35" borderId="29" xfId="0" applyFill="1" applyBorder="1"/>
    <xf numFmtId="0" fontId="43" fillId="35" borderId="33" xfId="0" applyFont="1" applyFill="1" applyBorder="1" applyAlignment="1">
      <alignment wrapText="1"/>
    </xf>
    <xf numFmtId="0" fontId="0" fillId="35" borderId="0" xfId="0" applyFill="1" applyBorder="1"/>
    <xf numFmtId="0" fontId="37" fillId="35" borderId="0" xfId="0" applyFont="1" applyFill="1" applyBorder="1"/>
    <xf numFmtId="0" fontId="0" fillId="35" borderId="34" xfId="0" applyFill="1" applyBorder="1"/>
    <xf numFmtId="0" fontId="43" fillId="35" borderId="30" xfId="0" applyFont="1" applyFill="1" applyBorder="1" applyAlignment="1">
      <alignment wrapText="1"/>
    </xf>
    <xf numFmtId="0" fontId="0" fillId="35" borderId="31" xfId="0" applyFill="1" applyBorder="1"/>
    <xf numFmtId="0" fontId="37" fillId="35" borderId="31" xfId="0" applyFont="1" applyFill="1" applyBorder="1"/>
    <xf numFmtId="0" fontId="0" fillId="35" borderId="32" xfId="0" applyFill="1" applyBorder="1"/>
    <xf numFmtId="0" fontId="0" fillId="35" borderId="27" xfId="0" applyFill="1" applyBorder="1"/>
    <xf numFmtId="0" fontId="0" fillId="35" borderId="30" xfId="0" applyFill="1" applyBorder="1"/>
    <xf numFmtId="0" fontId="37" fillId="12" borderId="50" xfId="0" applyFont="1" applyFill="1" applyBorder="1" applyAlignment="1">
      <alignment horizontal="right" vertical="center"/>
    </xf>
    <xf numFmtId="0" fontId="41" fillId="12" borderId="50" xfId="0" applyFont="1" applyFill="1" applyBorder="1" applyAlignment="1">
      <alignment horizontal="center" vertical="center"/>
    </xf>
    <xf numFmtId="0" fontId="37" fillId="12" borderId="7" xfId="0" applyFont="1" applyFill="1" applyBorder="1"/>
    <xf numFmtId="0" fontId="0" fillId="12" borderId="6" xfId="0" applyFill="1" applyBorder="1"/>
    <xf numFmtId="0" fontId="0" fillId="12" borderId="15" xfId="0" applyFill="1" applyBorder="1"/>
    <xf numFmtId="0" fontId="43" fillId="12" borderId="1" xfId="0" applyFont="1" applyFill="1" applyBorder="1" applyAlignment="1">
      <alignment horizontal="center" wrapText="1"/>
    </xf>
    <xf numFmtId="0" fontId="0" fillId="12" borderId="1" xfId="0" applyFill="1" applyBorder="1"/>
    <xf numFmtId="43" fontId="0" fillId="12" borderId="23" xfId="2" applyFont="1" applyFill="1" applyBorder="1"/>
    <xf numFmtId="0" fontId="37" fillId="12" borderId="1" xfId="0" applyFont="1" applyFill="1" applyBorder="1" applyAlignment="1">
      <alignment horizontal="center"/>
    </xf>
    <xf numFmtId="170" fontId="0" fillId="12" borderId="1" xfId="2" applyNumberFormat="1" applyFont="1" applyFill="1" applyBorder="1"/>
    <xf numFmtId="0" fontId="8" fillId="19" borderId="1" xfId="0" applyFont="1" applyFill="1" applyBorder="1" applyAlignment="1">
      <alignment horizontal="center"/>
    </xf>
    <xf numFmtId="0" fontId="8" fillId="19" borderId="0" xfId="0" applyFont="1" applyFill="1" applyBorder="1" applyAlignment="1">
      <alignment horizontal="center"/>
    </xf>
    <xf numFmtId="0" fontId="0" fillId="12" borderId="28" xfId="0" applyFill="1" applyBorder="1"/>
    <xf numFmtId="0" fontId="42" fillId="12" borderId="1" xfId="0" applyFont="1" applyFill="1" applyBorder="1" applyAlignment="1">
      <alignment horizontal="center" vertical="center"/>
    </xf>
    <xf numFmtId="0" fontId="37" fillId="12" borderId="1" xfId="0" applyFont="1" applyFill="1" applyBorder="1" applyAlignment="1">
      <alignment horizontal="center" vertical="center" wrapText="1"/>
    </xf>
    <xf numFmtId="2" fontId="0" fillId="12" borderId="1" xfId="0" applyNumberFormat="1" applyFill="1" applyBorder="1"/>
    <xf numFmtId="14" fontId="0" fillId="12" borderId="26" xfId="0" applyNumberFormat="1" applyFill="1" applyBorder="1" applyAlignment="1">
      <alignment horizontal="center"/>
    </xf>
    <xf numFmtId="0" fontId="0" fillId="12" borderId="26" xfId="0" applyFill="1" applyBorder="1" applyAlignment="1">
      <alignment horizontal="center"/>
    </xf>
    <xf numFmtId="0" fontId="37" fillId="12" borderId="0" xfId="0" applyFont="1" applyFill="1" applyBorder="1"/>
    <xf numFmtId="0" fontId="0" fillId="12" borderId="0" xfId="0" applyFill="1" applyBorder="1"/>
    <xf numFmtId="0" fontId="0" fillId="12" borderId="34" xfId="0" applyFill="1" applyBorder="1"/>
    <xf numFmtId="0" fontId="0" fillId="12" borderId="31" xfId="0" applyFill="1" applyBorder="1"/>
    <xf numFmtId="0" fontId="0" fillId="12" borderId="32" xfId="0" applyFill="1" applyBorder="1"/>
    <xf numFmtId="169" fontId="0" fillId="16" borderId="16" xfId="1" applyNumberFormat="1" applyFont="1" applyFill="1" applyBorder="1"/>
    <xf numFmtId="169" fontId="0" fillId="12" borderId="45" xfId="1" applyNumberFormat="1" applyFont="1" applyFill="1" applyBorder="1"/>
    <xf numFmtId="9" fontId="37" fillId="16" borderId="0" xfId="0" applyNumberFormat="1" applyFont="1" applyFill="1" applyBorder="1" applyAlignment="1">
      <alignment horizontal="center" vertical="center" wrapText="1"/>
    </xf>
    <xf numFmtId="0" fontId="0" fillId="12" borderId="1" xfId="0" applyFill="1" applyBorder="1" applyAlignment="1">
      <alignment wrapText="1"/>
    </xf>
    <xf numFmtId="0" fontId="0" fillId="12" borderId="1" xfId="0" applyFill="1" applyBorder="1" applyAlignment="1">
      <alignment horizontal="right"/>
    </xf>
    <xf numFmtId="43" fontId="0" fillId="12" borderId="18" xfId="2" applyFont="1" applyFill="1" applyBorder="1" applyAlignment="1">
      <alignment horizontal="center" wrapText="1"/>
    </xf>
    <xf numFmtId="0" fontId="37" fillId="12" borderId="13" xfId="0" applyFont="1" applyFill="1" applyBorder="1"/>
    <xf numFmtId="0" fontId="37" fillId="12" borderId="0" xfId="0" applyFont="1" applyFill="1" applyBorder="1" applyAlignment="1">
      <alignment horizontal="justify" vertical="center"/>
    </xf>
    <xf numFmtId="0" fontId="0" fillId="12" borderId="12" xfId="0" applyFill="1" applyBorder="1"/>
    <xf numFmtId="0" fontId="37" fillId="12" borderId="6" xfId="0" applyFont="1" applyFill="1" applyBorder="1" applyAlignment="1">
      <alignment horizontal="justify" vertical="center"/>
    </xf>
    <xf numFmtId="10" fontId="0" fillId="12" borderId="1" xfId="0" applyNumberFormat="1" applyFill="1" applyBorder="1"/>
    <xf numFmtId="0" fontId="37" fillId="12" borderId="33" xfId="0" applyFont="1" applyFill="1" applyBorder="1"/>
    <xf numFmtId="0" fontId="0" fillId="12" borderId="28" xfId="0" applyFill="1" applyBorder="1" applyAlignment="1">
      <alignment vertical="center"/>
    </xf>
    <xf numFmtId="0" fontId="37" fillId="12" borderId="31" xfId="0" applyFont="1" applyFill="1" applyBorder="1"/>
    <xf numFmtId="0" fontId="37" fillId="16" borderId="34" xfId="0" applyNumberFormat="1" applyFont="1" applyFill="1" applyBorder="1" applyAlignment="1">
      <alignment horizontal="center" vertical="center" wrapText="1"/>
    </xf>
    <xf numFmtId="6" fontId="37" fillId="12" borderId="1" xfId="0" applyNumberFormat="1" applyFont="1" applyFill="1" applyBorder="1" applyAlignment="1">
      <alignment horizontal="center" vertical="center" wrapText="1"/>
    </xf>
    <xf numFmtId="2" fontId="0" fillId="12" borderId="1" xfId="0" applyNumberFormat="1" applyFill="1" applyBorder="1" applyAlignment="1">
      <alignment horizontal="center" vertical="center"/>
    </xf>
    <xf numFmtId="43" fontId="38" fillId="12" borderId="18" xfId="2" applyFont="1" applyFill="1" applyBorder="1"/>
    <xf numFmtId="43" fontId="0" fillId="12" borderId="34" xfId="2" applyFont="1" applyFill="1" applyBorder="1"/>
    <xf numFmtId="0" fontId="87" fillId="12" borderId="77" xfId="0" applyFont="1" applyFill="1" applyBorder="1" applyAlignment="1">
      <alignment horizontal="center" vertical="center" wrapText="1"/>
    </xf>
    <xf numFmtId="2" fontId="38" fillId="12" borderId="0" xfId="0" applyNumberFormat="1" applyFont="1" applyFill="1" applyBorder="1"/>
    <xf numFmtId="2" fontId="0" fillId="12" borderId="0" xfId="0" applyNumberFormat="1" applyFill="1" applyBorder="1"/>
    <xf numFmtId="0" fontId="87" fillId="0" borderId="0" xfId="0" applyFont="1" applyFill="1" applyBorder="1" applyAlignment="1">
      <alignment horizontal="center" vertical="center" wrapText="1"/>
    </xf>
    <xf numFmtId="0" fontId="87" fillId="12" borderId="73" xfId="0" applyFont="1" applyFill="1" applyBorder="1" applyAlignment="1">
      <alignment horizontal="center" vertical="center" wrapText="1"/>
    </xf>
    <xf numFmtId="0" fontId="87" fillId="12" borderId="32" xfId="0" applyFont="1" applyFill="1" applyBorder="1" applyAlignment="1">
      <alignment horizontal="center" vertical="center" wrapText="1"/>
    </xf>
    <xf numFmtId="43" fontId="0" fillId="12" borderId="32" xfId="2" applyFont="1" applyFill="1" applyBorder="1" applyAlignment="1">
      <alignment vertical="center"/>
    </xf>
    <xf numFmtId="2" fontId="0" fillId="12" borderId="28" xfId="0" applyNumberFormat="1" applyFill="1" applyBorder="1"/>
    <xf numFmtId="2" fontId="0" fillId="12" borderId="6" xfId="0" applyNumberFormat="1" applyFill="1" applyBorder="1"/>
    <xf numFmtId="165" fontId="0" fillId="12" borderId="6" xfId="0" applyNumberFormat="1" applyFill="1" applyBorder="1" applyAlignment="1">
      <alignment wrapText="1"/>
    </xf>
    <xf numFmtId="0" fontId="0" fillId="12" borderId="6" xfId="0" applyFill="1" applyBorder="1" applyAlignment="1">
      <alignment wrapText="1"/>
    </xf>
    <xf numFmtId="43" fontId="8" fillId="12" borderId="31" xfId="2" applyFont="1" applyFill="1" applyBorder="1"/>
    <xf numFmtId="43" fontId="8" fillId="12" borderId="25" xfId="2" applyFont="1" applyFill="1" applyBorder="1"/>
    <xf numFmtId="0" fontId="0" fillId="12" borderId="55" xfId="0" applyFill="1" applyBorder="1"/>
    <xf numFmtId="9" fontId="0" fillId="12" borderId="54" xfId="0" applyNumberFormat="1" applyFill="1" applyBorder="1"/>
    <xf numFmtId="2" fontId="0" fillId="12" borderId="0" xfId="0" quotePrefix="1" applyNumberFormat="1" applyFill="1" applyBorder="1"/>
    <xf numFmtId="164" fontId="151" fillId="12" borderId="1" xfId="0" applyNumberFormat="1" applyFont="1" applyFill="1" applyBorder="1" applyAlignment="1">
      <alignment wrapText="1"/>
    </xf>
    <xf numFmtId="0" fontId="152" fillId="0" borderId="0" xfId="0" applyFont="1"/>
    <xf numFmtId="0" fontId="1" fillId="0" borderId="0" xfId="0" applyFont="1" applyBorder="1" applyAlignment="1">
      <alignment wrapText="1"/>
    </xf>
    <xf numFmtId="164" fontId="148" fillId="0" borderId="1" xfId="0" applyNumberFormat="1" applyFont="1" applyFill="1" applyBorder="1" applyAlignment="1">
      <alignment wrapText="1"/>
    </xf>
    <xf numFmtId="0" fontId="1" fillId="0" borderId="0" xfId="0" applyFont="1" applyAlignment="1">
      <alignment wrapText="1"/>
    </xf>
    <xf numFmtId="0" fontId="4" fillId="0" borderId="1" xfId="0" applyFont="1" applyBorder="1" applyAlignment="1">
      <alignment vertical="center" wrapText="1"/>
    </xf>
    <xf numFmtId="3" fontId="4" fillId="0" borderId="1" xfId="0" applyNumberFormat="1" applyFont="1" applyBorder="1" applyAlignment="1">
      <alignment vertical="center" wrapText="1"/>
    </xf>
    <xf numFmtId="3" fontId="5" fillId="2" borderId="11" xfId="0" applyNumberFormat="1" applyFont="1" applyFill="1" applyBorder="1" applyAlignment="1">
      <alignment horizontal="center" vertical="center"/>
    </xf>
    <xf numFmtId="170" fontId="4" fillId="0" borderId="1" xfId="2" applyNumberFormat="1" applyFont="1" applyBorder="1" applyAlignment="1">
      <alignment horizontal="center" vertical="center" wrapText="1"/>
    </xf>
    <xf numFmtId="164" fontId="1" fillId="12" borderId="1" xfId="0" applyNumberFormat="1" applyFont="1" applyFill="1" applyBorder="1" applyAlignment="1">
      <alignment wrapText="1"/>
    </xf>
    <xf numFmtId="0" fontId="1" fillId="0" borderId="1" xfId="0" applyFont="1" applyFill="1" applyBorder="1" applyAlignment="1">
      <alignment vertical="center" wrapText="1"/>
    </xf>
    <xf numFmtId="0" fontId="1" fillId="0" borderId="3" xfId="0" applyFont="1" applyFill="1" applyBorder="1" applyAlignment="1">
      <alignment vertical="center" wrapText="1"/>
    </xf>
    <xf numFmtId="3" fontId="4" fillId="0" borderId="5" xfId="0" applyNumberFormat="1" applyFont="1" applyBorder="1" applyAlignment="1">
      <alignment horizontal="center" vertical="center" wrapText="1"/>
    </xf>
    <xf numFmtId="0" fontId="1" fillId="0" borderId="1" xfId="0" applyFont="1" applyBorder="1" applyAlignment="1">
      <alignment vertical="center"/>
    </xf>
    <xf numFmtId="0" fontId="34" fillId="20" borderId="1" xfId="0" applyFont="1" applyFill="1" applyBorder="1" applyAlignment="1">
      <alignment horizontal="center"/>
    </xf>
    <xf numFmtId="0" fontId="138" fillId="12" borderId="0" xfId="0" applyFont="1" applyFill="1" applyAlignment="1">
      <alignment wrapText="1"/>
    </xf>
    <xf numFmtId="164" fontId="153" fillId="12" borderId="1" xfId="0" applyNumberFormat="1" applyFont="1" applyFill="1" applyBorder="1" applyAlignment="1">
      <alignment wrapText="1"/>
    </xf>
    <xf numFmtId="0" fontId="42" fillId="12" borderId="18" xfId="0" applyFont="1" applyFill="1" applyBorder="1" applyAlignment="1">
      <alignment wrapText="1"/>
    </xf>
    <xf numFmtId="0" fontId="42" fillId="12" borderId="0" xfId="0" applyFont="1" applyFill="1" applyBorder="1" applyAlignment="1">
      <alignment wrapText="1"/>
    </xf>
    <xf numFmtId="0" fontId="42" fillId="12" borderId="23" xfId="0" applyFont="1" applyFill="1" applyBorder="1" applyAlignment="1">
      <alignment wrapText="1"/>
    </xf>
    <xf numFmtId="0" fontId="38" fillId="12" borderId="17" xfId="0" applyFont="1" applyFill="1" applyBorder="1"/>
    <xf numFmtId="170" fontId="38" fillId="12" borderId="0" xfId="2" applyNumberFormat="1" applyFont="1" applyFill="1" applyAlignment="1">
      <alignment wrapText="1"/>
    </xf>
    <xf numFmtId="0" fontId="38" fillId="12" borderId="0" xfId="0" applyFont="1" applyFill="1"/>
    <xf numFmtId="0" fontId="38" fillId="12" borderId="0" xfId="0" applyFont="1" applyFill="1" applyAlignment="1">
      <alignment wrapText="1"/>
    </xf>
    <xf numFmtId="0" fontId="55" fillId="12" borderId="0" xfId="0" applyFont="1" applyFill="1" applyAlignment="1">
      <alignment wrapText="1"/>
    </xf>
    <xf numFmtId="0" fontId="38" fillId="12" borderId="0" xfId="0" applyFont="1" applyFill="1" applyAlignment="1">
      <alignment horizontal="center" wrapText="1"/>
    </xf>
    <xf numFmtId="44" fontId="38" fillId="12" borderId="0" xfId="3" applyFont="1" applyFill="1"/>
    <xf numFmtId="2" fontId="38" fillId="12" borderId="18" xfId="0" applyNumberFormat="1" applyFont="1" applyFill="1" applyBorder="1" applyAlignment="1">
      <alignment wrapText="1"/>
    </xf>
    <xf numFmtId="2" fontId="38" fillId="12" borderId="18" xfId="0" applyNumberFormat="1" applyFont="1" applyFill="1" applyBorder="1"/>
    <xf numFmtId="174" fontId="38" fillId="12" borderId="18" xfId="0" applyNumberFormat="1" applyFont="1" applyFill="1" applyBorder="1"/>
    <xf numFmtId="175" fontId="38" fillId="12" borderId="18" xfId="2" applyNumberFormat="1" applyFont="1" applyFill="1" applyBorder="1"/>
    <xf numFmtId="43" fontId="38" fillId="12" borderId="23" xfId="2" applyNumberFormat="1" applyFont="1" applyFill="1" applyBorder="1"/>
    <xf numFmtId="170" fontId="0" fillId="12" borderId="1" xfId="0" applyNumberFormat="1" applyFill="1" applyBorder="1"/>
    <xf numFmtId="9" fontId="0" fillId="12" borderId="1" xfId="0" applyNumberFormat="1" applyFill="1" applyBorder="1"/>
    <xf numFmtId="43" fontId="0" fillId="12" borderId="28" xfId="2" applyFont="1" applyFill="1" applyBorder="1" applyAlignment="1">
      <alignment vertical="center"/>
    </xf>
    <xf numFmtId="0" fontId="0" fillId="12" borderId="27" xfId="0" applyFill="1" applyBorder="1"/>
    <xf numFmtId="169" fontId="0" fillId="12" borderId="28" xfId="1" applyNumberFormat="1" applyFont="1" applyFill="1" applyBorder="1"/>
    <xf numFmtId="0" fontId="37" fillId="12" borderId="28" xfId="0" applyFont="1" applyFill="1" applyBorder="1"/>
    <xf numFmtId="0" fontId="0" fillId="12" borderId="33" xfId="0" applyFill="1" applyBorder="1"/>
    <xf numFmtId="169" fontId="0" fillId="12" borderId="0" xfId="1" applyNumberFormat="1" applyFont="1" applyFill="1" applyBorder="1"/>
    <xf numFmtId="0" fontId="0" fillId="12" borderId="30" xfId="0" applyFill="1" applyBorder="1"/>
    <xf numFmtId="169" fontId="0" fillId="12" borderId="31" xfId="1" applyNumberFormat="1" applyFont="1" applyFill="1" applyBorder="1"/>
    <xf numFmtId="0" fontId="0" fillId="12" borderId="1" xfId="0" applyFill="1" applyBorder="1" applyAlignment="1">
      <alignment horizontal="center"/>
    </xf>
    <xf numFmtId="9" fontId="0" fillId="12" borderId="1" xfId="0" applyNumberFormat="1" applyFill="1" applyBorder="1" applyAlignment="1">
      <alignment horizontal="center"/>
    </xf>
    <xf numFmtId="9" fontId="0" fillId="12" borderId="28" xfId="0" applyNumberFormat="1" applyFill="1" applyBorder="1"/>
    <xf numFmtId="9" fontId="0" fillId="12" borderId="0" xfId="0" applyNumberFormat="1" applyFill="1" applyBorder="1"/>
    <xf numFmtId="9" fontId="37" fillId="12" borderId="1" xfId="0" applyNumberFormat="1" applyFont="1" applyFill="1" applyBorder="1"/>
    <xf numFmtId="43" fontId="35" fillId="12" borderId="18" xfId="2" applyNumberFormat="1" applyFont="1" applyFill="1" applyBorder="1"/>
    <xf numFmtId="43" fontId="35" fillId="12" borderId="17" xfId="2" applyFont="1" applyFill="1" applyBorder="1"/>
    <xf numFmtId="43" fontId="0" fillId="12" borderId="41" xfId="2" applyNumberFormat="1" applyFont="1" applyFill="1" applyBorder="1"/>
    <xf numFmtId="43" fontId="0" fillId="12" borderId="18" xfId="2" applyNumberFormat="1" applyFont="1" applyFill="1" applyBorder="1"/>
    <xf numFmtId="43" fontId="35" fillId="12" borderId="64" xfId="2" applyFont="1" applyFill="1" applyBorder="1"/>
    <xf numFmtId="171" fontId="1" fillId="0" borderId="1" xfId="2" applyNumberFormat="1" applyFont="1" applyBorder="1" applyAlignment="1">
      <alignment wrapText="1"/>
    </xf>
    <xf numFmtId="0" fontId="54" fillId="0" borderId="0" xfId="0" applyFont="1"/>
    <xf numFmtId="3" fontId="5" fillId="0" borderId="11" xfId="0" applyNumberFormat="1" applyFont="1" applyBorder="1" applyAlignment="1">
      <alignment vertical="center"/>
    </xf>
    <xf numFmtId="0" fontId="4" fillId="0" borderId="0" xfId="0" applyFont="1" applyAlignment="1">
      <alignment horizontal="center" vertical="center" wrapText="1"/>
    </xf>
    <xf numFmtId="170" fontId="1" fillId="15" borderId="1" xfId="2" applyNumberFormat="1" applyFont="1" applyFill="1" applyBorder="1" applyAlignment="1">
      <alignment wrapText="1"/>
    </xf>
    <xf numFmtId="0" fontId="1" fillId="0" borderId="1" xfId="0" applyFont="1" applyBorder="1" applyAlignment="1">
      <alignment vertical="center" wrapText="1"/>
    </xf>
    <xf numFmtId="170" fontId="1" fillId="0" borderId="1" xfId="0" applyNumberFormat="1" applyFont="1" applyBorder="1" applyAlignment="1">
      <alignment vertical="center" wrapText="1"/>
    </xf>
    <xf numFmtId="0" fontId="140" fillId="12" borderId="107" xfId="0" applyFont="1" applyFill="1" applyBorder="1" applyAlignment="1">
      <alignment horizontal="center" vertical="center"/>
    </xf>
    <xf numFmtId="0" fontId="140" fillId="12" borderId="30" xfId="0" applyFont="1" applyFill="1" applyBorder="1" applyAlignment="1">
      <alignment horizontal="center" vertical="center"/>
    </xf>
    <xf numFmtId="0" fontId="140" fillId="12" borderId="50" xfId="0" applyFont="1" applyFill="1" applyBorder="1" applyAlignment="1">
      <alignment horizontal="center" vertical="center" wrapText="1"/>
    </xf>
    <xf numFmtId="0" fontId="140" fillId="12" borderId="52" xfId="0" applyFont="1" applyFill="1" applyBorder="1" applyAlignment="1">
      <alignment horizontal="center" vertical="center" wrapText="1"/>
    </xf>
    <xf numFmtId="0" fontId="141" fillId="12" borderId="50" xfId="0" applyFont="1" applyFill="1" applyBorder="1" applyAlignment="1">
      <alignment horizontal="center" vertical="center" wrapText="1"/>
    </xf>
    <xf numFmtId="0" fontId="141" fillId="12" borderId="52" xfId="0" applyFont="1" applyFill="1" applyBorder="1" applyAlignment="1">
      <alignment horizontal="center" vertical="center" wrapText="1"/>
    </xf>
    <xf numFmtId="0" fontId="140" fillId="12" borderId="50" xfId="0" applyFont="1" applyFill="1" applyBorder="1" applyAlignment="1">
      <alignment horizontal="center" vertical="center"/>
    </xf>
    <xf numFmtId="0" fontId="140" fillId="12" borderId="52" xfId="0" applyFont="1" applyFill="1" applyBorder="1" applyAlignment="1">
      <alignment horizontal="center" vertical="center"/>
    </xf>
    <xf numFmtId="3" fontId="24" fillId="0" borderId="0" xfId="0" applyNumberFormat="1" applyFont="1" applyBorder="1" applyAlignment="1">
      <alignment horizontal="center" wrapText="1"/>
    </xf>
    <xf numFmtId="170" fontId="5" fillId="2" borderId="1" xfId="0" applyNumberFormat="1" applyFont="1" applyFill="1" applyBorder="1" applyAlignment="1">
      <alignment vertical="center"/>
    </xf>
    <xf numFmtId="170" fontId="5" fillId="0" borderId="1" xfId="0" applyNumberFormat="1" applyFont="1" applyFill="1" applyBorder="1" applyAlignment="1">
      <alignment vertical="center"/>
    </xf>
    <xf numFmtId="0" fontId="22" fillId="0" borderId="0" xfId="0" applyFont="1" applyAlignment="1">
      <alignment horizontal="right"/>
    </xf>
    <xf numFmtId="43" fontId="154" fillId="2" borderId="1" xfId="0" applyNumberFormat="1" applyFont="1" applyFill="1" applyBorder="1"/>
    <xf numFmtId="170" fontId="1" fillId="0" borderId="1" xfId="2" applyNumberFormat="1" applyFont="1" applyBorder="1" applyAlignment="1">
      <alignment horizontal="center" wrapText="1"/>
    </xf>
    <xf numFmtId="3" fontId="1" fillId="0" borderId="3" xfId="0" applyNumberFormat="1" applyFont="1" applyBorder="1" applyAlignment="1">
      <alignment horizontal="center" wrapText="1"/>
    </xf>
    <xf numFmtId="0" fontId="4" fillId="0" borderId="0" xfId="0" applyFont="1" applyAlignment="1">
      <alignment wrapText="1"/>
    </xf>
    <xf numFmtId="0" fontId="4" fillId="0" borderId="1" xfId="0" applyFont="1" applyFill="1" applyBorder="1" applyAlignment="1">
      <alignment wrapText="1"/>
    </xf>
    <xf numFmtId="43" fontId="1" fillId="0" borderId="1" xfId="2" applyNumberFormat="1" applyFont="1" applyBorder="1" applyAlignment="1">
      <alignment wrapText="1"/>
    </xf>
    <xf numFmtId="3" fontId="1" fillId="19" borderId="3" xfId="0" applyNumberFormat="1" applyFont="1" applyFill="1" applyBorder="1" applyAlignment="1">
      <alignment horizontal="center" wrapText="1"/>
    </xf>
    <xf numFmtId="0" fontId="4" fillId="12" borderId="1" xfId="0" applyFont="1" applyFill="1" applyBorder="1" applyAlignment="1">
      <alignment wrapText="1"/>
    </xf>
    <xf numFmtId="3" fontId="1" fillId="0" borderId="3" xfId="0" applyNumberFormat="1" applyFont="1" applyFill="1" applyBorder="1" applyAlignment="1">
      <alignment horizontal="center" wrapText="1"/>
    </xf>
    <xf numFmtId="0" fontId="149" fillId="0" borderId="1" xfId="0" applyFont="1" applyFill="1" applyBorder="1" applyAlignment="1">
      <alignment wrapText="1"/>
    </xf>
    <xf numFmtId="0" fontId="155" fillId="0" borderId="1" xfId="4" applyFont="1" applyBorder="1" applyAlignment="1" applyProtection="1">
      <alignment wrapText="1"/>
    </xf>
    <xf numFmtId="0" fontId="156" fillId="12" borderId="1" xfId="4" applyFont="1" applyFill="1" applyBorder="1" applyAlignment="1" applyProtection="1">
      <alignment wrapText="1"/>
    </xf>
    <xf numFmtId="0" fontId="155" fillId="12" borderId="1" xfId="4" applyFont="1" applyFill="1" applyBorder="1" applyAlignment="1" applyProtection="1">
      <alignment wrapText="1"/>
    </xf>
    <xf numFmtId="0" fontId="155" fillId="0" borderId="1" xfId="4" applyFont="1" applyFill="1" applyBorder="1" applyAlignment="1" applyProtection="1">
      <alignment wrapText="1"/>
    </xf>
    <xf numFmtId="170" fontId="1" fillId="0" borderId="1" xfId="0" applyNumberFormat="1" applyFont="1" applyFill="1" applyBorder="1" applyAlignment="1">
      <alignment vertical="center" wrapText="1"/>
    </xf>
    <xf numFmtId="0" fontId="4" fillId="26" borderId="1" xfId="0" applyFont="1" applyFill="1" applyBorder="1" applyAlignment="1" applyProtection="1">
      <alignment horizontal="center" vertical="center" wrapText="1"/>
    </xf>
    <xf numFmtId="0" fontId="7" fillId="26" borderId="1"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7" fillId="36" borderId="1" xfId="0" applyFont="1" applyFill="1" applyBorder="1" applyAlignment="1">
      <alignment horizontal="center" vertical="center" wrapText="1"/>
    </xf>
    <xf numFmtId="170" fontId="5" fillId="36" borderId="1" xfId="0" applyNumberFormat="1" applyFont="1" applyFill="1" applyBorder="1" applyAlignment="1">
      <alignment vertical="center"/>
    </xf>
    <xf numFmtId="43" fontId="22" fillId="36" borderId="1" xfId="2" applyNumberFormat="1" applyFont="1" applyFill="1" applyBorder="1"/>
    <xf numFmtId="0" fontId="157" fillId="0" borderId="0" xfId="0" applyFont="1" applyAlignment="1">
      <alignment wrapText="1"/>
    </xf>
    <xf numFmtId="0" fontId="157" fillId="0" borderId="0" xfId="0" applyFont="1" applyAlignment="1">
      <alignment vertical="center" wrapText="1"/>
    </xf>
    <xf numFmtId="0" fontId="157" fillId="0" borderId="0" xfId="0" applyFont="1" applyAlignment="1">
      <alignment horizontal="center" vertical="center" wrapText="1"/>
    </xf>
    <xf numFmtId="0" fontId="158" fillId="0" borderId="0" xfId="0" applyFont="1" applyAlignment="1">
      <alignment horizontal="center" vertical="center" wrapText="1"/>
    </xf>
    <xf numFmtId="0" fontId="159" fillId="0" borderId="0" xfId="0" applyFont="1"/>
    <xf numFmtId="0" fontId="154" fillId="0" borderId="0" xfId="0" applyFont="1" applyAlignment="1">
      <alignment horizontal="right"/>
    </xf>
    <xf numFmtId="0" fontId="4" fillId="26" borderId="1" xfId="0" applyFont="1" applyFill="1" applyBorder="1" applyAlignment="1">
      <alignment horizontal="center" vertical="center" wrapText="1"/>
    </xf>
    <xf numFmtId="3" fontId="1" fillId="0" borderId="2" xfId="0" applyNumberFormat="1" applyFont="1" applyBorder="1" applyAlignment="1">
      <alignment horizontal="center" wrapText="1"/>
    </xf>
    <xf numFmtId="3" fontId="1" fillId="0" borderId="0" xfId="0" applyNumberFormat="1" applyFont="1" applyBorder="1" applyAlignment="1">
      <alignment horizontal="center" wrapText="1"/>
    </xf>
    <xf numFmtId="170" fontId="1" fillId="0" borderId="2" xfId="2" applyNumberFormat="1" applyFont="1" applyBorder="1" applyAlignment="1">
      <alignment horizontal="center" wrapText="1"/>
    </xf>
    <xf numFmtId="3" fontId="1" fillId="0" borderId="8" xfId="0" applyNumberFormat="1" applyFont="1" applyBorder="1" applyAlignment="1">
      <alignment horizontal="center" wrapText="1"/>
    </xf>
    <xf numFmtId="3" fontId="1" fillId="0" borderId="0" xfId="0" applyNumberFormat="1" applyFont="1" applyFill="1" applyBorder="1" applyAlignment="1">
      <alignment horizontal="center" wrapText="1"/>
    </xf>
    <xf numFmtId="3" fontId="0" fillId="0" borderId="0" xfId="0" applyNumberFormat="1" applyBorder="1"/>
    <xf numFmtId="170" fontId="24" fillId="0" borderId="0" xfId="2" applyNumberFormat="1" applyFont="1" applyBorder="1" applyAlignment="1">
      <alignment horizontal="center" wrapText="1"/>
    </xf>
    <xf numFmtId="170" fontId="1" fillId="0" borderId="0" xfId="2" applyNumberFormat="1" applyFont="1" applyBorder="1" applyAlignment="1">
      <alignment horizontal="center" wrapText="1"/>
    </xf>
    <xf numFmtId="0" fontId="152" fillId="0" borderId="0" xfId="0" applyFont="1" applyBorder="1"/>
    <xf numFmtId="0" fontId="54" fillId="0" borderId="0" xfId="0" applyFont="1" applyBorder="1"/>
    <xf numFmtId="0" fontId="159" fillId="0" borderId="0" xfId="0" applyFont="1" applyBorder="1"/>
    <xf numFmtId="0" fontId="157" fillId="0" borderId="0" xfId="0" applyFont="1" applyBorder="1" applyAlignment="1">
      <alignment wrapText="1"/>
    </xf>
    <xf numFmtId="0" fontId="22" fillId="0" borderId="0" xfId="0" applyFont="1" applyBorder="1"/>
    <xf numFmtId="0" fontId="23" fillId="0" borderId="0" xfId="0" applyFont="1" applyBorder="1"/>
    <xf numFmtId="0" fontId="36" fillId="0" borderId="0" xfId="0" applyFont="1" applyBorder="1"/>
    <xf numFmtId="0" fontId="1" fillId="0" borderId="2" xfId="0" applyFont="1" applyBorder="1" applyAlignment="1">
      <alignment wrapText="1"/>
    </xf>
    <xf numFmtId="0" fontId="1" fillId="0" borderId="2" xfId="0" applyFont="1" applyBorder="1" applyAlignment="1">
      <alignment horizontal="center" wrapText="1"/>
    </xf>
    <xf numFmtId="3" fontId="1" fillId="0" borderId="2" xfId="0" applyNumberFormat="1" applyFont="1" applyBorder="1" applyAlignment="1">
      <alignment wrapText="1"/>
    </xf>
    <xf numFmtId="164" fontId="1" fillId="0" borderId="2" xfId="0" applyNumberFormat="1" applyFont="1" applyBorder="1" applyAlignment="1">
      <alignment wrapText="1"/>
    </xf>
    <xf numFmtId="0" fontId="1" fillId="19" borderId="2" xfId="0" applyFont="1" applyFill="1" applyBorder="1" applyAlignment="1">
      <alignment wrapText="1"/>
    </xf>
    <xf numFmtId="170" fontId="1" fillId="0" borderId="2" xfId="2" applyNumberFormat="1" applyFont="1" applyBorder="1" applyAlignment="1">
      <alignment wrapText="1"/>
    </xf>
    <xf numFmtId="170" fontId="1" fillId="15" borderId="2" xfId="2" applyNumberFormat="1" applyFont="1" applyFill="1" applyBorder="1" applyAlignment="1">
      <alignment wrapText="1"/>
    </xf>
    <xf numFmtId="164" fontId="1" fillId="19" borderId="2" xfId="0" applyNumberFormat="1" applyFont="1" applyFill="1" applyBorder="1" applyAlignment="1">
      <alignment wrapText="1"/>
    </xf>
    <xf numFmtId="3" fontId="1" fillId="19" borderId="8" xfId="0" applyNumberFormat="1" applyFont="1" applyFill="1" applyBorder="1" applyAlignment="1">
      <alignment horizontal="center" wrapText="1"/>
    </xf>
    <xf numFmtId="0" fontId="4" fillId="0" borderId="2" xfId="0" applyFont="1" applyFill="1" applyBorder="1" applyAlignment="1">
      <alignment wrapText="1"/>
    </xf>
    <xf numFmtId="0" fontId="4" fillId="12" borderId="2" xfId="0" applyFont="1" applyFill="1" applyBorder="1" applyAlignment="1">
      <alignment wrapText="1"/>
    </xf>
    <xf numFmtId="43" fontId="1" fillId="0" borderId="2" xfId="2" applyNumberFormat="1" applyFont="1" applyBorder="1" applyAlignment="1">
      <alignment wrapText="1"/>
    </xf>
    <xf numFmtId="0" fontId="4" fillId="0" borderId="1" xfId="0" applyFont="1" applyBorder="1"/>
    <xf numFmtId="0" fontId="152" fillId="0" borderId="1" xfId="0" applyFont="1" applyBorder="1"/>
    <xf numFmtId="0" fontId="1" fillId="8" borderId="1" xfId="0" applyFont="1" applyFill="1" applyBorder="1" applyAlignment="1">
      <alignment horizontal="center"/>
    </xf>
    <xf numFmtId="0" fontId="1" fillId="8" borderId="1" xfId="0" applyFont="1" applyFill="1" applyBorder="1"/>
    <xf numFmtId="3" fontId="1" fillId="8" borderId="1" xfId="0" applyNumberFormat="1" applyFont="1" applyFill="1" applyBorder="1"/>
    <xf numFmtId="3" fontId="1" fillId="2" borderId="1" xfId="0" applyNumberFormat="1" applyFont="1" applyFill="1" applyBorder="1" applyAlignment="1">
      <alignment horizontal="center"/>
    </xf>
    <xf numFmtId="0" fontId="1" fillId="9" borderId="1" xfId="0" applyFont="1" applyFill="1" applyBorder="1"/>
    <xf numFmtId="3" fontId="1" fillId="0" borderId="1" xfId="0" applyNumberFormat="1" applyFont="1" applyBorder="1"/>
    <xf numFmtId="170" fontId="23" fillId="0" borderId="0" xfId="0" applyNumberFormat="1" applyFont="1" applyAlignment="1">
      <alignment vertical="center"/>
    </xf>
    <xf numFmtId="0" fontId="23" fillId="0" borderId="0" xfId="0" applyFont="1" applyAlignment="1">
      <alignment vertical="center"/>
    </xf>
    <xf numFmtId="0" fontId="25" fillId="0" borderId="3" xfId="0" applyFont="1" applyFill="1" applyBorder="1" applyAlignment="1">
      <alignment horizontal="center" vertical="center" wrapText="1"/>
    </xf>
    <xf numFmtId="3" fontId="1" fillId="5" borderId="1" xfId="0" applyNumberFormat="1" applyFont="1" applyFill="1" applyBorder="1" applyAlignment="1">
      <alignment horizontal="center" wrapText="1"/>
    </xf>
    <xf numFmtId="3" fontId="1" fillId="5" borderId="1" xfId="0" applyNumberFormat="1" applyFont="1" applyFill="1" applyBorder="1"/>
    <xf numFmtId="3" fontId="1" fillId="6" borderId="1" xfId="0" applyNumberFormat="1" applyFont="1" applyFill="1" applyBorder="1" applyAlignment="1">
      <alignment horizontal="center" wrapText="1"/>
    </xf>
    <xf numFmtId="3" fontId="1" fillId="6" borderId="1" xfId="0" applyNumberFormat="1" applyFont="1" applyFill="1" applyBorder="1"/>
    <xf numFmtId="3" fontId="1" fillId="31" borderId="1" xfId="0" applyNumberFormat="1" applyFont="1" applyFill="1" applyBorder="1" applyAlignment="1">
      <alignment horizontal="center" wrapText="1"/>
    </xf>
    <xf numFmtId="3" fontId="1" fillId="31" borderId="1" xfId="0" applyNumberFormat="1" applyFont="1" applyFill="1" applyBorder="1"/>
    <xf numFmtId="3" fontId="5" fillId="4" borderId="1" xfId="0" applyNumberFormat="1" applyFont="1" applyFill="1" applyBorder="1" applyAlignment="1">
      <alignment horizontal="center" vertical="center" wrapText="1"/>
    </xf>
    <xf numFmtId="3" fontId="5" fillId="5" borderId="1" xfId="0" applyNumberFormat="1" applyFont="1" applyFill="1" applyBorder="1" applyAlignment="1">
      <alignment horizontal="center" vertical="center" wrapText="1"/>
    </xf>
    <xf numFmtId="3" fontId="5" fillId="6" borderId="1" xfId="0" applyNumberFormat="1" applyFont="1" applyFill="1" applyBorder="1" applyAlignment="1">
      <alignment horizontal="center" vertical="center" wrapText="1"/>
    </xf>
    <xf numFmtId="3" fontId="5" fillId="31" borderId="1" xfId="0" applyNumberFormat="1" applyFont="1" applyFill="1" applyBorder="1" applyAlignment="1">
      <alignment horizontal="center" vertical="center" wrapText="1"/>
    </xf>
    <xf numFmtId="3" fontId="5" fillId="11" borderId="3" xfId="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3" fontId="1" fillId="12" borderId="3" xfId="0" applyNumberFormat="1" applyFont="1" applyFill="1" applyBorder="1" applyAlignment="1">
      <alignment horizontal="center" wrapText="1"/>
    </xf>
    <xf numFmtId="3" fontId="1" fillId="0" borderId="8" xfId="0" applyNumberFormat="1" applyFont="1" applyFill="1" applyBorder="1" applyAlignment="1">
      <alignment horizontal="center" wrapText="1"/>
    </xf>
    <xf numFmtId="170" fontId="1" fillId="0" borderId="1" xfId="2" applyNumberFormat="1" applyFont="1" applyFill="1" applyBorder="1" applyAlignment="1">
      <alignment horizontal="center" wrapText="1"/>
    </xf>
    <xf numFmtId="39" fontId="5" fillId="0" borderId="0" xfId="2" applyNumberFormat="1" applyFont="1" applyBorder="1" applyAlignment="1">
      <alignment horizontal="center" wrapText="1"/>
    </xf>
    <xf numFmtId="171" fontId="1" fillId="0" borderId="1" xfId="2" applyNumberFormat="1" applyFont="1" applyFill="1" applyBorder="1" applyAlignment="1">
      <alignment wrapText="1"/>
    </xf>
    <xf numFmtId="171" fontId="1" fillId="0" borderId="2" xfId="2" applyNumberFormat="1" applyFont="1" applyBorder="1" applyAlignment="1">
      <alignment wrapText="1"/>
    </xf>
    <xf numFmtId="0" fontId="22" fillId="36" borderId="0" xfId="0" applyFont="1" applyFill="1" applyBorder="1" applyAlignment="1">
      <alignment horizontal="right"/>
    </xf>
    <xf numFmtId="0" fontId="22" fillId="2" borderId="0" xfId="0" applyFont="1" applyFill="1" applyBorder="1" applyAlignment="1">
      <alignment horizontal="right"/>
    </xf>
    <xf numFmtId="3" fontId="5" fillId="3" borderId="1" xfId="0" applyNumberFormat="1" applyFont="1" applyFill="1" applyBorder="1" applyAlignment="1">
      <alignment horizontal="center" wrapText="1"/>
    </xf>
    <xf numFmtId="170" fontId="5" fillId="0" borderId="1" xfId="2" applyNumberFormat="1" applyFont="1" applyBorder="1" applyAlignment="1">
      <alignment wrapText="1"/>
    </xf>
    <xf numFmtId="0" fontId="5" fillId="36" borderId="1" xfId="0" applyFont="1" applyFill="1" applyBorder="1" applyAlignment="1">
      <alignment horizontal="center" wrapText="1"/>
    </xf>
    <xf numFmtId="0" fontId="5" fillId="4" borderId="1"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0" applyFont="1" applyFill="1" applyBorder="1" applyAlignment="1">
      <alignment horizontal="center" vertical="center" wrapText="1"/>
    </xf>
    <xf numFmtId="0" fontId="5" fillId="26" borderId="1" xfId="0" applyFont="1" applyFill="1" applyBorder="1" applyAlignment="1">
      <alignment horizontal="center" wrapText="1"/>
    </xf>
    <xf numFmtId="0" fontId="3" fillId="6" borderId="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31" borderId="3" xfId="0" applyFont="1" applyFill="1" applyBorder="1" applyAlignment="1">
      <alignment horizontal="center" vertical="center" wrapText="1"/>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4" fillId="36" borderId="8" xfId="0" applyFont="1" applyFill="1" applyBorder="1" applyAlignment="1">
      <alignment horizontal="center" vertical="center" wrapText="1"/>
    </xf>
    <xf numFmtId="0" fontId="4" fillId="36" borderId="9" xfId="0" applyFont="1" applyFill="1" applyBorder="1" applyAlignment="1">
      <alignment horizontal="center" vertical="center" wrapText="1"/>
    </xf>
    <xf numFmtId="0" fontId="4" fillId="36" borderId="14" xfId="0" applyFont="1" applyFill="1" applyBorder="1" applyAlignment="1">
      <alignment horizontal="center" vertical="center" wrapText="1"/>
    </xf>
    <xf numFmtId="0" fontId="4" fillId="36" borderId="7" xfId="0" applyFont="1" applyFill="1" applyBorder="1" applyAlignment="1">
      <alignment horizontal="center" vertical="center" wrapText="1"/>
    </xf>
    <xf numFmtId="0" fontId="4" fillId="36" borderId="6" xfId="0" applyFont="1" applyFill="1" applyBorder="1" applyAlignment="1">
      <alignment horizontal="center" vertical="center" wrapText="1"/>
    </xf>
    <xf numFmtId="0" fontId="4" fillId="36" borderId="15"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31" borderId="3" xfId="0" applyFont="1" applyFill="1" applyBorder="1" applyAlignment="1">
      <alignment horizontal="center" vertical="center" wrapText="1"/>
    </xf>
    <xf numFmtId="0" fontId="5" fillId="31" borderId="4" xfId="0" applyFont="1" applyFill="1" applyBorder="1" applyAlignment="1">
      <alignment horizontal="center" vertical="center" wrapText="1"/>
    </xf>
    <xf numFmtId="0" fontId="5" fillId="31" borderId="5" xfId="0" applyFont="1" applyFill="1" applyBorder="1" applyAlignment="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4" xfId="0" applyFont="1" applyFill="1" applyBorder="1" applyAlignment="1">
      <alignment horizontal="center" vertical="center" wrapText="1"/>
    </xf>
    <xf numFmtId="0" fontId="27" fillId="7" borderId="7" xfId="0" applyFont="1" applyFill="1" applyBorder="1" applyAlignment="1">
      <alignment horizontal="center" vertical="center" wrapText="1"/>
    </xf>
    <xf numFmtId="0" fontId="27" fillId="7" borderId="6" xfId="0" applyFont="1" applyFill="1" applyBorder="1" applyAlignment="1">
      <alignment horizontal="center" vertical="center" wrapText="1"/>
    </xf>
    <xf numFmtId="0" fontId="27" fillId="7" borderId="1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36" fillId="15" borderId="24" xfId="0" applyFont="1" applyFill="1" applyBorder="1" applyAlignment="1">
      <alignment horizontal="center"/>
    </xf>
    <xf numFmtId="0" fontId="36" fillId="15" borderId="25" xfId="0" applyFont="1" applyFill="1" applyBorder="1" applyAlignment="1">
      <alignment horizontal="center"/>
    </xf>
    <xf numFmtId="0" fontId="36" fillId="15" borderId="26" xfId="0" applyFont="1" applyFill="1" applyBorder="1" applyAlignment="1">
      <alignment horizontal="center"/>
    </xf>
    <xf numFmtId="0" fontId="8" fillId="19" borderId="23" xfId="0" applyFont="1" applyFill="1" applyBorder="1" applyAlignment="1">
      <alignment horizontal="center" wrapText="1"/>
    </xf>
    <xf numFmtId="0" fontId="8" fillId="19" borderId="88" xfId="0" applyFont="1" applyFill="1" applyBorder="1" applyAlignment="1">
      <alignment horizontal="center" wrapText="1"/>
    </xf>
    <xf numFmtId="0" fontId="8" fillId="19" borderId="57" xfId="0" applyFont="1" applyFill="1" applyBorder="1" applyAlignment="1">
      <alignment horizontal="center" wrapText="1"/>
    </xf>
    <xf numFmtId="0" fontId="8" fillId="19" borderId="1" xfId="0" applyFont="1" applyFill="1" applyBorder="1" applyAlignment="1">
      <alignment horizontal="center"/>
    </xf>
    <xf numFmtId="0" fontId="36" fillId="15" borderId="27" xfId="0" applyFont="1" applyFill="1" applyBorder="1" applyAlignment="1">
      <alignment horizontal="center"/>
    </xf>
    <xf numFmtId="0" fontId="36" fillId="15" borderId="29" xfId="0" applyFont="1" applyFill="1" applyBorder="1" applyAlignment="1">
      <alignment horizontal="center"/>
    </xf>
    <xf numFmtId="0" fontId="8" fillId="16" borderId="27" xfId="0" applyFont="1" applyFill="1" applyBorder="1" applyAlignment="1">
      <alignment horizontal="center" vertical="center"/>
    </xf>
    <xf numFmtId="0" fontId="8" fillId="16" borderId="30" xfId="0" applyFont="1" applyFill="1" applyBorder="1" applyAlignment="1">
      <alignment horizontal="center" vertical="center"/>
    </xf>
    <xf numFmtId="0" fontId="0" fillId="16" borderId="28" xfId="0" applyFill="1" applyBorder="1" applyAlignment="1">
      <alignment horizontal="left" vertical="top" wrapText="1"/>
    </xf>
    <xf numFmtId="0" fontId="0" fillId="16" borderId="29" xfId="0" applyFill="1" applyBorder="1" applyAlignment="1">
      <alignment horizontal="left" vertical="top" wrapText="1"/>
    </xf>
    <xf numFmtId="0" fontId="0" fillId="16" borderId="31" xfId="0" applyFill="1" applyBorder="1" applyAlignment="1">
      <alignment horizontal="left" vertical="top" wrapText="1"/>
    </xf>
    <xf numFmtId="0" fontId="0" fillId="16" borderId="32" xfId="0" applyFill="1" applyBorder="1" applyAlignment="1">
      <alignment horizontal="left" vertical="top" wrapText="1"/>
    </xf>
    <xf numFmtId="0" fontId="0" fillId="16" borderId="28" xfId="0" applyFill="1" applyBorder="1" applyAlignment="1">
      <alignment horizontal="left" wrapText="1"/>
    </xf>
    <xf numFmtId="0" fontId="0" fillId="16" borderId="29" xfId="0" applyFill="1" applyBorder="1" applyAlignment="1">
      <alignment horizontal="left" wrapText="1"/>
    </xf>
    <xf numFmtId="0" fontId="0" fillId="16" borderId="31" xfId="0" applyFill="1" applyBorder="1" applyAlignment="1">
      <alignment horizontal="left" wrapText="1"/>
    </xf>
    <xf numFmtId="0" fontId="0" fillId="16" borderId="32" xfId="0" applyFill="1" applyBorder="1" applyAlignment="1">
      <alignment horizontal="left" wrapText="1"/>
    </xf>
    <xf numFmtId="0" fontId="93" fillId="16" borderId="27" xfId="0" applyFont="1" applyFill="1" applyBorder="1" applyAlignment="1">
      <alignment horizontal="center" vertical="center"/>
    </xf>
    <xf numFmtId="0" fontId="93" fillId="16" borderId="33" xfId="0" applyFont="1" applyFill="1" applyBorder="1" applyAlignment="1">
      <alignment horizontal="center" vertical="center"/>
    </xf>
    <xf numFmtId="0" fontId="93" fillId="16" borderId="30" xfId="0" applyFont="1" applyFill="1" applyBorder="1" applyAlignment="1">
      <alignment horizontal="center" vertical="center"/>
    </xf>
    <xf numFmtId="0" fontId="8" fillId="16" borderId="33" xfId="0" applyFont="1" applyFill="1" applyBorder="1" applyAlignment="1">
      <alignment horizontal="center" vertical="center"/>
    </xf>
    <xf numFmtId="0" fontId="8" fillId="19" borderId="19" xfId="0" applyFont="1" applyFill="1" applyBorder="1" applyAlignment="1">
      <alignment horizontal="center"/>
    </xf>
    <xf numFmtId="0" fontId="8" fillId="19" borderId="20" xfId="0" applyFont="1" applyFill="1" applyBorder="1" applyAlignment="1">
      <alignment horizontal="center"/>
    </xf>
    <xf numFmtId="0" fontId="8" fillId="19" borderId="22" xfId="0" applyFont="1" applyFill="1" applyBorder="1" applyAlignment="1">
      <alignment horizontal="center"/>
    </xf>
    <xf numFmtId="0" fontId="8" fillId="19" borderId="56" xfId="0" applyFont="1" applyFill="1" applyBorder="1" applyAlignment="1">
      <alignment horizontal="center"/>
    </xf>
    <xf numFmtId="0" fontId="8" fillId="19" borderId="21" xfId="0" applyFont="1" applyFill="1" applyBorder="1" applyAlignment="1">
      <alignment horizontal="center"/>
    </xf>
    <xf numFmtId="0" fontId="8" fillId="19" borderId="6" xfId="0" applyFont="1" applyFill="1" applyBorder="1" applyAlignment="1">
      <alignment horizontal="center"/>
    </xf>
    <xf numFmtId="0" fontId="37" fillId="16" borderId="33" xfId="0" applyFont="1" applyFill="1" applyBorder="1" applyAlignment="1">
      <alignment horizontal="left" wrapText="1"/>
    </xf>
    <xf numFmtId="0" fontId="37" fillId="16" borderId="0" xfId="0" applyFont="1" applyFill="1" applyBorder="1" applyAlignment="1">
      <alignment horizontal="left" wrapText="1"/>
    </xf>
    <xf numFmtId="0" fontId="37" fillId="16" borderId="34" xfId="0" applyFont="1" applyFill="1" applyBorder="1" applyAlignment="1">
      <alignment horizontal="left"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37" fillId="16" borderId="13" xfId="0" applyFont="1" applyFill="1" applyBorder="1" applyAlignment="1">
      <alignment horizontal="left" wrapText="1"/>
    </xf>
    <xf numFmtId="0" fontId="37" fillId="16" borderId="12" xfId="0" applyFont="1" applyFill="1" applyBorder="1" applyAlignment="1">
      <alignment horizontal="left" wrapText="1"/>
    </xf>
    <xf numFmtId="0" fontId="8" fillId="19" borderId="19" xfId="0" applyFont="1" applyFill="1" applyBorder="1" applyAlignment="1">
      <alignment horizontal="center" wrapText="1"/>
    </xf>
    <xf numFmtId="0" fontId="8" fillId="19" borderId="20" xfId="0" applyFont="1" applyFill="1" applyBorder="1" applyAlignment="1">
      <alignment horizontal="center" wrapText="1"/>
    </xf>
    <xf numFmtId="0" fontId="8" fillId="19" borderId="22" xfId="0" applyFont="1" applyFill="1" applyBorder="1" applyAlignment="1">
      <alignment horizontal="center" wrapText="1"/>
    </xf>
    <xf numFmtId="0" fontId="37" fillId="0" borderId="31" xfId="0" applyFont="1" applyFill="1" applyBorder="1" applyAlignment="1">
      <alignment horizontal="left" vertical="top" wrapText="1"/>
    </xf>
    <xf numFmtId="0" fontId="37" fillId="0" borderId="32" xfId="0" applyFont="1" applyFill="1" applyBorder="1" applyAlignment="1">
      <alignment horizontal="left" vertical="top" wrapText="1"/>
    </xf>
    <xf numFmtId="0" fontId="37" fillId="0" borderId="28" xfId="0" applyFont="1" applyFill="1"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37" fillId="0" borderId="0" xfId="0" applyFont="1" applyFill="1" applyBorder="1" applyAlignment="1">
      <alignment horizontal="left" vertical="top" wrapText="1"/>
    </xf>
    <xf numFmtId="0" fontId="37" fillId="0" borderId="34" xfId="0" applyFont="1" applyFill="1" applyBorder="1" applyAlignment="1">
      <alignment horizontal="left" vertical="top" wrapText="1"/>
    </xf>
    <xf numFmtId="0" fontId="37" fillId="16" borderId="27" xfId="0" applyFont="1" applyFill="1" applyBorder="1" applyAlignment="1">
      <alignment horizontal="left" wrapText="1"/>
    </xf>
    <xf numFmtId="0" fontId="37" fillId="16" borderId="28" xfId="0" applyFont="1" applyFill="1" applyBorder="1" applyAlignment="1">
      <alignment horizontal="left" wrapText="1"/>
    </xf>
    <xf numFmtId="0" fontId="37" fillId="16" borderId="29" xfId="0" applyFont="1" applyFill="1" applyBorder="1" applyAlignment="1">
      <alignment horizontal="left" wrapText="1"/>
    </xf>
    <xf numFmtId="0" fontId="8" fillId="21" borderId="83" xfId="0" applyFont="1" applyFill="1" applyBorder="1" applyAlignment="1">
      <alignment horizontal="center"/>
    </xf>
    <xf numFmtId="0" fontId="8" fillId="21" borderId="6" xfId="0" applyFont="1" applyFill="1" applyBorder="1" applyAlignment="1">
      <alignment horizontal="center"/>
    </xf>
    <xf numFmtId="0" fontId="8" fillId="19" borderId="17" xfId="0" applyFont="1" applyFill="1" applyBorder="1" applyAlignment="1">
      <alignment horizontal="center"/>
    </xf>
    <xf numFmtId="0" fontId="40" fillId="17" borderId="3" xfId="0" applyFont="1" applyFill="1" applyBorder="1" applyAlignment="1">
      <alignment horizontal="center" vertical="center" wrapText="1"/>
    </xf>
    <xf numFmtId="0" fontId="40" fillId="17" borderId="5" xfId="0" applyFont="1" applyFill="1" applyBorder="1" applyAlignment="1">
      <alignment horizontal="center" vertical="center" wrapText="1"/>
    </xf>
    <xf numFmtId="0" fontId="37" fillId="16" borderId="55" xfId="0" applyFont="1" applyFill="1" applyBorder="1" applyAlignment="1">
      <alignment horizontal="center" vertical="center" wrapText="1"/>
    </xf>
    <xf numFmtId="0" fontId="37" fillId="16" borderId="47" xfId="0" applyFont="1" applyFill="1" applyBorder="1" applyAlignment="1">
      <alignment horizontal="center" vertical="center" wrapText="1"/>
    </xf>
    <xf numFmtId="0" fontId="37" fillId="16" borderId="37" xfId="0" applyFont="1" applyFill="1" applyBorder="1" applyAlignment="1">
      <alignment horizontal="center" vertical="center" wrapText="1"/>
    </xf>
    <xf numFmtId="0" fontId="0" fillId="0" borderId="28" xfId="0" applyFill="1" applyBorder="1" applyAlignment="1">
      <alignment horizontal="left" vertical="top" wrapText="1"/>
    </xf>
    <xf numFmtId="0" fontId="0" fillId="0" borderId="29" xfId="0" applyFill="1" applyBorder="1" applyAlignment="1">
      <alignment horizontal="left" vertical="top" wrapText="1"/>
    </xf>
    <xf numFmtId="0" fontId="132" fillId="20" borderId="27" xfId="0" applyFont="1" applyFill="1" applyBorder="1" applyAlignment="1">
      <alignment horizontal="center"/>
    </xf>
    <xf numFmtId="0" fontId="132" fillId="20" borderId="28" xfId="0" applyFont="1" applyFill="1" applyBorder="1" applyAlignment="1">
      <alignment horizontal="center"/>
    </xf>
    <xf numFmtId="0" fontId="132" fillId="20" borderId="29" xfId="0" applyFont="1" applyFill="1" applyBorder="1" applyAlignment="1">
      <alignment horizontal="center"/>
    </xf>
    <xf numFmtId="0" fontId="40" fillId="17" borderId="93" xfId="0" applyFont="1" applyFill="1" applyBorder="1" applyAlignment="1">
      <alignment horizontal="center" vertical="center" wrapText="1"/>
    </xf>
    <xf numFmtId="0" fontId="40" fillId="17" borderId="94" xfId="0" applyFont="1" applyFill="1" applyBorder="1" applyAlignment="1">
      <alignment horizontal="center" vertical="center" wrapText="1"/>
    </xf>
    <xf numFmtId="0" fontId="132" fillId="20" borderId="24" xfId="0" applyFont="1" applyFill="1" applyBorder="1" applyAlignment="1">
      <alignment horizontal="center"/>
    </xf>
    <xf numFmtId="0" fontId="132" fillId="20" borderId="25" xfId="0" applyFont="1" applyFill="1" applyBorder="1" applyAlignment="1">
      <alignment horizontal="center"/>
    </xf>
    <xf numFmtId="0" fontId="132" fillId="20" borderId="26" xfId="0" applyFont="1" applyFill="1" applyBorder="1" applyAlignment="1">
      <alignment horizontal="center"/>
    </xf>
    <xf numFmtId="0" fontId="40" fillId="17" borderId="7" xfId="0" applyFont="1" applyFill="1" applyBorder="1" applyAlignment="1">
      <alignment horizontal="center" vertical="center" wrapText="1"/>
    </xf>
    <xf numFmtId="0" fontId="40" fillId="17" borderId="15" xfId="0" applyFont="1" applyFill="1" applyBorder="1" applyAlignment="1">
      <alignment horizontal="center" vertical="center" wrapText="1"/>
    </xf>
    <xf numFmtId="0" fontId="36" fillId="20" borderId="59" xfId="0" applyFont="1" applyFill="1" applyBorder="1" applyAlignment="1">
      <alignment horizontal="center"/>
    </xf>
    <xf numFmtId="0" fontId="36" fillId="20" borderId="86" xfId="0" applyFont="1" applyFill="1" applyBorder="1" applyAlignment="1">
      <alignment horizontal="center"/>
    </xf>
    <xf numFmtId="0" fontId="36" fillId="20" borderId="96" xfId="0" quotePrefix="1" applyFont="1" applyFill="1" applyBorder="1" applyAlignment="1">
      <alignment horizontal="center"/>
    </xf>
    <xf numFmtId="0" fontId="36" fillId="20" borderId="97" xfId="0" quotePrefix="1" applyFont="1" applyFill="1" applyBorder="1" applyAlignment="1">
      <alignment horizontal="center"/>
    </xf>
    <xf numFmtId="0" fontId="8" fillId="15" borderId="7" xfId="0" applyFont="1" applyFill="1" applyBorder="1" applyAlignment="1">
      <alignment horizontal="center"/>
    </xf>
    <xf numFmtId="0" fontId="8" fillId="15" borderId="6" xfId="0" applyFont="1" applyFill="1" applyBorder="1" applyAlignment="1">
      <alignment horizontal="center"/>
    </xf>
    <xf numFmtId="0" fontId="101" fillId="17" borderId="3" xfId="0" applyFont="1" applyFill="1" applyBorder="1" applyAlignment="1">
      <alignment horizontal="center" vertical="center" wrapText="1"/>
    </xf>
    <xf numFmtId="0" fontId="101" fillId="17" borderId="5" xfId="0" applyFont="1" applyFill="1" applyBorder="1" applyAlignment="1">
      <alignment horizontal="center" vertical="center" wrapText="1"/>
    </xf>
    <xf numFmtId="0" fontId="8" fillId="19" borderId="58" xfId="0" applyFont="1" applyFill="1" applyBorder="1" applyAlignment="1">
      <alignment horizontal="center"/>
    </xf>
    <xf numFmtId="0" fontId="0" fillId="15" borderId="7" xfId="0" applyFill="1" applyBorder="1" applyAlignment="1">
      <alignment horizontal="center"/>
    </xf>
    <xf numFmtId="0" fontId="0" fillId="15" borderId="6" xfId="0" applyFill="1" applyBorder="1" applyAlignment="1">
      <alignment horizontal="center"/>
    </xf>
    <xf numFmtId="0" fontId="0" fillId="15" borderId="1" xfId="0" applyFill="1" applyBorder="1" applyAlignment="1">
      <alignment horizontal="center"/>
    </xf>
    <xf numFmtId="0" fontId="36" fillId="15" borderId="3" xfId="0" applyFont="1" applyFill="1" applyBorder="1" applyAlignment="1">
      <alignment horizontal="left" vertical="center" wrapText="1"/>
    </xf>
    <xf numFmtId="0" fontId="36" fillId="15" borderId="5" xfId="0" applyFont="1" applyFill="1" applyBorder="1" applyAlignment="1">
      <alignment horizontal="left" vertical="center" wrapText="1"/>
    </xf>
    <xf numFmtId="0" fontId="0" fillId="15" borderId="3" xfId="0" applyFill="1" applyBorder="1" applyAlignment="1">
      <alignment horizontal="center"/>
    </xf>
    <xf numFmtId="0" fontId="0" fillId="15" borderId="5" xfId="0" applyFill="1" applyBorder="1" applyAlignment="1">
      <alignment horizont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36" fillId="15" borderId="2" xfId="0" applyFont="1" applyFill="1" applyBorder="1" applyAlignment="1">
      <alignment horizontal="center" wrapText="1"/>
    </xf>
    <xf numFmtId="0" fontId="36" fillId="15" borderId="10" xfId="0" applyFont="1" applyFill="1" applyBorder="1" applyAlignment="1">
      <alignment horizontal="center" wrapText="1"/>
    </xf>
    <xf numFmtId="0" fontId="36" fillId="15" borderId="16" xfId="0" applyFont="1" applyFill="1" applyBorder="1" applyAlignment="1">
      <alignment horizontal="center" wrapText="1"/>
    </xf>
    <xf numFmtId="0" fontId="36" fillId="15" borderId="1" xfId="0" applyFont="1" applyFill="1" applyBorder="1" applyAlignment="1">
      <alignment horizontal="center"/>
    </xf>
    <xf numFmtId="0" fontId="36" fillId="15" borderId="3" xfId="0" applyFont="1" applyFill="1" applyBorder="1" applyAlignment="1">
      <alignment horizontal="center"/>
    </xf>
    <xf numFmtId="0" fontId="36" fillId="15" borderId="5" xfId="0" applyFont="1" applyFill="1" applyBorder="1" applyAlignment="1">
      <alignment horizontal="center"/>
    </xf>
    <xf numFmtId="0" fontId="0" fillId="19" borderId="3" xfId="0" applyNumberFormat="1" applyFill="1" applyBorder="1" applyAlignment="1">
      <alignment horizontal="center"/>
    </xf>
    <xf numFmtId="0" fontId="0" fillId="19" borderId="4" xfId="0" applyNumberFormat="1" applyFill="1" applyBorder="1" applyAlignment="1">
      <alignment horizontal="center"/>
    </xf>
    <xf numFmtId="0" fontId="0" fillId="19" borderId="5" xfId="0" applyNumberFormat="1" applyFill="1" applyBorder="1" applyAlignment="1">
      <alignment horizontal="center"/>
    </xf>
    <xf numFmtId="0" fontId="0" fillId="16" borderId="25" xfId="0" quotePrefix="1" applyFill="1" applyBorder="1" applyAlignment="1">
      <alignment horizontal="left" wrapText="1"/>
    </xf>
    <xf numFmtId="0" fontId="0" fillId="16" borderId="26" xfId="0" quotePrefix="1" applyFill="1" applyBorder="1" applyAlignment="1">
      <alignment horizontal="left" wrapText="1"/>
    </xf>
    <xf numFmtId="0" fontId="0" fillId="19" borderId="83" xfId="0" applyFill="1" applyBorder="1" applyAlignment="1">
      <alignment horizontal="center"/>
    </xf>
    <xf numFmtId="0" fontId="0" fillId="19" borderId="6" xfId="0" applyFill="1" applyBorder="1" applyAlignment="1">
      <alignment horizontal="center"/>
    </xf>
    <xf numFmtId="0" fontId="40" fillId="17" borderId="4" xfId="0" applyFont="1" applyFill="1" applyBorder="1" applyAlignment="1">
      <alignment horizontal="center" vertical="center" wrapText="1"/>
    </xf>
    <xf numFmtId="0" fontId="40" fillId="17" borderId="86" xfId="0" applyFont="1" applyFill="1" applyBorder="1" applyAlignment="1">
      <alignment horizontal="center" vertical="center" wrapText="1"/>
    </xf>
    <xf numFmtId="0" fontId="36" fillId="20" borderId="3" xfId="0" applyFont="1" applyFill="1" applyBorder="1" applyAlignment="1">
      <alignment horizontal="center"/>
    </xf>
    <xf numFmtId="0" fontId="36" fillId="20" borderId="4" xfId="0" applyFont="1" applyFill="1" applyBorder="1" applyAlignment="1">
      <alignment horizontal="center"/>
    </xf>
    <xf numFmtId="0" fontId="36" fillId="20" borderId="5" xfId="0" applyFont="1" applyFill="1" applyBorder="1" applyAlignment="1">
      <alignment horizontal="center"/>
    </xf>
    <xf numFmtId="0" fontId="34" fillId="15" borderId="50" xfId="0" applyFont="1" applyFill="1" applyBorder="1" applyAlignment="1">
      <alignment horizontal="center"/>
    </xf>
    <xf numFmtId="0" fontId="34" fillId="15" borderId="1" xfId="0" applyFont="1" applyFill="1" applyBorder="1" applyAlignment="1">
      <alignment horizontal="center"/>
    </xf>
    <xf numFmtId="0" fontId="0" fillId="16" borderId="0" xfId="0" applyFill="1" applyBorder="1" applyAlignment="1">
      <alignment horizontal="left" vertical="top" wrapText="1"/>
    </xf>
    <xf numFmtId="0" fontId="0" fillId="16" borderId="34" xfId="0" applyFill="1" applyBorder="1" applyAlignment="1">
      <alignment horizontal="left" vertical="top" wrapText="1"/>
    </xf>
    <xf numFmtId="0" fontId="0" fillId="19" borderId="1" xfId="0" applyFill="1" applyBorder="1" applyAlignment="1">
      <alignment horizontal="center"/>
    </xf>
    <xf numFmtId="0" fontId="40" fillId="17" borderId="50" xfId="0" applyFont="1" applyFill="1" applyBorder="1" applyAlignment="1">
      <alignment horizontal="center" vertical="center" wrapText="1"/>
    </xf>
    <xf numFmtId="0" fontId="40" fillId="17" borderId="13" xfId="0" applyFont="1" applyFill="1" applyBorder="1" applyAlignment="1">
      <alignment horizontal="center" vertical="center" wrapText="1"/>
    </xf>
    <xf numFmtId="0" fontId="40" fillId="17" borderId="0" xfId="0" applyFont="1" applyFill="1" applyBorder="1" applyAlignment="1">
      <alignment horizontal="center" vertical="center" wrapText="1"/>
    </xf>
    <xf numFmtId="0" fontId="0" fillId="0" borderId="0" xfId="0" applyBorder="1" applyAlignment="1"/>
    <xf numFmtId="0" fontId="40" fillId="17" borderId="1" xfId="0" applyFont="1" applyFill="1" applyBorder="1" applyAlignment="1">
      <alignment horizontal="center" vertical="center" wrapText="1"/>
    </xf>
    <xf numFmtId="0" fontId="34" fillId="20" borderId="1" xfId="0" applyFont="1" applyFill="1" applyBorder="1" applyAlignment="1">
      <alignment horizontal="center"/>
    </xf>
    <xf numFmtId="0" fontId="0" fillId="0" borderId="0" xfId="0" applyBorder="1" applyAlignment="1">
      <alignment horizontal="left" wrapText="1"/>
    </xf>
    <xf numFmtId="0" fontId="0" fillId="0" borderId="34" xfId="0" applyBorder="1" applyAlignment="1">
      <alignment horizontal="left" wrapText="1"/>
    </xf>
    <xf numFmtId="0" fontId="36" fillId="20" borderId="30" xfId="0" applyFont="1" applyFill="1" applyBorder="1" applyAlignment="1">
      <alignment horizontal="center"/>
    </xf>
    <xf numFmtId="0" fontId="36" fillId="20" borderId="31" xfId="0" applyFont="1" applyFill="1" applyBorder="1" applyAlignment="1">
      <alignment horizontal="center"/>
    </xf>
    <xf numFmtId="0" fontId="36" fillId="20" borderId="32" xfId="0" applyFont="1" applyFill="1" applyBorder="1" applyAlignment="1">
      <alignment horizontal="center"/>
    </xf>
    <xf numFmtId="0" fontId="34" fillId="20" borderId="3" xfId="0" applyFont="1" applyFill="1" applyBorder="1" applyAlignment="1">
      <alignment horizontal="center" vertical="center"/>
    </xf>
    <xf numFmtId="0" fontId="34" fillId="20" borderId="4" xfId="0" applyFont="1" applyFill="1" applyBorder="1" applyAlignment="1">
      <alignment horizontal="center" vertical="center"/>
    </xf>
    <xf numFmtId="0" fontId="34" fillId="20" borderId="5" xfId="0" applyFont="1" applyFill="1" applyBorder="1" applyAlignment="1">
      <alignment horizontal="center" vertical="center"/>
    </xf>
    <xf numFmtId="0" fontId="40" fillId="17" borderId="30" xfId="0" applyFont="1" applyFill="1" applyBorder="1" applyAlignment="1">
      <alignment horizontal="center" vertical="center" wrapText="1"/>
    </xf>
    <xf numFmtId="0" fontId="40" fillId="17" borderId="31" xfId="0" applyFont="1" applyFill="1" applyBorder="1" applyAlignment="1">
      <alignment horizontal="center" vertical="center" wrapText="1"/>
    </xf>
    <xf numFmtId="0" fontId="40" fillId="17" borderId="24" xfId="0" applyFont="1" applyFill="1" applyBorder="1" applyAlignment="1">
      <alignment horizontal="center" vertical="center" wrapText="1"/>
    </xf>
    <xf numFmtId="0" fontId="40" fillId="17" borderId="2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40" fillId="23" borderId="47" xfId="0" applyFont="1" applyFill="1" applyBorder="1" applyAlignment="1">
      <alignment horizontal="center" vertical="center" wrapText="1"/>
    </xf>
    <xf numFmtId="0" fontId="40" fillId="23" borderId="37" xfId="0" applyFont="1" applyFill="1" applyBorder="1" applyAlignment="1">
      <alignment horizontal="center" vertical="center" wrapText="1"/>
    </xf>
    <xf numFmtId="0" fontId="34" fillId="20" borderId="1" xfId="0" applyFont="1" applyFill="1" applyBorder="1" applyAlignment="1">
      <alignment horizontal="center" vertical="center"/>
    </xf>
    <xf numFmtId="0" fontId="71" fillId="17" borderId="1" xfId="0" applyFont="1" applyFill="1" applyBorder="1" applyAlignment="1">
      <alignment horizontal="center" vertical="center" wrapText="1"/>
    </xf>
    <xf numFmtId="0" fontId="71" fillId="17" borderId="30" xfId="0" applyFont="1" applyFill="1" applyBorder="1" applyAlignment="1">
      <alignment horizontal="center" vertical="center" wrapText="1"/>
    </xf>
    <xf numFmtId="0" fontId="0" fillId="0" borderId="31" xfId="0" applyBorder="1" applyAlignment="1"/>
    <xf numFmtId="0" fontId="0" fillId="0" borderId="32" xfId="0" applyBorder="1" applyAlignment="1"/>
    <xf numFmtId="0" fontId="36" fillId="20" borderId="1" xfId="0" applyFont="1" applyFill="1" applyBorder="1" applyAlignment="1">
      <alignment horizontal="center"/>
    </xf>
    <xf numFmtId="0" fontId="0" fillId="0" borderId="0" xfId="0" applyBorder="1" applyAlignment="1">
      <alignment horizontal="left" vertical="top" wrapText="1"/>
    </xf>
    <xf numFmtId="8" fontId="34" fillId="20" borderId="28" xfId="0" applyNumberFormat="1" applyFont="1" applyFill="1" applyBorder="1" applyAlignment="1">
      <alignment horizontal="center"/>
    </xf>
    <xf numFmtId="0" fontId="34" fillId="20" borderId="7" xfId="0" applyFont="1" applyFill="1" applyBorder="1" applyAlignment="1">
      <alignment horizontal="center" vertical="center"/>
    </xf>
    <xf numFmtId="0" fontId="34" fillId="20" borderId="6" xfId="0" applyFont="1" applyFill="1" applyBorder="1" applyAlignment="1">
      <alignment horizontal="center" vertical="center"/>
    </xf>
    <xf numFmtId="0" fontId="34" fillId="20" borderId="15" xfId="0" applyFont="1" applyFill="1" applyBorder="1" applyAlignment="1">
      <alignment horizontal="center" vertical="center"/>
    </xf>
    <xf numFmtId="0" fontId="40" fillId="17" borderId="3" xfId="0" applyFont="1" applyFill="1" applyBorder="1" applyAlignment="1">
      <alignment horizontal="center" vertical="center"/>
    </xf>
    <xf numFmtId="0" fontId="40" fillId="17" borderId="5" xfId="0" applyFont="1" applyFill="1" applyBorder="1" applyAlignment="1">
      <alignment horizontal="center" vertical="center"/>
    </xf>
    <xf numFmtId="0" fontId="78" fillId="17" borderId="3" xfId="0" applyFont="1" applyFill="1" applyBorder="1" applyAlignment="1">
      <alignment horizontal="center" vertical="top" wrapText="1"/>
    </xf>
    <xf numFmtId="0" fontId="78" fillId="17" borderId="5" xfId="0" applyFont="1" applyFill="1" applyBorder="1" applyAlignment="1">
      <alignment horizontal="center" vertical="top" wrapText="1"/>
    </xf>
    <xf numFmtId="0" fontId="144" fillId="15" borderId="112" xfId="0" applyFont="1" applyFill="1" applyBorder="1" applyAlignment="1">
      <alignment horizontal="center" vertical="center"/>
    </xf>
    <xf numFmtId="0" fontId="144" fillId="15" borderId="57" xfId="0" applyFont="1" applyFill="1" applyBorder="1" applyAlignment="1">
      <alignment horizontal="center" vertical="center"/>
    </xf>
    <xf numFmtId="0" fontId="82" fillId="20" borderId="6" xfId="0" applyFont="1" applyFill="1" applyBorder="1" applyAlignment="1">
      <alignment horizontal="center"/>
    </xf>
    <xf numFmtId="0" fontId="8" fillId="19" borderId="19"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78" fillId="23" borderId="3" xfId="0" applyFont="1" applyFill="1" applyBorder="1" applyAlignment="1">
      <alignment horizontal="center" vertical="center"/>
    </xf>
    <xf numFmtId="0" fontId="78" fillId="23" borderId="5" xfId="0" applyFont="1" applyFill="1" applyBorder="1" applyAlignment="1">
      <alignment horizontal="center" vertical="center"/>
    </xf>
    <xf numFmtId="0" fontId="8" fillId="19" borderId="115" xfId="0" applyFont="1" applyFill="1" applyBorder="1" applyAlignment="1">
      <alignment horizontal="center" vertical="center" wrapText="1"/>
    </xf>
    <xf numFmtId="10" fontId="32" fillId="15" borderId="110" xfId="1" applyNumberFormat="1" applyFont="1" applyFill="1" applyBorder="1" applyAlignment="1">
      <alignment horizontal="center"/>
    </xf>
    <xf numFmtId="0" fontId="93" fillId="15" borderId="88" xfId="0" applyFont="1" applyFill="1" applyBorder="1" applyAlignment="1">
      <alignment horizontal="center"/>
    </xf>
    <xf numFmtId="0" fontId="93" fillId="15" borderId="111" xfId="0" applyFont="1" applyFill="1" applyBorder="1" applyAlignment="1">
      <alignment horizontal="center"/>
    </xf>
    <xf numFmtId="0" fontId="82" fillId="20" borderId="30" xfId="0" applyFont="1" applyFill="1" applyBorder="1" applyAlignment="1">
      <alignment horizontal="center" vertical="center"/>
    </xf>
    <xf numFmtId="0" fontId="82" fillId="20" borderId="31" xfId="0" applyFont="1" applyFill="1" applyBorder="1" applyAlignment="1">
      <alignment horizontal="center" vertical="center"/>
    </xf>
    <xf numFmtId="0" fontId="78" fillId="23" borderId="24" xfId="0" applyFont="1" applyFill="1" applyBorder="1" applyAlignment="1">
      <alignment horizontal="center" vertical="center"/>
    </xf>
    <xf numFmtId="0" fontId="78" fillId="23" borderId="25" xfId="0" applyFont="1" applyFill="1" applyBorder="1" applyAlignment="1">
      <alignment horizontal="center" vertical="center"/>
    </xf>
    <xf numFmtId="0" fontId="78" fillId="23" borderId="26" xfId="0" applyFont="1" applyFill="1" applyBorder="1" applyAlignment="1">
      <alignment horizontal="center" vertical="center"/>
    </xf>
    <xf numFmtId="0" fontId="78" fillId="23" borderId="1" xfId="0" applyFont="1" applyFill="1" applyBorder="1" applyAlignment="1">
      <alignment horizontal="center" vertical="center"/>
    </xf>
    <xf numFmtId="0" fontId="68" fillId="33" borderId="55" xfId="0" applyFont="1" applyFill="1" applyBorder="1" applyAlignment="1">
      <alignment horizontal="center" vertical="center" wrapText="1"/>
    </xf>
    <xf numFmtId="0" fontId="68" fillId="33" borderId="47" xfId="0" applyFont="1" applyFill="1" applyBorder="1" applyAlignment="1">
      <alignment horizontal="center" vertical="center" wrapText="1"/>
    </xf>
    <xf numFmtId="0" fontId="68" fillId="33" borderId="33" xfId="0" applyFont="1" applyFill="1" applyBorder="1" applyAlignment="1">
      <alignment horizontal="center" vertical="center" wrapText="1"/>
    </xf>
    <xf numFmtId="0" fontId="68" fillId="33" borderId="0" xfId="0" applyFont="1" applyFill="1" applyBorder="1" applyAlignment="1">
      <alignment horizontal="center" vertical="center" wrapText="1"/>
    </xf>
    <xf numFmtId="10" fontId="0" fillId="19" borderId="116" xfId="1" applyNumberFormat="1" applyFont="1" applyFill="1" applyBorder="1" applyAlignment="1">
      <alignment horizontal="center"/>
    </xf>
    <xf numFmtId="10" fontId="0" fillId="19" borderId="21" xfId="1" applyNumberFormat="1" applyFont="1" applyFill="1" applyBorder="1" applyAlignment="1">
      <alignment horizontal="center"/>
    </xf>
    <xf numFmtId="0" fontId="125" fillId="32" borderId="47" xfId="0" applyFont="1" applyFill="1" applyBorder="1" applyAlignment="1">
      <alignment horizontal="center" vertical="center" wrapText="1"/>
    </xf>
    <xf numFmtId="0" fontId="125" fillId="32" borderId="37" xfId="0" applyFont="1" applyFill="1" applyBorder="1" applyAlignment="1">
      <alignment horizontal="center" vertical="center" wrapText="1"/>
    </xf>
    <xf numFmtId="0" fontId="125" fillId="32" borderId="33" xfId="0" applyFont="1" applyFill="1" applyBorder="1" applyAlignment="1">
      <alignment horizontal="center" vertical="center" wrapText="1"/>
    </xf>
    <xf numFmtId="0" fontId="125" fillId="32" borderId="0" xfId="0" applyFont="1" applyFill="1" applyBorder="1" applyAlignment="1">
      <alignment horizontal="center" vertical="center" wrapText="1"/>
    </xf>
    <xf numFmtId="0" fontId="125" fillId="32" borderId="68" xfId="0" applyFont="1" applyFill="1" applyBorder="1" applyAlignment="1">
      <alignment horizontal="center" vertical="center" wrapText="1"/>
    </xf>
    <xf numFmtId="0" fontId="125" fillId="32" borderId="6" xfId="0" applyFont="1" applyFill="1" applyBorder="1" applyAlignment="1">
      <alignment horizontal="center" vertical="center" wrapText="1"/>
    </xf>
    <xf numFmtId="0" fontId="57" fillId="16" borderId="55" xfId="0" applyFont="1" applyFill="1" applyBorder="1" applyAlignment="1">
      <alignment horizontal="center" vertical="center" textRotation="90"/>
    </xf>
    <xf numFmtId="0" fontId="57" fillId="16" borderId="47" xfId="0" applyFont="1" applyFill="1" applyBorder="1" applyAlignment="1">
      <alignment horizontal="center" vertical="center" textRotation="90"/>
    </xf>
    <xf numFmtId="0" fontId="57" fillId="16" borderId="37" xfId="0" applyFont="1" applyFill="1" applyBorder="1" applyAlignment="1">
      <alignment horizontal="center" vertical="center" textRotation="90"/>
    </xf>
    <xf numFmtId="0" fontId="57" fillId="16" borderId="24" xfId="0" applyFont="1" applyFill="1" applyBorder="1" applyAlignment="1">
      <alignment horizontal="center" vertical="center"/>
    </xf>
    <xf numFmtId="0" fontId="57" fillId="16" borderId="25" xfId="0" applyFont="1" applyFill="1" applyBorder="1" applyAlignment="1">
      <alignment horizontal="center" vertical="center"/>
    </xf>
    <xf numFmtId="0" fontId="57" fillId="16" borderId="26" xfId="0" applyFont="1" applyFill="1" applyBorder="1" applyAlignment="1">
      <alignment horizontal="center" vertical="center"/>
    </xf>
    <xf numFmtId="0" fontId="40" fillId="23" borderId="31" xfId="0" applyFont="1" applyFill="1" applyBorder="1" applyAlignment="1">
      <alignment horizontal="center" vertical="center"/>
    </xf>
    <xf numFmtId="0" fontId="40" fillId="23" borderId="32" xfId="0" applyFont="1" applyFill="1" applyBorder="1" applyAlignment="1">
      <alignment horizontal="center" vertical="center"/>
    </xf>
    <xf numFmtId="0" fontId="40" fillId="23" borderId="55" xfId="0" applyFont="1" applyFill="1" applyBorder="1" applyAlignment="1">
      <alignment horizontal="center" vertical="center"/>
    </xf>
    <xf numFmtId="0" fontId="40" fillId="23" borderId="37" xfId="0" applyFont="1" applyFill="1" applyBorder="1" applyAlignment="1">
      <alignment horizontal="center" vertical="center"/>
    </xf>
    <xf numFmtId="0" fontId="40" fillId="23" borderId="24" xfId="0" applyFont="1" applyFill="1" applyBorder="1" applyAlignment="1">
      <alignment horizontal="center" vertical="center"/>
    </xf>
    <xf numFmtId="0" fontId="40" fillId="23" borderId="25" xfId="0" applyFont="1" applyFill="1" applyBorder="1" applyAlignment="1">
      <alignment horizontal="center" vertical="center"/>
    </xf>
    <xf numFmtId="0" fontId="40" fillId="23" borderId="26" xfId="0" applyFont="1" applyFill="1" applyBorder="1" applyAlignment="1">
      <alignment horizontal="center" vertical="center"/>
    </xf>
    <xf numFmtId="0" fontId="36" fillId="15" borderId="1" xfId="0" applyFont="1" applyFill="1" applyBorder="1" applyAlignment="1">
      <alignment horizontal="center" wrapText="1"/>
    </xf>
    <xf numFmtId="0" fontId="34" fillId="20" borderId="68" xfId="0" applyFont="1" applyFill="1" applyBorder="1" applyAlignment="1">
      <alignment horizontal="center" vertical="center"/>
    </xf>
    <xf numFmtId="0" fontId="0" fillId="0" borderId="34" xfId="0" applyBorder="1" applyAlignment="1">
      <alignment horizontal="left" vertical="top" wrapText="1"/>
    </xf>
    <xf numFmtId="0" fontId="42" fillId="19" borderId="3" xfId="0" applyFont="1" applyFill="1" applyBorder="1" applyAlignment="1">
      <alignment horizontal="center"/>
    </xf>
    <xf numFmtId="0" fontId="42" fillId="19" borderId="5" xfId="0" applyFont="1" applyFill="1" applyBorder="1" applyAlignment="1">
      <alignment horizontal="center"/>
    </xf>
    <xf numFmtId="0" fontId="36" fillId="17" borderId="1" xfId="0" applyFont="1" applyFill="1" applyBorder="1" applyAlignment="1">
      <alignment horizontal="center"/>
    </xf>
    <xf numFmtId="0" fontId="36" fillId="17" borderId="50" xfId="0" applyFont="1" applyFill="1" applyBorder="1" applyAlignment="1">
      <alignment horizontal="center"/>
    </xf>
    <xf numFmtId="0" fontId="36" fillId="20" borderId="3" xfId="0" applyFont="1" applyFill="1" applyBorder="1" applyAlignment="1">
      <alignment horizontal="center" wrapText="1"/>
    </xf>
    <xf numFmtId="0" fontId="36" fillId="20" borderId="4" xfId="0" applyFont="1" applyFill="1" applyBorder="1" applyAlignment="1">
      <alignment horizontal="center" wrapText="1"/>
    </xf>
    <xf numFmtId="0" fontId="36" fillId="20" borderId="5" xfId="0" applyFont="1" applyFill="1" applyBorder="1" applyAlignment="1">
      <alignment horizontal="center" wrapText="1"/>
    </xf>
    <xf numFmtId="0" fontId="69" fillId="16" borderId="2" xfId="0" applyFont="1" applyFill="1" applyBorder="1" applyAlignment="1">
      <alignment horizontal="center" vertical="center" wrapText="1"/>
    </xf>
    <xf numFmtId="0" fontId="69" fillId="16" borderId="10" xfId="0" applyFont="1" applyFill="1" applyBorder="1" applyAlignment="1">
      <alignment horizontal="center" vertical="center" wrapText="1"/>
    </xf>
    <xf numFmtId="0" fontId="69" fillId="16" borderId="16" xfId="0" applyFont="1" applyFill="1" applyBorder="1" applyAlignment="1">
      <alignment horizontal="center" vertical="center" wrapText="1"/>
    </xf>
    <xf numFmtId="0" fontId="0" fillId="6" borderId="27" xfId="0" applyFill="1" applyBorder="1" applyAlignment="1">
      <alignment horizontal="left" vertical="top" wrapText="1"/>
    </xf>
    <xf numFmtId="0" fontId="0" fillId="6" borderId="28" xfId="0" applyFill="1" applyBorder="1" applyAlignment="1">
      <alignment horizontal="left" vertical="top" wrapText="1"/>
    </xf>
    <xf numFmtId="0" fontId="0" fillId="6" borderId="29" xfId="0" applyFill="1" applyBorder="1" applyAlignment="1">
      <alignment horizontal="left" vertical="top" wrapText="1"/>
    </xf>
    <xf numFmtId="0" fontId="0" fillId="6" borderId="33" xfId="0" applyFill="1" applyBorder="1" applyAlignment="1">
      <alignment horizontal="left" vertical="top" wrapText="1"/>
    </xf>
    <xf numFmtId="0" fontId="0" fillId="6" borderId="0" xfId="0" applyFill="1" applyBorder="1" applyAlignment="1">
      <alignment horizontal="left" vertical="top" wrapText="1"/>
    </xf>
    <xf numFmtId="0" fontId="0" fillId="6" borderId="34" xfId="0" applyFill="1" applyBorder="1" applyAlignment="1">
      <alignment horizontal="left" vertical="top" wrapText="1"/>
    </xf>
    <xf numFmtId="0" fontId="0" fillId="6" borderId="30" xfId="0" applyFill="1" applyBorder="1" applyAlignment="1">
      <alignment horizontal="left" vertical="top" wrapText="1"/>
    </xf>
    <xf numFmtId="0" fontId="0" fillId="6" borderId="31" xfId="0" applyFill="1" applyBorder="1" applyAlignment="1">
      <alignment horizontal="left" vertical="top" wrapText="1"/>
    </xf>
    <xf numFmtId="0" fontId="0" fillId="6" borderId="32" xfId="0" applyFill="1" applyBorder="1" applyAlignment="1">
      <alignment horizontal="left" vertical="top" wrapText="1"/>
    </xf>
    <xf numFmtId="0" fontId="8" fillId="19" borderId="7" xfId="0" applyFont="1" applyFill="1" applyBorder="1" applyAlignment="1">
      <alignment horizontal="center"/>
    </xf>
    <xf numFmtId="0" fontId="0" fillId="35" borderId="48" xfId="0" applyFill="1" applyBorder="1" applyAlignment="1">
      <alignment horizontal="center"/>
    </xf>
    <xf numFmtId="0" fontId="0" fillId="35" borderId="49" xfId="0" applyFill="1" applyBorder="1" applyAlignment="1">
      <alignment horizontal="center"/>
    </xf>
    <xf numFmtId="9" fontId="58" fillId="0" borderId="0"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34" xfId="0" applyBorder="1" applyAlignment="1">
      <alignment horizontal="left" vertical="center" wrapText="1"/>
    </xf>
    <xf numFmtId="0" fontId="51" fillId="17" borderId="3"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0" fillId="0" borderId="31" xfId="0" applyFill="1" applyBorder="1" applyAlignment="1">
      <alignment horizontal="left" vertical="center" wrapText="1"/>
    </xf>
    <xf numFmtId="0" fontId="0" fillId="0" borderId="32" xfId="0" applyFill="1" applyBorder="1" applyAlignment="1">
      <alignment horizontal="left" vertical="center" wrapText="1"/>
    </xf>
    <xf numFmtId="0" fontId="8" fillId="15" borderId="1" xfId="0" applyFont="1" applyFill="1" applyBorder="1" applyAlignment="1">
      <alignment horizontal="center"/>
    </xf>
    <xf numFmtId="0" fontId="37" fillId="0" borderId="28" xfId="0" applyFont="1" applyBorder="1" applyAlignment="1">
      <alignment horizontal="left" wrapText="1"/>
    </xf>
    <xf numFmtId="0" fontId="36" fillId="19" borderId="7" xfId="0" applyFont="1" applyFill="1" applyBorder="1" applyAlignment="1">
      <alignment horizontal="center"/>
    </xf>
    <xf numFmtId="0" fontId="36" fillId="19" borderId="6" xfId="0" applyFont="1" applyFill="1" applyBorder="1" applyAlignment="1">
      <alignment horizontal="center"/>
    </xf>
    <xf numFmtId="0" fontId="40" fillId="22" borderId="47" xfId="0" applyFont="1" applyFill="1" applyBorder="1" applyAlignment="1">
      <alignment horizontal="center" vertical="center" wrapText="1"/>
    </xf>
    <xf numFmtId="0" fontId="40" fillId="22" borderId="37" xfId="0" applyFont="1" applyFill="1" applyBorder="1" applyAlignment="1">
      <alignment horizontal="center" vertical="center" wrapText="1"/>
    </xf>
    <xf numFmtId="0" fontId="0" fillId="16" borderId="30" xfId="0" applyFill="1" applyBorder="1" applyAlignment="1">
      <alignment horizontal="left" vertical="top" wrapText="1"/>
    </xf>
    <xf numFmtId="0" fontId="0" fillId="16" borderId="31" xfId="0" applyFill="1" applyBorder="1" applyAlignment="1">
      <alignment horizontal="left" vertical="center" wrapText="1"/>
    </xf>
    <xf numFmtId="0" fontId="0" fillId="0" borderId="25" xfId="0" applyBorder="1" applyAlignment="1">
      <alignment horizontal="left" vertical="top" wrapText="1"/>
    </xf>
    <xf numFmtId="0" fontId="8" fillId="19" borderId="2" xfId="0" applyFont="1" applyFill="1" applyBorder="1" applyAlignment="1">
      <alignment horizontal="center"/>
    </xf>
    <xf numFmtId="0" fontId="82" fillId="20" borderId="1" xfId="0" applyFont="1" applyFill="1" applyBorder="1" applyAlignment="1">
      <alignment horizontal="center" vertical="center" wrapText="1"/>
    </xf>
    <xf numFmtId="0" fontId="0" fillId="0" borderId="28" xfId="0" applyBorder="1" applyAlignment="1">
      <alignment horizontal="center" vertical="center" wrapText="1"/>
    </xf>
    <xf numFmtId="0" fontId="0" fillId="0" borderId="0" xfId="0" applyBorder="1" applyAlignment="1">
      <alignment horizontal="center" vertical="center" wrapText="1"/>
    </xf>
    <xf numFmtId="0" fontId="0" fillId="0" borderId="31" xfId="0" applyBorder="1" applyAlignment="1">
      <alignment horizontal="center" vertical="center" wrapText="1"/>
    </xf>
    <xf numFmtId="0" fontId="8" fillId="19" borderId="0" xfId="0" applyFont="1" applyFill="1" applyBorder="1" applyAlignment="1">
      <alignment horizontal="center"/>
    </xf>
    <xf numFmtId="0" fontId="8" fillId="19" borderId="3" xfId="0" applyFont="1" applyFill="1" applyBorder="1" applyAlignment="1">
      <alignment horizontal="center"/>
    </xf>
    <xf numFmtId="0" fontId="8" fillId="19" borderId="4" xfId="0" applyFont="1" applyFill="1" applyBorder="1" applyAlignment="1">
      <alignment horizontal="center"/>
    </xf>
    <xf numFmtId="0" fontId="8" fillId="19" borderId="5" xfId="0" applyFont="1" applyFill="1" applyBorder="1" applyAlignment="1">
      <alignment horizontal="center"/>
    </xf>
    <xf numFmtId="0" fontId="0" fillId="0" borderId="0" xfId="0" applyAlignment="1">
      <alignment horizontal="center" vertical="center"/>
    </xf>
    <xf numFmtId="0" fontId="40" fillId="17" borderId="26" xfId="0" applyFont="1" applyFill="1" applyBorder="1" applyAlignment="1">
      <alignment horizontal="center" vertical="center" wrapText="1"/>
    </xf>
    <xf numFmtId="0" fontId="71" fillId="23" borderId="55" xfId="0" applyFont="1" applyFill="1" applyBorder="1" applyAlignment="1">
      <alignment horizontal="center" vertical="center" wrapText="1"/>
    </xf>
    <xf numFmtId="0" fontId="71" fillId="23" borderId="37" xfId="0" applyFont="1" applyFill="1" applyBorder="1" applyAlignment="1">
      <alignment horizontal="center" vertical="center" wrapText="1"/>
    </xf>
    <xf numFmtId="0" fontId="40" fillId="17" borderId="14" xfId="0" applyFont="1" applyFill="1" applyBorder="1" applyAlignment="1">
      <alignment horizontal="center" vertical="center" wrapText="1"/>
    </xf>
    <xf numFmtId="0" fontId="40" fillId="17" borderId="4" xfId="0" applyFont="1" applyFill="1" applyBorder="1" applyAlignment="1">
      <alignment horizontal="center" vertical="center"/>
    </xf>
    <xf numFmtId="0" fontId="0" fillId="16" borderId="60" xfId="0" applyFill="1" applyBorder="1" applyAlignment="1">
      <alignment horizontal="center" vertical="center" wrapText="1"/>
    </xf>
    <xf numFmtId="0" fontId="0" fillId="16" borderId="35" xfId="0" applyFill="1" applyBorder="1" applyAlignment="1">
      <alignment horizontal="center" vertical="center" wrapText="1"/>
    </xf>
    <xf numFmtId="0" fontId="0" fillId="16" borderId="61" xfId="0" applyFill="1" applyBorder="1" applyAlignment="1">
      <alignment horizontal="center" vertical="center" wrapText="1"/>
    </xf>
    <xf numFmtId="0" fontId="40" fillId="17" borderId="59" xfId="0" applyFont="1" applyFill="1" applyBorder="1" applyAlignment="1">
      <alignment horizontal="center" vertical="center" wrapText="1"/>
    </xf>
    <xf numFmtId="0" fontId="37" fillId="16" borderId="1" xfId="0" applyFont="1" applyFill="1" applyBorder="1" applyAlignment="1">
      <alignment horizontal="justify" vertical="center" wrapText="1"/>
    </xf>
    <xf numFmtId="0" fontId="37" fillId="16" borderId="7" xfId="0" applyFont="1" applyFill="1" applyBorder="1" applyAlignment="1">
      <alignment horizontal="left" wrapText="1"/>
    </xf>
    <xf numFmtId="0" fontId="37" fillId="16" borderId="6" xfId="0" applyFont="1" applyFill="1" applyBorder="1" applyAlignment="1">
      <alignment horizontal="left" wrapText="1"/>
    </xf>
    <xf numFmtId="0" fontId="37" fillId="16" borderId="15" xfId="0" applyFont="1" applyFill="1" applyBorder="1" applyAlignment="1">
      <alignment horizontal="left" wrapText="1"/>
    </xf>
    <xf numFmtId="0" fontId="37" fillId="16" borderId="55" xfId="0" applyFont="1" applyFill="1" applyBorder="1" applyAlignment="1">
      <alignment horizontal="justify" vertical="center" wrapText="1"/>
    </xf>
    <xf numFmtId="0" fontId="37" fillId="16" borderId="47" xfId="0" applyFont="1" applyFill="1" applyBorder="1" applyAlignment="1">
      <alignment horizontal="justify" vertical="center" wrapText="1"/>
    </xf>
    <xf numFmtId="0" fontId="37" fillId="16" borderId="37" xfId="0" applyFont="1" applyFill="1" applyBorder="1" applyAlignment="1">
      <alignment horizontal="justify" vertical="center" wrapText="1"/>
    </xf>
    <xf numFmtId="0" fontId="0" fillId="16" borderId="1" xfId="0" applyFill="1" applyBorder="1" applyAlignment="1">
      <alignment horizontal="center" vertical="center" wrapText="1"/>
    </xf>
    <xf numFmtId="0" fontId="37" fillId="0" borderId="31" xfId="0" applyFont="1" applyBorder="1" applyAlignment="1">
      <alignment horizontal="left" vertical="center" wrapText="1"/>
    </xf>
    <xf numFmtId="0" fontId="40" fillId="17" borderId="2" xfId="0" applyFont="1" applyFill="1" applyBorder="1" applyAlignment="1">
      <alignment horizontal="center" vertical="center" wrapText="1"/>
    </xf>
    <xf numFmtId="0" fontId="40" fillId="17" borderId="16" xfId="0" applyFont="1" applyFill="1" applyBorder="1" applyAlignment="1">
      <alignment horizontal="center" vertical="center" wrapText="1"/>
    </xf>
    <xf numFmtId="0" fontId="40" fillId="17" borderId="59" xfId="0" applyFont="1" applyFill="1" applyBorder="1" applyAlignment="1">
      <alignment horizontal="center" vertical="center"/>
    </xf>
    <xf numFmtId="0" fontId="40" fillId="17" borderId="7" xfId="0" applyFont="1" applyFill="1" applyBorder="1" applyAlignment="1">
      <alignment horizontal="center" vertical="center"/>
    </xf>
    <xf numFmtId="0" fontId="40" fillId="17" borderId="15" xfId="0" applyFont="1" applyFill="1" applyBorder="1" applyAlignment="1">
      <alignment horizontal="center" vertical="center"/>
    </xf>
    <xf numFmtId="0" fontId="36" fillId="20" borderId="27" xfId="0" applyFont="1" applyFill="1" applyBorder="1" applyAlignment="1">
      <alignment horizontal="center"/>
    </xf>
    <xf numFmtId="0" fontId="36" fillId="20" borderId="28" xfId="0" applyFont="1" applyFill="1" applyBorder="1" applyAlignment="1">
      <alignment horizontal="center"/>
    </xf>
    <xf numFmtId="0" fontId="36" fillId="20" borderId="29" xfId="0" applyFont="1" applyFill="1" applyBorder="1" applyAlignment="1">
      <alignment horizontal="center"/>
    </xf>
    <xf numFmtId="0" fontId="37" fillId="16" borderId="119" xfId="0" applyFont="1" applyFill="1" applyBorder="1" applyAlignment="1">
      <alignment horizontal="center" vertical="center"/>
    </xf>
    <xf numFmtId="0" fontId="37" fillId="16" borderId="120" xfId="0" applyFont="1" applyFill="1" applyBorder="1" applyAlignment="1">
      <alignment horizontal="center" vertical="center"/>
    </xf>
    <xf numFmtId="0" fontId="0" fillId="16" borderId="119" xfId="0" applyFill="1" applyBorder="1" applyAlignment="1">
      <alignment horizontal="center" vertical="center"/>
    </xf>
    <xf numFmtId="0" fontId="0" fillId="16" borderId="120" xfId="0" applyFill="1" applyBorder="1" applyAlignment="1">
      <alignment horizontal="center" vertical="center"/>
    </xf>
    <xf numFmtId="0" fontId="0" fillId="16" borderId="121" xfId="0" applyFill="1" applyBorder="1" applyAlignment="1">
      <alignment horizontal="center" vertical="center"/>
    </xf>
    <xf numFmtId="0" fontId="0" fillId="16" borderId="122" xfId="0" applyFill="1" applyBorder="1" applyAlignment="1">
      <alignment horizontal="center" vertical="center"/>
    </xf>
    <xf numFmtId="0" fontId="34" fillId="18" borderId="24" xfId="0" applyFont="1" applyFill="1" applyBorder="1" applyAlignment="1">
      <alignment horizontal="center"/>
    </xf>
    <xf numFmtId="0" fontId="34" fillId="18" borderId="25" xfId="0" applyFont="1" applyFill="1" applyBorder="1" applyAlignment="1">
      <alignment horizontal="center"/>
    </xf>
    <xf numFmtId="0" fontId="34" fillId="18" borderId="26" xfId="0" applyFont="1" applyFill="1" applyBorder="1" applyAlignment="1">
      <alignment horizontal="center"/>
    </xf>
    <xf numFmtId="0" fontId="85" fillId="18" borderId="27" xfId="0" applyFont="1" applyFill="1" applyBorder="1" applyAlignment="1">
      <alignment horizontal="center" vertical="center" wrapText="1"/>
    </xf>
    <xf numFmtId="0" fontId="85" fillId="18" borderId="28" xfId="0" applyFont="1" applyFill="1" applyBorder="1" applyAlignment="1">
      <alignment horizontal="center" vertical="center" wrapText="1"/>
    </xf>
    <xf numFmtId="0" fontId="85" fillId="18" borderId="29" xfId="0" applyFont="1" applyFill="1" applyBorder="1" applyAlignment="1">
      <alignment horizontal="center" vertical="center" wrapText="1"/>
    </xf>
    <xf numFmtId="0" fontId="36" fillId="18" borderId="24" xfId="0" applyFont="1" applyFill="1" applyBorder="1" applyAlignment="1">
      <alignment horizontal="center" vertical="center"/>
    </xf>
    <xf numFmtId="0" fontId="36" fillId="18" borderId="25" xfId="0" applyFont="1" applyFill="1" applyBorder="1" applyAlignment="1">
      <alignment horizontal="center" vertical="center"/>
    </xf>
    <xf numFmtId="0" fontId="36" fillId="18" borderId="26" xfId="0" applyFont="1" applyFill="1" applyBorder="1" applyAlignment="1">
      <alignment horizontal="center" vertical="center"/>
    </xf>
    <xf numFmtId="0" fontId="8" fillId="0" borderId="24" xfId="0" applyFont="1" applyBorder="1" applyAlignment="1">
      <alignment horizontal="center"/>
    </xf>
    <xf numFmtId="0" fontId="8" fillId="0" borderId="25" xfId="0" applyFont="1" applyBorder="1" applyAlignment="1">
      <alignment horizontal="center"/>
    </xf>
    <xf numFmtId="0" fontId="8" fillId="0" borderId="26" xfId="0" applyFont="1" applyBorder="1" applyAlignment="1">
      <alignment horizontal="center"/>
    </xf>
    <xf numFmtId="0" fontId="150" fillId="12" borderId="24" xfId="0" applyFont="1" applyFill="1" applyBorder="1" applyAlignment="1">
      <alignment horizontal="center" vertical="center" wrapText="1"/>
    </xf>
    <xf numFmtId="0" fontId="150" fillId="12" borderId="25" xfId="0" applyFont="1" applyFill="1" applyBorder="1" applyAlignment="1">
      <alignment horizontal="center" vertical="center" wrapText="1"/>
    </xf>
    <xf numFmtId="0" fontId="85" fillId="18" borderId="24" xfId="0" applyFont="1" applyFill="1" applyBorder="1" applyAlignment="1">
      <alignment horizontal="center" vertical="center" wrapText="1"/>
    </xf>
    <xf numFmtId="0" fontId="85" fillId="18" borderId="25" xfId="0" applyFont="1" applyFill="1" applyBorder="1" applyAlignment="1">
      <alignment horizontal="center" vertical="center" wrapText="1"/>
    </xf>
    <xf numFmtId="0" fontId="85" fillId="18" borderId="76" xfId="0" applyFont="1" applyFill="1" applyBorder="1" applyAlignment="1">
      <alignment horizontal="center" vertical="center" wrapText="1"/>
    </xf>
    <xf numFmtId="0" fontId="85" fillId="18" borderId="32" xfId="0" applyFont="1" applyFill="1" applyBorder="1" applyAlignment="1">
      <alignment horizontal="center" vertical="center" wrapText="1"/>
    </xf>
    <xf numFmtId="0" fontId="34" fillId="18" borderId="31" xfId="0" applyFont="1" applyFill="1" applyBorder="1" applyAlignment="1">
      <alignment horizontal="center"/>
    </xf>
    <xf numFmtId="0" fontId="139" fillId="30" borderId="28" xfId="0" applyFont="1" applyFill="1" applyBorder="1" applyAlignment="1">
      <alignment horizontal="center" vertical="center" wrapText="1"/>
    </xf>
    <xf numFmtId="0" fontId="139" fillId="30" borderId="105" xfId="0" applyFont="1" applyFill="1" applyBorder="1" applyAlignment="1">
      <alignment horizontal="center" vertical="center" wrapText="1"/>
    </xf>
    <xf numFmtId="0" fontId="139" fillId="30" borderId="29" xfId="0" applyFont="1" applyFill="1" applyBorder="1" applyAlignment="1">
      <alignment horizontal="center" vertical="center" wrapText="1"/>
    </xf>
    <xf numFmtId="0" fontId="139" fillId="30" borderId="106" xfId="0" applyFont="1" applyFill="1" applyBorder="1" applyAlignment="1">
      <alignment horizontal="center" vertical="center" wrapText="1"/>
    </xf>
    <xf numFmtId="0" fontId="139" fillId="30" borderId="48" xfId="0" applyFont="1" applyFill="1" applyBorder="1" applyAlignment="1">
      <alignment horizontal="center" vertical="center" wrapText="1"/>
    </xf>
    <xf numFmtId="0" fontId="139" fillId="30" borderId="50" xfId="0" applyFont="1" applyFill="1" applyBorder="1" applyAlignment="1">
      <alignment horizontal="center" vertical="center" wrapText="1"/>
    </xf>
    <xf numFmtId="0" fontId="139" fillId="30" borderId="85" xfId="0" applyFont="1" applyFill="1" applyBorder="1" applyAlignment="1">
      <alignment horizontal="center" vertical="center" wrapText="1"/>
    </xf>
    <xf numFmtId="0" fontId="139" fillId="30" borderId="1" xfId="0" applyFont="1" applyFill="1" applyBorder="1" applyAlignment="1">
      <alignment horizontal="center" vertical="center" wrapText="1"/>
    </xf>
    <xf numFmtId="0" fontId="139" fillId="30" borderId="49" xfId="0" applyFont="1" applyFill="1" applyBorder="1" applyAlignment="1">
      <alignment horizontal="center" vertical="center" wrapText="1"/>
    </xf>
    <xf numFmtId="0" fontId="139" fillId="30" borderId="51" xfId="0" applyFont="1" applyFill="1" applyBorder="1" applyAlignment="1">
      <alignment horizontal="center" vertical="center" wrapText="1"/>
    </xf>
    <xf numFmtId="0" fontId="34" fillId="18" borderId="27" xfId="0" applyFont="1" applyFill="1" applyBorder="1" applyAlignment="1">
      <alignment horizontal="center"/>
    </xf>
    <xf numFmtId="0" fontId="34" fillId="18" borderId="28" xfId="0" applyFont="1" applyFill="1" applyBorder="1" applyAlignment="1">
      <alignment horizontal="center"/>
    </xf>
    <xf numFmtId="0" fontId="34" fillId="18" borderId="29" xfId="0" applyFont="1" applyFill="1" applyBorder="1" applyAlignment="1">
      <alignment horizontal="center"/>
    </xf>
    <xf numFmtId="0" fontId="36" fillId="18" borderId="27" xfId="0" applyFont="1" applyFill="1" applyBorder="1" applyAlignment="1">
      <alignment horizontal="center"/>
    </xf>
    <xf numFmtId="0" fontId="36" fillId="18" borderId="28" xfId="0" applyFont="1" applyFill="1" applyBorder="1" applyAlignment="1">
      <alignment horizontal="center"/>
    </xf>
    <xf numFmtId="0" fontId="36" fillId="18" borderId="29" xfId="0" applyFont="1" applyFill="1" applyBorder="1" applyAlignment="1">
      <alignment horizontal="center"/>
    </xf>
    <xf numFmtId="0" fontId="0" fillId="21" borderId="24" xfId="0" applyFill="1" applyBorder="1" applyAlignment="1">
      <alignment horizontal="center"/>
    </xf>
    <xf numFmtId="0" fontId="0" fillId="21" borderId="25" xfId="0" applyFill="1" applyBorder="1" applyAlignment="1">
      <alignment horizontal="center"/>
    </xf>
    <xf numFmtId="0" fontId="0" fillId="21" borderId="26" xfId="0" applyFill="1" applyBorder="1" applyAlignment="1">
      <alignment horizontal="center"/>
    </xf>
    <xf numFmtId="0" fontId="36" fillId="18" borderId="24" xfId="0" applyFont="1" applyFill="1" applyBorder="1" applyAlignment="1">
      <alignment horizontal="center"/>
    </xf>
    <xf numFmtId="0" fontId="36" fillId="18" borderId="25" xfId="0" applyFont="1" applyFill="1" applyBorder="1" applyAlignment="1">
      <alignment horizontal="center"/>
    </xf>
    <xf numFmtId="0" fontId="36" fillId="18" borderId="26" xfId="0" applyFont="1" applyFill="1" applyBorder="1" applyAlignment="1">
      <alignment horizontal="center"/>
    </xf>
    <xf numFmtId="0" fontId="88" fillId="21" borderId="33" xfId="0" applyFont="1" applyFill="1" applyBorder="1" applyAlignment="1">
      <alignment horizontal="center" vertical="center" wrapText="1"/>
    </xf>
    <xf numFmtId="0" fontId="88" fillId="21" borderId="0" xfId="0" applyFont="1" applyFill="1" applyBorder="1" applyAlignment="1">
      <alignment horizontal="center" vertical="center" wrapText="1"/>
    </xf>
    <xf numFmtId="0" fontId="44" fillId="17" borderId="3" xfId="0" applyFont="1" applyFill="1" applyBorder="1" applyAlignment="1">
      <alignment horizontal="center" vertical="center" wrapText="1"/>
    </xf>
    <xf numFmtId="0" fontId="44" fillId="17" borderId="4" xfId="0" applyFont="1" applyFill="1" applyBorder="1" applyAlignment="1">
      <alignment horizontal="center" vertical="center" wrapText="1"/>
    </xf>
    <xf numFmtId="0" fontId="44" fillId="17" borderId="5" xfId="0" applyFont="1" applyFill="1" applyBorder="1" applyAlignment="1">
      <alignment horizontal="center" vertical="center" wrapText="1"/>
    </xf>
    <xf numFmtId="0" fontId="82" fillId="20" borderId="1" xfId="0" applyFont="1" applyFill="1" applyBorder="1" applyAlignment="1">
      <alignment horizontal="center" vertical="center"/>
    </xf>
  </cellXfs>
  <cellStyles count="8">
    <cellStyle name="1" xfId="5" xr:uid="{00000000-0005-0000-0000-000000000000}"/>
    <cellStyle name="Comma" xfId="2" builtinId="3"/>
    <cellStyle name="Currency" xfId="3" builtinId="4"/>
    <cellStyle name="Hyperlink" xfId="4" builtinId="8"/>
    <cellStyle name="Hyperlink 2" xfId="6" xr:uid="{00000000-0005-0000-0000-000004000000}"/>
    <cellStyle name="Hyperlink 3" xfId="7" xr:uid="{00000000-0005-0000-0000-000005000000}"/>
    <cellStyle name="Normal" xfId="0" builtinId="0"/>
    <cellStyle name="Percent" xfId="1" builtinId="5"/>
  </cellStyles>
  <dxfs count="4">
    <dxf>
      <font>
        <color rgb="FF006100"/>
      </font>
      <fill>
        <patternFill>
          <bgColor rgb="FFC6EFCE"/>
        </patternFill>
      </fill>
    </dxf>
    <dxf>
      <font>
        <color rgb="FF9C0006"/>
      </font>
      <fill>
        <patternFill>
          <bgColor rgb="FFFFC7CE"/>
        </patternFill>
      </fill>
    </dxf>
    <dxf>
      <font>
        <color theme="1"/>
      </font>
      <fill>
        <patternFill>
          <bgColor theme="5" tint="0.59996337778862885"/>
        </patternFill>
      </fill>
    </dxf>
    <dxf>
      <font>
        <color theme="1"/>
      </font>
      <fill>
        <patternFill>
          <bgColor theme="5" tint="0.59996337778862885"/>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externalLink" Target="externalLinks/externalLink12.xml"/><Relationship Id="rId68" Type="http://schemas.openxmlformats.org/officeDocument/2006/relationships/externalLink" Target="externalLinks/externalLink17.xml"/><Relationship Id="rId76" Type="http://schemas.openxmlformats.org/officeDocument/2006/relationships/externalLink" Target="externalLinks/externalLink25.xml"/><Relationship Id="rId8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externalLink" Target="externalLinks/externalLink7.xml"/><Relationship Id="rId66" Type="http://schemas.openxmlformats.org/officeDocument/2006/relationships/externalLink" Target="externalLinks/externalLink15.xml"/><Relationship Id="rId74" Type="http://schemas.openxmlformats.org/officeDocument/2006/relationships/externalLink" Target="externalLinks/externalLink23.xml"/><Relationship Id="rId79" Type="http://schemas.openxmlformats.org/officeDocument/2006/relationships/externalLink" Target="externalLinks/externalLink28.xml"/><Relationship Id="rId87"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0.xml"/><Relationship Id="rId82" Type="http://schemas.openxmlformats.org/officeDocument/2006/relationships/externalLink" Target="externalLinks/externalLink3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64" Type="http://schemas.openxmlformats.org/officeDocument/2006/relationships/externalLink" Target="externalLinks/externalLink13.xml"/><Relationship Id="rId69" Type="http://schemas.openxmlformats.org/officeDocument/2006/relationships/externalLink" Target="externalLinks/externalLink18.xml"/><Relationship Id="rId7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1.xml"/><Relationship Id="rId80" Type="http://schemas.openxmlformats.org/officeDocument/2006/relationships/externalLink" Target="externalLinks/externalLink29.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8.xml"/><Relationship Id="rId6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externalLink" Target="externalLinks/externalLink11.xml"/><Relationship Id="rId70" Type="http://schemas.openxmlformats.org/officeDocument/2006/relationships/externalLink" Target="externalLinks/externalLink19.xml"/><Relationship Id="rId75" Type="http://schemas.openxmlformats.org/officeDocument/2006/relationships/externalLink" Target="externalLinks/externalLink24.xml"/><Relationship Id="rId83"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externalLink" Target="externalLinks/externalLink9.xml"/><Relationship Id="rId65" Type="http://schemas.openxmlformats.org/officeDocument/2006/relationships/externalLink" Target="externalLinks/externalLink14.xml"/><Relationship Id="rId73" Type="http://schemas.openxmlformats.org/officeDocument/2006/relationships/externalLink" Target="externalLinks/externalLink22.xml"/><Relationship Id="rId78" Type="http://schemas.openxmlformats.org/officeDocument/2006/relationships/externalLink" Target="externalLinks/externalLink27.xml"/><Relationship Id="rId81" Type="http://schemas.openxmlformats.org/officeDocument/2006/relationships/externalLink" Target="externalLinks/externalLink30.xml"/><Relationship Id="rId86"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47625</xdr:colOff>
      <xdr:row>11</xdr:row>
      <xdr:rowOff>104775</xdr:rowOff>
    </xdr:from>
    <xdr:to>
      <xdr:col>2</xdr:col>
      <xdr:colOff>752475</xdr:colOff>
      <xdr:row>13</xdr:row>
      <xdr:rowOff>28575</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181350"/>
          <a:ext cx="3752850"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47624</xdr:colOff>
      <xdr:row>10</xdr:row>
      <xdr:rowOff>123824</xdr:rowOff>
    </xdr:from>
    <xdr:to>
      <xdr:col>3</xdr:col>
      <xdr:colOff>650676</xdr:colOff>
      <xdr:row>12</xdr:row>
      <xdr:rowOff>57149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4" y="2838449"/>
          <a:ext cx="4498777"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10</xdr:row>
      <xdr:rowOff>123825</xdr:rowOff>
    </xdr:from>
    <xdr:to>
      <xdr:col>3</xdr:col>
      <xdr:colOff>514350</xdr:colOff>
      <xdr:row>12</xdr:row>
      <xdr:rowOff>47625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4905375"/>
          <a:ext cx="40767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11</xdr:row>
      <xdr:rowOff>123825</xdr:rowOff>
    </xdr:from>
    <xdr:to>
      <xdr:col>3</xdr:col>
      <xdr:colOff>514350</xdr:colOff>
      <xdr:row>13</xdr:row>
      <xdr:rowOff>47625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 y="3762375"/>
          <a:ext cx="409575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10</xdr:row>
      <xdr:rowOff>123825</xdr:rowOff>
    </xdr:from>
    <xdr:to>
      <xdr:col>4</xdr:col>
      <xdr:colOff>1219200</xdr:colOff>
      <xdr:row>12</xdr:row>
      <xdr:rowOff>47625</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3825" y="2838450"/>
          <a:ext cx="5114925"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8</xdr:row>
      <xdr:rowOff>142875</xdr:rowOff>
    </xdr:from>
    <xdr:to>
      <xdr:col>2</xdr:col>
      <xdr:colOff>1295400</xdr:colOff>
      <xdr:row>11</xdr:row>
      <xdr:rowOff>19050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76450" y="4181475"/>
          <a:ext cx="3857625" cy="447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12</xdr:row>
      <xdr:rowOff>19050</xdr:rowOff>
    </xdr:from>
    <xdr:to>
      <xdr:col>2</xdr:col>
      <xdr:colOff>9525</xdr:colOff>
      <xdr:row>13</xdr:row>
      <xdr:rowOff>142875</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24075" y="4819650"/>
          <a:ext cx="2524125"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77</xdr:row>
      <xdr:rowOff>19050</xdr:rowOff>
    </xdr:from>
    <xdr:to>
      <xdr:col>4</xdr:col>
      <xdr:colOff>781783</xdr:colOff>
      <xdr:row>78</xdr:row>
      <xdr:rowOff>152400</xdr:rowOff>
    </xdr:to>
    <xdr:pic>
      <xdr:nvPicPr>
        <xdr:cNvPr id="4" name="Picture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a:stretch>
          <a:fillRect/>
        </a:stretch>
      </xdr:blipFill>
      <xdr:spPr>
        <a:xfrm>
          <a:off x="3095625" y="21650325"/>
          <a:ext cx="4496533" cy="323850"/>
        </a:xfrm>
        <a:prstGeom prst="rect">
          <a:avLst/>
        </a:prstGeom>
      </xdr:spPr>
    </xdr:pic>
    <xdr:clientData/>
  </xdr:twoCellAnchor>
  <xdr:twoCellAnchor editAs="oneCell">
    <xdr:from>
      <xdr:col>1</xdr:col>
      <xdr:colOff>66676</xdr:colOff>
      <xdr:row>107</xdr:row>
      <xdr:rowOff>38101</xdr:rowOff>
    </xdr:from>
    <xdr:to>
      <xdr:col>5</xdr:col>
      <xdr:colOff>380999</xdr:colOff>
      <xdr:row>108</xdr:row>
      <xdr:rowOff>181503</xdr:rowOff>
    </xdr:to>
    <xdr:pic>
      <xdr:nvPicPr>
        <xdr:cNvPr id="5" name="Picture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2"/>
        <a:stretch>
          <a:fillRect/>
        </a:stretch>
      </xdr:blipFill>
      <xdr:spPr>
        <a:xfrm>
          <a:off x="3114676" y="27632026"/>
          <a:ext cx="5172074" cy="333902"/>
        </a:xfrm>
        <a:prstGeom prst="rect">
          <a:avLst/>
        </a:prstGeom>
      </xdr:spPr>
    </xdr:pic>
    <xdr:clientData/>
  </xdr:twoCellAnchor>
  <xdr:oneCellAnchor>
    <xdr:from>
      <xdr:col>1</xdr:col>
      <xdr:colOff>66676</xdr:colOff>
      <xdr:row>133</xdr:row>
      <xdr:rowOff>38101</xdr:rowOff>
    </xdr:from>
    <xdr:ext cx="5172074" cy="333902"/>
    <xdr:pic>
      <xdr:nvPicPr>
        <xdr:cNvPr id="6" name="Picture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2"/>
        <a:stretch>
          <a:fillRect/>
        </a:stretch>
      </xdr:blipFill>
      <xdr:spPr>
        <a:xfrm>
          <a:off x="3114676" y="32794576"/>
          <a:ext cx="5172074" cy="333902"/>
        </a:xfrm>
        <a:prstGeom prst="rect">
          <a:avLst/>
        </a:prstGeom>
      </xdr:spPr>
    </xdr:pic>
    <xdr:clientData/>
  </xdr:oneCellAnchor>
  <xdr:oneCellAnchor>
    <xdr:from>
      <xdr:col>1</xdr:col>
      <xdr:colOff>19050</xdr:colOff>
      <xdr:row>179</xdr:row>
      <xdr:rowOff>19050</xdr:rowOff>
    </xdr:from>
    <xdr:ext cx="4496533" cy="323850"/>
    <xdr:pic>
      <xdr:nvPicPr>
        <xdr:cNvPr id="7" name="Picture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1"/>
        <a:stretch>
          <a:fillRect/>
        </a:stretch>
      </xdr:blipFill>
      <xdr:spPr>
        <a:xfrm>
          <a:off x="3067050" y="42024300"/>
          <a:ext cx="4496533" cy="323850"/>
        </a:xfrm>
        <a:prstGeom prst="rect">
          <a:avLst/>
        </a:prstGeom>
      </xdr:spPr>
    </xdr:pic>
    <xdr:clientData/>
  </xdr:oneCellAnchor>
  <xdr:oneCellAnchor>
    <xdr:from>
      <xdr:col>1</xdr:col>
      <xdr:colOff>66676</xdr:colOff>
      <xdr:row>201</xdr:row>
      <xdr:rowOff>38101</xdr:rowOff>
    </xdr:from>
    <xdr:ext cx="5172074" cy="333902"/>
    <xdr:pic>
      <xdr:nvPicPr>
        <xdr:cNvPr id="8" name="Picture 7">
          <a:extLst>
            <a:ext uri="{FF2B5EF4-FFF2-40B4-BE49-F238E27FC236}">
              <a16:creationId xmlns:a16="http://schemas.microsoft.com/office/drawing/2014/main" id="{00000000-0008-0000-3100-000008000000}"/>
            </a:ext>
          </a:extLst>
        </xdr:cNvPr>
        <xdr:cNvPicPr>
          <a:picLocks noChangeAspect="1"/>
        </xdr:cNvPicPr>
      </xdr:nvPicPr>
      <xdr:blipFill>
        <a:blip xmlns:r="http://schemas.openxmlformats.org/officeDocument/2006/relationships" r:embed="rId2"/>
        <a:stretch>
          <a:fillRect/>
        </a:stretch>
      </xdr:blipFill>
      <xdr:spPr>
        <a:xfrm>
          <a:off x="3114676" y="47282101"/>
          <a:ext cx="5172074" cy="333902"/>
        </a:xfrm>
        <a:prstGeom prst="rect">
          <a:avLst/>
        </a:prstGeom>
      </xdr:spPr>
    </xdr:pic>
    <xdr:clientData/>
  </xdr:oneCellAnchor>
  <xdr:oneCellAnchor>
    <xdr:from>
      <xdr:col>1</xdr:col>
      <xdr:colOff>66676</xdr:colOff>
      <xdr:row>224</xdr:row>
      <xdr:rowOff>38101</xdr:rowOff>
    </xdr:from>
    <xdr:ext cx="5172074" cy="333902"/>
    <xdr:pic>
      <xdr:nvPicPr>
        <xdr:cNvPr id="9" name="Picture 8">
          <a:extLst>
            <a:ext uri="{FF2B5EF4-FFF2-40B4-BE49-F238E27FC236}">
              <a16:creationId xmlns:a16="http://schemas.microsoft.com/office/drawing/2014/main" id="{00000000-0008-0000-3100-000009000000}"/>
            </a:ext>
          </a:extLst>
        </xdr:cNvPr>
        <xdr:cNvPicPr>
          <a:picLocks noChangeAspect="1"/>
        </xdr:cNvPicPr>
      </xdr:nvPicPr>
      <xdr:blipFill>
        <a:blip xmlns:r="http://schemas.openxmlformats.org/officeDocument/2006/relationships" r:embed="rId2"/>
        <a:stretch>
          <a:fillRect/>
        </a:stretch>
      </xdr:blipFill>
      <xdr:spPr>
        <a:xfrm>
          <a:off x="3114676" y="52539901"/>
          <a:ext cx="5172074" cy="333902"/>
        </a:xfrm>
        <a:prstGeom prst="rect">
          <a:avLst/>
        </a:prstGeom>
      </xdr:spPr>
    </xdr:pic>
    <xdr:clientData/>
  </xdr:oneCellAnchor>
  <xdr:twoCellAnchor editAs="oneCell">
    <xdr:from>
      <xdr:col>1</xdr:col>
      <xdr:colOff>95251</xdr:colOff>
      <xdr:row>79</xdr:row>
      <xdr:rowOff>57150</xdr:rowOff>
    </xdr:from>
    <xdr:to>
      <xdr:col>4</xdr:col>
      <xdr:colOff>828676</xdr:colOff>
      <xdr:row>80</xdr:row>
      <xdr:rowOff>64465</xdr:rowOff>
    </xdr:to>
    <xdr:pic>
      <xdr:nvPicPr>
        <xdr:cNvPr id="10" name="Picture 9">
          <a:extLst>
            <a:ext uri="{FF2B5EF4-FFF2-40B4-BE49-F238E27FC236}">
              <a16:creationId xmlns:a16="http://schemas.microsoft.com/office/drawing/2014/main" id="{00000000-0008-0000-3100-00000A000000}"/>
            </a:ext>
          </a:extLst>
        </xdr:cNvPr>
        <xdr:cNvPicPr>
          <a:picLocks noChangeAspect="1"/>
        </xdr:cNvPicPr>
      </xdr:nvPicPr>
      <xdr:blipFill>
        <a:blip xmlns:r="http://schemas.openxmlformats.org/officeDocument/2006/relationships" r:embed="rId3"/>
        <a:stretch>
          <a:fillRect/>
        </a:stretch>
      </xdr:blipFill>
      <xdr:spPr>
        <a:xfrm>
          <a:off x="3143251" y="22078950"/>
          <a:ext cx="4495800" cy="197815"/>
        </a:xfrm>
        <a:prstGeom prst="rect">
          <a:avLst/>
        </a:prstGeom>
      </xdr:spPr>
    </xdr:pic>
    <xdr:clientData/>
  </xdr:twoCellAnchor>
  <xdr:twoCellAnchor editAs="oneCell">
    <xdr:from>
      <xdr:col>0</xdr:col>
      <xdr:colOff>3047999</xdr:colOff>
      <xdr:row>109</xdr:row>
      <xdr:rowOff>0</xdr:rowOff>
    </xdr:from>
    <xdr:to>
      <xdr:col>6</xdr:col>
      <xdr:colOff>305279</xdr:colOff>
      <xdr:row>110</xdr:row>
      <xdr:rowOff>76200</xdr:rowOff>
    </xdr:to>
    <xdr:pic>
      <xdr:nvPicPr>
        <xdr:cNvPr id="11" name="Picture 10">
          <a:extLst>
            <a:ext uri="{FF2B5EF4-FFF2-40B4-BE49-F238E27FC236}">
              <a16:creationId xmlns:a16="http://schemas.microsoft.com/office/drawing/2014/main" id="{00000000-0008-0000-3100-00000B000000}"/>
            </a:ext>
          </a:extLst>
        </xdr:cNvPr>
        <xdr:cNvPicPr>
          <a:picLocks noChangeAspect="1"/>
        </xdr:cNvPicPr>
      </xdr:nvPicPr>
      <xdr:blipFill>
        <a:blip xmlns:r="http://schemas.openxmlformats.org/officeDocument/2006/relationships" r:embed="rId4"/>
        <a:stretch>
          <a:fillRect/>
        </a:stretch>
      </xdr:blipFill>
      <xdr:spPr>
        <a:xfrm>
          <a:off x="3047999" y="27984450"/>
          <a:ext cx="6768673" cy="266700"/>
        </a:xfrm>
        <a:prstGeom prst="rect">
          <a:avLst/>
        </a:prstGeom>
      </xdr:spPr>
    </xdr:pic>
    <xdr:clientData/>
  </xdr:twoCellAnchor>
  <xdr:twoCellAnchor editAs="oneCell">
    <xdr:from>
      <xdr:col>1</xdr:col>
      <xdr:colOff>0</xdr:colOff>
      <xdr:row>135</xdr:row>
      <xdr:rowOff>0</xdr:rowOff>
    </xdr:from>
    <xdr:to>
      <xdr:col>7</xdr:col>
      <xdr:colOff>386922</xdr:colOff>
      <xdr:row>136</xdr:row>
      <xdr:rowOff>76200</xdr:rowOff>
    </xdr:to>
    <xdr:pic>
      <xdr:nvPicPr>
        <xdr:cNvPr id="12" name="Picture 11">
          <a:extLst>
            <a:ext uri="{FF2B5EF4-FFF2-40B4-BE49-F238E27FC236}">
              <a16:creationId xmlns:a16="http://schemas.microsoft.com/office/drawing/2014/main" id="{00000000-0008-0000-3100-00000C000000}"/>
            </a:ext>
          </a:extLst>
        </xdr:cNvPr>
        <xdr:cNvPicPr>
          <a:picLocks noChangeAspect="1"/>
        </xdr:cNvPicPr>
      </xdr:nvPicPr>
      <xdr:blipFill>
        <a:blip xmlns:r="http://schemas.openxmlformats.org/officeDocument/2006/relationships" r:embed="rId4"/>
        <a:stretch>
          <a:fillRect/>
        </a:stretch>
      </xdr:blipFill>
      <xdr:spPr>
        <a:xfrm>
          <a:off x="3048000" y="33147000"/>
          <a:ext cx="6768673" cy="266700"/>
        </a:xfrm>
        <a:prstGeom prst="rect">
          <a:avLst/>
        </a:prstGeom>
      </xdr:spPr>
    </xdr:pic>
    <xdr:clientData/>
  </xdr:twoCellAnchor>
  <xdr:twoCellAnchor editAs="oneCell">
    <xdr:from>
      <xdr:col>1</xdr:col>
      <xdr:colOff>47625</xdr:colOff>
      <xdr:row>181</xdr:row>
      <xdr:rowOff>47625</xdr:rowOff>
    </xdr:from>
    <xdr:to>
      <xdr:col>4</xdr:col>
      <xdr:colOff>781050</xdr:colOff>
      <xdr:row>182</xdr:row>
      <xdr:rowOff>54940</xdr:rowOff>
    </xdr:to>
    <xdr:pic>
      <xdr:nvPicPr>
        <xdr:cNvPr id="13" name="Picture 12">
          <a:extLst>
            <a:ext uri="{FF2B5EF4-FFF2-40B4-BE49-F238E27FC236}">
              <a16:creationId xmlns:a16="http://schemas.microsoft.com/office/drawing/2014/main" id="{00000000-0008-0000-3100-00000D000000}"/>
            </a:ext>
          </a:extLst>
        </xdr:cNvPr>
        <xdr:cNvPicPr>
          <a:picLocks noChangeAspect="1"/>
        </xdr:cNvPicPr>
      </xdr:nvPicPr>
      <xdr:blipFill>
        <a:blip xmlns:r="http://schemas.openxmlformats.org/officeDocument/2006/relationships" r:embed="rId3"/>
        <a:stretch>
          <a:fillRect/>
        </a:stretch>
      </xdr:blipFill>
      <xdr:spPr>
        <a:xfrm>
          <a:off x="3095625" y="42443400"/>
          <a:ext cx="4495800" cy="197815"/>
        </a:xfrm>
        <a:prstGeom prst="rect">
          <a:avLst/>
        </a:prstGeom>
      </xdr:spPr>
    </xdr:pic>
    <xdr:clientData/>
  </xdr:twoCellAnchor>
  <xdr:twoCellAnchor editAs="oneCell">
    <xdr:from>
      <xdr:col>1</xdr:col>
      <xdr:colOff>0</xdr:colOff>
      <xdr:row>203</xdr:row>
      <xdr:rowOff>0</xdr:rowOff>
    </xdr:from>
    <xdr:to>
      <xdr:col>7</xdr:col>
      <xdr:colOff>386922</xdr:colOff>
      <xdr:row>204</xdr:row>
      <xdr:rowOff>66675</xdr:rowOff>
    </xdr:to>
    <xdr:pic>
      <xdr:nvPicPr>
        <xdr:cNvPr id="14" name="Picture 13">
          <a:extLst>
            <a:ext uri="{FF2B5EF4-FFF2-40B4-BE49-F238E27FC236}">
              <a16:creationId xmlns:a16="http://schemas.microsoft.com/office/drawing/2014/main" id="{00000000-0008-0000-3100-00000E000000}"/>
            </a:ext>
          </a:extLst>
        </xdr:cNvPr>
        <xdr:cNvPicPr>
          <a:picLocks noChangeAspect="1"/>
        </xdr:cNvPicPr>
      </xdr:nvPicPr>
      <xdr:blipFill>
        <a:blip xmlns:r="http://schemas.openxmlformats.org/officeDocument/2006/relationships" r:embed="rId4"/>
        <a:stretch>
          <a:fillRect/>
        </a:stretch>
      </xdr:blipFill>
      <xdr:spPr>
        <a:xfrm>
          <a:off x="3048000" y="47644050"/>
          <a:ext cx="6768673" cy="266700"/>
        </a:xfrm>
        <a:prstGeom prst="rect">
          <a:avLst/>
        </a:prstGeom>
      </xdr:spPr>
    </xdr:pic>
    <xdr:clientData/>
  </xdr:twoCellAnchor>
  <xdr:twoCellAnchor editAs="oneCell">
    <xdr:from>
      <xdr:col>1</xdr:col>
      <xdr:colOff>0</xdr:colOff>
      <xdr:row>226</xdr:row>
      <xdr:rowOff>0</xdr:rowOff>
    </xdr:from>
    <xdr:to>
      <xdr:col>7</xdr:col>
      <xdr:colOff>386922</xdr:colOff>
      <xdr:row>226</xdr:row>
      <xdr:rowOff>266700</xdr:rowOff>
    </xdr:to>
    <xdr:pic>
      <xdr:nvPicPr>
        <xdr:cNvPr id="15" name="Picture 14">
          <a:extLst>
            <a:ext uri="{FF2B5EF4-FFF2-40B4-BE49-F238E27FC236}">
              <a16:creationId xmlns:a16="http://schemas.microsoft.com/office/drawing/2014/main" id="{00000000-0008-0000-3100-00000F000000}"/>
            </a:ext>
          </a:extLst>
        </xdr:cNvPr>
        <xdr:cNvPicPr>
          <a:picLocks noChangeAspect="1"/>
        </xdr:cNvPicPr>
      </xdr:nvPicPr>
      <xdr:blipFill>
        <a:blip xmlns:r="http://schemas.openxmlformats.org/officeDocument/2006/relationships" r:embed="rId4"/>
        <a:stretch>
          <a:fillRect/>
        </a:stretch>
      </xdr:blipFill>
      <xdr:spPr>
        <a:xfrm>
          <a:off x="3048000" y="53482875"/>
          <a:ext cx="6768673" cy="266700"/>
        </a:xfrm>
        <a:prstGeom prst="rect">
          <a:avLst/>
        </a:prstGeom>
      </xdr:spPr>
    </xdr:pic>
    <xdr:clientData/>
  </xdr:twoCellAnchor>
  <xdr:twoCellAnchor editAs="oneCell">
    <xdr:from>
      <xdr:col>1</xdr:col>
      <xdr:colOff>38101</xdr:colOff>
      <xdr:row>246</xdr:row>
      <xdr:rowOff>19050</xdr:rowOff>
    </xdr:from>
    <xdr:to>
      <xdr:col>5</xdr:col>
      <xdr:colOff>400049</xdr:colOff>
      <xdr:row>247</xdr:row>
      <xdr:rowOff>147569</xdr:rowOff>
    </xdr:to>
    <xdr:pic>
      <xdr:nvPicPr>
        <xdr:cNvPr id="16" name="Picture 15">
          <a:extLst>
            <a:ext uri="{FF2B5EF4-FFF2-40B4-BE49-F238E27FC236}">
              <a16:creationId xmlns:a16="http://schemas.microsoft.com/office/drawing/2014/main" id="{00000000-0008-0000-3100-000010000000}"/>
            </a:ext>
          </a:extLst>
        </xdr:cNvPr>
        <xdr:cNvPicPr>
          <a:picLocks noChangeAspect="1"/>
        </xdr:cNvPicPr>
      </xdr:nvPicPr>
      <xdr:blipFill>
        <a:blip xmlns:r="http://schemas.openxmlformats.org/officeDocument/2006/relationships" r:embed="rId5"/>
        <a:stretch>
          <a:fillRect/>
        </a:stretch>
      </xdr:blipFill>
      <xdr:spPr>
        <a:xfrm>
          <a:off x="3086101" y="58740675"/>
          <a:ext cx="5219699" cy="3190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Commercial_TRMv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weccusa.org/sites/nicor/Nicor%20Workflow%20Automation/Measure%20Dat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CI_TRMv5%20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4%20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CI_TRMv5%20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Inputs_Remodel_Compliance_V3_NT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Other_Res_TRMv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Res_TRMv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lients\Peoples%20Gas%20Chicago\PY4-6%20RFP%20Bencost\Modified\bencost%20NSvPY4-6%20RFP%20Plann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NGAS\Depts\3137\EEP%20Portfolio%20Planning%20&amp;%20Analysis\Special%20Projects\Potential%20Tool\TEAPOT%20Development\Converted%20Stock.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ataValid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Other_Commercial_TRMv5%20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Inputs_other_Res_TRMv2%200_B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Other_Res_TRMv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AIC%20Plan%203%20Measure%20Level%20TRC%20Analysis_8-7-1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EEP%20Planning%20Models\@GMT-2017.03.09-13.00.14\Planning%20Tools\Measure_Data\Custom%20TRM%20V6\HIM_Res_TRMv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CustomTables_v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CustomTables_v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Projects\A25013_H25013_Nicor%20EE%20Planning%20System\Task%201%20-%20Project%20Management\Kick%20Off%20Meeting\TEAPot%202.8.6.9.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rp.aglrsc.com\corproot$\Projects\A25013_H25013_Nicor%20EE%20Planning%20System\Task%201%20-%20Project%20Management\Kick%20Off%20Meeting\TEAPot%202.8.6.9.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Scenario%20-%20Reduced%20Wx/2015%20Nipsco%20CE%20Tool_FINAL_Revision%20V3_updated%202013eva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rsgrp.sharepoint.com/dept/technical-services/Business%20Development/2015%20NIPSCO%20Residential%20Portfolio/Copy%20of%20NIPSCO%20CE%20Tool_10072013%20EM%20FINAL_12%2003%2020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Users\acottrell\AppData\Local\Microsoft\Windows\Temporary%20Internet%20Files\Content.Outlook\K6BOTMG1\Consulting\Projects%20&amp;%20Utility%20Info\Active\NY\LIPA\ELI\2008%20scenarios\Blocks%205-8%20as%20submitted\PST%20v2.05.05a%20ELI%20Block%207%2001-14-08%20-submitte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Users\ACOTTR~1\AppData\Local\Temp\BPL78%20-%20LED%20exit%20sign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Users\e107093\AppData\Local\Microsoft\Windows\Temporary%20Internet%20Files\Content.Outlook\RK0ONNHX\Consulting\Projects%20&amp;%20Utility%20Info\Active\NY\LIPA\ELI\2008%20scenarios\Blocks%205-8%20as%20submitted\PST%20v2.05.05a%20ELI%20Block%207%2001-14-08%20-submitt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5\HIM_Res_TRMv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weccusa.org/sites/nicor/Nicor%20Workflow%20Automation/Version%203/Inputs-HIM_Res_TRMv3%2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EEP%20Portfolio%20Planning\Planning%20System\Planning%20File%20Structure\Measure_Data\Custom%20TRM%20V4\HIM_Res_TRMv4%20-%20Cop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V6\HIM_Res_TRMv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EEP%20Planning%20Models\Planning%20Tools\Measure_Data\Custom%20TRM%20EEP%203\HIM_Res_TRMv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oco365-my.sharepoint.com/personal/llchoong_southernco_com/Documents/Research/Adjustable%20Goals/Copy%20of%20Appendix%20B%20Adjustable%20Goals%206_27_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Summary"/>
      <sheetName val="TEAPot Measure Output Equip"/>
      <sheetName val="TEAPot Measure Output NonEquip"/>
      <sheetName val="List for Segments - TEAPOt"/>
      <sheetName val="Teapot Summary"/>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3.10"/>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4.38"/>
      <sheetName val="4.6.1"/>
      <sheetName val="4.6.2"/>
      <sheetName val="4.6.3"/>
      <sheetName val="4.6.4"/>
      <sheetName val="4.6.5"/>
      <sheetName val="4.6.7"/>
      <sheetName val="4.7.1"/>
      <sheetName val="4.6.6"/>
      <sheetName val="4.8.2"/>
      <sheetName val="4.8.4"/>
      <sheetName val="4.8.5"/>
      <sheetName val="Lists"/>
      <sheetName val="Input_Data"/>
    </sheetNames>
    <sheetDataSet>
      <sheetData sheetId="0"/>
      <sheetData sheetId="1"/>
      <sheetData sheetId="2"/>
      <sheetData sheetId="3">
        <row r="317">
          <cell r="C317" t="str">
            <v>Small CommercialReligious Building</v>
          </cell>
          <cell r="D317" t="str">
            <v>Small</v>
          </cell>
          <cell r="E317">
            <v>5.4508196721311473</v>
          </cell>
          <cell r="F317">
            <v>2.2096774193548385</v>
          </cell>
          <cell r="G317">
            <v>2.4651162790697674</v>
          </cell>
          <cell r="H317">
            <v>0.02</v>
          </cell>
          <cell r="I317">
            <v>0.02</v>
          </cell>
          <cell r="J317">
            <v>1</v>
          </cell>
        </row>
        <row r="318">
          <cell r="C318" t="str">
            <v>Small CommercialRestaurant</v>
          </cell>
          <cell r="D318" t="str">
            <v>Small</v>
          </cell>
          <cell r="E318">
            <v>3.3505154639175259</v>
          </cell>
          <cell r="F318">
            <v>2.4714285714285715</v>
          </cell>
          <cell r="G318">
            <v>3.5</v>
          </cell>
          <cell r="H318">
            <v>0.02</v>
          </cell>
          <cell r="I318">
            <v>0.02</v>
          </cell>
          <cell r="J318">
            <v>1</v>
          </cell>
        </row>
        <row r="319">
          <cell r="C319" t="str">
            <v>Small CommercialRetail</v>
          </cell>
          <cell r="D319" t="str">
            <v>Small</v>
          </cell>
          <cell r="E319">
            <v>1.7758620689655173</v>
          </cell>
          <cell r="F319">
            <v>1</v>
          </cell>
          <cell r="G319">
            <v>1</v>
          </cell>
          <cell r="H319">
            <v>0.02</v>
          </cell>
          <cell r="I319">
            <v>0.02</v>
          </cell>
          <cell r="J319">
            <v>1</v>
          </cell>
        </row>
        <row r="320">
          <cell r="C320" t="str">
            <v>Small CommercialWarehouse</v>
          </cell>
          <cell r="D320" t="str">
            <v>Medium</v>
          </cell>
          <cell r="E320">
            <v>2.8076923076923075</v>
          </cell>
          <cell r="F320">
            <v>1.5</v>
          </cell>
          <cell r="G320">
            <v>3.2307692307692308</v>
          </cell>
          <cell r="H320">
            <v>0.02</v>
          </cell>
          <cell r="I320">
            <v>0.02</v>
          </cell>
          <cell r="J320">
            <v>1</v>
          </cell>
        </row>
        <row r="321">
          <cell r="C321" t="str">
            <v>Small CommercialMisc. Commercial</v>
          </cell>
          <cell r="D321" t="str">
            <v>Small</v>
          </cell>
          <cell r="E321">
            <v>1.7758620689655173</v>
          </cell>
          <cell r="F321">
            <v>1</v>
          </cell>
          <cell r="G321">
            <v>1</v>
          </cell>
          <cell r="H321">
            <v>0.02</v>
          </cell>
          <cell r="I321">
            <v>0.02</v>
          </cell>
          <cell r="J321">
            <v>1</v>
          </cell>
        </row>
        <row r="322">
          <cell r="C322" t="str">
            <v>Small CommercialPrivate Elementary and High School</v>
          </cell>
          <cell r="D322" t="str">
            <v>Medium</v>
          </cell>
          <cell r="E322">
            <v>6.7619047619047619</v>
          </cell>
          <cell r="F322">
            <v>2.8571428571428572</v>
          </cell>
          <cell r="G322">
            <v>4</v>
          </cell>
          <cell r="H322">
            <v>0.02</v>
          </cell>
          <cell r="I322">
            <v>0.02</v>
          </cell>
          <cell r="J322">
            <v>1</v>
          </cell>
        </row>
        <row r="323">
          <cell r="C323" t="str">
            <v>Large CommercialAssembly</v>
          </cell>
          <cell r="D323" t="str">
            <v>Small</v>
          </cell>
          <cell r="E323">
            <v>17.5</v>
          </cell>
          <cell r="F323">
            <v>2</v>
          </cell>
          <cell r="G323">
            <v>16</v>
          </cell>
          <cell r="H323">
            <v>0.02</v>
          </cell>
          <cell r="I323">
            <v>0.02</v>
          </cell>
          <cell r="J323">
            <v>1</v>
          </cell>
        </row>
        <row r="324">
          <cell r="C324" t="str">
            <v>Large CommercialAssisted Living</v>
          </cell>
          <cell r="D324" t="str">
            <v>Medium</v>
          </cell>
          <cell r="E324">
            <v>28.2</v>
          </cell>
          <cell r="F324">
            <v>3</v>
          </cell>
          <cell r="G324">
            <v>51.086419753086417</v>
          </cell>
          <cell r="H324">
            <v>0.02</v>
          </cell>
          <cell r="I324">
            <v>0.02</v>
          </cell>
          <cell r="J324">
            <v>1</v>
          </cell>
        </row>
        <row r="325">
          <cell r="C325" t="str">
            <v>Large CommercialCollege</v>
          </cell>
          <cell r="D325" t="str">
            <v>Large</v>
          </cell>
          <cell r="E325">
            <v>22</v>
          </cell>
          <cell r="F325">
            <v>8</v>
          </cell>
          <cell r="G325">
            <v>181</v>
          </cell>
          <cell r="H325">
            <v>0.02</v>
          </cell>
          <cell r="I325">
            <v>0.02</v>
          </cell>
          <cell r="J325">
            <v>1</v>
          </cell>
        </row>
        <row r="326">
          <cell r="C326" t="str">
            <v>Large CommercialGrocery</v>
          </cell>
          <cell r="D326" t="str">
            <v>Large</v>
          </cell>
          <cell r="E326">
            <v>3.8</v>
          </cell>
          <cell r="F326">
            <v>9</v>
          </cell>
          <cell r="G326">
            <v>0</v>
          </cell>
          <cell r="H326">
            <v>0.02</v>
          </cell>
          <cell r="I326">
            <v>0.02</v>
          </cell>
          <cell r="J326">
            <v>1</v>
          </cell>
        </row>
        <row r="327">
          <cell r="C327" t="str">
            <v>Large CommercialHospital</v>
          </cell>
          <cell r="D327" t="str">
            <v>Large</v>
          </cell>
          <cell r="E327">
            <v>87</v>
          </cell>
          <cell r="F327">
            <v>8</v>
          </cell>
          <cell r="G327">
            <v>104.83333333333333</v>
          </cell>
          <cell r="H327">
            <v>0.02</v>
          </cell>
          <cell r="I327">
            <v>0.02</v>
          </cell>
          <cell r="J327">
            <v>1</v>
          </cell>
        </row>
        <row r="328">
          <cell r="C328" t="str">
            <v>Large CommercialHotel/Motel</v>
          </cell>
          <cell r="D328" t="str">
            <v>Large</v>
          </cell>
          <cell r="E328">
            <v>28.2</v>
          </cell>
          <cell r="F328">
            <v>145.5</v>
          </cell>
          <cell r="G328">
            <v>85.2</v>
          </cell>
          <cell r="H328">
            <v>0.02</v>
          </cell>
          <cell r="I328">
            <v>0.02</v>
          </cell>
          <cell r="J328">
            <v>1</v>
          </cell>
        </row>
        <row r="329">
          <cell r="C329" t="str">
            <v>Large CommercialMF - High Rise</v>
          </cell>
          <cell r="D329" t="str">
            <v>Large</v>
          </cell>
          <cell r="E329">
            <v>0</v>
          </cell>
          <cell r="F329">
            <v>0</v>
          </cell>
          <cell r="G329">
            <v>0</v>
          </cell>
          <cell r="H329">
            <v>0.02</v>
          </cell>
          <cell r="I329">
            <v>0.02</v>
          </cell>
          <cell r="J329">
            <v>1</v>
          </cell>
        </row>
        <row r="330">
          <cell r="C330" t="str">
            <v>Large CommercialLarge Office</v>
          </cell>
          <cell r="D330" t="str">
            <v>Large</v>
          </cell>
          <cell r="E330">
            <v>492</v>
          </cell>
          <cell r="F330">
            <v>3.3333333333333335</v>
          </cell>
          <cell r="G330">
            <v>25</v>
          </cell>
          <cell r="H330">
            <v>0.02</v>
          </cell>
          <cell r="I330">
            <v>0.02</v>
          </cell>
          <cell r="J330">
            <v>1</v>
          </cell>
        </row>
        <row r="331">
          <cell r="C331" t="str">
            <v>Large CommercialReligious Building</v>
          </cell>
          <cell r="D331" t="str">
            <v>Small</v>
          </cell>
          <cell r="E331">
            <v>5.4508196721311473</v>
          </cell>
          <cell r="F331">
            <v>2.2096774193548385</v>
          </cell>
          <cell r="G331">
            <v>4.9302325581395348</v>
          </cell>
          <cell r="H331">
            <v>0.02</v>
          </cell>
          <cell r="I331">
            <v>0.02</v>
          </cell>
          <cell r="J331">
            <v>1</v>
          </cell>
        </row>
        <row r="332">
          <cell r="C332" t="str">
            <v>Large CommercialRestaurant</v>
          </cell>
          <cell r="D332" t="str">
            <v>Small</v>
          </cell>
          <cell r="E332">
            <v>6.7010309278350517</v>
          </cell>
          <cell r="F332">
            <v>4.9428571428571431</v>
          </cell>
          <cell r="G332">
            <v>3.5</v>
          </cell>
          <cell r="H332">
            <v>0.02</v>
          </cell>
          <cell r="I332">
            <v>0.02</v>
          </cell>
          <cell r="J332">
            <v>1</v>
          </cell>
        </row>
        <row r="333">
          <cell r="C333" t="str">
            <v>Large CommercialRetail</v>
          </cell>
          <cell r="D333" t="str">
            <v>Small</v>
          </cell>
          <cell r="E333">
            <v>4.5</v>
          </cell>
          <cell r="F333">
            <v>2.75</v>
          </cell>
          <cell r="G333">
            <v>2</v>
          </cell>
          <cell r="H333">
            <v>0.02</v>
          </cell>
          <cell r="I333">
            <v>0.02</v>
          </cell>
          <cell r="J333">
            <v>1</v>
          </cell>
        </row>
        <row r="334">
          <cell r="C334" t="str">
            <v>Large CommercialWarehouse</v>
          </cell>
          <cell r="D334" t="str">
            <v>Large</v>
          </cell>
          <cell r="E334">
            <v>5.615384615384615</v>
          </cell>
          <cell r="F334">
            <v>3</v>
          </cell>
          <cell r="G334">
            <v>6.4615384615384617</v>
          </cell>
          <cell r="H334">
            <v>0.02</v>
          </cell>
          <cell r="I334">
            <v>0.02</v>
          </cell>
          <cell r="J334">
            <v>1</v>
          </cell>
        </row>
        <row r="335">
          <cell r="C335" t="str">
            <v>Large CommercialMisc. Commercial</v>
          </cell>
          <cell r="D335" t="str">
            <v>Small</v>
          </cell>
          <cell r="E335">
            <v>5.615384615384615</v>
          </cell>
          <cell r="F335">
            <v>1</v>
          </cell>
          <cell r="G335">
            <v>2</v>
          </cell>
          <cell r="H335">
            <v>0.02</v>
          </cell>
          <cell r="I335">
            <v>0.02</v>
          </cell>
          <cell r="J335">
            <v>1</v>
          </cell>
        </row>
        <row r="336">
          <cell r="C336" t="str">
            <v>Large CommercialPrivate Elementary and High School</v>
          </cell>
          <cell r="D336" t="str">
            <v>Medium</v>
          </cell>
          <cell r="E336">
            <v>13.523809523809524</v>
          </cell>
          <cell r="F336">
            <v>5.7142857142857144</v>
          </cell>
          <cell r="G336">
            <v>8</v>
          </cell>
          <cell r="H336">
            <v>0.02</v>
          </cell>
          <cell r="I336">
            <v>0.02</v>
          </cell>
          <cell r="J336">
            <v>1</v>
          </cell>
        </row>
        <row r="337">
          <cell r="C337" t="str">
            <v>Public SectorCollege</v>
          </cell>
          <cell r="D337" t="str">
            <v>Large</v>
          </cell>
          <cell r="E337">
            <v>22</v>
          </cell>
          <cell r="F337">
            <v>5</v>
          </cell>
          <cell r="G337">
            <v>18.100000000000001</v>
          </cell>
          <cell r="H337">
            <v>0.02</v>
          </cell>
          <cell r="I337">
            <v>0.02</v>
          </cell>
          <cell r="J337">
            <v>1</v>
          </cell>
        </row>
        <row r="338">
          <cell r="C338" t="str">
            <v>Public SectorPublic Elementary and High School</v>
          </cell>
          <cell r="D338" t="str">
            <v>Medium</v>
          </cell>
          <cell r="E338">
            <v>13.523809523809524</v>
          </cell>
          <cell r="F338">
            <v>2.8571428571428572</v>
          </cell>
          <cell r="G338">
            <v>7.5</v>
          </cell>
          <cell r="H338">
            <v>0.02</v>
          </cell>
          <cell r="I338">
            <v>0.02</v>
          </cell>
          <cell r="J338">
            <v>1</v>
          </cell>
        </row>
        <row r="339">
          <cell r="C339" t="str">
            <v>Public SectorHospital</v>
          </cell>
          <cell r="D339" t="str">
            <v>Large</v>
          </cell>
          <cell r="E339">
            <v>87</v>
          </cell>
          <cell r="F339">
            <v>8</v>
          </cell>
          <cell r="G339">
            <v>104.83333333333333</v>
          </cell>
          <cell r="H339">
            <v>0.02</v>
          </cell>
          <cell r="I339">
            <v>0.02</v>
          </cell>
          <cell r="J339">
            <v>1</v>
          </cell>
        </row>
        <row r="340">
          <cell r="C340" t="str">
            <v>Public SectorPublic Service/Gov't</v>
          </cell>
          <cell r="D340" t="str">
            <v>Small</v>
          </cell>
          <cell r="E340">
            <v>1.7758620689655173</v>
          </cell>
          <cell r="F340">
            <v>1</v>
          </cell>
          <cell r="G340">
            <v>1</v>
          </cell>
          <cell r="H340">
            <v>0.02</v>
          </cell>
          <cell r="I340">
            <v>0.02</v>
          </cell>
          <cell r="J340">
            <v>1</v>
          </cell>
        </row>
        <row r="341">
          <cell r="C341" t="str">
            <v>Public SectorMisc. Commercial</v>
          </cell>
          <cell r="D341" t="str">
            <v>Small</v>
          </cell>
          <cell r="E341">
            <v>1.7758620689655173</v>
          </cell>
          <cell r="F341">
            <v>1</v>
          </cell>
          <cell r="G341">
            <v>1</v>
          </cell>
          <cell r="H341">
            <v>0.02</v>
          </cell>
          <cell r="I341">
            <v>0.02</v>
          </cell>
          <cell r="J341">
            <v>1</v>
          </cell>
        </row>
        <row r="342">
          <cell r="C342" t="str">
            <v>IndustrialSmall Mfg</v>
          </cell>
          <cell r="D342" t="str">
            <v>Small</v>
          </cell>
          <cell r="E342">
            <v>3.3</v>
          </cell>
          <cell r="F342">
            <v>1.5</v>
          </cell>
          <cell r="G342">
            <v>3.2307692307692308</v>
          </cell>
          <cell r="H342">
            <v>0.02</v>
          </cell>
          <cell r="I342">
            <v>0.02</v>
          </cell>
          <cell r="J342">
            <v>1</v>
          </cell>
        </row>
        <row r="343">
          <cell r="C343" t="str">
            <v>IndustrialLarge Mfg</v>
          </cell>
          <cell r="D343" t="str">
            <v>Large</v>
          </cell>
          <cell r="E343">
            <v>3.3</v>
          </cell>
          <cell r="F343">
            <v>1.5</v>
          </cell>
          <cell r="G343">
            <v>3.2307692307692308</v>
          </cell>
          <cell r="H343">
            <v>0.02</v>
          </cell>
          <cell r="I343">
            <v>0.02</v>
          </cell>
          <cell r="J343">
            <v>1</v>
          </cell>
        </row>
        <row r="344">
          <cell r="C344" t="str">
            <v>IndustrialSmall Agriculture</v>
          </cell>
          <cell r="D344" t="str">
            <v>Small</v>
          </cell>
          <cell r="E344">
            <v>3.3</v>
          </cell>
          <cell r="F344">
            <v>1.5</v>
          </cell>
          <cell r="G344">
            <v>1</v>
          </cell>
          <cell r="H344">
            <v>0.02</v>
          </cell>
          <cell r="I344">
            <v>0.02</v>
          </cell>
          <cell r="J344">
            <v>1</v>
          </cell>
        </row>
        <row r="345">
          <cell r="C345" t="str">
            <v>IndustrialLarge Agriculture</v>
          </cell>
          <cell r="D345" t="str">
            <v>Large</v>
          </cell>
          <cell r="E345">
            <v>3.3</v>
          </cell>
          <cell r="F345">
            <v>1.5</v>
          </cell>
          <cell r="G345">
            <v>3.2307692307692308</v>
          </cell>
          <cell r="H345">
            <v>0.02</v>
          </cell>
          <cell r="I345">
            <v>0.02</v>
          </cell>
          <cell r="J345">
            <v>1</v>
          </cell>
        </row>
        <row r="346">
          <cell r="C346" t="str">
            <v>IndustrialSmall Misc. Industrial</v>
          </cell>
          <cell r="D346" t="str">
            <v>Small</v>
          </cell>
          <cell r="E346">
            <v>3.3</v>
          </cell>
          <cell r="F346">
            <v>1.5</v>
          </cell>
          <cell r="G346">
            <v>3.2307692307692308</v>
          </cell>
          <cell r="H346">
            <v>0.02</v>
          </cell>
          <cell r="I346">
            <v>0.02</v>
          </cell>
          <cell r="J346">
            <v>1</v>
          </cell>
        </row>
        <row r="347">
          <cell r="C347" t="str">
            <v>IndustrialLarge Misc. Industrial</v>
          </cell>
          <cell r="D347" t="str">
            <v>Large</v>
          </cell>
          <cell r="E347">
            <v>3.3</v>
          </cell>
          <cell r="F347">
            <v>1.5</v>
          </cell>
          <cell r="G347">
            <v>3.2307692307692308</v>
          </cell>
          <cell r="H347">
            <v>0.02</v>
          </cell>
          <cell r="I347">
            <v>0.02</v>
          </cell>
          <cell r="J347">
            <v>1</v>
          </cell>
        </row>
        <row r="348">
          <cell r="C348" t="str">
            <v>Public SectorCollege</v>
          </cell>
          <cell r="D348" t="str">
            <v>Large</v>
          </cell>
          <cell r="E348">
            <v>100</v>
          </cell>
          <cell r="F348">
            <v>5</v>
          </cell>
          <cell r="G348">
            <v>15</v>
          </cell>
          <cell r="H348">
            <v>0.02</v>
          </cell>
          <cell r="I348">
            <v>0.02</v>
          </cell>
          <cell r="J348">
            <v>1</v>
          </cell>
        </row>
        <row r="349">
          <cell r="C349" t="str">
            <v>Public SectorPublic Elementary and High School</v>
          </cell>
          <cell r="D349" t="str">
            <v>Medium</v>
          </cell>
          <cell r="E349">
            <v>15</v>
          </cell>
          <cell r="F349">
            <v>2</v>
          </cell>
          <cell r="G349">
            <v>5</v>
          </cell>
          <cell r="H349">
            <v>0.02</v>
          </cell>
          <cell r="I349">
            <v>0.02</v>
          </cell>
          <cell r="J349">
            <v>1</v>
          </cell>
        </row>
        <row r="350">
          <cell r="C350" t="str">
            <v>Public SectorHospital</v>
          </cell>
          <cell r="D350" t="str">
            <v>Large</v>
          </cell>
          <cell r="E350">
            <v>20</v>
          </cell>
          <cell r="F350">
            <v>2</v>
          </cell>
          <cell r="G350">
            <v>10</v>
          </cell>
          <cell r="H350">
            <v>0.02</v>
          </cell>
          <cell r="I350">
            <v>0.02</v>
          </cell>
          <cell r="J350">
            <v>1</v>
          </cell>
        </row>
        <row r="351">
          <cell r="C351" t="str">
            <v>Public SectorPublic Service/Gov't</v>
          </cell>
          <cell r="D351" t="str">
            <v>Small</v>
          </cell>
          <cell r="E351">
            <v>5</v>
          </cell>
          <cell r="F351">
            <v>1</v>
          </cell>
          <cell r="G351">
            <v>0</v>
          </cell>
          <cell r="H351">
            <v>0.02</v>
          </cell>
          <cell r="I351">
            <v>0.02</v>
          </cell>
          <cell r="J351">
            <v>1</v>
          </cell>
        </row>
        <row r="352">
          <cell r="C352" t="str">
            <v>Public SectorMisc. Commercial</v>
          </cell>
          <cell r="D352" t="str">
            <v>Small</v>
          </cell>
          <cell r="E352">
            <v>5</v>
          </cell>
          <cell r="F352">
            <v>1</v>
          </cell>
          <cell r="G352">
            <v>0</v>
          </cell>
          <cell r="H352">
            <v>0.02</v>
          </cell>
          <cell r="I352">
            <v>0.02</v>
          </cell>
          <cell r="J352">
            <v>1</v>
          </cell>
        </row>
        <row r="353">
          <cell r="C353" t="str">
            <v>Measure Saturation</v>
          </cell>
          <cell r="D353" t="str">
            <v>Small</v>
          </cell>
          <cell r="E353" t="str">
            <v>Cooking Category</v>
          </cell>
          <cell r="F353" t="str">
            <v>Est. Load Share</v>
          </cell>
          <cell r="G353">
            <v>0</v>
          </cell>
          <cell r="H353">
            <v>0.02</v>
          </cell>
          <cell r="I353">
            <v>0.02</v>
          </cell>
          <cell r="J353">
            <v>1</v>
          </cell>
        </row>
        <row r="354">
          <cell r="C354">
            <v>0.05</v>
          </cell>
          <cell r="D354" t="str">
            <v>Large</v>
          </cell>
          <cell r="E354" t="str">
            <v>Steamer</v>
          </cell>
          <cell r="F354">
            <v>0.05</v>
          </cell>
          <cell r="G354">
            <v>0</v>
          </cell>
          <cell r="H354">
            <v>0.02</v>
          </cell>
          <cell r="I354">
            <v>0.02</v>
          </cell>
          <cell r="J354">
            <v>1</v>
          </cell>
        </row>
        <row r="355">
          <cell r="C355">
            <v>0.13333333333333333</v>
          </cell>
          <cell r="D355" t="str">
            <v>Small</v>
          </cell>
          <cell r="E355" t="str">
            <v>Combo Oven</v>
          </cell>
          <cell r="F355">
            <v>0.4</v>
          </cell>
          <cell r="G355">
            <v>0</v>
          </cell>
          <cell r="H355">
            <v>0.02</v>
          </cell>
          <cell r="I355">
            <v>0.02</v>
          </cell>
          <cell r="J355">
            <v>1</v>
          </cell>
        </row>
        <row r="356">
          <cell r="C356">
            <v>0.13333333333333333</v>
          </cell>
          <cell r="D356" t="str">
            <v>Large</v>
          </cell>
          <cell r="E356" t="str">
            <v>Fryer</v>
          </cell>
          <cell r="F356">
            <v>0.1</v>
          </cell>
          <cell r="G356">
            <v>0</v>
          </cell>
          <cell r="H356">
            <v>0.02</v>
          </cell>
          <cell r="I356">
            <v>0.02</v>
          </cell>
          <cell r="J356">
            <v>1</v>
          </cell>
        </row>
        <row r="357">
          <cell r="C357">
            <v>0.13333333333333333</v>
          </cell>
          <cell r="D357" t="str">
            <v>Small</v>
          </cell>
          <cell r="E357" t="str">
            <v>Griddle</v>
          </cell>
          <cell r="F357">
            <v>0.05</v>
          </cell>
          <cell r="G357">
            <v>0</v>
          </cell>
          <cell r="H357">
            <v>0.02</v>
          </cell>
          <cell r="I357">
            <v>0.02</v>
          </cell>
          <cell r="J357">
            <v>1</v>
          </cell>
        </row>
        <row r="358">
          <cell r="C358">
            <v>2.5000000000000001E-2</v>
          </cell>
          <cell r="D358" t="str">
            <v>Large</v>
          </cell>
          <cell r="E358" t="str">
            <v>Broiler</v>
          </cell>
          <cell r="F358">
            <v>0.15</v>
          </cell>
          <cell r="G358">
            <v>0</v>
          </cell>
          <cell r="H358">
            <v>0.02</v>
          </cell>
          <cell r="I358">
            <v>0.02</v>
          </cell>
          <cell r="J358">
            <v>1</v>
          </cell>
        </row>
      </sheetData>
      <sheetData sheetId="4">
        <row r="3">
          <cell r="A3" t="str">
            <v>4.1.1</v>
          </cell>
          <cell r="B3" t="str">
            <v>TRM1</v>
          </cell>
          <cell r="C3" t="str">
            <v>V5</v>
          </cell>
          <cell r="D3" t="str">
            <v>RS-APL-ESDH-V01-120601</v>
          </cell>
          <cell r="E3" t="str">
            <v>Engine Block Timer for Agricultural Equipment</v>
          </cell>
          <cell r="F3" t="str">
            <v>Engine Block Timer for Agricultural Equipment</v>
          </cell>
          <cell r="G3" t="str">
            <v>Agriculture</v>
          </cell>
          <cell r="H3" t="str">
            <v>Commercial</v>
          </cell>
          <cell r="I3" t="str">
            <v>Project</v>
          </cell>
          <cell r="J3">
            <v>664</v>
          </cell>
          <cell r="K3">
            <v>0</v>
          </cell>
          <cell r="L3">
            <v>0</v>
          </cell>
          <cell r="M3">
            <v>0</v>
          </cell>
          <cell r="N3">
            <v>1992</v>
          </cell>
          <cell r="O3">
            <v>0</v>
          </cell>
          <cell r="P3">
            <v>0</v>
          </cell>
          <cell r="Q3">
            <v>0</v>
          </cell>
          <cell r="R3"/>
          <cell r="S3"/>
          <cell r="T3"/>
          <cell r="U3"/>
          <cell r="V3">
            <v>3</v>
          </cell>
          <cell r="W3">
            <v>10.19</v>
          </cell>
        </row>
        <row r="4">
          <cell r="A4"/>
          <cell r="B4"/>
          <cell r="C4"/>
          <cell r="D4"/>
          <cell r="E4"/>
          <cell r="F4"/>
          <cell r="G4"/>
          <cell r="H4"/>
          <cell r="I4"/>
          <cell r="J4"/>
          <cell r="K4"/>
          <cell r="L4"/>
          <cell r="M4"/>
          <cell r="N4"/>
          <cell r="O4"/>
          <cell r="P4"/>
          <cell r="Q4"/>
          <cell r="R4"/>
          <cell r="S4"/>
          <cell r="T4"/>
          <cell r="U4"/>
          <cell r="V4"/>
          <cell r="W4"/>
        </row>
        <row r="5">
          <cell r="A5" t="str">
            <v>4.1.2</v>
          </cell>
          <cell r="B5" t="str">
            <v>TRM2</v>
          </cell>
          <cell r="C5" t="str">
            <v>V5</v>
          </cell>
          <cell r="D5" t="str">
            <v>CI-AGE-HVSF-V01-120601</v>
          </cell>
          <cell r="E5" t="str">
            <v>High Volume Low Speed Fans</v>
          </cell>
          <cell r="F5" t="str">
            <v>High Volume Low Speed Fans</v>
          </cell>
          <cell r="G5" t="str">
            <v>Other HVAC</v>
          </cell>
          <cell r="H5" t="str">
            <v>Commercial</v>
          </cell>
          <cell r="I5" t="str">
            <v>Unit</v>
          </cell>
          <cell r="J5">
            <v>10018.219999999999</v>
          </cell>
          <cell r="K5">
            <v>3.6680000000000001</v>
          </cell>
          <cell r="L5">
            <v>0</v>
          </cell>
          <cell r="M5">
            <v>0</v>
          </cell>
          <cell r="N5">
            <v>100182.2</v>
          </cell>
          <cell r="O5">
            <v>3.6680000000000001</v>
          </cell>
          <cell r="P5">
            <v>0</v>
          </cell>
          <cell r="Q5">
            <v>0</v>
          </cell>
          <cell r="R5"/>
          <cell r="S5"/>
          <cell r="T5"/>
          <cell r="U5"/>
          <cell r="V5">
            <v>10</v>
          </cell>
          <cell r="W5">
            <v>4225</v>
          </cell>
        </row>
        <row r="6">
          <cell r="A6"/>
          <cell r="B6"/>
          <cell r="C6"/>
          <cell r="D6"/>
          <cell r="E6"/>
          <cell r="F6"/>
          <cell r="G6"/>
          <cell r="H6"/>
          <cell r="I6"/>
          <cell r="J6"/>
          <cell r="K6"/>
          <cell r="L6"/>
          <cell r="M6"/>
          <cell r="N6"/>
          <cell r="O6"/>
          <cell r="P6"/>
          <cell r="Q6"/>
          <cell r="R6"/>
          <cell r="S6"/>
          <cell r="T6"/>
          <cell r="U6"/>
          <cell r="V6"/>
          <cell r="W6"/>
        </row>
        <row r="7">
          <cell r="A7" t="str">
            <v>4.1.3</v>
          </cell>
          <cell r="B7" t="str">
            <v>TRM3</v>
          </cell>
          <cell r="C7" t="str">
            <v>V5</v>
          </cell>
          <cell r="D7" t="str">
            <v>CI-AGE-HSF_-V01-120601</v>
          </cell>
          <cell r="E7" t="str">
            <v>High Speed Fans</v>
          </cell>
          <cell r="F7" t="str">
            <v>High Speed Fans</v>
          </cell>
          <cell r="G7" t="str">
            <v>Other HVAC</v>
          </cell>
          <cell r="H7" t="str">
            <v>Commercial</v>
          </cell>
          <cell r="I7" t="str">
            <v>Unit</v>
          </cell>
          <cell r="J7">
            <v>372.14</v>
          </cell>
          <cell r="K7">
            <v>0.11799999999999999</v>
          </cell>
          <cell r="L7">
            <v>0</v>
          </cell>
          <cell r="M7">
            <v>0</v>
          </cell>
          <cell r="N7">
            <v>2604.98</v>
          </cell>
          <cell r="O7">
            <v>0.11799999999999999</v>
          </cell>
          <cell r="P7">
            <v>0</v>
          </cell>
          <cell r="Q7">
            <v>0</v>
          </cell>
          <cell r="R7"/>
          <cell r="S7"/>
          <cell r="T7"/>
          <cell r="U7"/>
          <cell r="V7">
            <v>7</v>
          </cell>
          <cell r="W7">
            <v>150</v>
          </cell>
        </row>
        <row r="8">
          <cell r="A8"/>
          <cell r="B8"/>
          <cell r="C8"/>
          <cell r="D8"/>
          <cell r="E8"/>
          <cell r="F8"/>
          <cell r="G8"/>
          <cell r="H8"/>
          <cell r="I8"/>
          <cell r="J8"/>
          <cell r="K8"/>
          <cell r="L8"/>
          <cell r="M8"/>
          <cell r="N8"/>
          <cell r="O8"/>
          <cell r="P8"/>
          <cell r="Q8"/>
          <cell r="R8"/>
          <cell r="S8"/>
          <cell r="T8"/>
          <cell r="U8"/>
          <cell r="V8"/>
          <cell r="W8"/>
        </row>
        <row r="9">
          <cell r="A9" t="str">
            <v>4.1.4</v>
          </cell>
          <cell r="B9" t="str">
            <v>TRM4</v>
          </cell>
          <cell r="C9" t="str">
            <v>V5</v>
          </cell>
          <cell r="D9" t="str">
            <v>CI-AGE-LSW1-V01-120601</v>
          </cell>
          <cell r="E9" t="str">
            <v>Live Stock Waterer</v>
          </cell>
          <cell r="F9" t="str">
            <v>Live Stock Waterer</v>
          </cell>
          <cell r="G9" t="str">
            <v>Agriculture</v>
          </cell>
          <cell r="H9" t="str">
            <v>Commercial</v>
          </cell>
          <cell r="I9" t="str">
            <v>Unit</v>
          </cell>
          <cell r="J9">
            <v>1592.85</v>
          </cell>
          <cell r="K9">
            <v>0.52500000000000002</v>
          </cell>
          <cell r="L9">
            <v>0</v>
          </cell>
          <cell r="M9">
            <v>0</v>
          </cell>
          <cell r="N9">
            <v>15928.5</v>
          </cell>
          <cell r="O9">
            <v>0.52500000000000002</v>
          </cell>
          <cell r="P9">
            <v>0</v>
          </cell>
          <cell r="Q9">
            <v>0</v>
          </cell>
          <cell r="R9"/>
          <cell r="S9"/>
          <cell r="T9"/>
          <cell r="U9"/>
          <cell r="V9">
            <v>10</v>
          </cell>
          <cell r="W9">
            <v>787.5</v>
          </cell>
        </row>
        <row r="10">
          <cell r="A10"/>
          <cell r="B10"/>
          <cell r="C10"/>
          <cell r="D10"/>
          <cell r="E10"/>
          <cell r="F10"/>
          <cell r="G10"/>
          <cell r="H10"/>
          <cell r="I10"/>
          <cell r="J10"/>
          <cell r="K10"/>
          <cell r="L10"/>
          <cell r="M10"/>
          <cell r="N10"/>
          <cell r="O10"/>
          <cell r="P10"/>
          <cell r="Q10"/>
          <cell r="R10"/>
          <cell r="S10"/>
          <cell r="T10"/>
          <cell r="U10"/>
          <cell r="V10"/>
          <cell r="W10"/>
        </row>
        <row r="11">
          <cell r="A11" t="str">
            <v>4.2.1.7</v>
          </cell>
          <cell r="B11" t="str">
            <v>TRM5.1</v>
          </cell>
          <cell r="C11" t="str">
            <v>V5</v>
          </cell>
          <cell r="D11" t="str">
            <v>CI-FSE-CBOV-V01-120601</v>
          </cell>
          <cell r="E11" t="str">
            <v>Baseline Combination Oven  (10 pans)</v>
          </cell>
          <cell r="F11" t="str">
            <v>Baseline Combination Oven  (10 pans)</v>
          </cell>
          <cell r="G11" t="str">
            <v>Food service</v>
          </cell>
          <cell r="H11" t="str">
            <v>Commercial</v>
          </cell>
          <cell r="I11" t="str">
            <v>Unit</v>
          </cell>
          <cell r="J11">
            <v>0</v>
          </cell>
          <cell r="K11">
            <v>0</v>
          </cell>
          <cell r="L11">
            <v>0</v>
          </cell>
          <cell r="M11">
            <v>0</v>
          </cell>
          <cell r="N11">
            <v>0</v>
          </cell>
          <cell r="O11">
            <v>0</v>
          </cell>
          <cell r="P11">
            <v>0</v>
          </cell>
          <cell r="Q11">
            <v>0</v>
          </cell>
          <cell r="R11">
            <v>813.41425487179492</v>
          </cell>
          <cell r="S11">
            <v>4300</v>
          </cell>
          <cell r="T11"/>
          <cell r="U11"/>
          <cell r="V11">
            <v>12</v>
          </cell>
          <cell r="W11">
            <v>4300</v>
          </cell>
        </row>
        <row r="12">
          <cell r="A12" t="str">
            <v>4.2.1.8</v>
          </cell>
          <cell r="B12" t="str">
            <v>TRM5.1</v>
          </cell>
          <cell r="C12" t="str">
            <v>V5</v>
          </cell>
          <cell r="D12" t="str">
            <v>CI-FSE-CBOV-V01-120601</v>
          </cell>
          <cell r="E12" t="str">
            <v>Baseline Combination Oven  (16 pans)</v>
          </cell>
          <cell r="F12" t="str">
            <v>Baseline Combination Oven  (16 pans)</v>
          </cell>
          <cell r="G12" t="str">
            <v>Food service</v>
          </cell>
          <cell r="H12" t="str">
            <v>Commercial</v>
          </cell>
          <cell r="I12" t="str">
            <v>Unit</v>
          </cell>
          <cell r="J12">
            <v>0</v>
          </cell>
          <cell r="K12">
            <v>0</v>
          </cell>
          <cell r="L12">
            <v>0</v>
          </cell>
          <cell r="M12">
            <v>0</v>
          </cell>
          <cell r="N12">
            <v>0</v>
          </cell>
          <cell r="O12">
            <v>0</v>
          </cell>
          <cell r="P12">
            <v>0</v>
          </cell>
          <cell r="Q12">
            <v>0</v>
          </cell>
          <cell r="R12">
            <v>1035.2754891479965</v>
          </cell>
          <cell r="S12">
            <v>4300</v>
          </cell>
          <cell r="T12"/>
          <cell r="U12"/>
          <cell r="V12">
            <v>12</v>
          </cell>
          <cell r="W12">
            <v>4300</v>
          </cell>
        </row>
        <row r="13">
          <cell r="A13" t="str">
            <v>4.2.1.9</v>
          </cell>
          <cell r="B13" t="str">
            <v>TRM5.1</v>
          </cell>
          <cell r="C13" t="str">
            <v>V5</v>
          </cell>
          <cell r="D13" t="str">
            <v>CI-FSE-CBOV-V01-120601</v>
          </cell>
          <cell r="E13" t="str">
            <v>Baseline Combination Oven  (31 pans)</v>
          </cell>
          <cell r="F13" t="str">
            <v>Baseline Combination Oven  (31 pans)</v>
          </cell>
          <cell r="G13" t="str">
            <v>Food service</v>
          </cell>
          <cell r="H13" t="str">
            <v>Commercial</v>
          </cell>
          <cell r="I13" t="str">
            <v>Unit</v>
          </cell>
          <cell r="J13">
            <v>0</v>
          </cell>
          <cell r="K13">
            <v>0</v>
          </cell>
          <cell r="L13">
            <v>0</v>
          </cell>
          <cell r="M13">
            <v>0</v>
          </cell>
          <cell r="N13">
            <v>0</v>
          </cell>
          <cell r="O13">
            <v>0</v>
          </cell>
          <cell r="P13">
            <v>0</v>
          </cell>
          <cell r="Q13">
            <v>0</v>
          </cell>
          <cell r="R13">
            <v>1701.6684156356841</v>
          </cell>
          <cell r="S13">
            <v>4300</v>
          </cell>
          <cell r="T13"/>
          <cell r="U13"/>
          <cell r="V13">
            <v>12</v>
          </cell>
          <cell r="W13">
            <v>4300</v>
          </cell>
        </row>
        <row r="14">
          <cell r="A14" t="str">
            <v>4.2.1</v>
          </cell>
          <cell r="B14" t="str">
            <v>TRM5.1</v>
          </cell>
          <cell r="C14" t="str">
            <v>V5</v>
          </cell>
          <cell r="D14" t="str">
            <v>CI-FSE-CBOV-V01-120601</v>
          </cell>
          <cell r="E14" t="str">
            <v>Combination Oven  (10 pans)</v>
          </cell>
          <cell r="F14" t="str">
            <v>Combination Oven  (10 pans)</v>
          </cell>
          <cell r="G14" t="str">
            <v>Food service</v>
          </cell>
          <cell r="H14" t="str">
            <v>Commercial</v>
          </cell>
          <cell r="I14" t="str">
            <v>Unit</v>
          </cell>
          <cell r="J14">
            <v>0</v>
          </cell>
          <cell r="K14">
            <v>0</v>
          </cell>
          <cell r="L14">
            <v>257.38902284584412</v>
          </cell>
          <cell r="M14">
            <v>0</v>
          </cell>
          <cell r="N14">
            <v>0</v>
          </cell>
          <cell r="O14">
            <v>0</v>
          </cell>
          <cell r="P14">
            <v>3088.6682741501295</v>
          </cell>
          <cell r="Q14">
            <v>0</v>
          </cell>
          <cell r="R14">
            <v>813.41425487179492</v>
          </cell>
          <cell r="S14">
            <v>4300</v>
          </cell>
          <cell r="T14"/>
          <cell r="U14"/>
          <cell r="V14">
            <v>12</v>
          </cell>
          <cell r="W14">
            <v>4300</v>
          </cell>
        </row>
        <row r="15">
          <cell r="A15" t="str">
            <v>4.2.1.2</v>
          </cell>
          <cell r="B15" t="str">
            <v>TRM5.2</v>
          </cell>
          <cell r="C15" t="str">
            <v>V5</v>
          </cell>
          <cell r="D15" t="str">
            <v>CI-FSE-CBOV-V01-120601</v>
          </cell>
          <cell r="E15" t="str">
            <v>Combination Oven  (16 pans)</v>
          </cell>
          <cell r="F15" t="str">
            <v>Combination Oven  (16 pans)</v>
          </cell>
          <cell r="G15" t="str">
            <v>Food service</v>
          </cell>
          <cell r="H15" t="str">
            <v>Commercial</v>
          </cell>
          <cell r="I15" t="str">
            <v>Unit</v>
          </cell>
          <cell r="J15">
            <v>0</v>
          </cell>
          <cell r="K15">
            <v>0</v>
          </cell>
          <cell r="L15">
            <v>363.70538907682175</v>
          </cell>
          <cell r="M15">
            <v>0</v>
          </cell>
          <cell r="N15">
            <v>0</v>
          </cell>
          <cell r="O15">
            <v>0</v>
          </cell>
          <cell r="P15">
            <v>4364.4646689218607</v>
          </cell>
          <cell r="Q15">
            <v>0</v>
          </cell>
          <cell r="R15">
            <v>1035.2754891479965</v>
          </cell>
          <cell r="S15">
            <v>4300</v>
          </cell>
          <cell r="T15"/>
          <cell r="U15"/>
          <cell r="V15">
            <v>12</v>
          </cell>
          <cell r="W15">
            <v>4300</v>
          </cell>
        </row>
        <row r="16">
          <cell r="A16" t="str">
            <v>4.2.1.3</v>
          </cell>
          <cell r="B16" t="str">
            <v>TRM5.3</v>
          </cell>
          <cell r="C16" t="str">
            <v>V5</v>
          </cell>
          <cell r="D16" t="str">
            <v>CI-FSE-CBOV-V01-120601</v>
          </cell>
          <cell r="E16" t="str">
            <v>Combination Oven  (31 pans)</v>
          </cell>
          <cell r="F16" t="str">
            <v>Combination Oven  (31 pans)</v>
          </cell>
          <cell r="G16" t="str">
            <v>Food service</v>
          </cell>
          <cell r="H16" t="str">
            <v>Commercial</v>
          </cell>
          <cell r="I16" t="str">
            <v>Unit</v>
          </cell>
          <cell r="J16">
            <v>0</v>
          </cell>
          <cell r="K16">
            <v>0</v>
          </cell>
          <cell r="L16">
            <v>722.97630152822092</v>
          </cell>
          <cell r="M16">
            <v>0</v>
          </cell>
          <cell r="N16">
            <v>0</v>
          </cell>
          <cell r="O16">
            <v>0</v>
          </cell>
          <cell r="P16">
            <v>8675.7156183386505</v>
          </cell>
          <cell r="Q16">
            <v>0</v>
          </cell>
          <cell r="R16">
            <v>1701.6684156356841</v>
          </cell>
          <cell r="S16">
            <v>4300</v>
          </cell>
          <cell r="T16"/>
          <cell r="U16"/>
          <cell r="V16">
            <v>12</v>
          </cell>
          <cell r="W16">
            <v>4300</v>
          </cell>
        </row>
        <row r="17">
          <cell r="A17" t="str">
            <v>4.2.1.10</v>
          </cell>
          <cell r="B17" t="str">
            <v>TRM5.4</v>
          </cell>
          <cell r="C17" t="str">
            <v>V5</v>
          </cell>
          <cell r="D17" t="str">
            <v>CI-FSE-CBOV-V01-120601</v>
          </cell>
          <cell r="E17" t="str">
            <v>Combination Oven  (10 pans) Upstream</v>
          </cell>
          <cell r="F17" t="str">
            <v>Combination Oven  (10 pans) Upstream</v>
          </cell>
          <cell r="G17" t="str">
            <v>Food service</v>
          </cell>
          <cell r="H17" t="str">
            <v>Commercial</v>
          </cell>
          <cell r="I17" t="str">
            <v>Unit</v>
          </cell>
          <cell r="J17">
            <v>0</v>
          </cell>
          <cell r="K17">
            <v>0</v>
          </cell>
          <cell r="L17">
            <v>257.38902284584412</v>
          </cell>
          <cell r="M17">
            <v>0</v>
          </cell>
          <cell r="N17">
            <v>0</v>
          </cell>
          <cell r="O17">
            <v>0</v>
          </cell>
          <cell r="P17">
            <v>3088.6682741501295</v>
          </cell>
          <cell r="Q17">
            <v>0</v>
          </cell>
          <cell r="R17">
            <v>813.41425487179492</v>
          </cell>
          <cell r="S17">
            <v>4300</v>
          </cell>
          <cell r="T17"/>
          <cell r="U17"/>
          <cell r="V17">
            <v>12</v>
          </cell>
          <cell r="W17">
            <v>4300</v>
          </cell>
        </row>
        <row r="18">
          <cell r="A18" t="str">
            <v>4.2.1.11</v>
          </cell>
          <cell r="B18" t="str">
            <v>TRM5.5</v>
          </cell>
          <cell r="C18" t="str">
            <v>V5</v>
          </cell>
          <cell r="D18" t="str">
            <v>CI-FSE-CBOV-V01-120601</v>
          </cell>
          <cell r="E18" t="str">
            <v>Combination Oven  (16 pans) Upstream</v>
          </cell>
          <cell r="F18" t="str">
            <v>Combination Oven  (16 pans) Upstream</v>
          </cell>
          <cell r="G18" t="str">
            <v>Food service</v>
          </cell>
          <cell r="H18" t="str">
            <v>Commercial</v>
          </cell>
          <cell r="I18" t="str">
            <v>Unit</v>
          </cell>
          <cell r="J18">
            <v>0</v>
          </cell>
          <cell r="K18">
            <v>0</v>
          </cell>
          <cell r="L18">
            <v>363.70538907682175</v>
          </cell>
          <cell r="M18">
            <v>0</v>
          </cell>
          <cell r="N18">
            <v>0</v>
          </cell>
          <cell r="O18">
            <v>0</v>
          </cell>
          <cell r="P18">
            <v>4364.4646689218607</v>
          </cell>
          <cell r="Q18">
            <v>0</v>
          </cell>
          <cell r="R18">
            <v>1035.2754891479965</v>
          </cell>
          <cell r="S18">
            <v>4300</v>
          </cell>
          <cell r="T18"/>
          <cell r="U18"/>
          <cell r="V18">
            <v>12</v>
          </cell>
          <cell r="W18">
            <v>4300</v>
          </cell>
        </row>
        <row r="19">
          <cell r="A19" t="str">
            <v>4.2.1.12</v>
          </cell>
          <cell r="B19" t="str">
            <v>TRM5.6</v>
          </cell>
          <cell r="C19" t="str">
            <v>V5</v>
          </cell>
          <cell r="D19" t="str">
            <v>CI-FSE-CBOV-V01-120601</v>
          </cell>
          <cell r="E19" t="str">
            <v>Combination Oven  (31 pans) Upstream</v>
          </cell>
          <cell r="F19" t="str">
            <v>Combination Oven  (31 pans) Upstream</v>
          </cell>
          <cell r="G19" t="str">
            <v>Food service</v>
          </cell>
          <cell r="H19" t="str">
            <v>Commercial</v>
          </cell>
          <cell r="I19" t="str">
            <v>Unit</v>
          </cell>
          <cell r="J19">
            <v>0</v>
          </cell>
          <cell r="K19">
            <v>0</v>
          </cell>
          <cell r="L19">
            <v>722.97630152822092</v>
          </cell>
          <cell r="M19">
            <v>0</v>
          </cell>
          <cell r="N19">
            <v>0</v>
          </cell>
          <cell r="O19">
            <v>0</v>
          </cell>
          <cell r="P19">
            <v>8675.7156183386505</v>
          </cell>
          <cell r="Q19">
            <v>0</v>
          </cell>
          <cell r="R19">
            <v>1701.6684156356841</v>
          </cell>
          <cell r="S19">
            <v>4300</v>
          </cell>
          <cell r="T19"/>
          <cell r="U19"/>
          <cell r="V19">
            <v>12</v>
          </cell>
          <cell r="W19">
            <v>4300</v>
          </cell>
        </row>
        <row r="20">
          <cell r="A20" t="str">
            <v>4.2.1</v>
          </cell>
          <cell r="B20" t="str">
            <v>TRM5.6</v>
          </cell>
          <cell r="C20" t="str">
            <v>V5</v>
          </cell>
          <cell r="D20" t="str">
            <v>CI-FSE-CBOV-V01-120601</v>
          </cell>
          <cell r="E20" t="str">
            <v>Combination Oven  (10 pans) EREP</v>
          </cell>
          <cell r="F20" t="str">
            <v>Combination Oven  (10 pans) EREP</v>
          </cell>
          <cell r="G20" t="str">
            <v>Food service</v>
          </cell>
          <cell r="H20" t="str">
            <v>Commercial</v>
          </cell>
          <cell r="I20" t="str">
            <v>Unit</v>
          </cell>
          <cell r="J20">
            <v>0</v>
          </cell>
          <cell r="K20">
            <v>0</v>
          </cell>
          <cell r="L20">
            <v>257.38902284584412</v>
          </cell>
          <cell r="M20">
            <v>0</v>
          </cell>
          <cell r="N20">
            <v>0</v>
          </cell>
          <cell r="O20">
            <v>0</v>
          </cell>
          <cell r="P20">
            <v>3088.6682741501295</v>
          </cell>
          <cell r="Q20">
            <v>0</v>
          </cell>
          <cell r="R20"/>
          <cell r="S20"/>
          <cell r="T20"/>
          <cell r="U20"/>
          <cell r="V20">
            <v>12</v>
          </cell>
          <cell r="W20">
            <v>4300</v>
          </cell>
        </row>
        <row r="21">
          <cell r="A21" t="str">
            <v>4.2.1</v>
          </cell>
          <cell r="B21" t="str">
            <v>TRM5.6</v>
          </cell>
          <cell r="C21" t="str">
            <v>V5</v>
          </cell>
          <cell r="D21" t="str">
            <v>CI-FSE-CBOV-V01-120601</v>
          </cell>
          <cell r="E21" t="str">
            <v>Combination Oven  (16 pans) EREP</v>
          </cell>
          <cell r="F21" t="str">
            <v>Combination Oven  (16 pans) EREP</v>
          </cell>
          <cell r="G21" t="str">
            <v>Food service</v>
          </cell>
          <cell r="H21" t="str">
            <v>Commercial</v>
          </cell>
          <cell r="I21" t="str">
            <v>Unit</v>
          </cell>
          <cell r="J21">
            <v>0</v>
          </cell>
          <cell r="K21">
            <v>0</v>
          </cell>
          <cell r="L21">
            <v>363.70538907682175</v>
          </cell>
          <cell r="M21">
            <v>0</v>
          </cell>
          <cell r="N21">
            <v>0</v>
          </cell>
          <cell r="O21">
            <v>0</v>
          </cell>
          <cell r="P21">
            <v>4364.4646689218607</v>
          </cell>
          <cell r="Q21">
            <v>0</v>
          </cell>
          <cell r="R21"/>
          <cell r="S21"/>
          <cell r="T21"/>
          <cell r="U21"/>
          <cell r="V21">
            <v>12</v>
          </cell>
          <cell r="W21">
            <v>4300</v>
          </cell>
        </row>
        <row r="22">
          <cell r="A22" t="str">
            <v>4.2.1</v>
          </cell>
          <cell r="B22" t="str">
            <v>TRM5.6</v>
          </cell>
          <cell r="C22" t="str">
            <v>V5</v>
          </cell>
          <cell r="D22" t="str">
            <v>CI-FSE-CBOV-V01-120601</v>
          </cell>
          <cell r="E22" t="str">
            <v>Combination Oven  (31 pans) EREP</v>
          </cell>
          <cell r="F22" t="str">
            <v>Combination Oven  (31 pans) EREP</v>
          </cell>
          <cell r="G22" t="str">
            <v>Food service</v>
          </cell>
          <cell r="H22" t="str">
            <v>Commercial</v>
          </cell>
          <cell r="I22" t="str">
            <v>Unit</v>
          </cell>
          <cell r="J22">
            <v>0</v>
          </cell>
          <cell r="K22">
            <v>0</v>
          </cell>
          <cell r="L22">
            <v>722.97630152822092</v>
          </cell>
          <cell r="M22">
            <v>0</v>
          </cell>
          <cell r="N22">
            <v>0</v>
          </cell>
          <cell r="O22">
            <v>0</v>
          </cell>
          <cell r="P22">
            <v>8675.7156183386505</v>
          </cell>
          <cell r="Q22">
            <v>0</v>
          </cell>
          <cell r="R22"/>
          <cell r="S22"/>
          <cell r="T22"/>
          <cell r="U22"/>
          <cell r="V22">
            <v>12</v>
          </cell>
          <cell r="W22">
            <v>4300</v>
          </cell>
        </row>
        <row r="23">
          <cell r="A23"/>
          <cell r="B23"/>
          <cell r="C23"/>
          <cell r="D23"/>
          <cell r="E23"/>
          <cell r="F23"/>
          <cell r="G23"/>
          <cell r="H23"/>
          <cell r="I23"/>
          <cell r="J23"/>
          <cell r="K23"/>
          <cell r="L23"/>
          <cell r="M23"/>
          <cell r="N23"/>
          <cell r="O23"/>
          <cell r="P23"/>
          <cell r="Q23"/>
          <cell r="R23"/>
          <cell r="S23"/>
          <cell r="T23"/>
          <cell r="U23"/>
          <cell r="V23"/>
          <cell r="W23"/>
        </row>
        <row r="24">
          <cell r="A24" t="str">
            <v>4.2.2</v>
          </cell>
          <cell r="B24" t="str">
            <v>TRM6</v>
          </cell>
          <cell r="C24" t="str">
            <v>V5</v>
          </cell>
          <cell r="D24" t="str">
            <v>CI-FSE-CSDO-V01-120601</v>
          </cell>
          <cell r="E24" t="str">
            <v>Solid &amp; Glass Door Refrigerators &amp; Freezers</v>
          </cell>
          <cell r="F24" t="str">
            <v>Solid &amp; Glass Door Refrigerators &amp; Freezers</v>
          </cell>
          <cell r="G24" t="str">
            <v>Refrigeration</v>
          </cell>
          <cell r="H24" t="str">
            <v>Commercial</v>
          </cell>
          <cell r="I24" t="str">
            <v>Unit</v>
          </cell>
          <cell r="J24">
            <v>1323.6659999999995</v>
          </cell>
          <cell r="K24">
            <v>0.14148699999999995</v>
          </cell>
          <cell r="L24">
            <v>0</v>
          </cell>
          <cell r="M24">
            <v>0</v>
          </cell>
          <cell r="N24">
            <v>15883.991999999995</v>
          </cell>
          <cell r="O24">
            <v>0.14148699999999995</v>
          </cell>
          <cell r="P24">
            <v>0</v>
          </cell>
          <cell r="Q24">
            <v>0</v>
          </cell>
          <cell r="R24"/>
          <cell r="S24"/>
          <cell r="T24"/>
          <cell r="U24"/>
          <cell r="V24">
            <v>12</v>
          </cell>
          <cell r="W24">
            <v>249</v>
          </cell>
        </row>
        <row r="25">
          <cell r="A25"/>
          <cell r="B25"/>
          <cell r="C25"/>
          <cell r="D25"/>
          <cell r="E25"/>
          <cell r="F25"/>
          <cell r="G25"/>
          <cell r="H25"/>
          <cell r="I25"/>
          <cell r="J25"/>
          <cell r="K25"/>
          <cell r="L25"/>
          <cell r="M25"/>
          <cell r="N25"/>
          <cell r="O25"/>
          <cell r="P25"/>
          <cell r="Q25"/>
          <cell r="R25"/>
          <cell r="S25"/>
          <cell r="T25"/>
          <cell r="U25"/>
          <cell r="V25"/>
          <cell r="W25"/>
        </row>
        <row r="26">
          <cell r="A26" t="str">
            <v>4.2.4.b</v>
          </cell>
          <cell r="B26" t="str">
            <v>TRM7.1</v>
          </cell>
          <cell r="C26" t="str">
            <v>V5</v>
          </cell>
          <cell r="D26" t="str">
            <v>CI-FSE-CVOV-V01-120601</v>
          </cell>
          <cell r="E26" t="str">
            <v>Baseline Conveyor Oven</v>
          </cell>
          <cell r="F26" t="str">
            <v>Baseline Large Conveyor Oven, &gt;=25 in</v>
          </cell>
          <cell r="G26" t="str">
            <v>Food service</v>
          </cell>
          <cell r="H26" t="str">
            <v>Commercial</v>
          </cell>
          <cell r="I26" t="str">
            <v>Unit</v>
          </cell>
          <cell r="J26">
            <v>0</v>
          </cell>
          <cell r="K26">
            <v>0</v>
          </cell>
          <cell r="L26">
            <v>0</v>
          </cell>
          <cell r="M26">
            <v>0</v>
          </cell>
          <cell r="N26">
            <v>0</v>
          </cell>
          <cell r="O26">
            <v>0</v>
          </cell>
          <cell r="P26">
            <v>0</v>
          </cell>
          <cell r="Q26">
            <v>0</v>
          </cell>
          <cell r="R26">
            <v>2024</v>
          </cell>
          <cell r="S26">
            <v>0</v>
          </cell>
          <cell r="T26"/>
          <cell r="U26"/>
          <cell r="V26">
            <v>17</v>
          </cell>
          <cell r="W26">
            <v>0</v>
          </cell>
        </row>
        <row r="27">
          <cell r="A27" t="str">
            <v>4.2.4</v>
          </cell>
          <cell r="B27" t="str">
            <v>TRM7.1</v>
          </cell>
          <cell r="C27" t="str">
            <v>V5</v>
          </cell>
          <cell r="D27" t="str">
            <v>CI-FSE-CVOV-V01-120601</v>
          </cell>
          <cell r="E27" t="str">
            <v>Conveyor Oven</v>
          </cell>
          <cell r="F27" t="str">
            <v>Large Conveyor Oven, &gt;=25 in</v>
          </cell>
          <cell r="G27" t="str">
            <v>Food service</v>
          </cell>
          <cell r="H27" t="str">
            <v>Commercial</v>
          </cell>
          <cell r="I27" t="str">
            <v>Unit</v>
          </cell>
          <cell r="J27">
            <v>0</v>
          </cell>
          <cell r="K27">
            <v>0</v>
          </cell>
          <cell r="L27">
            <v>884</v>
          </cell>
          <cell r="M27">
            <v>0</v>
          </cell>
          <cell r="N27">
            <v>0</v>
          </cell>
          <cell r="O27">
            <v>0</v>
          </cell>
          <cell r="P27">
            <v>15028</v>
          </cell>
          <cell r="Q27">
            <v>0</v>
          </cell>
          <cell r="R27">
            <v>2024</v>
          </cell>
          <cell r="S27">
            <v>1800</v>
          </cell>
          <cell r="T27"/>
          <cell r="U27"/>
          <cell r="V27">
            <v>17</v>
          </cell>
          <cell r="W27">
            <v>1800</v>
          </cell>
        </row>
        <row r="28">
          <cell r="A28" t="str">
            <v>4.2.4.3</v>
          </cell>
          <cell r="B28" t="str">
            <v>TRM7.2</v>
          </cell>
          <cell r="C28" t="str">
            <v>V5</v>
          </cell>
          <cell r="D28" t="str">
            <v>CI-FSE-CVOV-V01-120601</v>
          </cell>
          <cell r="E28" t="str">
            <v>Conveyor Oven Upstream</v>
          </cell>
          <cell r="F28" t="str">
            <v>Large Conveyor Oven, &gt;=25 in Upstream</v>
          </cell>
          <cell r="G28" t="str">
            <v>Food service</v>
          </cell>
          <cell r="H28" t="str">
            <v>Commercial</v>
          </cell>
          <cell r="I28" t="str">
            <v>Unit</v>
          </cell>
          <cell r="J28">
            <v>0</v>
          </cell>
          <cell r="K28">
            <v>0</v>
          </cell>
          <cell r="L28">
            <v>884</v>
          </cell>
          <cell r="M28">
            <v>0</v>
          </cell>
          <cell r="N28">
            <v>0</v>
          </cell>
          <cell r="O28">
            <v>0</v>
          </cell>
          <cell r="P28">
            <v>15028</v>
          </cell>
          <cell r="Q28">
            <v>0</v>
          </cell>
          <cell r="R28">
            <v>2024</v>
          </cell>
          <cell r="S28">
            <v>1800</v>
          </cell>
          <cell r="T28"/>
          <cell r="U28"/>
          <cell r="V28">
            <v>17</v>
          </cell>
          <cell r="W28">
            <v>1800</v>
          </cell>
        </row>
        <row r="29">
          <cell r="A29" t="str">
            <v>4.2.4</v>
          </cell>
          <cell r="B29" t="str">
            <v>TRM7.2</v>
          </cell>
          <cell r="C29" t="str">
            <v>V5</v>
          </cell>
          <cell r="D29" t="str">
            <v>CI-FSE-CVOV-V01-120601</v>
          </cell>
          <cell r="E29" t="str">
            <v>Conveyor Oven EREP</v>
          </cell>
          <cell r="F29" t="str">
            <v>Large Conveyor Oven, &gt;=25 in EREP</v>
          </cell>
          <cell r="G29" t="str">
            <v>Food service</v>
          </cell>
          <cell r="H29" t="str">
            <v>Commercial</v>
          </cell>
          <cell r="I29" t="str">
            <v>Unit</v>
          </cell>
          <cell r="J29">
            <v>0</v>
          </cell>
          <cell r="K29">
            <v>0</v>
          </cell>
          <cell r="L29">
            <v>884</v>
          </cell>
          <cell r="M29">
            <v>0</v>
          </cell>
          <cell r="N29">
            <v>0</v>
          </cell>
          <cell r="O29">
            <v>0</v>
          </cell>
          <cell r="P29">
            <v>15028</v>
          </cell>
          <cell r="Q29">
            <v>0</v>
          </cell>
          <cell r="R29"/>
          <cell r="S29"/>
          <cell r="T29"/>
          <cell r="U29"/>
          <cell r="V29">
            <v>17</v>
          </cell>
          <cell r="W29">
            <v>1800</v>
          </cell>
        </row>
        <row r="30">
          <cell r="A30"/>
          <cell r="B30"/>
          <cell r="C30"/>
          <cell r="D30"/>
          <cell r="E30"/>
          <cell r="F30"/>
          <cell r="G30"/>
          <cell r="H30"/>
          <cell r="I30"/>
          <cell r="J30"/>
          <cell r="K30"/>
          <cell r="L30"/>
          <cell r="M30"/>
          <cell r="N30"/>
          <cell r="O30"/>
          <cell r="P30"/>
          <cell r="Q30"/>
          <cell r="R30"/>
          <cell r="S30"/>
          <cell r="T30"/>
          <cell r="U30"/>
          <cell r="V30"/>
          <cell r="W30"/>
        </row>
        <row r="31">
          <cell r="A31" t="str">
            <v>4.2.5.B</v>
          </cell>
          <cell r="B31" t="str">
            <v>TRM8.1</v>
          </cell>
          <cell r="C31" t="str">
            <v>V5</v>
          </cell>
          <cell r="D31" t="str">
            <v>CI-FSE-ESCV-V01-120601</v>
          </cell>
          <cell r="E31" t="str">
            <v>Baseline ENERGY STAR Convection Oven</v>
          </cell>
          <cell r="F31" t="str">
            <v>Baseline Convection Oven, E &gt;46%</v>
          </cell>
          <cell r="G31" t="str">
            <v>Food service</v>
          </cell>
          <cell r="H31" t="str">
            <v>Commercial</v>
          </cell>
          <cell r="I31" t="str">
            <v>Unit</v>
          </cell>
          <cell r="J31">
            <v>0</v>
          </cell>
          <cell r="K31">
            <v>0</v>
          </cell>
          <cell r="L31">
            <v>0</v>
          </cell>
          <cell r="M31">
            <v>0</v>
          </cell>
          <cell r="N31">
            <v>0</v>
          </cell>
          <cell r="O31">
            <v>0</v>
          </cell>
          <cell r="P31">
            <v>0</v>
          </cell>
          <cell r="Q31">
            <v>0</v>
          </cell>
          <cell r="R31">
            <v>1052.3548214285715</v>
          </cell>
          <cell r="S31">
            <v>0</v>
          </cell>
          <cell r="T31"/>
          <cell r="U31"/>
          <cell r="V31">
            <v>12</v>
          </cell>
          <cell r="W31">
            <v>0</v>
          </cell>
        </row>
        <row r="32">
          <cell r="A32" t="str">
            <v>4.2.5</v>
          </cell>
          <cell r="B32" t="str">
            <v>TRM8.1</v>
          </cell>
          <cell r="C32" t="str">
            <v>V5</v>
          </cell>
          <cell r="D32" t="str">
            <v>CI-FSE-ESCV-V01-120601</v>
          </cell>
          <cell r="E32" t="str">
            <v>ENERGY STAR Convection Oven</v>
          </cell>
          <cell r="F32" t="str">
            <v>Convection Oven, E &gt;46%</v>
          </cell>
          <cell r="G32" t="str">
            <v>Food service</v>
          </cell>
          <cell r="H32" t="str">
            <v>Commercial</v>
          </cell>
          <cell r="I32" t="str">
            <v>Unit</v>
          </cell>
          <cell r="J32">
            <v>0</v>
          </cell>
          <cell r="K32">
            <v>0</v>
          </cell>
          <cell r="L32">
            <v>353.45688664596281</v>
          </cell>
          <cell r="M32">
            <v>0</v>
          </cell>
          <cell r="N32">
            <v>0</v>
          </cell>
          <cell r="O32">
            <v>0</v>
          </cell>
          <cell r="P32">
            <v>4241.4826397515535</v>
          </cell>
          <cell r="Q32">
            <v>0</v>
          </cell>
          <cell r="R32">
            <v>1052.3548214285715</v>
          </cell>
          <cell r="S32">
            <v>426</v>
          </cell>
          <cell r="T32"/>
          <cell r="U32"/>
          <cell r="V32">
            <v>12</v>
          </cell>
          <cell r="W32">
            <v>426</v>
          </cell>
        </row>
        <row r="33">
          <cell r="A33" t="str">
            <v>4.2.5.3</v>
          </cell>
          <cell r="B33" t="str">
            <v>TRM8.2</v>
          </cell>
          <cell r="C33" t="str">
            <v>V5</v>
          </cell>
          <cell r="D33" t="str">
            <v>CI-FSE-ESCV-V01-120601</v>
          </cell>
          <cell r="E33" t="str">
            <v>ENERGY STAR Convection Oven Upstream</v>
          </cell>
          <cell r="F33" t="str">
            <v>Convection Oven, E &gt;46% Upstream</v>
          </cell>
          <cell r="G33" t="str">
            <v>Food service</v>
          </cell>
          <cell r="H33" t="str">
            <v>Commercial</v>
          </cell>
          <cell r="I33" t="str">
            <v>Unit</v>
          </cell>
          <cell r="J33">
            <v>0</v>
          </cell>
          <cell r="K33">
            <v>0</v>
          </cell>
          <cell r="L33">
            <v>353.45688664596281</v>
          </cell>
          <cell r="M33">
            <v>0</v>
          </cell>
          <cell r="N33">
            <v>0</v>
          </cell>
          <cell r="O33">
            <v>0</v>
          </cell>
          <cell r="P33">
            <v>4241.4826397515535</v>
          </cell>
          <cell r="Q33">
            <v>0</v>
          </cell>
          <cell r="R33">
            <v>1052.3548214285715</v>
          </cell>
          <cell r="S33">
            <v>426</v>
          </cell>
          <cell r="T33"/>
          <cell r="U33"/>
          <cell r="V33">
            <v>12</v>
          </cell>
          <cell r="W33">
            <v>426</v>
          </cell>
        </row>
        <row r="34">
          <cell r="A34" t="str">
            <v>4.2.5.4</v>
          </cell>
          <cell r="B34" t="str">
            <v>TRM8.2</v>
          </cell>
          <cell r="C34" t="str">
            <v>V5</v>
          </cell>
          <cell r="D34" t="str">
            <v>CI-FSE-ESCV-V01-120601</v>
          </cell>
          <cell r="E34" t="str">
            <v>ENERGY STAR Convection Oven EREP</v>
          </cell>
          <cell r="F34" t="str">
            <v>Convection Oven, E &gt;46% EREP</v>
          </cell>
          <cell r="G34" t="str">
            <v>Food service</v>
          </cell>
          <cell r="H34" t="str">
            <v>Commercial</v>
          </cell>
          <cell r="I34" t="str">
            <v>Unit</v>
          </cell>
          <cell r="J34">
            <v>0</v>
          </cell>
          <cell r="K34">
            <v>0</v>
          </cell>
          <cell r="L34">
            <v>353.45688664596281</v>
          </cell>
          <cell r="M34">
            <v>0</v>
          </cell>
          <cell r="N34">
            <v>0</v>
          </cell>
          <cell r="O34">
            <v>0</v>
          </cell>
          <cell r="P34">
            <v>4241.4826397515535</v>
          </cell>
          <cell r="Q34">
            <v>0</v>
          </cell>
          <cell r="R34"/>
          <cell r="S34"/>
          <cell r="T34"/>
          <cell r="U34"/>
          <cell r="V34">
            <v>12</v>
          </cell>
          <cell r="W34">
            <v>426</v>
          </cell>
        </row>
        <row r="35">
          <cell r="A35"/>
          <cell r="B35"/>
          <cell r="C35"/>
          <cell r="D35"/>
          <cell r="E35"/>
          <cell r="F35"/>
          <cell r="G35"/>
          <cell r="H35"/>
          <cell r="I35"/>
          <cell r="J35"/>
          <cell r="K35"/>
          <cell r="L35"/>
          <cell r="M35"/>
          <cell r="N35"/>
          <cell r="O35"/>
          <cell r="P35"/>
          <cell r="Q35"/>
          <cell r="R35"/>
          <cell r="S35"/>
          <cell r="T35"/>
          <cell r="U35"/>
          <cell r="V35"/>
          <cell r="W35"/>
        </row>
        <row r="36">
          <cell r="A36" t="str">
            <v>4.2.6</v>
          </cell>
          <cell r="B36" t="str">
            <v>TRM9</v>
          </cell>
          <cell r="C36" t="str">
            <v>V5</v>
          </cell>
          <cell r="D36" t="str">
            <v>CI-FSE-ESDW-V01-120601</v>
          </cell>
          <cell r="E36" t="str">
            <v>ENERGY STAR Dishwasher</v>
          </cell>
          <cell r="F36" t="str">
            <v>Dishwasher</v>
          </cell>
          <cell r="G36" t="str">
            <v>Dishwasher</v>
          </cell>
          <cell r="H36" t="str">
            <v>Commercial</v>
          </cell>
          <cell r="I36" t="str">
            <v>Unit</v>
          </cell>
          <cell r="J36">
            <v>820.44444444444446</v>
          </cell>
          <cell r="K36">
            <v>5.0332739005641891E-2</v>
          </cell>
          <cell r="L36">
            <v>459</v>
          </cell>
          <cell r="M36">
            <v>52553.444444444445</v>
          </cell>
          <cell r="N36">
            <v>12762.469135802468</v>
          </cell>
          <cell r="O36">
            <v>5.0332739005641891E-2</v>
          </cell>
          <cell r="P36">
            <v>7140</v>
          </cell>
          <cell r="Q36">
            <v>817498.02469135798</v>
          </cell>
          <cell r="R36"/>
          <cell r="S36"/>
          <cell r="T36"/>
          <cell r="U36"/>
          <cell r="V36">
            <v>15.555555555555555</v>
          </cell>
          <cell r="W36">
            <v>737.77777777777783</v>
          </cell>
        </row>
        <row r="37">
          <cell r="A37"/>
          <cell r="B37"/>
          <cell r="C37"/>
          <cell r="D37"/>
          <cell r="E37"/>
          <cell r="F37"/>
          <cell r="G37"/>
          <cell r="H37"/>
          <cell r="I37"/>
          <cell r="J37"/>
          <cell r="K37"/>
          <cell r="L37"/>
          <cell r="M37"/>
          <cell r="N37"/>
          <cell r="O37"/>
          <cell r="P37"/>
          <cell r="Q37"/>
          <cell r="R37"/>
          <cell r="S37"/>
          <cell r="T37"/>
          <cell r="U37"/>
          <cell r="V37"/>
          <cell r="W37"/>
        </row>
        <row r="38">
          <cell r="A38" t="str">
            <v>4.2.7.b</v>
          </cell>
          <cell r="B38" t="str">
            <v>TRM10.1</v>
          </cell>
          <cell r="C38" t="str">
            <v>V5</v>
          </cell>
          <cell r="D38" t="str">
            <v>CI-FSE-ESFR-V01-120601</v>
          </cell>
          <cell r="E38" t="str">
            <v>Baseline ENERGY STAR Fryer</v>
          </cell>
          <cell r="F38" t="str">
            <v>Baseline Fryer - E &gt;50%</v>
          </cell>
          <cell r="G38" t="str">
            <v>Food service</v>
          </cell>
          <cell r="H38" t="str">
            <v>Commercial</v>
          </cell>
          <cell r="I38" t="str">
            <v>Unit</v>
          </cell>
          <cell r="J38">
            <v>0</v>
          </cell>
          <cell r="K38">
            <v>0</v>
          </cell>
          <cell r="L38">
            <v>0</v>
          </cell>
          <cell r="M38">
            <v>0</v>
          </cell>
          <cell r="N38">
            <v>0</v>
          </cell>
          <cell r="O38">
            <v>0</v>
          </cell>
          <cell r="P38">
            <v>0</v>
          </cell>
          <cell r="Q38">
            <v>0</v>
          </cell>
          <cell r="R38">
            <v>1628.2323214285716</v>
          </cell>
          <cell r="S38">
            <v>0</v>
          </cell>
          <cell r="T38"/>
          <cell r="U38"/>
          <cell r="V38">
            <v>15</v>
          </cell>
          <cell r="W38">
            <v>0</v>
          </cell>
        </row>
        <row r="39">
          <cell r="A39" t="str">
            <v>4.2.7</v>
          </cell>
          <cell r="B39" t="str">
            <v>TRM10.1</v>
          </cell>
          <cell r="C39" t="str">
            <v>V5</v>
          </cell>
          <cell r="D39" t="str">
            <v>CI-FSE-ESFR-V01-120601</v>
          </cell>
          <cell r="E39" t="str">
            <v>ENERGY STAR Fryer</v>
          </cell>
          <cell r="F39" t="str">
            <v>Fryer - E &gt;50%</v>
          </cell>
          <cell r="G39" t="str">
            <v>Food service</v>
          </cell>
          <cell r="H39" t="str">
            <v>Commercial</v>
          </cell>
          <cell r="I39" t="str">
            <v>Unit</v>
          </cell>
          <cell r="J39">
            <v>0</v>
          </cell>
          <cell r="K39">
            <v>0</v>
          </cell>
          <cell r="L39">
            <v>505.15881181318684</v>
          </cell>
          <cell r="M39">
            <v>0</v>
          </cell>
          <cell r="N39">
            <v>0</v>
          </cell>
          <cell r="O39">
            <v>0</v>
          </cell>
          <cell r="P39">
            <v>7577.3821771978028</v>
          </cell>
          <cell r="Q39">
            <v>0</v>
          </cell>
          <cell r="R39">
            <v>1628.2323214285716</v>
          </cell>
          <cell r="S39">
            <v>1200</v>
          </cell>
          <cell r="T39"/>
          <cell r="U39"/>
          <cell r="V39">
            <v>15</v>
          </cell>
          <cell r="W39">
            <v>1200</v>
          </cell>
        </row>
        <row r="40">
          <cell r="A40" t="str">
            <v>4.2.7.3</v>
          </cell>
          <cell r="B40" t="str">
            <v>TRM10.2</v>
          </cell>
          <cell r="C40" t="str">
            <v>V5</v>
          </cell>
          <cell r="D40" t="str">
            <v>CI-FSE-ESFR-V01-120601</v>
          </cell>
          <cell r="E40" t="str">
            <v>ENERGY STAR Fryer Upstream</v>
          </cell>
          <cell r="F40" t="str">
            <v>Fryer - E &gt;50% Upstream</v>
          </cell>
          <cell r="G40" t="str">
            <v>Food service</v>
          </cell>
          <cell r="H40" t="str">
            <v>Commercial</v>
          </cell>
          <cell r="I40" t="str">
            <v>Unit</v>
          </cell>
          <cell r="J40">
            <v>0</v>
          </cell>
          <cell r="K40">
            <v>0</v>
          </cell>
          <cell r="L40">
            <v>505.15881181318684</v>
          </cell>
          <cell r="M40">
            <v>0</v>
          </cell>
          <cell r="N40">
            <v>0</v>
          </cell>
          <cell r="O40">
            <v>0</v>
          </cell>
          <cell r="P40">
            <v>7577.3821771978028</v>
          </cell>
          <cell r="Q40">
            <v>0</v>
          </cell>
          <cell r="R40">
            <v>1628.2323214285716</v>
          </cell>
          <cell r="S40">
            <v>1200</v>
          </cell>
          <cell r="T40"/>
          <cell r="U40"/>
          <cell r="V40">
            <v>15</v>
          </cell>
          <cell r="W40">
            <v>1200</v>
          </cell>
        </row>
        <row r="41">
          <cell r="A41" t="str">
            <v>4.2.7</v>
          </cell>
          <cell r="B41" t="str">
            <v>TRM10.2</v>
          </cell>
          <cell r="C41" t="str">
            <v>V5</v>
          </cell>
          <cell r="D41" t="str">
            <v>CI-FSE-ESFR-V01-120601</v>
          </cell>
          <cell r="E41" t="str">
            <v>ENERGY STAR Fryer EREP</v>
          </cell>
          <cell r="F41" t="str">
            <v>Fryer - E &gt;50% EREP</v>
          </cell>
          <cell r="G41" t="str">
            <v>Food service</v>
          </cell>
          <cell r="H41" t="str">
            <v>Commercial</v>
          </cell>
          <cell r="I41" t="str">
            <v>Unit</v>
          </cell>
          <cell r="J41">
            <v>0</v>
          </cell>
          <cell r="K41">
            <v>0</v>
          </cell>
          <cell r="L41">
            <v>505.15881181318684</v>
          </cell>
          <cell r="M41">
            <v>0</v>
          </cell>
          <cell r="N41">
            <v>0</v>
          </cell>
          <cell r="O41">
            <v>0</v>
          </cell>
          <cell r="P41">
            <v>7577.3821771978028</v>
          </cell>
          <cell r="Q41">
            <v>0</v>
          </cell>
          <cell r="R41"/>
          <cell r="S41"/>
          <cell r="T41"/>
          <cell r="U41"/>
          <cell r="V41">
            <v>15</v>
          </cell>
          <cell r="W41">
            <v>1200</v>
          </cell>
        </row>
        <row r="42">
          <cell r="A42"/>
          <cell r="B42"/>
          <cell r="C42"/>
          <cell r="D42"/>
          <cell r="E42"/>
          <cell r="F42"/>
          <cell r="G42"/>
          <cell r="H42"/>
          <cell r="I42"/>
          <cell r="J42"/>
          <cell r="K42"/>
          <cell r="L42"/>
          <cell r="M42"/>
          <cell r="N42"/>
          <cell r="O42"/>
          <cell r="P42"/>
          <cell r="Q42"/>
          <cell r="R42"/>
          <cell r="S42"/>
          <cell r="T42"/>
          <cell r="U42"/>
          <cell r="V42"/>
          <cell r="W42"/>
        </row>
        <row r="43">
          <cell r="A43" t="str">
            <v>4.2.8.b</v>
          </cell>
          <cell r="B43" t="str">
            <v>TRM11.1</v>
          </cell>
          <cell r="C43" t="str">
            <v>V5</v>
          </cell>
          <cell r="D43" t="str">
            <v>CI-FSE-ESGR-V01-120601</v>
          </cell>
          <cell r="E43" t="str">
            <v>Baseline ENERGY STAR Griddle</v>
          </cell>
          <cell r="F43" t="str">
            <v>Baseline Griddle</v>
          </cell>
          <cell r="G43" t="str">
            <v>Food service</v>
          </cell>
          <cell r="H43" t="str">
            <v>Commercial</v>
          </cell>
          <cell r="I43" t="str">
            <v>Unit</v>
          </cell>
          <cell r="J43">
            <v>0</v>
          </cell>
          <cell r="K43">
            <v>0</v>
          </cell>
          <cell r="L43">
            <v>0</v>
          </cell>
          <cell r="M43">
            <v>0</v>
          </cell>
          <cell r="N43">
            <v>0</v>
          </cell>
          <cell r="O43">
            <v>0</v>
          </cell>
          <cell r="P43">
            <v>0</v>
          </cell>
          <cell r="Q43">
            <v>0</v>
          </cell>
          <cell r="R43">
            <v>1213.3148437499999</v>
          </cell>
          <cell r="S43">
            <v>0</v>
          </cell>
          <cell r="T43"/>
          <cell r="U43"/>
          <cell r="V43">
            <v>12</v>
          </cell>
          <cell r="W43">
            <v>0</v>
          </cell>
        </row>
        <row r="44">
          <cell r="A44" t="str">
            <v>4.2.8</v>
          </cell>
          <cell r="B44" t="str">
            <v>TRM11.1</v>
          </cell>
          <cell r="C44" t="str">
            <v>V5</v>
          </cell>
          <cell r="D44" t="str">
            <v>CI-FSE-ESGR-V01-120601</v>
          </cell>
          <cell r="E44" t="str">
            <v>ENERGY STAR Griddle</v>
          </cell>
          <cell r="F44" t="str">
            <v>Griddle</v>
          </cell>
          <cell r="G44" t="str">
            <v>Food service</v>
          </cell>
          <cell r="H44" t="str">
            <v>Commercial</v>
          </cell>
          <cell r="I44" t="str">
            <v>Unit</v>
          </cell>
          <cell r="J44">
            <v>0</v>
          </cell>
          <cell r="K44">
            <v>0</v>
          </cell>
          <cell r="L44">
            <v>148.64153124999993</v>
          </cell>
          <cell r="M44">
            <v>0</v>
          </cell>
          <cell r="N44">
            <v>0</v>
          </cell>
          <cell r="O44">
            <v>0</v>
          </cell>
          <cell r="P44">
            <v>1783.698374999999</v>
          </cell>
          <cell r="Q44">
            <v>0</v>
          </cell>
          <cell r="R44">
            <v>1213.3148437499999</v>
          </cell>
          <cell r="S44">
            <v>857</v>
          </cell>
          <cell r="T44"/>
          <cell r="U44"/>
          <cell r="V44">
            <v>12</v>
          </cell>
          <cell r="W44">
            <v>857</v>
          </cell>
        </row>
        <row r="45">
          <cell r="A45" t="str">
            <v>4.2.8.3</v>
          </cell>
          <cell r="B45" t="str">
            <v>TRM11.2</v>
          </cell>
          <cell r="C45" t="str">
            <v>V5</v>
          </cell>
          <cell r="D45" t="str">
            <v>CI-FSE-ESGR-V01-120601</v>
          </cell>
          <cell r="E45" t="str">
            <v>ENERGY STAR Griddle Upstream</v>
          </cell>
          <cell r="F45" t="str">
            <v>Griddle Upstream</v>
          </cell>
          <cell r="G45" t="str">
            <v>Food service</v>
          </cell>
          <cell r="H45" t="str">
            <v>Commercial</v>
          </cell>
          <cell r="I45" t="str">
            <v>Unit</v>
          </cell>
          <cell r="J45">
            <v>0</v>
          </cell>
          <cell r="K45">
            <v>0</v>
          </cell>
          <cell r="L45">
            <v>148.64153124999993</v>
          </cell>
          <cell r="M45">
            <v>0</v>
          </cell>
          <cell r="N45">
            <v>0</v>
          </cell>
          <cell r="O45">
            <v>0</v>
          </cell>
          <cell r="P45">
            <v>1783.698374999999</v>
          </cell>
          <cell r="Q45">
            <v>0</v>
          </cell>
          <cell r="R45">
            <v>1213.3148437499999</v>
          </cell>
          <cell r="S45">
            <v>857</v>
          </cell>
          <cell r="T45"/>
          <cell r="U45"/>
          <cell r="V45">
            <v>12</v>
          </cell>
          <cell r="W45">
            <v>857</v>
          </cell>
        </row>
        <row r="46">
          <cell r="A46" t="str">
            <v>4.2.8</v>
          </cell>
          <cell r="B46" t="str">
            <v>TRM11.2</v>
          </cell>
          <cell r="C46" t="str">
            <v>V5</v>
          </cell>
          <cell r="D46" t="str">
            <v>CI-FSE-ESGR-V01-120601</v>
          </cell>
          <cell r="E46" t="str">
            <v>ENERGY STAR Griddle EREP</v>
          </cell>
          <cell r="F46" t="str">
            <v>Griddle EREP</v>
          </cell>
          <cell r="G46" t="str">
            <v>Food service</v>
          </cell>
          <cell r="H46" t="str">
            <v>Commercial</v>
          </cell>
          <cell r="I46" t="str">
            <v>Unit</v>
          </cell>
          <cell r="J46">
            <v>0</v>
          </cell>
          <cell r="K46">
            <v>0</v>
          </cell>
          <cell r="L46">
            <v>148.64153124999993</v>
          </cell>
          <cell r="M46">
            <v>0</v>
          </cell>
          <cell r="N46">
            <v>0</v>
          </cell>
          <cell r="O46">
            <v>0</v>
          </cell>
          <cell r="P46">
            <v>1783.698374999999</v>
          </cell>
          <cell r="Q46">
            <v>0</v>
          </cell>
          <cell r="R46"/>
          <cell r="S46"/>
          <cell r="T46"/>
          <cell r="U46"/>
          <cell r="V46">
            <v>12</v>
          </cell>
          <cell r="W46">
            <v>857</v>
          </cell>
        </row>
        <row r="47">
          <cell r="A47"/>
          <cell r="B47"/>
          <cell r="C47"/>
          <cell r="D47"/>
          <cell r="E47"/>
          <cell r="F47"/>
          <cell r="G47"/>
          <cell r="H47"/>
          <cell r="I47"/>
          <cell r="J47"/>
          <cell r="K47"/>
          <cell r="L47"/>
          <cell r="M47"/>
          <cell r="N47"/>
          <cell r="O47"/>
          <cell r="P47"/>
          <cell r="Q47"/>
          <cell r="R47"/>
          <cell r="S47"/>
          <cell r="T47"/>
          <cell r="U47"/>
          <cell r="V47"/>
          <cell r="W47"/>
        </row>
        <row r="48">
          <cell r="A48" t="str">
            <v>4.2.9</v>
          </cell>
          <cell r="B48" t="str">
            <v>TRM12</v>
          </cell>
          <cell r="C48" t="str">
            <v>V5</v>
          </cell>
          <cell r="D48" t="str">
            <v>CI-FSE-ESHH-V01-120601</v>
          </cell>
          <cell r="E48" t="str">
            <v>ENERGY STAR Hot Food Holding Cabinets (HFHC)</v>
          </cell>
          <cell r="F48" t="str">
            <v>Hot Food Holding Cabinets (HFHC)</v>
          </cell>
          <cell r="G48" t="str">
            <v>Food service</v>
          </cell>
          <cell r="H48" t="str">
            <v>Commercial</v>
          </cell>
          <cell r="I48" t="str">
            <v>Unit</v>
          </cell>
          <cell r="J48">
            <v>9313.875</v>
          </cell>
          <cell r="K48">
            <v>0.86699999999999999</v>
          </cell>
          <cell r="L48">
            <v>0</v>
          </cell>
          <cell r="M48">
            <v>0</v>
          </cell>
          <cell r="N48">
            <v>111766.5</v>
          </cell>
          <cell r="O48">
            <v>0.86699999999999999</v>
          </cell>
          <cell r="P48">
            <v>0</v>
          </cell>
          <cell r="Q48">
            <v>0</v>
          </cell>
          <cell r="R48"/>
          <cell r="S48"/>
          <cell r="T48"/>
          <cell r="U48"/>
          <cell r="V48">
            <v>12</v>
          </cell>
          <cell r="W48">
            <v>1200</v>
          </cell>
        </row>
        <row r="49">
          <cell r="A49"/>
          <cell r="B49"/>
          <cell r="C49"/>
          <cell r="D49"/>
          <cell r="E49"/>
          <cell r="F49"/>
          <cell r="G49"/>
          <cell r="H49"/>
          <cell r="I49"/>
          <cell r="J49"/>
          <cell r="K49"/>
          <cell r="L49"/>
          <cell r="M49"/>
          <cell r="N49"/>
          <cell r="O49"/>
          <cell r="P49"/>
          <cell r="Q49"/>
          <cell r="R49"/>
          <cell r="S49"/>
          <cell r="T49"/>
          <cell r="U49"/>
          <cell r="V49"/>
          <cell r="W49"/>
        </row>
        <row r="50">
          <cell r="A50" t="str">
            <v>4.2.10</v>
          </cell>
          <cell r="B50" t="str">
            <v>TRM13</v>
          </cell>
          <cell r="C50" t="str">
            <v>V5</v>
          </cell>
          <cell r="D50" t="str">
            <v>CI-FSE-ESIM-V01-120601</v>
          </cell>
          <cell r="E50" t="str">
            <v>ENERGY STAR Ice Maker</v>
          </cell>
          <cell r="F50" t="str">
            <v>Ice Maker</v>
          </cell>
          <cell r="G50" t="str">
            <v>Refrigeration</v>
          </cell>
          <cell r="H50" t="str">
            <v>Commercial</v>
          </cell>
          <cell r="I50" t="str">
            <v>Unit</v>
          </cell>
          <cell r="J50">
            <v>287.30565000000053</v>
          </cell>
          <cell r="K50">
            <v>5.3877500000000106E-2</v>
          </cell>
          <cell r="L50">
            <v>0</v>
          </cell>
          <cell r="M50">
            <v>0</v>
          </cell>
          <cell r="N50">
            <v>2873.0565000000051</v>
          </cell>
          <cell r="O50">
            <v>5.3877500000000106E-2</v>
          </cell>
          <cell r="P50">
            <v>0</v>
          </cell>
          <cell r="Q50">
            <v>0</v>
          </cell>
          <cell r="R50"/>
          <cell r="S50"/>
          <cell r="T50"/>
          <cell r="U50"/>
          <cell r="V50">
            <v>10</v>
          </cell>
          <cell r="W50">
            <v>296</v>
          </cell>
        </row>
        <row r="51">
          <cell r="A51"/>
          <cell r="B51"/>
          <cell r="C51"/>
          <cell r="D51"/>
          <cell r="E51"/>
          <cell r="F51"/>
          <cell r="G51"/>
          <cell r="H51"/>
          <cell r="I51"/>
          <cell r="J51"/>
          <cell r="K51"/>
          <cell r="L51"/>
          <cell r="M51"/>
          <cell r="N51"/>
          <cell r="O51"/>
          <cell r="P51"/>
          <cell r="Q51"/>
          <cell r="R51"/>
          <cell r="S51"/>
          <cell r="T51"/>
          <cell r="U51"/>
          <cell r="V51"/>
          <cell r="W51"/>
        </row>
        <row r="52">
          <cell r="A52" t="str">
            <v>4.2.12.b</v>
          </cell>
          <cell r="B52" t="str">
            <v>TRM14.1</v>
          </cell>
          <cell r="C52" t="str">
            <v>V5</v>
          </cell>
          <cell r="D52" t="str">
            <v>CI-FSE-IRCB-V01-120601</v>
          </cell>
          <cell r="E52" t="str">
            <v>Baseline Infrared Charbroiler</v>
          </cell>
          <cell r="F52" t="str">
            <v>Baseline Infrared Charbroiler</v>
          </cell>
          <cell r="G52" t="str">
            <v>Food service</v>
          </cell>
          <cell r="H52" t="str">
            <v>Commercial</v>
          </cell>
          <cell r="I52" t="str">
            <v>Unit</v>
          </cell>
          <cell r="J52">
            <v>0</v>
          </cell>
          <cell r="K52">
            <v>0</v>
          </cell>
          <cell r="L52">
            <v>0</v>
          </cell>
          <cell r="M52">
            <v>0</v>
          </cell>
          <cell r="N52">
            <v>0</v>
          </cell>
          <cell r="O52">
            <v>0</v>
          </cell>
          <cell r="P52">
            <v>0</v>
          </cell>
          <cell r="Q52">
            <v>0</v>
          </cell>
          <cell r="R52">
            <v>2845.44</v>
          </cell>
          <cell r="S52">
            <v>2173</v>
          </cell>
          <cell r="T52"/>
          <cell r="U52"/>
          <cell r="V52">
            <v>12</v>
          </cell>
          <cell r="W52">
            <v>2173</v>
          </cell>
        </row>
        <row r="53">
          <cell r="A53" t="str">
            <v>4.2.12</v>
          </cell>
          <cell r="B53" t="str">
            <v>TRM14.1</v>
          </cell>
          <cell r="C53" t="str">
            <v>V5</v>
          </cell>
          <cell r="D53" t="str">
            <v>CI-FSE-IRCB-V01-120601</v>
          </cell>
          <cell r="E53" t="str">
            <v>Infrared Charbroiler</v>
          </cell>
          <cell r="F53" t="str">
            <v>Infrared Charbroiler</v>
          </cell>
          <cell r="G53" t="str">
            <v>Food service</v>
          </cell>
          <cell r="H53" t="str">
            <v>Commercial</v>
          </cell>
          <cell r="I53" t="str">
            <v>Unit</v>
          </cell>
          <cell r="J53">
            <v>0</v>
          </cell>
          <cell r="K53">
            <v>0</v>
          </cell>
          <cell r="L53">
            <v>706.68</v>
          </cell>
          <cell r="M53">
            <v>0</v>
          </cell>
          <cell r="N53">
            <v>0</v>
          </cell>
          <cell r="O53">
            <v>0</v>
          </cell>
          <cell r="P53">
            <v>8480.16</v>
          </cell>
          <cell r="Q53">
            <v>0</v>
          </cell>
          <cell r="R53">
            <v>2845.44</v>
          </cell>
          <cell r="S53">
            <v>2173</v>
          </cell>
          <cell r="T53"/>
          <cell r="U53"/>
          <cell r="V53">
            <v>12</v>
          </cell>
          <cell r="W53">
            <v>2173</v>
          </cell>
        </row>
        <row r="54">
          <cell r="A54" t="str">
            <v>4.2.12.3</v>
          </cell>
          <cell r="B54" t="str">
            <v>TRM14.2</v>
          </cell>
          <cell r="C54" t="str">
            <v>V5</v>
          </cell>
          <cell r="D54" t="str">
            <v>CI-FSE-IRCB-V01-120601</v>
          </cell>
          <cell r="E54" t="str">
            <v>Infrared Charbroiler Upstream</v>
          </cell>
          <cell r="F54" t="str">
            <v>Infrared Charbroiler Upstream</v>
          </cell>
          <cell r="G54" t="str">
            <v>Food service</v>
          </cell>
          <cell r="H54" t="str">
            <v>Commercial</v>
          </cell>
          <cell r="I54" t="str">
            <v>Unit</v>
          </cell>
          <cell r="J54">
            <v>0</v>
          </cell>
          <cell r="K54">
            <v>0</v>
          </cell>
          <cell r="L54">
            <v>706.68</v>
          </cell>
          <cell r="M54">
            <v>0</v>
          </cell>
          <cell r="N54">
            <v>0</v>
          </cell>
          <cell r="O54">
            <v>0</v>
          </cell>
          <cell r="P54">
            <v>8480.16</v>
          </cell>
          <cell r="Q54">
            <v>0</v>
          </cell>
          <cell r="R54">
            <v>2845.44</v>
          </cell>
          <cell r="S54">
            <v>2173</v>
          </cell>
          <cell r="T54"/>
          <cell r="U54"/>
          <cell r="V54">
            <v>12</v>
          </cell>
          <cell r="W54">
            <v>2173</v>
          </cell>
        </row>
        <row r="55">
          <cell r="A55" t="str">
            <v>4.2.12</v>
          </cell>
          <cell r="B55" t="str">
            <v>TRM14.2</v>
          </cell>
          <cell r="C55" t="str">
            <v>V5</v>
          </cell>
          <cell r="D55" t="str">
            <v>CI-FSE-IRCB-V01-120601</v>
          </cell>
          <cell r="E55" t="str">
            <v>Infrared Charbroiler EREP</v>
          </cell>
          <cell r="F55" t="str">
            <v>Infrared Charbroiler EREP</v>
          </cell>
          <cell r="G55" t="str">
            <v>Food service</v>
          </cell>
          <cell r="H55" t="str">
            <v>Commercial</v>
          </cell>
          <cell r="I55" t="str">
            <v>Unit</v>
          </cell>
          <cell r="J55">
            <v>0</v>
          </cell>
          <cell r="K55">
            <v>0</v>
          </cell>
          <cell r="L55">
            <v>706.68</v>
          </cell>
          <cell r="M55">
            <v>0</v>
          </cell>
          <cell r="N55">
            <v>0</v>
          </cell>
          <cell r="O55">
            <v>0</v>
          </cell>
          <cell r="P55">
            <v>8480.16</v>
          </cell>
          <cell r="Q55">
            <v>0</v>
          </cell>
          <cell r="R55"/>
          <cell r="S55"/>
          <cell r="T55"/>
          <cell r="U55"/>
          <cell r="V55">
            <v>12</v>
          </cell>
          <cell r="W55">
            <v>2173</v>
          </cell>
        </row>
        <row r="56">
          <cell r="A56"/>
          <cell r="B56"/>
          <cell r="C56"/>
          <cell r="D56"/>
          <cell r="E56"/>
          <cell r="F56"/>
          <cell r="G56"/>
          <cell r="H56"/>
          <cell r="I56"/>
          <cell r="J56"/>
          <cell r="K56"/>
          <cell r="L56"/>
          <cell r="M56"/>
          <cell r="N56"/>
          <cell r="O56"/>
          <cell r="P56"/>
          <cell r="Q56"/>
          <cell r="R56"/>
          <cell r="S56"/>
          <cell r="T56"/>
          <cell r="U56"/>
          <cell r="V56"/>
          <cell r="W56"/>
        </row>
        <row r="57">
          <cell r="A57" t="str">
            <v>4.2.13.b</v>
          </cell>
          <cell r="B57" t="str">
            <v>TRM15.1</v>
          </cell>
          <cell r="C57" t="str">
            <v>V5</v>
          </cell>
          <cell r="D57" t="str">
            <v>CI-FSE-IROV-V01-120601</v>
          </cell>
          <cell r="E57" t="str">
            <v>Baseline Infrared Rotisserie Oven</v>
          </cell>
          <cell r="F57" t="str">
            <v>Baseline Infrared Rotisserie Oven</v>
          </cell>
          <cell r="G57" t="str">
            <v>Food service</v>
          </cell>
          <cell r="H57" t="str">
            <v>Commercial</v>
          </cell>
          <cell r="I57" t="str">
            <v>Unit</v>
          </cell>
          <cell r="J57">
            <v>0</v>
          </cell>
          <cell r="K57">
            <v>0</v>
          </cell>
          <cell r="L57">
            <v>0</v>
          </cell>
          <cell r="M57">
            <v>0</v>
          </cell>
          <cell r="N57">
            <v>0</v>
          </cell>
          <cell r="O57">
            <v>0</v>
          </cell>
          <cell r="P57">
            <v>0</v>
          </cell>
          <cell r="Q57">
            <v>0</v>
          </cell>
          <cell r="R57">
            <v>1347.84</v>
          </cell>
          <cell r="S57">
            <v>2665</v>
          </cell>
          <cell r="T57"/>
          <cell r="U57"/>
          <cell r="V57">
            <v>12</v>
          </cell>
          <cell r="W57">
            <v>2665</v>
          </cell>
        </row>
        <row r="58">
          <cell r="A58" t="str">
            <v>4.2.13</v>
          </cell>
          <cell r="B58" t="str">
            <v>TRM15.1</v>
          </cell>
          <cell r="C58" t="str">
            <v>V5</v>
          </cell>
          <cell r="D58" t="str">
            <v>CI-FSE-IROV-V01-120601</v>
          </cell>
          <cell r="E58" t="str">
            <v>Infrared Rotisserie Oven</v>
          </cell>
          <cell r="F58" t="str">
            <v>Infrared Rotisserie Oven</v>
          </cell>
          <cell r="G58" t="str">
            <v>Food service</v>
          </cell>
          <cell r="H58" t="str">
            <v>Commercial</v>
          </cell>
          <cell r="I58" t="str">
            <v>Unit</v>
          </cell>
          <cell r="J58">
            <v>0</v>
          </cell>
          <cell r="K58">
            <v>0</v>
          </cell>
          <cell r="L58">
            <v>599.04</v>
          </cell>
          <cell r="M58">
            <v>0</v>
          </cell>
          <cell r="N58">
            <v>0</v>
          </cell>
          <cell r="O58">
            <v>0</v>
          </cell>
          <cell r="P58">
            <v>7188.48</v>
          </cell>
          <cell r="Q58">
            <v>0</v>
          </cell>
          <cell r="R58">
            <v>1347.84</v>
          </cell>
          <cell r="S58">
            <v>2665</v>
          </cell>
          <cell r="T58"/>
          <cell r="U58"/>
          <cell r="V58">
            <v>12</v>
          </cell>
          <cell r="W58">
            <v>2665</v>
          </cell>
        </row>
        <row r="59">
          <cell r="A59" t="str">
            <v>4.2.13.3</v>
          </cell>
          <cell r="B59" t="str">
            <v>TRM15.2</v>
          </cell>
          <cell r="C59" t="str">
            <v>V5</v>
          </cell>
          <cell r="D59" t="str">
            <v>CI-FSE-IROV-V01-120601</v>
          </cell>
          <cell r="E59" t="str">
            <v>Infrared Rotisserie Oven Upstream</v>
          </cell>
          <cell r="F59" t="str">
            <v>Infrared Rotisserie Oven Upstream</v>
          </cell>
          <cell r="G59" t="str">
            <v>Food service</v>
          </cell>
          <cell r="H59" t="str">
            <v>Commercial</v>
          </cell>
          <cell r="I59" t="str">
            <v>Unit</v>
          </cell>
          <cell r="J59">
            <v>0</v>
          </cell>
          <cell r="K59">
            <v>0</v>
          </cell>
          <cell r="L59">
            <v>599.04</v>
          </cell>
          <cell r="M59">
            <v>0</v>
          </cell>
          <cell r="N59">
            <v>0</v>
          </cell>
          <cell r="O59">
            <v>0</v>
          </cell>
          <cell r="P59">
            <v>7188.48</v>
          </cell>
          <cell r="Q59">
            <v>0</v>
          </cell>
          <cell r="R59">
            <v>1347.84</v>
          </cell>
          <cell r="S59">
            <v>2665</v>
          </cell>
          <cell r="T59"/>
          <cell r="U59"/>
          <cell r="V59">
            <v>12</v>
          </cell>
          <cell r="W59">
            <v>2665</v>
          </cell>
        </row>
        <row r="60">
          <cell r="A60" t="str">
            <v>4.2.13</v>
          </cell>
          <cell r="B60" t="str">
            <v>TRM15.2</v>
          </cell>
          <cell r="C60" t="str">
            <v>V5</v>
          </cell>
          <cell r="D60" t="str">
            <v>CI-FSE-IROV-V01-120601</v>
          </cell>
          <cell r="E60" t="str">
            <v>Infrared Rotisserie Oven EREP</v>
          </cell>
          <cell r="F60" t="str">
            <v>Infrared Rotisserie Oven EREP</v>
          </cell>
          <cell r="G60" t="str">
            <v>Food service</v>
          </cell>
          <cell r="H60" t="str">
            <v>Commercial</v>
          </cell>
          <cell r="I60" t="str">
            <v>Unit</v>
          </cell>
          <cell r="J60">
            <v>0</v>
          </cell>
          <cell r="K60">
            <v>0</v>
          </cell>
          <cell r="L60">
            <v>599.04</v>
          </cell>
          <cell r="M60">
            <v>0</v>
          </cell>
          <cell r="N60">
            <v>0</v>
          </cell>
          <cell r="O60">
            <v>0</v>
          </cell>
          <cell r="P60">
            <v>7188.48</v>
          </cell>
          <cell r="Q60">
            <v>0</v>
          </cell>
          <cell r="R60"/>
          <cell r="S60"/>
          <cell r="T60"/>
          <cell r="U60"/>
          <cell r="V60">
            <v>12</v>
          </cell>
          <cell r="W60">
            <v>2665</v>
          </cell>
        </row>
        <row r="61">
          <cell r="A61"/>
          <cell r="B61"/>
          <cell r="C61"/>
          <cell r="D61"/>
          <cell r="E61"/>
          <cell r="F61"/>
          <cell r="G61"/>
          <cell r="H61"/>
          <cell r="I61"/>
          <cell r="J61"/>
          <cell r="K61"/>
          <cell r="L61"/>
          <cell r="M61"/>
          <cell r="N61"/>
          <cell r="O61"/>
          <cell r="P61"/>
          <cell r="Q61"/>
          <cell r="R61"/>
          <cell r="S61"/>
          <cell r="T61"/>
          <cell r="U61"/>
          <cell r="V61"/>
          <cell r="W61"/>
        </row>
        <row r="62">
          <cell r="A62" t="str">
            <v>4.2.14.b</v>
          </cell>
          <cell r="B62" t="str">
            <v>TRM16.1</v>
          </cell>
          <cell r="C62" t="str">
            <v>V5</v>
          </cell>
          <cell r="D62" t="str">
            <v>CI-FSE-IRBL-V01-120601</v>
          </cell>
          <cell r="E62" t="str">
            <v>Baseline Infrared Salamander Broiler</v>
          </cell>
          <cell r="F62" t="str">
            <v>Baseline Infrared Salamander Broiler</v>
          </cell>
          <cell r="G62" t="str">
            <v>Food service</v>
          </cell>
          <cell r="H62" t="str">
            <v>Commercial</v>
          </cell>
          <cell r="I62" t="str">
            <v>Unit</v>
          </cell>
          <cell r="J62">
            <v>0</v>
          </cell>
          <cell r="K62">
            <v>0</v>
          </cell>
          <cell r="L62">
            <v>0</v>
          </cell>
          <cell r="M62">
            <v>0</v>
          </cell>
          <cell r="N62">
            <v>0</v>
          </cell>
          <cell r="O62">
            <v>0</v>
          </cell>
          <cell r="P62">
            <v>0</v>
          </cell>
          <cell r="Q62">
            <v>0</v>
          </cell>
          <cell r="R62">
            <v>672.67200000000003</v>
          </cell>
          <cell r="S62">
            <v>1000</v>
          </cell>
          <cell r="T62"/>
          <cell r="U62"/>
          <cell r="V62">
            <v>12</v>
          </cell>
          <cell r="W62">
            <v>1000</v>
          </cell>
        </row>
        <row r="63">
          <cell r="A63" t="str">
            <v>4.2.14</v>
          </cell>
          <cell r="B63" t="str">
            <v>TRM16.1</v>
          </cell>
          <cell r="C63" t="str">
            <v>V5</v>
          </cell>
          <cell r="D63" t="str">
            <v>CI-FSE-IRBL-V01-120601</v>
          </cell>
          <cell r="E63" t="str">
            <v>Infrared Salamander Broiler</v>
          </cell>
          <cell r="F63" t="str">
            <v>Infrared Salamander Broiler</v>
          </cell>
          <cell r="G63" t="str">
            <v>Food service</v>
          </cell>
          <cell r="H63" t="str">
            <v>Commercial</v>
          </cell>
          <cell r="I63" t="str">
            <v>Unit</v>
          </cell>
          <cell r="J63">
            <v>0</v>
          </cell>
          <cell r="K63">
            <v>0</v>
          </cell>
          <cell r="L63">
            <v>240.23999999999995</v>
          </cell>
          <cell r="M63">
            <v>0</v>
          </cell>
          <cell r="N63">
            <v>0</v>
          </cell>
          <cell r="O63">
            <v>0</v>
          </cell>
          <cell r="P63">
            <v>2882.8799999999992</v>
          </cell>
          <cell r="Q63">
            <v>0</v>
          </cell>
          <cell r="R63">
            <v>672.67200000000003</v>
          </cell>
          <cell r="S63">
            <v>1000</v>
          </cell>
          <cell r="T63"/>
          <cell r="U63"/>
          <cell r="V63">
            <v>12</v>
          </cell>
          <cell r="W63">
            <v>1000</v>
          </cell>
        </row>
        <row r="64">
          <cell r="A64" t="str">
            <v>4.2.14.3</v>
          </cell>
          <cell r="B64" t="str">
            <v>TRM16.2</v>
          </cell>
          <cell r="C64" t="str">
            <v>V5</v>
          </cell>
          <cell r="D64" t="str">
            <v>CI-FSE-IRBL-V01-120601</v>
          </cell>
          <cell r="E64" t="str">
            <v>Infrared Salamander Broiler Upstream</v>
          </cell>
          <cell r="F64" t="str">
            <v>Infrared Salamander Broiler Upstream</v>
          </cell>
          <cell r="G64" t="str">
            <v>Food service</v>
          </cell>
          <cell r="H64" t="str">
            <v>Commercial</v>
          </cell>
          <cell r="I64" t="str">
            <v>Unit</v>
          </cell>
          <cell r="J64">
            <v>0</v>
          </cell>
          <cell r="K64">
            <v>0</v>
          </cell>
          <cell r="L64">
            <v>240.23999999999995</v>
          </cell>
          <cell r="M64">
            <v>0</v>
          </cell>
          <cell r="N64">
            <v>0</v>
          </cell>
          <cell r="O64">
            <v>0</v>
          </cell>
          <cell r="P64">
            <v>2882.8799999999992</v>
          </cell>
          <cell r="Q64">
            <v>0</v>
          </cell>
          <cell r="R64">
            <v>672.67200000000003</v>
          </cell>
          <cell r="S64">
            <v>1000</v>
          </cell>
          <cell r="T64"/>
          <cell r="U64"/>
          <cell r="V64">
            <v>12</v>
          </cell>
          <cell r="W64">
            <v>1000</v>
          </cell>
        </row>
        <row r="65">
          <cell r="A65" t="str">
            <v>4.2.14</v>
          </cell>
          <cell r="B65" t="str">
            <v>TRM16.2</v>
          </cell>
          <cell r="C65" t="str">
            <v>V5</v>
          </cell>
          <cell r="D65" t="str">
            <v>CI-FSE-IRBL-V01-120601</v>
          </cell>
          <cell r="E65" t="str">
            <v>Infrared Salamander Broiler EREP</v>
          </cell>
          <cell r="F65" t="str">
            <v>Infrared Salamander Broiler EREP</v>
          </cell>
          <cell r="G65" t="str">
            <v>Food service</v>
          </cell>
          <cell r="H65" t="str">
            <v>Commercial</v>
          </cell>
          <cell r="I65" t="str">
            <v>Unit</v>
          </cell>
          <cell r="J65">
            <v>0</v>
          </cell>
          <cell r="K65">
            <v>0</v>
          </cell>
          <cell r="L65">
            <v>240.23999999999995</v>
          </cell>
          <cell r="M65">
            <v>0</v>
          </cell>
          <cell r="N65">
            <v>0</v>
          </cell>
          <cell r="O65">
            <v>0</v>
          </cell>
          <cell r="P65">
            <v>2882.8799999999992</v>
          </cell>
          <cell r="Q65">
            <v>0</v>
          </cell>
          <cell r="R65"/>
          <cell r="S65"/>
          <cell r="T65"/>
          <cell r="U65"/>
          <cell r="V65">
            <v>12</v>
          </cell>
          <cell r="W65">
            <v>1000</v>
          </cell>
        </row>
        <row r="66">
          <cell r="A66"/>
          <cell r="B66"/>
          <cell r="C66"/>
          <cell r="D66"/>
          <cell r="E66"/>
          <cell r="F66"/>
          <cell r="G66"/>
          <cell r="H66"/>
          <cell r="I66"/>
          <cell r="J66"/>
          <cell r="K66"/>
          <cell r="L66"/>
          <cell r="M66"/>
          <cell r="N66"/>
          <cell r="O66"/>
          <cell r="P66"/>
          <cell r="Q66"/>
          <cell r="R66"/>
          <cell r="S66"/>
          <cell r="T66"/>
          <cell r="U66"/>
          <cell r="V66"/>
          <cell r="W66"/>
        </row>
        <row r="67">
          <cell r="A67" t="str">
            <v>4.2.15.b</v>
          </cell>
          <cell r="B67" t="str">
            <v>TRM17.1</v>
          </cell>
          <cell r="C67" t="str">
            <v>V5</v>
          </cell>
          <cell r="D67" t="str">
            <v>CI-FSE-IRUB-V01-120601</v>
          </cell>
          <cell r="E67" t="str">
            <v>Baseline Infrared Upright Broiler</v>
          </cell>
          <cell r="F67" t="str">
            <v>Baseline Infrared Upright Broiler</v>
          </cell>
          <cell r="G67" t="str">
            <v>Food service</v>
          </cell>
          <cell r="H67" t="str">
            <v>Commercial</v>
          </cell>
          <cell r="I67" t="str">
            <v>Unit</v>
          </cell>
          <cell r="J67">
            <v>0</v>
          </cell>
          <cell r="K67">
            <v>0</v>
          </cell>
          <cell r="L67">
            <v>0</v>
          </cell>
          <cell r="M67">
            <v>0</v>
          </cell>
          <cell r="N67">
            <v>0</v>
          </cell>
          <cell r="O67">
            <v>0</v>
          </cell>
          <cell r="P67">
            <v>0</v>
          </cell>
          <cell r="Q67">
            <v>0</v>
          </cell>
          <cell r="R67">
            <v>2515.9679999999998</v>
          </cell>
          <cell r="S67">
            <v>4400</v>
          </cell>
          <cell r="T67"/>
          <cell r="U67"/>
          <cell r="V67">
            <v>12</v>
          </cell>
          <cell r="W67">
            <v>4400</v>
          </cell>
        </row>
        <row r="68">
          <cell r="A68" t="str">
            <v>4.2.15</v>
          </cell>
          <cell r="B68" t="str">
            <v>TRM17.1</v>
          </cell>
          <cell r="C68" t="str">
            <v>V5</v>
          </cell>
          <cell r="D68" t="str">
            <v>CI-FSE-IRUB-V01-120601</v>
          </cell>
          <cell r="E68" t="str">
            <v>Infrared Upright Broiler</v>
          </cell>
          <cell r="F68" t="str">
            <v>Infrared Upright Broiler</v>
          </cell>
          <cell r="G68" t="str">
            <v>Food service</v>
          </cell>
          <cell r="H68" t="str">
            <v>Commercial</v>
          </cell>
          <cell r="I68" t="str">
            <v>Unit</v>
          </cell>
          <cell r="J68">
            <v>0</v>
          </cell>
          <cell r="K68">
            <v>0</v>
          </cell>
          <cell r="L68">
            <v>943.48799999999983</v>
          </cell>
          <cell r="M68">
            <v>0</v>
          </cell>
          <cell r="N68">
            <v>0</v>
          </cell>
          <cell r="O68">
            <v>0</v>
          </cell>
          <cell r="P68">
            <v>11321.855999999998</v>
          </cell>
          <cell r="Q68">
            <v>0</v>
          </cell>
          <cell r="R68">
            <v>2515.9679999999998</v>
          </cell>
          <cell r="S68">
            <v>4400</v>
          </cell>
          <cell r="T68"/>
          <cell r="U68"/>
          <cell r="V68">
            <v>12</v>
          </cell>
          <cell r="W68">
            <v>4400</v>
          </cell>
        </row>
        <row r="69">
          <cell r="A69" t="str">
            <v>4.2.15.3</v>
          </cell>
          <cell r="B69" t="str">
            <v>TRM17.2</v>
          </cell>
          <cell r="C69" t="str">
            <v>V5</v>
          </cell>
          <cell r="D69" t="str">
            <v>CI-FSE-IRUB-V01-120601</v>
          </cell>
          <cell r="E69" t="str">
            <v>Infrared Upright Broiler Upstream</v>
          </cell>
          <cell r="F69" t="str">
            <v>Infrared Upright Broiler Upstream</v>
          </cell>
          <cell r="G69" t="str">
            <v>Food service</v>
          </cell>
          <cell r="H69" t="str">
            <v>Commercial</v>
          </cell>
          <cell r="I69" t="str">
            <v>Unit</v>
          </cell>
          <cell r="J69">
            <v>0</v>
          </cell>
          <cell r="K69">
            <v>0</v>
          </cell>
          <cell r="L69">
            <v>943.48799999999983</v>
          </cell>
          <cell r="M69">
            <v>0</v>
          </cell>
          <cell r="N69">
            <v>0</v>
          </cell>
          <cell r="O69">
            <v>0</v>
          </cell>
          <cell r="P69">
            <v>11321.855999999998</v>
          </cell>
          <cell r="Q69">
            <v>0</v>
          </cell>
          <cell r="R69">
            <v>2515.9679999999998</v>
          </cell>
          <cell r="S69">
            <v>4400</v>
          </cell>
          <cell r="T69"/>
          <cell r="U69"/>
          <cell r="V69">
            <v>12</v>
          </cell>
          <cell r="W69">
            <v>4400</v>
          </cell>
        </row>
        <row r="70">
          <cell r="A70" t="str">
            <v>4.2.15.EREP</v>
          </cell>
          <cell r="B70" t="str">
            <v>TRM17.2</v>
          </cell>
          <cell r="C70" t="str">
            <v>V5</v>
          </cell>
          <cell r="D70" t="str">
            <v>CI-FSE-IRUB-V01-120601</v>
          </cell>
          <cell r="E70" t="str">
            <v>Infrared Upright Broiler EREP</v>
          </cell>
          <cell r="F70" t="str">
            <v>Infrared Upright Broiler EREP</v>
          </cell>
          <cell r="G70" t="str">
            <v>Food service</v>
          </cell>
          <cell r="H70" t="str">
            <v>Commercial</v>
          </cell>
          <cell r="I70" t="str">
            <v>Unit</v>
          </cell>
          <cell r="J70">
            <v>0</v>
          </cell>
          <cell r="K70">
            <v>0</v>
          </cell>
          <cell r="L70">
            <v>943.48799999999983</v>
          </cell>
          <cell r="M70">
            <v>0</v>
          </cell>
          <cell r="N70">
            <v>0</v>
          </cell>
          <cell r="O70">
            <v>0</v>
          </cell>
          <cell r="P70">
            <v>11321.855999999998</v>
          </cell>
          <cell r="Q70">
            <v>0</v>
          </cell>
          <cell r="R70"/>
          <cell r="S70"/>
          <cell r="T70"/>
          <cell r="U70"/>
          <cell r="V70">
            <v>12</v>
          </cell>
          <cell r="W70">
            <v>4400</v>
          </cell>
        </row>
        <row r="71">
          <cell r="A71"/>
          <cell r="B71"/>
          <cell r="C71"/>
          <cell r="D71"/>
          <cell r="E71"/>
          <cell r="F71"/>
          <cell r="G71"/>
          <cell r="H71"/>
          <cell r="I71"/>
          <cell r="J71"/>
          <cell r="K71"/>
          <cell r="L71"/>
          <cell r="M71"/>
          <cell r="N71"/>
          <cell r="O71"/>
          <cell r="P71"/>
          <cell r="Q71"/>
          <cell r="R71"/>
          <cell r="S71"/>
          <cell r="T71"/>
          <cell r="U71"/>
          <cell r="V71"/>
          <cell r="W71"/>
        </row>
        <row r="72">
          <cell r="A72" t="str">
            <v>4.2.16</v>
          </cell>
          <cell r="B72" t="str">
            <v>TRM18</v>
          </cell>
          <cell r="C72" t="str">
            <v>V5</v>
          </cell>
          <cell r="D72" t="str">
            <v>CI-FSE-VENT-V01-120601</v>
          </cell>
          <cell r="E72" t="str">
            <v>Kitchen Demand Ventilation Controls</v>
          </cell>
          <cell r="F72" t="str">
            <v>Kitchen Demand Ventilation Controls</v>
          </cell>
          <cell r="G72" t="str">
            <v>Controls</v>
          </cell>
          <cell r="H72" t="str">
            <v>Commercial</v>
          </cell>
          <cell r="I72" t="str">
            <v>Project</v>
          </cell>
          <cell r="J72">
            <v>4966</v>
          </cell>
          <cell r="K72">
            <v>0.68</v>
          </cell>
          <cell r="L72">
            <v>5998.5</v>
          </cell>
          <cell r="M72">
            <v>0</v>
          </cell>
          <cell r="N72">
            <v>74490</v>
          </cell>
          <cell r="O72">
            <v>0.68</v>
          </cell>
          <cell r="P72">
            <v>89977.5</v>
          </cell>
          <cell r="Q72">
            <v>0</v>
          </cell>
          <cell r="R72"/>
          <cell r="S72"/>
          <cell r="T72"/>
          <cell r="U72"/>
          <cell r="V72">
            <v>15</v>
          </cell>
          <cell r="W72">
            <v>1000</v>
          </cell>
        </row>
        <row r="73">
          <cell r="A73"/>
          <cell r="B73"/>
          <cell r="C73"/>
          <cell r="D73"/>
          <cell r="E73"/>
          <cell r="F73"/>
          <cell r="G73"/>
          <cell r="H73"/>
          <cell r="I73"/>
          <cell r="J73"/>
          <cell r="K73"/>
          <cell r="L73"/>
          <cell r="M73"/>
          <cell r="N73"/>
          <cell r="O73"/>
          <cell r="P73"/>
          <cell r="Q73"/>
          <cell r="R73"/>
          <cell r="S73"/>
          <cell r="T73"/>
          <cell r="U73"/>
          <cell r="V73"/>
          <cell r="W73"/>
        </row>
        <row r="74">
          <cell r="A74" t="str">
            <v>4.2.17.B</v>
          </cell>
          <cell r="B74" t="str">
            <v>TRM19.1</v>
          </cell>
          <cell r="C74" t="str">
            <v>V5</v>
          </cell>
          <cell r="D74" t="str">
            <v>CI-FSE-PCOK-V01-120601</v>
          </cell>
          <cell r="E74" t="str">
            <v>Baseline Pasta Cooker</v>
          </cell>
          <cell r="F74" t="str">
            <v>Baseline Pasta Cooker</v>
          </cell>
          <cell r="G74" t="str">
            <v>Food service</v>
          </cell>
          <cell r="H74" t="str">
            <v>Commercial</v>
          </cell>
          <cell r="I74" t="str">
            <v>Unit</v>
          </cell>
          <cell r="J74">
            <v>0</v>
          </cell>
          <cell r="K74">
            <v>0</v>
          </cell>
          <cell r="L74">
            <v>0</v>
          </cell>
          <cell r="M74">
            <v>0</v>
          </cell>
          <cell r="N74">
            <v>0</v>
          </cell>
          <cell r="O74">
            <v>0</v>
          </cell>
          <cell r="P74">
            <v>0</v>
          </cell>
          <cell r="Q74">
            <v>0</v>
          </cell>
          <cell r="R74">
            <v>2988.8999999999996</v>
          </cell>
          <cell r="S74">
            <v>2400</v>
          </cell>
          <cell r="T74"/>
          <cell r="U74"/>
          <cell r="V74">
            <v>12</v>
          </cell>
          <cell r="W74">
            <v>2400</v>
          </cell>
        </row>
        <row r="75">
          <cell r="A75" t="str">
            <v>4.2.17</v>
          </cell>
          <cell r="B75" t="str">
            <v>TRM19.1</v>
          </cell>
          <cell r="C75" t="str">
            <v>V5</v>
          </cell>
          <cell r="D75" t="str">
            <v>CI-FSE-PCOK-V01-120601</v>
          </cell>
          <cell r="E75" t="str">
            <v>Pasta Cooker</v>
          </cell>
          <cell r="F75" t="str">
            <v>Pasta Cooker</v>
          </cell>
          <cell r="G75" t="str">
            <v>Food service</v>
          </cell>
          <cell r="H75" t="str">
            <v>Commercial</v>
          </cell>
          <cell r="I75" t="str">
            <v>Unit</v>
          </cell>
          <cell r="J75">
            <v>0</v>
          </cell>
          <cell r="K75">
            <v>0</v>
          </cell>
          <cell r="L75">
            <v>1380</v>
          </cell>
          <cell r="M75">
            <v>0</v>
          </cell>
          <cell r="N75">
            <v>0</v>
          </cell>
          <cell r="O75">
            <v>0</v>
          </cell>
          <cell r="P75">
            <v>16560</v>
          </cell>
          <cell r="Q75">
            <v>0</v>
          </cell>
          <cell r="R75">
            <v>2988.8999999999996</v>
          </cell>
          <cell r="S75">
            <v>2400</v>
          </cell>
          <cell r="T75"/>
          <cell r="U75"/>
          <cell r="V75">
            <v>12</v>
          </cell>
          <cell r="W75">
            <v>2400</v>
          </cell>
        </row>
        <row r="76">
          <cell r="A76" t="str">
            <v>4.2.17.3</v>
          </cell>
          <cell r="B76" t="str">
            <v>TRM19.2</v>
          </cell>
          <cell r="C76" t="str">
            <v>V5</v>
          </cell>
          <cell r="D76" t="str">
            <v>CI-FSE-PCOK-V01-120601</v>
          </cell>
          <cell r="E76" t="str">
            <v>Pasta Cooker Upstream</v>
          </cell>
          <cell r="F76" t="str">
            <v>Pasta Cooker Upstream</v>
          </cell>
          <cell r="G76" t="str">
            <v>Food service</v>
          </cell>
          <cell r="H76" t="str">
            <v>Commercial</v>
          </cell>
          <cell r="I76" t="str">
            <v>Unit</v>
          </cell>
          <cell r="J76">
            <v>0</v>
          </cell>
          <cell r="K76">
            <v>0</v>
          </cell>
          <cell r="L76">
            <v>1380</v>
          </cell>
          <cell r="M76">
            <v>0</v>
          </cell>
          <cell r="N76">
            <v>0</v>
          </cell>
          <cell r="O76">
            <v>0</v>
          </cell>
          <cell r="P76">
            <v>16560</v>
          </cell>
          <cell r="Q76">
            <v>0</v>
          </cell>
          <cell r="R76">
            <v>2988.8999999999996</v>
          </cell>
          <cell r="S76">
            <v>2400</v>
          </cell>
          <cell r="T76"/>
          <cell r="U76"/>
          <cell r="V76">
            <v>12</v>
          </cell>
          <cell r="W76">
            <v>2400</v>
          </cell>
        </row>
        <row r="77">
          <cell r="A77" t="str">
            <v>4.2.17.EREP</v>
          </cell>
          <cell r="B77" t="str">
            <v>TRM19.2</v>
          </cell>
          <cell r="C77" t="str">
            <v>V5</v>
          </cell>
          <cell r="D77" t="str">
            <v>CI-FSE-PCOK-V01-120601</v>
          </cell>
          <cell r="E77" t="str">
            <v>Pasta Cooker EREP</v>
          </cell>
          <cell r="F77" t="str">
            <v>Pasta Cooker EREP</v>
          </cell>
          <cell r="G77" t="str">
            <v>Food service</v>
          </cell>
          <cell r="H77" t="str">
            <v>Commercial</v>
          </cell>
          <cell r="I77" t="str">
            <v>Unit</v>
          </cell>
          <cell r="J77">
            <v>0</v>
          </cell>
          <cell r="K77">
            <v>0</v>
          </cell>
          <cell r="L77">
            <v>1380</v>
          </cell>
          <cell r="M77">
            <v>0</v>
          </cell>
          <cell r="N77">
            <v>0</v>
          </cell>
          <cell r="O77">
            <v>0</v>
          </cell>
          <cell r="P77">
            <v>16560</v>
          </cell>
          <cell r="Q77">
            <v>0</v>
          </cell>
          <cell r="R77"/>
          <cell r="S77"/>
          <cell r="T77"/>
          <cell r="U77"/>
          <cell r="V77">
            <v>12</v>
          </cell>
          <cell r="W77">
            <v>2400</v>
          </cell>
        </row>
        <row r="78">
          <cell r="A78"/>
          <cell r="B78"/>
          <cell r="C78"/>
          <cell r="D78"/>
          <cell r="E78"/>
          <cell r="F78"/>
          <cell r="G78"/>
          <cell r="H78"/>
          <cell r="I78"/>
          <cell r="J78"/>
          <cell r="K78"/>
          <cell r="L78"/>
          <cell r="M78"/>
          <cell r="N78"/>
          <cell r="O78"/>
          <cell r="P78"/>
          <cell r="Q78"/>
          <cell r="R78"/>
          <cell r="S78"/>
          <cell r="T78"/>
          <cell r="U78"/>
          <cell r="V78"/>
          <cell r="W78"/>
        </row>
        <row r="79">
          <cell r="A79" t="str">
            <v>4.2.18.B</v>
          </cell>
          <cell r="B79" t="str">
            <v>TRM20.1</v>
          </cell>
          <cell r="C79" t="str">
            <v>V5</v>
          </cell>
          <cell r="D79" t="str">
            <v>CI-FSE-RKOV-V01-120601</v>
          </cell>
          <cell r="E79" t="str">
            <v>Baseline Rack Oven - Double Oven Rack Oven - Double</v>
          </cell>
          <cell r="F79" t="str">
            <v>Baseline Rack Oven - Double</v>
          </cell>
          <cell r="G79" t="str">
            <v>Food service</v>
          </cell>
          <cell r="H79" t="str">
            <v>Commercial</v>
          </cell>
          <cell r="I79" t="str">
            <v>Unit</v>
          </cell>
          <cell r="J79">
            <v>0</v>
          </cell>
          <cell r="K79">
            <v>0</v>
          </cell>
          <cell r="L79">
            <v>0</v>
          </cell>
          <cell r="M79">
            <v>0</v>
          </cell>
          <cell r="N79">
            <v>0</v>
          </cell>
          <cell r="O79">
            <v>0</v>
          </cell>
          <cell r="P79">
            <v>0</v>
          </cell>
          <cell r="Q79">
            <v>0</v>
          </cell>
          <cell r="R79">
            <v>5425</v>
          </cell>
          <cell r="S79">
            <v>3000</v>
          </cell>
          <cell r="T79"/>
          <cell r="U79"/>
          <cell r="V79">
            <v>12</v>
          </cell>
          <cell r="W79">
            <v>3000</v>
          </cell>
        </row>
        <row r="80">
          <cell r="A80" t="str">
            <v>4.2.18</v>
          </cell>
          <cell r="B80" t="str">
            <v>TRM20.1</v>
          </cell>
          <cell r="C80" t="str">
            <v>V5</v>
          </cell>
          <cell r="D80" t="str">
            <v>CI-FSE-RKOV-V01-120601</v>
          </cell>
          <cell r="E80" t="str">
            <v>Rack Oven - Double Oven Rack Oven - Double</v>
          </cell>
          <cell r="F80" t="str">
            <v>Rack Oven - Double</v>
          </cell>
          <cell r="G80" t="str">
            <v>Food service</v>
          </cell>
          <cell r="H80" t="str">
            <v>Commercial</v>
          </cell>
          <cell r="I80" t="str">
            <v>Unit</v>
          </cell>
          <cell r="J80">
            <v>0</v>
          </cell>
          <cell r="K80">
            <v>0</v>
          </cell>
          <cell r="L80">
            <v>1930.5000000000007</v>
          </cell>
          <cell r="M80">
            <v>0</v>
          </cell>
          <cell r="N80">
            <v>0</v>
          </cell>
          <cell r="O80">
            <v>0</v>
          </cell>
          <cell r="P80">
            <v>23166.000000000007</v>
          </cell>
          <cell r="Q80">
            <v>0</v>
          </cell>
          <cell r="R80">
            <v>5425</v>
          </cell>
          <cell r="S80">
            <v>3000</v>
          </cell>
          <cell r="T80"/>
          <cell r="U80"/>
          <cell r="V80">
            <v>12</v>
          </cell>
          <cell r="W80">
            <v>3000</v>
          </cell>
        </row>
        <row r="81">
          <cell r="A81" t="str">
            <v>4.2.18.3</v>
          </cell>
          <cell r="B81" t="str">
            <v>TRM20.2</v>
          </cell>
          <cell r="C81" t="str">
            <v>V5</v>
          </cell>
          <cell r="D81" t="str">
            <v>CI-FSE-RKOV-V01-120601</v>
          </cell>
          <cell r="E81" t="str">
            <v>Rack Oven - Double Oven Rack Oven - Double Upstream</v>
          </cell>
          <cell r="F81" t="str">
            <v>Rack Oven - Double Upstream</v>
          </cell>
          <cell r="G81" t="str">
            <v>Food service</v>
          </cell>
          <cell r="H81" t="str">
            <v>Commercial</v>
          </cell>
          <cell r="I81" t="str">
            <v>Unit</v>
          </cell>
          <cell r="J81">
            <v>0</v>
          </cell>
          <cell r="K81">
            <v>0</v>
          </cell>
          <cell r="L81">
            <v>1930.5000000000007</v>
          </cell>
          <cell r="M81">
            <v>0</v>
          </cell>
          <cell r="N81">
            <v>0</v>
          </cell>
          <cell r="O81">
            <v>0</v>
          </cell>
          <cell r="P81">
            <v>23166.000000000007</v>
          </cell>
          <cell r="Q81">
            <v>0</v>
          </cell>
          <cell r="R81">
            <v>5425</v>
          </cell>
          <cell r="S81">
            <v>3000</v>
          </cell>
          <cell r="T81"/>
          <cell r="U81"/>
          <cell r="V81">
            <v>12</v>
          </cell>
          <cell r="W81">
            <v>3000</v>
          </cell>
        </row>
        <row r="82">
          <cell r="A82" t="str">
            <v>4.2.18.4</v>
          </cell>
          <cell r="B82" t="str">
            <v>TRM20.2</v>
          </cell>
          <cell r="C82" t="str">
            <v>V5</v>
          </cell>
          <cell r="D82" t="str">
            <v>CI-FSE-RKOV-V01-120601</v>
          </cell>
          <cell r="E82" t="str">
            <v>Rack Oven - Double Oven Rack Oven - Double EREP</v>
          </cell>
          <cell r="F82" t="str">
            <v>Rack Oven - Double EREP</v>
          </cell>
          <cell r="G82" t="str">
            <v>Food service</v>
          </cell>
          <cell r="H82" t="str">
            <v>Commercial</v>
          </cell>
          <cell r="I82" t="str">
            <v>Unit</v>
          </cell>
          <cell r="J82">
            <v>0</v>
          </cell>
          <cell r="K82">
            <v>0</v>
          </cell>
          <cell r="L82">
            <v>1930.5000000000007</v>
          </cell>
          <cell r="M82">
            <v>0</v>
          </cell>
          <cell r="N82">
            <v>0</v>
          </cell>
          <cell r="O82">
            <v>0</v>
          </cell>
          <cell r="P82">
            <v>23166.000000000007</v>
          </cell>
          <cell r="Q82">
            <v>0</v>
          </cell>
          <cell r="R82"/>
          <cell r="S82"/>
          <cell r="T82"/>
          <cell r="U82"/>
          <cell r="V82">
            <v>12</v>
          </cell>
          <cell r="W82">
            <v>3000</v>
          </cell>
        </row>
        <row r="83">
          <cell r="A83"/>
          <cell r="B83"/>
          <cell r="C83"/>
          <cell r="D83"/>
          <cell r="E83"/>
          <cell r="F83"/>
          <cell r="G83"/>
          <cell r="H83"/>
          <cell r="I83"/>
          <cell r="J83"/>
          <cell r="K83"/>
          <cell r="L83"/>
          <cell r="M83"/>
          <cell r="N83"/>
          <cell r="O83"/>
          <cell r="P83"/>
          <cell r="Q83"/>
          <cell r="R83"/>
          <cell r="S83"/>
          <cell r="T83"/>
          <cell r="U83"/>
          <cell r="V83"/>
          <cell r="W83"/>
        </row>
        <row r="84">
          <cell r="A84" t="str">
            <v>4.3.1.7</v>
          </cell>
          <cell r="B84" t="str">
            <v>TRM21.1</v>
          </cell>
          <cell r="C84" t="str">
            <v>V5</v>
          </cell>
          <cell r="D84" t="str">
            <v>CI-HW_-STWH-V01-120601</v>
          </cell>
          <cell r="E84" t="str">
            <v>Baseline Storage Water Heater - Gas, Standard, ≥0.67 EF, Bld Type = Average</v>
          </cell>
          <cell r="F84" t="str">
            <v>Baseline Storage Water Heater, &gt;0.67 EF</v>
          </cell>
          <cell r="G84" t="str">
            <v>Water heater</v>
          </cell>
          <cell r="H84" t="str">
            <v>Commercial</v>
          </cell>
          <cell r="I84" t="str">
            <v>Unit</v>
          </cell>
          <cell r="J84">
            <v>0</v>
          </cell>
          <cell r="K84">
            <v>0</v>
          </cell>
          <cell r="L84">
            <v>0</v>
          </cell>
          <cell r="M84">
            <v>0</v>
          </cell>
          <cell r="N84">
            <v>0</v>
          </cell>
          <cell r="O84">
            <v>0</v>
          </cell>
          <cell r="P84">
            <v>0</v>
          </cell>
          <cell r="Q84">
            <v>0</v>
          </cell>
          <cell r="R84">
            <v>284.27364583333338</v>
          </cell>
          <cell r="S84">
            <v>0</v>
          </cell>
          <cell r="T84"/>
          <cell r="U84"/>
          <cell r="V84">
            <v>15</v>
          </cell>
          <cell r="W84">
            <v>0</v>
          </cell>
        </row>
        <row r="85">
          <cell r="A85" t="str">
            <v>4.3.1.8</v>
          </cell>
          <cell r="B85" t="str">
            <v>TRM21.1</v>
          </cell>
          <cell r="C85" t="str">
            <v>V5</v>
          </cell>
          <cell r="D85" t="str">
            <v>CI-HW_-STWH-V01-120601</v>
          </cell>
          <cell r="E85" t="str">
            <v>Baseline Storage Water Heater - Gas, Standard, ≥0.67 EF, Bld Type = Average</v>
          </cell>
          <cell r="F85" t="str">
            <v>Baseline Storage Water Heater, &gt;0.67 EF, Sml Biz</v>
          </cell>
          <cell r="G85" t="str">
            <v>Water heater</v>
          </cell>
          <cell r="H85" t="str">
            <v>Commercial</v>
          </cell>
          <cell r="I85" t="str">
            <v>Unit</v>
          </cell>
          <cell r="J85">
            <v>0</v>
          </cell>
          <cell r="K85">
            <v>0</v>
          </cell>
          <cell r="L85">
            <v>0</v>
          </cell>
          <cell r="M85">
            <v>0</v>
          </cell>
          <cell r="N85">
            <v>0</v>
          </cell>
          <cell r="O85">
            <v>0</v>
          </cell>
          <cell r="P85">
            <v>0</v>
          </cell>
          <cell r="Q85">
            <v>0</v>
          </cell>
          <cell r="R85">
            <v>284.27364583333338</v>
          </cell>
          <cell r="S85">
            <v>0</v>
          </cell>
          <cell r="T85"/>
          <cell r="U85"/>
          <cell r="V85">
            <v>15</v>
          </cell>
          <cell r="W85">
            <v>0</v>
          </cell>
        </row>
        <row r="86">
          <cell r="A86" t="str">
            <v>4.3.1.9</v>
          </cell>
          <cell r="B86" t="str">
            <v>TRM21.1</v>
          </cell>
          <cell r="C86" t="str">
            <v>V5</v>
          </cell>
          <cell r="D86" t="str">
            <v>CI-HW_-STWH-V01-120601</v>
          </cell>
          <cell r="E86" t="str">
            <v>Baseline Storage Water Heater - Gas,High Efficiency, ≥88% TE, Bld Type = Average</v>
          </cell>
          <cell r="F86" t="str">
            <v>Baseline Storage Water Heater, &gt;88% TE</v>
          </cell>
          <cell r="G86" t="str">
            <v>Water heater</v>
          </cell>
          <cell r="H86" t="str">
            <v>Commercial</v>
          </cell>
          <cell r="I86" t="str">
            <v>Unit</v>
          </cell>
          <cell r="J86">
            <v>0</v>
          </cell>
          <cell r="K86">
            <v>0</v>
          </cell>
          <cell r="L86">
            <v>0</v>
          </cell>
          <cell r="M86">
            <v>0</v>
          </cell>
          <cell r="N86">
            <v>0</v>
          </cell>
          <cell r="O86">
            <v>0</v>
          </cell>
          <cell r="P86">
            <v>0</v>
          </cell>
          <cell r="Q86">
            <v>0</v>
          </cell>
          <cell r="R86">
            <v>426.41046875000006</v>
          </cell>
          <cell r="S86">
            <v>0</v>
          </cell>
          <cell r="T86"/>
          <cell r="U86"/>
          <cell r="V86">
            <v>15</v>
          </cell>
          <cell r="W86">
            <v>0</v>
          </cell>
        </row>
        <row r="87">
          <cell r="A87" t="str">
            <v>4.3.1.1</v>
          </cell>
          <cell r="B87" t="str">
            <v>TRM21.1</v>
          </cell>
          <cell r="C87" t="str">
            <v>V5</v>
          </cell>
          <cell r="D87" t="str">
            <v>CI-HW_-STWH-V01-120601</v>
          </cell>
          <cell r="E87" t="str">
            <v>Storage Water Heater - Gas, Standard, ≥0.67 EF, Bld Type = Average</v>
          </cell>
          <cell r="F87" t="str">
            <v>Storage Water Heater, &gt;0.67 EF</v>
          </cell>
          <cell r="G87" t="str">
            <v>Water heater</v>
          </cell>
          <cell r="H87" t="str">
            <v>Commercial</v>
          </cell>
          <cell r="I87" t="str">
            <v>Unit</v>
          </cell>
          <cell r="J87">
            <v>0</v>
          </cell>
          <cell r="K87">
            <v>0</v>
          </cell>
          <cell r="L87">
            <v>29.700231654228862</v>
          </cell>
          <cell r="M87">
            <v>0</v>
          </cell>
          <cell r="N87">
            <v>0</v>
          </cell>
          <cell r="O87">
            <v>0</v>
          </cell>
          <cell r="P87">
            <v>445.50347481343294</v>
          </cell>
          <cell r="Q87">
            <v>0</v>
          </cell>
          <cell r="R87">
            <v>284.27364583333338</v>
          </cell>
          <cell r="S87">
            <v>440</v>
          </cell>
          <cell r="T87"/>
          <cell r="U87"/>
          <cell r="V87">
            <v>15</v>
          </cell>
          <cell r="W87">
            <v>440</v>
          </cell>
        </row>
        <row r="88">
          <cell r="A88" t="str">
            <v>4.3.1.2</v>
          </cell>
          <cell r="B88" t="str">
            <v>TRM21.2</v>
          </cell>
          <cell r="C88" t="str">
            <v>V5</v>
          </cell>
          <cell r="D88" t="str">
            <v>CI-HW_-STWH-V01-120601</v>
          </cell>
          <cell r="E88" t="str">
            <v>Storage Water Heater - Gas, Standard, ≥0.67 EF, Bld Type = Average</v>
          </cell>
          <cell r="F88" t="str">
            <v>Storage Water Heater, &gt;0.67 EF, Sml Biz</v>
          </cell>
          <cell r="G88" t="str">
            <v>Water heater</v>
          </cell>
          <cell r="H88" t="str">
            <v>Commercial</v>
          </cell>
          <cell r="I88" t="str">
            <v>Unit</v>
          </cell>
          <cell r="J88">
            <v>0</v>
          </cell>
          <cell r="K88">
            <v>0</v>
          </cell>
          <cell r="L88">
            <v>29.700231654228862</v>
          </cell>
          <cell r="M88">
            <v>0</v>
          </cell>
          <cell r="N88">
            <v>0</v>
          </cell>
          <cell r="O88">
            <v>0</v>
          </cell>
          <cell r="P88">
            <v>445.50347481343294</v>
          </cell>
          <cell r="Q88">
            <v>0</v>
          </cell>
          <cell r="R88">
            <v>284.27364583333338</v>
          </cell>
          <cell r="S88">
            <v>440</v>
          </cell>
          <cell r="T88"/>
          <cell r="U88"/>
          <cell r="V88">
            <v>15</v>
          </cell>
          <cell r="W88">
            <v>440</v>
          </cell>
        </row>
        <row r="89">
          <cell r="A89" t="str">
            <v>4.3.1.3</v>
          </cell>
          <cell r="B89" t="str">
            <v>TRM21.3</v>
          </cell>
          <cell r="C89" t="str">
            <v>V5</v>
          </cell>
          <cell r="D89" t="str">
            <v>CI-HW_-STWH-V01-120602</v>
          </cell>
          <cell r="E89" t="str">
            <v>Storage Water Heater - Gas,High Efficiency, ≥88% TE, Bld Type = Average</v>
          </cell>
          <cell r="F89" t="str">
            <v>Storage Water Heater, &gt;88% TE</v>
          </cell>
          <cell r="G89" t="str">
            <v>Water heater</v>
          </cell>
          <cell r="H89" t="str">
            <v>Commercial</v>
          </cell>
          <cell r="I89" t="str">
            <v>Unit</v>
          </cell>
          <cell r="J89">
            <v>0</v>
          </cell>
          <cell r="K89">
            <v>0</v>
          </cell>
          <cell r="L89">
            <v>66.706213068181796</v>
          </cell>
          <cell r="M89">
            <v>0</v>
          </cell>
          <cell r="N89">
            <v>0</v>
          </cell>
          <cell r="O89">
            <v>0</v>
          </cell>
          <cell r="P89">
            <v>1000.5931960227269</v>
          </cell>
          <cell r="Q89">
            <v>0</v>
          </cell>
          <cell r="R89">
            <v>426.41046875000006</v>
          </cell>
          <cell r="S89">
            <v>879</v>
          </cell>
          <cell r="T89"/>
          <cell r="U89"/>
          <cell r="V89">
            <v>15</v>
          </cell>
          <cell r="W89">
            <v>879</v>
          </cell>
        </row>
        <row r="90">
          <cell r="A90" t="str">
            <v>4.3.1 7</v>
          </cell>
          <cell r="B90" t="str">
            <v>TRM21.4</v>
          </cell>
          <cell r="C90" t="str">
            <v>V5</v>
          </cell>
          <cell r="D90" t="str">
            <v>CI-HW_-STWH-V01-120602</v>
          </cell>
          <cell r="E90" t="str">
            <v>Storage Water Heater - Gas, Standard, ≥0.67 EF, Bld Type = Average - Upstream</v>
          </cell>
          <cell r="F90" t="str">
            <v>Storage Water Heater, &gt;0.67 EF Upstream</v>
          </cell>
          <cell r="G90" t="str">
            <v>Water heater</v>
          </cell>
          <cell r="H90" t="str">
            <v>Commercial</v>
          </cell>
          <cell r="I90" t="str">
            <v>Unit</v>
          </cell>
          <cell r="J90">
            <v>0</v>
          </cell>
          <cell r="K90">
            <v>0</v>
          </cell>
          <cell r="L90">
            <v>29.700231654228862</v>
          </cell>
          <cell r="M90">
            <v>0</v>
          </cell>
          <cell r="N90">
            <v>0</v>
          </cell>
          <cell r="O90">
            <v>0</v>
          </cell>
          <cell r="P90">
            <v>445.50347481343294</v>
          </cell>
          <cell r="Q90">
            <v>0</v>
          </cell>
          <cell r="R90">
            <v>284.27364583333338</v>
          </cell>
          <cell r="S90">
            <v>440</v>
          </cell>
          <cell r="T90"/>
          <cell r="U90"/>
          <cell r="V90">
            <v>15</v>
          </cell>
          <cell r="W90">
            <v>440</v>
          </cell>
        </row>
        <row r="91">
          <cell r="A91" t="str">
            <v>4.3.1 8</v>
          </cell>
          <cell r="B91" t="str">
            <v>TRM21.5</v>
          </cell>
          <cell r="C91" t="str">
            <v>V5</v>
          </cell>
          <cell r="D91" t="str">
            <v>CI-HW_-STWH-V01-120602</v>
          </cell>
          <cell r="E91" t="str">
            <v>Storage Water Heater - Gas, Standard, ≥0.67 EF, Bld Type = Average - Upstream</v>
          </cell>
          <cell r="F91" t="str">
            <v>Storage Water Heater, &gt;0.67 EF, Sml Biz upstream</v>
          </cell>
          <cell r="G91" t="str">
            <v>Water heater</v>
          </cell>
          <cell r="H91" t="str">
            <v>Commercial</v>
          </cell>
          <cell r="I91" t="str">
            <v>Unit</v>
          </cell>
          <cell r="J91">
            <v>0</v>
          </cell>
          <cell r="K91">
            <v>0</v>
          </cell>
          <cell r="L91">
            <v>29.700231654228862</v>
          </cell>
          <cell r="M91">
            <v>0</v>
          </cell>
          <cell r="N91">
            <v>0</v>
          </cell>
          <cell r="O91">
            <v>0</v>
          </cell>
          <cell r="P91">
            <v>445.50347481343294</v>
          </cell>
          <cell r="Q91">
            <v>0</v>
          </cell>
          <cell r="R91">
            <v>284.27364583333338</v>
          </cell>
          <cell r="S91">
            <v>440</v>
          </cell>
          <cell r="T91"/>
          <cell r="U91"/>
          <cell r="V91">
            <v>15</v>
          </cell>
          <cell r="W91">
            <v>440</v>
          </cell>
        </row>
        <row r="92">
          <cell r="A92" t="str">
            <v>4.3.1 9</v>
          </cell>
          <cell r="B92" t="str">
            <v>TRM21.6</v>
          </cell>
          <cell r="C92" t="str">
            <v>V5</v>
          </cell>
          <cell r="D92" t="str">
            <v>CI-HW_-STWH-V01-120602</v>
          </cell>
          <cell r="E92" t="str">
            <v>Storage Water Heater - Gas,High Efficiency, ≥88% TE, Bld Type = Average - Upstream</v>
          </cell>
          <cell r="F92" t="str">
            <v>Storage Water Heater, &gt;88% TE Upstream</v>
          </cell>
          <cell r="G92" t="str">
            <v>Water heater</v>
          </cell>
          <cell r="H92" t="str">
            <v>Commercial</v>
          </cell>
          <cell r="I92" t="str">
            <v>Unit</v>
          </cell>
          <cell r="J92">
            <v>0</v>
          </cell>
          <cell r="K92">
            <v>0</v>
          </cell>
          <cell r="L92">
            <v>66.706213068181796</v>
          </cell>
          <cell r="M92">
            <v>0</v>
          </cell>
          <cell r="N92">
            <v>0</v>
          </cell>
          <cell r="O92">
            <v>0</v>
          </cell>
          <cell r="P92">
            <v>1000.5931960227269</v>
          </cell>
          <cell r="Q92">
            <v>0</v>
          </cell>
          <cell r="R92">
            <v>426.41046875000006</v>
          </cell>
          <cell r="S92">
            <v>879</v>
          </cell>
          <cell r="T92"/>
          <cell r="U92"/>
          <cell r="V92">
            <v>15</v>
          </cell>
          <cell r="W92">
            <v>879</v>
          </cell>
        </row>
        <row r="93">
          <cell r="A93" t="str">
            <v>4.3.1 10</v>
          </cell>
          <cell r="B93" t="str">
            <v>TRM21.6</v>
          </cell>
          <cell r="C93" t="str">
            <v>V5</v>
          </cell>
          <cell r="D93" t="str">
            <v>CI-HW_-STWH-V01-120602</v>
          </cell>
          <cell r="E93" t="str">
            <v>Storage Water Heater - Gas, Standard, ≥0.67 EF, Bld Type = Average - EREP</v>
          </cell>
          <cell r="F93" t="str">
            <v>Storage Water Heater, &gt;0.67 EF EREP</v>
          </cell>
          <cell r="G93" t="str">
            <v>Water heater</v>
          </cell>
          <cell r="H93" t="str">
            <v>Commercial</v>
          </cell>
          <cell r="I93" t="str">
            <v>Unit</v>
          </cell>
          <cell r="J93">
            <v>0</v>
          </cell>
          <cell r="K93">
            <v>0</v>
          </cell>
          <cell r="L93">
            <v>86.554960820895488</v>
          </cell>
          <cell r="M93">
            <v>0</v>
          </cell>
          <cell r="N93">
            <v>0</v>
          </cell>
          <cell r="O93">
            <v>0</v>
          </cell>
          <cell r="P93">
            <v>1298.3244123134323</v>
          </cell>
          <cell r="Q93">
            <v>0</v>
          </cell>
          <cell r="R93"/>
          <cell r="S93"/>
          <cell r="T93"/>
          <cell r="U93"/>
          <cell r="V93">
            <v>15</v>
          </cell>
          <cell r="W93">
            <v>1055</v>
          </cell>
        </row>
        <row r="94">
          <cell r="A94" t="str">
            <v>4.3.1 11</v>
          </cell>
          <cell r="B94" t="str">
            <v>TRM21.6</v>
          </cell>
          <cell r="C94" t="str">
            <v>V5</v>
          </cell>
          <cell r="D94" t="str">
            <v>CI-HW_-STWH-V01-120602</v>
          </cell>
          <cell r="E94" t="str">
            <v>Storage Water Heater - Gas, Standard, ≥0.67 EF, Bld Type = Average - EREP</v>
          </cell>
          <cell r="F94" t="str">
            <v>Storage Water Heater, &gt;0.67 EF, Sml Biz EREP</v>
          </cell>
          <cell r="G94" t="str">
            <v>Water heater</v>
          </cell>
          <cell r="H94" t="str">
            <v>Commercial</v>
          </cell>
          <cell r="I94" t="str">
            <v>Unit</v>
          </cell>
          <cell r="J94">
            <v>0</v>
          </cell>
          <cell r="K94">
            <v>0</v>
          </cell>
          <cell r="L94">
            <v>86.554960820895488</v>
          </cell>
          <cell r="M94">
            <v>0</v>
          </cell>
          <cell r="N94">
            <v>0</v>
          </cell>
          <cell r="O94">
            <v>0</v>
          </cell>
          <cell r="P94">
            <v>1298.3244123134323</v>
          </cell>
          <cell r="Q94">
            <v>0</v>
          </cell>
          <cell r="R94"/>
          <cell r="S94"/>
          <cell r="T94"/>
          <cell r="U94"/>
          <cell r="V94">
            <v>15</v>
          </cell>
          <cell r="W94">
            <v>1055</v>
          </cell>
        </row>
        <row r="95">
          <cell r="A95" t="str">
            <v>4.3.1 12</v>
          </cell>
          <cell r="B95" t="str">
            <v>TRM21.6</v>
          </cell>
          <cell r="C95" t="str">
            <v>V5</v>
          </cell>
          <cell r="D95" t="str">
            <v>CI-HW_-STWH-V01-120602</v>
          </cell>
          <cell r="E95" t="str">
            <v>Storage Water Heater - Gas,High Efficiency, ≥88% TE, Bld Type = Average - EREP</v>
          </cell>
          <cell r="F95" t="str">
            <v>Storage Water Heater, &gt;88% TE EREP</v>
          </cell>
          <cell r="G95" t="str">
            <v>Water heater</v>
          </cell>
          <cell r="H95" t="str">
            <v>Commercial</v>
          </cell>
          <cell r="I95" t="str">
            <v>Unit</v>
          </cell>
          <cell r="J95">
            <v>0</v>
          </cell>
          <cell r="K95">
            <v>0</v>
          </cell>
          <cell r="L95">
            <v>127.62199431818175</v>
          </cell>
          <cell r="M95">
            <v>0</v>
          </cell>
          <cell r="N95">
            <v>0</v>
          </cell>
          <cell r="O95">
            <v>0</v>
          </cell>
          <cell r="P95">
            <v>1914.3299147727262</v>
          </cell>
          <cell r="Q95">
            <v>0</v>
          </cell>
          <cell r="R95"/>
          <cell r="S95"/>
          <cell r="T95"/>
          <cell r="U95"/>
          <cell r="V95">
            <v>15</v>
          </cell>
          <cell r="W95">
            <v>5765</v>
          </cell>
        </row>
        <row r="96">
          <cell r="A96"/>
          <cell r="B96"/>
          <cell r="C96"/>
          <cell r="D96"/>
          <cell r="E96"/>
          <cell r="F96"/>
          <cell r="G96"/>
          <cell r="H96"/>
          <cell r="I96"/>
          <cell r="J96"/>
          <cell r="K96"/>
          <cell r="L96"/>
          <cell r="M96"/>
          <cell r="N96"/>
          <cell r="O96"/>
          <cell r="P96"/>
          <cell r="Q96"/>
          <cell r="R96"/>
          <cell r="S96"/>
          <cell r="T96"/>
          <cell r="U96"/>
          <cell r="V96"/>
          <cell r="W96"/>
        </row>
        <row r="97">
          <cell r="A97" t="str">
            <v>4.3.2.1</v>
          </cell>
          <cell r="B97" t="str">
            <v>TRM22.1</v>
          </cell>
          <cell r="C97" t="str">
            <v>V5</v>
          </cell>
          <cell r="D97" t="str">
            <v>CI-HW_-LFFA-V03-130601</v>
          </cell>
          <cell r="E97" t="str">
            <v>Low Flow Faucet Aerators, Custom, DI Bath</v>
          </cell>
          <cell r="F97" t="str">
            <v>Faucet Aerators - Bath - DI</v>
          </cell>
          <cell r="G97" t="str">
            <v>Low-flow fixtures</v>
          </cell>
          <cell r="H97" t="str">
            <v>Commercial</v>
          </cell>
          <cell r="I97" t="str">
            <v>Project</v>
          </cell>
          <cell r="J97">
            <v>0</v>
          </cell>
          <cell r="K97">
            <v>0</v>
          </cell>
          <cell r="L97">
            <v>5.3328738669064739</v>
          </cell>
          <cell r="M97">
            <v>1343.2931654676258</v>
          </cell>
          <cell r="N97">
            <v>0</v>
          </cell>
          <cell r="O97">
            <v>0</v>
          </cell>
          <cell r="P97">
            <v>47.995864802158266</v>
          </cell>
          <cell r="Q97">
            <v>12089.638489208632</v>
          </cell>
          <cell r="R97" t="e">
            <v>#REF!</v>
          </cell>
          <cell r="S97">
            <v>12</v>
          </cell>
          <cell r="T97"/>
          <cell r="U97"/>
          <cell r="V97">
            <v>9</v>
          </cell>
          <cell r="W97">
            <v>12</v>
          </cell>
        </row>
        <row r="98">
          <cell r="A98" t="str">
            <v>4.3.2.2</v>
          </cell>
          <cell r="B98" t="str">
            <v>TRM22.2</v>
          </cell>
          <cell r="C98" t="str">
            <v>V5</v>
          </cell>
          <cell r="D98" t="str">
            <v>CI-HW_-LFFA-V03-130602</v>
          </cell>
          <cell r="E98" t="str">
            <v xml:space="preserve">Low Flow Faucet Aerators, Custom, DI Kitchen </v>
          </cell>
          <cell r="F98" t="str">
            <v>Faucet Aerators - Kitchen  - DI</v>
          </cell>
          <cell r="G98" t="str">
            <v>Low-flow fixtures</v>
          </cell>
          <cell r="H98" t="str">
            <v>Commercial</v>
          </cell>
          <cell r="I98" t="str">
            <v>Project</v>
          </cell>
          <cell r="J98">
            <v>0</v>
          </cell>
          <cell r="K98">
            <v>0</v>
          </cell>
          <cell r="L98">
            <v>6.5015389208633092</v>
          </cell>
          <cell r="M98">
            <v>1343.2931654676258</v>
          </cell>
          <cell r="N98">
            <v>0</v>
          </cell>
          <cell r="O98">
            <v>0</v>
          </cell>
          <cell r="P98">
            <v>58.513850287769785</v>
          </cell>
          <cell r="Q98">
            <v>12089.638489208632</v>
          </cell>
          <cell r="R98" t="e">
            <v>#REF!</v>
          </cell>
          <cell r="S98">
            <v>12</v>
          </cell>
          <cell r="T98"/>
          <cell r="U98"/>
          <cell r="V98">
            <v>9</v>
          </cell>
          <cell r="W98">
            <v>12</v>
          </cell>
        </row>
        <row r="99">
          <cell r="A99" t="str">
            <v>4.3.2.3</v>
          </cell>
          <cell r="B99" t="str">
            <v>TRM22.3</v>
          </cell>
          <cell r="C99" t="str">
            <v>V5</v>
          </cell>
          <cell r="D99" t="str">
            <v>CI-HW_-LFFA-V03-130602</v>
          </cell>
          <cell r="E99" t="str">
            <v>Low Flow Faucet Aerators, Health, DI Laminar Flow</v>
          </cell>
          <cell r="F99" t="str">
            <v>Laminar Flow</v>
          </cell>
          <cell r="G99" t="str">
            <v>Low-flow fixtures</v>
          </cell>
          <cell r="H99" t="str">
            <v>Commercial</v>
          </cell>
          <cell r="I99" t="str">
            <v>Project</v>
          </cell>
          <cell r="J99">
            <v>0</v>
          </cell>
          <cell r="K99">
            <v>0</v>
          </cell>
          <cell r="L99">
            <v>35.43134997342311</v>
          </cell>
          <cell r="M99">
            <v>6425.073529411764</v>
          </cell>
          <cell r="N99">
            <v>0</v>
          </cell>
          <cell r="O99">
            <v>0</v>
          </cell>
          <cell r="P99">
            <v>318.88214976080798</v>
          </cell>
          <cell r="Q99">
            <v>57825.661764705874</v>
          </cell>
          <cell r="R99" t="e">
            <v>#REF!</v>
          </cell>
          <cell r="S99">
            <v>14.27</v>
          </cell>
          <cell r="T99"/>
          <cell r="U99"/>
          <cell r="V99">
            <v>9</v>
          </cell>
          <cell r="W99">
            <v>14.27</v>
          </cell>
        </row>
        <row r="100">
          <cell r="A100"/>
          <cell r="B100"/>
          <cell r="C100"/>
          <cell r="D100"/>
          <cell r="E100"/>
          <cell r="F100"/>
          <cell r="G100"/>
          <cell r="H100"/>
          <cell r="I100"/>
          <cell r="J100"/>
          <cell r="K100"/>
          <cell r="L100"/>
          <cell r="M100"/>
          <cell r="N100"/>
          <cell r="O100"/>
          <cell r="P100"/>
          <cell r="Q100"/>
          <cell r="R100"/>
          <cell r="S100"/>
          <cell r="T100"/>
          <cell r="U100"/>
          <cell r="V100"/>
          <cell r="W100"/>
        </row>
        <row r="101">
          <cell r="A101" t="str">
            <v>4.3.3</v>
          </cell>
          <cell r="B101" t="str">
            <v>TRM23</v>
          </cell>
          <cell r="C101" t="str">
            <v>V5</v>
          </cell>
          <cell r="D101" t="str">
            <v>CI-HW_-LFSH-V02-120601</v>
          </cell>
          <cell r="E101" t="str">
            <v>Low Flow Showerheads 1.5 GPM - DI</v>
          </cell>
          <cell r="F101" t="str">
            <v>Low Flow Shower Heads - DI</v>
          </cell>
          <cell r="G101" t="str">
            <v>Low-flow fixtures</v>
          </cell>
          <cell r="H101" t="str">
            <v>Commercial</v>
          </cell>
          <cell r="I101" t="str">
            <v>Project</v>
          </cell>
          <cell r="J101">
            <v>0</v>
          </cell>
          <cell r="K101">
            <v>0</v>
          </cell>
          <cell r="L101">
            <v>21.634983278999997</v>
          </cell>
          <cell r="M101">
            <v>3434.1243299999996</v>
          </cell>
          <cell r="N101">
            <v>0</v>
          </cell>
          <cell r="O101">
            <v>0</v>
          </cell>
          <cell r="P101">
            <v>216.34983278999997</v>
          </cell>
          <cell r="Q101">
            <v>34341.243299999995</v>
          </cell>
          <cell r="R101"/>
          <cell r="S101">
            <v>35</v>
          </cell>
          <cell r="T101"/>
          <cell r="U101"/>
          <cell r="V101">
            <v>10</v>
          </cell>
          <cell r="W101">
            <v>35</v>
          </cell>
        </row>
        <row r="102">
          <cell r="A102"/>
          <cell r="B102"/>
          <cell r="C102"/>
          <cell r="D102"/>
          <cell r="E102"/>
          <cell r="F102"/>
          <cell r="G102"/>
          <cell r="H102"/>
          <cell r="I102"/>
          <cell r="J102"/>
          <cell r="K102"/>
          <cell r="L102"/>
          <cell r="M102"/>
          <cell r="N102"/>
          <cell r="O102"/>
          <cell r="P102"/>
          <cell r="Q102"/>
          <cell r="R102"/>
          <cell r="S102"/>
          <cell r="T102"/>
          <cell r="U102"/>
          <cell r="V102"/>
          <cell r="W102"/>
        </row>
        <row r="103">
          <cell r="A103" t="str">
            <v>4.3.4.1</v>
          </cell>
          <cell r="B103" t="str">
            <v>TRM24.1</v>
          </cell>
          <cell r="C103" t="str">
            <v>V5</v>
          </cell>
          <cell r="D103" t="str">
            <v>CI-HW_-PLCV-V01-130601</v>
          </cell>
          <cell r="E103" t="str">
            <v>Commercial Pool Covers, per 1,000 sf, Indoor</v>
          </cell>
          <cell r="F103" t="str">
            <v>Indoor Pool Covers</v>
          </cell>
          <cell r="G103" t="str">
            <v>Water heater</v>
          </cell>
          <cell r="H103" t="str">
            <v>Commercial</v>
          </cell>
          <cell r="I103" t="str">
            <v>Unit</v>
          </cell>
          <cell r="J103"/>
          <cell r="K103"/>
          <cell r="L103">
            <v>2610</v>
          </cell>
          <cell r="M103">
            <v>15280</v>
          </cell>
          <cell r="N103"/>
          <cell r="O103"/>
          <cell r="P103">
            <v>15660</v>
          </cell>
          <cell r="Q103">
            <v>91680</v>
          </cell>
          <cell r="R103"/>
          <cell r="S103">
            <v>2000</v>
          </cell>
          <cell r="T103"/>
          <cell r="U103"/>
          <cell r="V103">
            <v>6</v>
          </cell>
          <cell r="W103">
            <v>2000</v>
          </cell>
        </row>
        <row r="104">
          <cell r="A104" t="str">
            <v>4.3.4.2</v>
          </cell>
          <cell r="B104" t="str">
            <v>TRM24.2</v>
          </cell>
          <cell r="C104" t="str">
            <v>V5</v>
          </cell>
          <cell r="D104" t="str">
            <v>CI-HW_-PLCV-V01-130601</v>
          </cell>
          <cell r="E104" t="str">
            <v>Commercial Pool Covers, per 1,000 sf, Outdoor</v>
          </cell>
          <cell r="F104" t="str">
            <v>Outdoor Pool Covers</v>
          </cell>
          <cell r="G104" t="str">
            <v>Water heater</v>
          </cell>
          <cell r="H104" t="str">
            <v>Commercial</v>
          </cell>
          <cell r="I104" t="str">
            <v>Unit</v>
          </cell>
          <cell r="J104"/>
          <cell r="K104"/>
          <cell r="L104">
            <v>1010</v>
          </cell>
          <cell r="M104">
            <v>8940</v>
          </cell>
          <cell r="N104"/>
          <cell r="O104"/>
          <cell r="P104">
            <v>6060</v>
          </cell>
          <cell r="Q104">
            <v>53640</v>
          </cell>
          <cell r="R104"/>
          <cell r="S104">
            <v>2040</v>
          </cell>
          <cell r="T104"/>
          <cell r="U104"/>
          <cell r="V104">
            <v>6</v>
          </cell>
          <cell r="W104">
            <v>2040</v>
          </cell>
        </row>
        <row r="105">
          <cell r="A105"/>
          <cell r="B105"/>
          <cell r="C105"/>
          <cell r="D105"/>
          <cell r="E105"/>
          <cell r="F105"/>
          <cell r="G105"/>
          <cell r="H105"/>
          <cell r="I105"/>
          <cell r="J105"/>
          <cell r="K105"/>
          <cell r="L105"/>
          <cell r="M105"/>
          <cell r="N105"/>
          <cell r="O105"/>
          <cell r="P105"/>
          <cell r="Q105"/>
          <cell r="R105"/>
          <cell r="S105"/>
          <cell r="T105"/>
          <cell r="U105"/>
          <cell r="V105"/>
          <cell r="W105"/>
        </row>
        <row r="106">
          <cell r="A106" t="str">
            <v>4.3.6</v>
          </cell>
          <cell r="B106" t="str">
            <v>TRM102</v>
          </cell>
          <cell r="C106" t="str">
            <v>V5</v>
          </cell>
          <cell r="D106" t="str">
            <v>CI-HW-OZLD-V01-140601</v>
          </cell>
          <cell r="E106" t="str">
            <v>Ozone Laundry - 150 lbs capacity</v>
          </cell>
          <cell r="F106" t="str">
            <v>Ozone Laundry</v>
          </cell>
          <cell r="G106" t="str">
            <v>Clothes washers</v>
          </cell>
          <cell r="H106" t="str">
            <v>Commercial</v>
          </cell>
          <cell r="I106" t="str">
            <v>Unit</v>
          </cell>
          <cell r="J106">
            <v>2.93</v>
          </cell>
          <cell r="K106">
            <v>0</v>
          </cell>
          <cell r="L106">
            <v>4605</v>
          </cell>
          <cell r="M106">
            <v>274164.31618051731</v>
          </cell>
          <cell r="N106">
            <v>29.3</v>
          </cell>
          <cell r="O106">
            <v>0</v>
          </cell>
          <cell r="P106">
            <v>46050</v>
          </cell>
          <cell r="Q106">
            <v>2741643.1618051734</v>
          </cell>
          <cell r="R106"/>
          <cell r="S106">
            <v>11976</v>
          </cell>
          <cell r="T106"/>
          <cell r="U106"/>
          <cell r="V106">
            <v>10</v>
          </cell>
          <cell r="W106">
            <v>11976</v>
          </cell>
        </row>
        <row r="107">
          <cell r="A107" t="str">
            <v>4.3.6.T.1</v>
          </cell>
          <cell r="B107" t="str">
            <v>TRM102</v>
          </cell>
          <cell r="C107" t="str">
            <v>V5</v>
          </cell>
          <cell r="D107" t="str">
            <v>CI-HW-OZLD-V01-140601</v>
          </cell>
          <cell r="E107" t="str">
            <v>Ozone Laundry - 25 lbs capacity</v>
          </cell>
          <cell r="F107" t="str">
            <v>Ozone Laundry-25 lbs</v>
          </cell>
          <cell r="G107" t="str">
            <v>Clothes washers</v>
          </cell>
          <cell r="H107" t="str">
            <v>Commercial</v>
          </cell>
          <cell r="I107" t="str">
            <v>Unit</v>
          </cell>
          <cell r="J107">
            <v>2.93</v>
          </cell>
          <cell r="K107">
            <v>0</v>
          </cell>
          <cell r="L107">
            <v>767.5</v>
          </cell>
          <cell r="M107">
            <v>45694.052696752886</v>
          </cell>
          <cell r="N107">
            <v>29.3</v>
          </cell>
          <cell r="O107">
            <v>0</v>
          </cell>
          <cell r="P107">
            <v>7675</v>
          </cell>
          <cell r="Q107">
            <v>456940.52696752886</v>
          </cell>
          <cell r="R107"/>
          <cell r="S107">
            <v>1996</v>
          </cell>
          <cell r="T107"/>
          <cell r="U107"/>
          <cell r="V107">
            <v>10</v>
          </cell>
          <cell r="W107">
            <v>1996</v>
          </cell>
        </row>
        <row r="108">
          <cell r="A108" t="str">
            <v>4.3.6.T.2</v>
          </cell>
          <cell r="B108" t="str">
            <v>TRM102</v>
          </cell>
          <cell r="C108" t="str">
            <v>V5</v>
          </cell>
          <cell r="D108" t="str">
            <v>CI-HW-OZLD-V01-140601</v>
          </cell>
          <cell r="E108" t="str">
            <v>Ozone Laundry - 50 lbs capacity</v>
          </cell>
          <cell r="F108" t="str">
            <v>Ozone Laundry-50 lbs</v>
          </cell>
          <cell r="G108" t="str">
            <v>Clothes washers</v>
          </cell>
          <cell r="H108" t="str">
            <v>Commercial</v>
          </cell>
          <cell r="I108" t="str">
            <v>Unit</v>
          </cell>
          <cell r="J108">
            <v>2.93</v>
          </cell>
          <cell r="K108">
            <v>0</v>
          </cell>
          <cell r="L108">
            <v>1535</v>
          </cell>
          <cell r="M108">
            <v>91388.105393505772</v>
          </cell>
          <cell r="N108">
            <v>29.3</v>
          </cell>
          <cell r="O108">
            <v>0</v>
          </cell>
          <cell r="P108">
            <v>15350</v>
          </cell>
          <cell r="Q108">
            <v>913881.05393505772</v>
          </cell>
          <cell r="R108"/>
          <cell r="S108">
            <v>3992</v>
          </cell>
          <cell r="T108"/>
          <cell r="U108"/>
          <cell r="V108">
            <v>10</v>
          </cell>
          <cell r="W108">
            <v>3992</v>
          </cell>
        </row>
        <row r="109">
          <cell r="A109" t="str">
            <v>4.3.6.T.3</v>
          </cell>
          <cell r="B109" t="str">
            <v>TRM102</v>
          </cell>
          <cell r="C109" t="str">
            <v>V5</v>
          </cell>
          <cell r="D109" t="str">
            <v>CI-HW-OZLD-V01-140601</v>
          </cell>
          <cell r="E109" t="str">
            <v>Ozone Laundry - 100 lbs capacity</v>
          </cell>
          <cell r="F109" t="str">
            <v>Ozone Laundry-100 lbs</v>
          </cell>
          <cell r="G109" t="str">
            <v>Clothes washers</v>
          </cell>
          <cell r="H109" t="str">
            <v>Commercial</v>
          </cell>
          <cell r="I109" t="str">
            <v>Unit</v>
          </cell>
          <cell r="J109">
            <v>2.93</v>
          </cell>
          <cell r="K109">
            <v>0</v>
          </cell>
          <cell r="L109">
            <v>3070</v>
          </cell>
          <cell r="M109">
            <v>182776.21078701154</v>
          </cell>
          <cell r="N109">
            <v>29.3</v>
          </cell>
          <cell r="O109">
            <v>0</v>
          </cell>
          <cell r="P109">
            <v>30700</v>
          </cell>
          <cell r="Q109">
            <v>1827762.1078701154</v>
          </cell>
          <cell r="R109"/>
          <cell r="S109">
            <v>7984</v>
          </cell>
          <cell r="T109"/>
          <cell r="U109"/>
          <cell r="V109">
            <v>10</v>
          </cell>
          <cell r="W109">
            <v>7984</v>
          </cell>
        </row>
        <row r="110">
          <cell r="A110"/>
          <cell r="B110"/>
          <cell r="C110"/>
          <cell r="D110"/>
          <cell r="E110"/>
          <cell r="F110"/>
          <cell r="G110"/>
          <cell r="H110"/>
          <cell r="I110"/>
          <cell r="J110"/>
          <cell r="K110"/>
          <cell r="L110"/>
          <cell r="M110"/>
          <cell r="N110"/>
          <cell r="O110"/>
          <cell r="P110"/>
          <cell r="Q110"/>
          <cell r="R110"/>
          <cell r="S110"/>
          <cell r="T110"/>
          <cell r="U110"/>
          <cell r="V110"/>
          <cell r="W110"/>
        </row>
        <row r="111">
          <cell r="A111" t="str">
            <v>4.3.7.1</v>
          </cell>
          <cell r="B111" t="str">
            <v>TRM108</v>
          </cell>
          <cell r="C111" t="str">
            <v>V5</v>
          </cell>
          <cell r="D111" t="str">
            <v>CI-HW_-MDHW-V01-150601</v>
          </cell>
          <cell r="E111" t="str">
            <v>Central Domestic Hot Water Plants TOS</v>
          </cell>
          <cell r="F111" t="str">
            <v>Central Domestic Hot Water Plants</v>
          </cell>
          <cell r="G111" t="str">
            <v>Water heater</v>
          </cell>
          <cell r="H111" t="str">
            <v>Commercial</v>
          </cell>
          <cell r="I111" t="str">
            <v>Unit</v>
          </cell>
          <cell r="J111">
            <v>0</v>
          </cell>
          <cell r="K111">
            <v>0</v>
          </cell>
          <cell r="L111">
            <v>490.16000889311289</v>
          </cell>
          <cell r="M111"/>
          <cell r="N111">
            <v>0</v>
          </cell>
          <cell r="O111">
            <v>0</v>
          </cell>
          <cell r="P111">
            <v>7352.4001333966935</v>
          </cell>
          <cell r="Q111"/>
          <cell r="R111"/>
          <cell r="S111"/>
          <cell r="T111"/>
          <cell r="U111"/>
          <cell r="V111">
            <v>15</v>
          </cell>
          <cell r="W111">
            <v>0</v>
          </cell>
        </row>
        <row r="112">
          <cell r="A112"/>
          <cell r="B112"/>
          <cell r="C112"/>
          <cell r="D112"/>
          <cell r="E112"/>
          <cell r="F112"/>
          <cell r="G112"/>
          <cell r="H112"/>
          <cell r="I112"/>
          <cell r="J112"/>
          <cell r="K112"/>
          <cell r="L112"/>
          <cell r="M112"/>
          <cell r="N112"/>
          <cell r="O112"/>
          <cell r="P112"/>
          <cell r="Q112"/>
          <cell r="R112"/>
          <cell r="S112"/>
          <cell r="T112"/>
          <cell r="U112"/>
          <cell r="V112"/>
          <cell r="W112"/>
        </row>
        <row r="113">
          <cell r="A113" t="str">
            <v>4.3.8</v>
          </cell>
          <cell r="B113" t="str">
            <v>TRM109</v>
          </cell>
          <cell r="C113" t="str">
            <v>V5</v>
          </cell>
          <cell r="D113" t="str">
            <v>CI-HW_-CDHW-V01-150601</v>
          </cell>
          <cell r="E113" t="str">
            <v>Demand Controls for Central Domestic Hot Water - MF Buildings</v>
          </cell>
          <cell r="F113" t="str">
            <v>CDHW Controls - MF Buildings</v>
          </cell>
          <cell r="G113" t="str">
            <v>Water heater</v>
          </cell>
          <cell r="H113" t="str">
            <v>Commercial</v>
          </cell>
          <cell r="I113" t="str">
            <v>Project</v>
          </cell>
          <cell r="J113">
            <v>656</v>
          </cell>
          <cell r="K113">
            <v>0</v>
          </cell>
          <cell r="L113">
            <v>2507.4840221599998</v>
          </cell>
          <cell r="M113"/>
          <cell r="N113">
            <v>9840</v>
          </cell>
          <cell r="O113">
            <v>0</v>
          </cell>
          <cell r="P113">
            <v>37612.260332399994</v>
          </cell>
          <cell r="Q113"/>
          <cell r="R113"/>
          <cell r="S113">
            <v>2008</v>
          </cell>
          <cell r="T113"/>
          <cell r="U113"/>
          <cell r="V113">
            <v>15</v>
          </cell>
          <cell r="W113">
            <v>2008</v>
          </cell>
        </row>
        <row r="114">
          <cell r="A114" t="str">
            <v>4.3.8.3</v>
          </cell>
          <cell r="B114" t="str">
            <v>TRM109</v>
          </cell>
          <cell r="C114" t="str">
            <v>V5</v>
          </cell>
          <cell r="D114" t="str">
            <v>CI-HW_-CDHW-V01-150601</v>
          </cell>
          <cell r="E114" t="str">
            <v>Demand Controls for Central Domestic Hot Water - Dormitories</v>
          </cell>
          <cell r="F114" t="str">
            <v>CDHW Controls - Dormitories</v>
          </cell>
          <cell r="G114" t="str">
            <v>Water heater</v>
          </cell>
          <cell r="H114" t="str">
            <v>Commercial</v>
          </cell>
          <cell r="I114" t="str">
            <v>Project</v>
          </cell>
          <cell r="J114">
            <v>656</v>
          </cell>
          <cell r="K114">
            <v>0</v>
          </cell>
          <cell r="L114">
            <v>1205.96073024</v>
          </cell>
          <cell r="M114"/>
          <cell r="N114">
            <v>9840</v>
          </cell>
          <cell r="O114">
            <v>0</v>
          </cell>
          <cell r="P114">
            <v>18089.4109536</v>
          </cell>
          <cell r="Q114"/>
          <cell r="R114"/>
          <cell r="S114">
            <v>2008</v>
          </cell>
          <cell r="T114"/>
          <cell r="U114"/>
          <cell r="V114">
            <v>15</v>
          </cell>
          <cell r="W114">
            <v>2008</v>
          </cell>
        </row>
        <row r="115">
          <cell r="A115" t="str">
            <v>4.3.8.3.T</v>
          </cell>
          <cell r="B115" t="str">
            <v>TRM109</v>
          </cell>
          <cell r="C115" t="str">
            <v>V5</v>
          </cell>
          <cell r="D115" t="str">
            <v>CI-HW_-CDHW-V01-150601</v>
          </cell>
          <cell r="E115" t="str">
            <v>Demand Controls for Central Domestic Hot Water - Dormitories Teapot Small</v>
          </cell>
          <cell r="F115" t="str">
            <v>CDHW Controls - Dormitories - Teapot Small</v>
          </cell>
          <cell r="G115" t="str">
            <v>Water heater</v>
          </cell>
          <cell r="H115" t="str">
            <v>Commercial</v>
          </cell>
          <cell r="I115" t="str">
            <v>Project</v>
          </cell>
          <cell r="J115">
            <v>656</v>
          </cell>
          <cell r="K115">
            <v>0</v>
          </cell>
          <cell r="L115">
            <v>301.49018255999999</v>
          </cell>
          <cell r="M115"/>
          <cell r="N115">
            <v>9840</v>
          </cell>
          <cell r="O115">
            <v>0</v>
          </cell>
          <cell r="P115">
            <v>4522.3527383999999</v>
          </cell>
          <cell r="Q115"/>
          <cell r="R115"/>
          <cell r="S115">
            <v>2008</v>
          </cell>
          <cell r="T115"/>
          <cell r="U115"/>
          <cell r="V115">
            <v>15</v>
          </cell>
          <cell r="W115">
            <v>2008</v>
          </cell>
        </row>
        <row r="116">
          <cell r="A116" t="str">
            <v>4.3.8.T</v>
          </cell>
          <cell r="B116" t="str">
            <v>TRM109</v>
          </cell>
          <cell r="C116" t="str">
            <v>V5</v>
          </cell>
          <cell r="D116" t="str">
            <v>CI-HW_-CDHW-V01-150601</v>
          </cell>
          <cell r="E116" t="str">
            <v>Demand Controls for Central Domestic Hot Water - Dormitories - MF Buildings</v>
          </cell>
          <cell r="F116" t="str">
            <v>CDHW Controls - MF Buildings - Teapot Small</v>
          </cell>
          <cell r="G116" t="str">
            <v>Water heater</v>
          </cell>
          <cell r="H116" t="str">
            <v>Commercial</v>
          </cell>
          <cell r="I116" t="str">
            <v>Project</v>
          </cell>
          <cell r="J116">
            <v>656</v>
          </cell>
          <cell r="K116">
            <v>0</v>
          </cell>
          <cell r="L116">
            <v>626.87100553999994</v>
          </cell>
          <cell r="M116"/>
          <cell r="N116">
            <v>9840</v>
          </cell>
          <cell r="O116">
            <v>0</v>
          </cell>
          <cell r="P116">
            <v>9403.0650830999984</v>
          </cell>
          <cell r="Q116"/>
          <cell r="R116"/>
          <cell r="S116">
            <v>2008</v>
          </cell>
          <cell r="T116"/>
          <cell r="U116"/>
          <cell r="V116">
            <v>15</v>
          </cell>
          <cell r="W116">
            <v>2008</v>
          </cell>
        </row>
        <row r="117">
          <cell r="A117"/>
          <cell r="B117"/>
          <cell r="C117"/>
          <cell r="D117"/>
          <cell r="E117"/>
          <cell r="F117"/>
          <cell r="G117"/>
          <cell r="H117"/>
          <cell r="I117"/>
          <cell r="J117"/>
          <cell r="K117"/>
          <cell r="L117"/>
          <cell r="M117"/>
          <cell r="N117"/>
          <cell r="O117"/>
          <cell r="P117"/>
          <cell r="Q117"/>
          <cell r="R117"/>
          <cell r="S117"/>
          <cell r="T117"/>
          <cell r="U117"/>
          <cell r="V117"/>
          <cell r="W117"/>
        </row>
        <row r="118">
          <cell r="A118" t="str">
            <v>4.4.1</v>
          </cell>
          <cell r="B118" t="str">
            <v>TRM25</v>
          </cell>
          <cell r="C118" t="str">
            <v>V5</v>
          </cell>
          <cell r="D118" t="str">
            <v>CI-HVC-ACTU-V01-120601</v>
          </cell>
          <cell r="E118" t="str">
            <v>Air Conditioner Tune-up</v>
          </cell>
          <cell r="F118" t="str">
            <v>Air Conditioner Tune-up</v>
          </cell>
          <cell r="G118" t="str">
            <v>Air conditioner</v>
          </cell>
          <cell r="H118" t="str">
            <v>Commercial</v>
          </cell>
          <cell r="I118" t="str">
            <v>Project</v>
          </cell>
          <cell r="J118">
            <v>878</v>
          </cell>
          <cell r="K118">
            <v>0.39</v>
          </cell>
          <cell r="L118">
            <v>0</v>
          </cell>
          <cell r="M118">
            <v>0</v>
          </cell>
          <cell r="N118">
            <v>2634</v>
          </cell>
          <cell r="O118">
            <v>0.39</v>
          </cell>
          <cell r="P118">
            <v>0</v>
          </cell>
          <cell r="Q118">
            <v>0</v>
          </cell>
          <cell r="R118"/>
          <cell r="S118"/>
          <cell r="T118"/>
          <cell r="U118"/>
          <cell r="V118">
            <v>3</v>
          </cell>
          <cell r="W118">
            <v>105</v>
          </cell>
        </row>
        <row r="119">
          <cell r="A119"/>
          <cell r="B119"/>
          <cell r="C119"/>
          <cell r="D119"/>
          <cell r="E119"/>
          <cell r="F119"/>
          <cell r="G119"/>
          <cell r="H119"/>
          <cell r="I119"/>
          <cell r="J119"/>
          <cell r="K119"/>
          <cell r="L119"/>
          <cell r="M119"/>
          <cell r="N119"/>
          <cell r="O119"/>
          <cell r="P119"/>
          <cell r="Q119"/>
          <cell r="R119"/>
          <cell r="S119"/>
          <cell r="T119"/>
          <cell r="U119"/>
          <cell r="V119"/>
          <cell r="W119"/>
        </row>
        <row r="120">
          <cell r="A120" t="str">
            <v>4.4.3</v>
          </cell>
          <cell r="B120" t="str">
            <v>TRM26</v>
          </cell>
          <cell r="C120" t="str">
            <v>V5</v>
          </cell>
          <cell r="D120" t="str">
            <v>CI-HVC-PBTU-V02-130601</v>
          </cell>
          <cell r="E120" t="str">
            <v>Process Boiler Tune-up - 800 MBU</v>
          </cell>
          <cell r="F120" t="str">
            <v>Boiler Tune Up, Process</v>
          </cell>
          <cell r="G120" t="str">
            <v>Boilers</v>
          </cell>
          <cell r="H120" t="str">
            <v>Commercial</v>
          </cell>
          <cell r="I120" t="str">
            <v>Project</v>
          </cell>
          <cell r="J120">
            <v>0</v>
          </cell>
          <cell r="K120">
            <v>0</v>
          </cell>
          <cell r="L120">
            <v>469.84897416973854</v>
          </cell>
          <cell r="M120">
            <v>0</v>
          </cell>
          <cell r="N120">
            <v>0</v>
          </cell>
          <cell r="O120">
            <v>0</v>
          </cell>
          <cell r="P120">
            <v>1409.5469225092156</v>
          </cell>
          <cell r="Q120">
            <v>0</v>
          </cell>
          <cell r="R120"/>
          <cell r="S120">
            <v>664</v>
          </cell>
          <cell r="T120"/>
          <cell r="U120"/>
          <cell r="V120">
            <v>3</v>
          </cell>
          <cell r="W120">
            <v>664</v>
          </cell>
        </row>
        <row r="121">
          <cell r="A121"/>
          <cell r="B121"/>
          <cell r="C121"/>
          <cell r="D121"/>
          <cell r="E121"/>
          <cell r="F121"/>
          <cell r="G121"/>
          <cell r="H121"/>
          <cell r="I121"/>
          <cell r="J121"/>
          <cell r="K121"/>
          <cell r="L121"/>
          <cell r="M121"/>
          <cell r="N121"/>
          <cell r="O121"/>
          <cell r="P121"/>
          <cell r="Q121"/>
          <cell r="R121"/>
          <cell r="S121"/>
          <cell r="T121"/>
          <cell r="U121"/>
          <cell r="V121"/>
          <cell r="W121"/>
        </row>
        <row r="122">
          <cell r="A122" t="str">
            <v>4.4.5.B</v>
          </cell>
          <cell r="B122" t="str">
            <v>TRM27</v>
          </cell>
          <cell r="C122" t="str">
            <v>V5</v>
          </cell>
          <cell r="D122" t="str">
            <v>CI-HVC-CUHT-V01-120601</v>
          </cell>
          <cell r="E122" t="str">
            <v>Baseline Condensing Unit Heaters</v>
          </cell>
          <cell r="F122" t="str">
            <v>Baseline Condensing Unit Heaters, &gt;90% &lt;300 MBH</v>
          </cell>
          <cell r="G122" t="str">
            <v>Other HVAC</v>
          </cell>
          <cell r="H122" t="str">
            <v>Commercial</v>
          </cell>
          <cell r="I122" t="str">
            <v>Unit</v>
          </cell>
          <cell r="J122">
            <v>0</v>
          </cell>
          <cell r="K122">
            <v>0</v>
          </cell>
          <cell r="L122">
            <v>0</v>
          </cell>
          <cell r="M122">
            <v>0</v>
          </cell>
          <cell r="N122">
            <v>0</v>
          </cell>
          <cell r="O122">
            <v>0</v>
          </cell>
          <cell r="P122">
            <v>0</v>
          </cell>
          <cell r="Q122">
            <v>0</v>
          </cell>
          <cell r="R122">
            <v>1330</v>
          </cell>
          <cell r="S122">
            <v>676</v>
          </cell>
          <cell r="T122"/>
          <cell r="U122"/>
          <cell r="V122">
            <v>12</v>
          </cell>
          <cell r="W122">
            <v>676</v>
          </cell>
        </row>
        <row r="123">
          <cell r="A123" t="str">
            <v>4.4.5</v>
          </cell>
          <cell r="B123" t="str">
            <v>TRM27</v>
          </cell>
          <cell r="C123" t="str">
            <v>V5</v>
          </cell>
          <cell r="D123" t="str">
            <v>CI-HVC-CUHT-V01-120601</v>
          </cell>
          <cell r="E123" t="str">
            <v>Condensing Unit Heaters</v>
          </cell>
          <cell r="F123" t="str">
            <v>Condensing Unit Heaters, &gt;90% &lt;300 MBH</v>
          </cell>
          <cell r="G123" t="str">
            <v>Other HVAC</v>
          </cell>
          <cell r="H123" t="str">
            <v>Commercial</v>
          </cell>
          <cell r="I123" t="str">
            <v>Unit</v>
          </cell>
          <cell r="J123">
            <v>0</v>
          </cell>
          <cell r="K123">
            <v>0</v>
          </cell>
          <cell r="L123">
            <v>266</v>
          </cell>
          <cell r="M123">
            <v>0</v>
          </cell>
          <cell r="N123">
            <v>0</v>
          </cell>
          <cell r="O123">
            <v>0</v>
          </cell>
          <cell r="P123">
            <v>3192</v>
          </cell>
          <cell r="Q123">
            <v>0</v>
          </cell>
          <cell r="R123">
            <v>1330</v>
          </cell>
          <cell r="S123">
            <v>676</v>
          </cell>
          <cell r="T123"/>
          <cell r="U123"/>
          <cell r="V123">
            <v>12</v>
          </cell>
          <cell r="W123">
            <v>676</v>
          </cell>
        </row>
        <row r="124">
          <cell r="A124"/>
          <cell r="B124"/>
          <cell r="C124"/>
          <cell r="D124"/>
          <cell r="E124"/>
          <cell r="F124"/>
          <cell r="G124"/>
          <cell r="H124"/>
          <cell r="I124"/>
          <cell r="J124"/>
          <cell r="K124"/>
          <cell r="L124"/>
          <cell r="M124"/>
          <cell r="N124"/>
          <cell r="O124"/>
          <cell r="P124"/>
          <cell r="Q124"/>
          <cell r="R124"/>
          <cell r="S124"/>
          <cell r="T124"/>
          <cell r="U124"/>
          <cell r="V124"/>
          <cell r="W124"/>
        </row>
        <row r="125">
          <cell r="A125" t="str">
            <v>4.4.6</v>
          </cell>
          <cell r="B125" t="str">
            <v>TRM28</v>
          </cell>
          <cell r="C125" t="str">
            <v>V5</v>
          </cell>
          <cell r="D125" t="str">
            <v>CI-HVC-CHIL-V01-120601</v>
          </cell>
          <cell r="E125" t="str">
            <v>Electric Chiller</v>
          </cell>
          <cell r="F125" t="str">
            <v>Electric Chiller</v>
          </cell>
          <cell r="G125" t="str">
            <v>Air conditioner</v>
          </cell>
          <cell r="H125" t="str">
            <v>Commercial</v>
          </cell>
          <cell r="I125" t="str">
            <v>Unit</v>
          </cell>
          <cell r="J125">
            <v>8948.5714285714294</v>
          </cell>
          <cell r="K125">
            <v>7.5445423990478346</v>
          </cell>
          <cell r="L125">
            <v>0</v>
          </cell>
          <cell r="M125">
            <v>0</v>
          </cell>
          <cell r="N125">
            <v>178971.42857142858</v>
          </cell>
          <cell r="O125">
            <v>7.5445423990478346</v>
          </cell>
          <cell r="P125">
            <v>0</v>
          </cell>
          <cell r="Q125">
            <v>0</v>
          </cell>
          <cell r="R125"/>
          <cell r="S125"/>
          <cell r="T125"/>
          <cell r="U125"/>
          <cell r="V125">
            <v>20</v>
          </cell>
          <cell r="W125">
            <v>12700</v>
          </cell>
        </row>
        <row r="126">
          <cell r="A126"/>
          <cell r="B126"/>
          <cell r="C126"/>
          <cell r="D126"/>
          <cell r="E126"/>
          <cell r="F126"/>
          <cell r="G126"/>
          <cell r="H126"/>
          <cell r="I126"/>
          <cell r="J126"/>
          <cell r="K126"/>
          <cell r="L126"/>
          <cell r="M126"/>
          <cell r="N126"/>
          <cell r="O126"/>
          <cell r="P126"/>
          <cell r="Q126"/>
          <cell r="R126"/>
          <cell r="S126"/>
          <cell r="T126"/>
          <cell r="U126"/>
          <cell r="V126"/>
          <cell r="W126"/>
        </row>
        <row r="127">
          <cell r="A127" t="str">
            <v>4.4.7</v>
          </cell>
          <cell r="B127" t="str">
            <v>TRM29</v>
          </cell>
          <cell r="C127" t="str">
            <v>V5</v>
          </cell>
          <cell r="D127" t="str">
            <v>CI-HVC-ESRA-V01-120601</v>
          </cell>
          <cell r="E127" t="str">
            <v>ENERGY STAR and CEE Tier 1 Room Air Conditioner</v>
          </cell>
          <cell r="F127" t="str">
            <v>ENERGY STAR and CEE Tier 1 Room Air Conditioner</v>
          </cell>
          <cell r="G127" t="str">
            <v>Air conditioner</v>
          </cell>
          <cell r="H127" t="str">
            <v>Commercial</v>
          </cell>
          <cell r="I127" t="str">
            <v>Unit</v>
          </cell>
          <cell r="J127">
            <v>41.285894888928986</v>
          </cell>
          <cell r="K127">
            <v>0.14840166154957549</v>
          </cell>
          <cell r="L127">
            <v>0</v>
          </cell>
          <cell r="M127">
            <v>0</v>
          </cell>
          <cell r="N127">
            <v>371.57305400036086</v>
          </cell>
          <cell r="O127">
            <v>0.14840166154957549</v>
          </cell>
          <cell r="P127">
            <v>0</v>
          </cell>
          <cell r="Q127">
            <v>0</v>
          </cell>
          <cell r="R127"/>
          <cell r="S127"/>
          <cell r="T127"/>
          <cell r="U127"/>
          <cell r="V127">
            <v>9</v>
          </cell>
          <cell r="W127">
            <v>80</v>
          </cell>
        </row>
        <row r="128">
          <cell r="A128"/>
          <cell r="B128"/>
          <cell r="C128"/>
          <cell r="D128"/>
          <cell r="E128"/>
          <cell r="F128"/>
          <cell r="G128"/>
          <cell r="H128"/>
          <cell r="I128"/>
          <cell r="J128"/>
          <cell r="K128"/>
          <cell r="L128"/>
          <cell r="M128"/>
          <cell r="N128"/>
          <cell r="O128"/>
          <cell r="P128"/>
          <cell r="Q128"/>
          <cell r="R128"/>
          <cell r="S128"/>
          <cell r="T128"/>
          <cell r="U128"/>
          <cell r="V128"/>
          <cell r="W128"/>
        </row>
        <row r="129">
          <cell r="A129" t="str">
            <v>4.4.8.1</v>
          </cell>
          <cell r="B129" t="str">
            <v>TRM30.1</v>
          </cell>
          <cell r="C129" t="str">
            <v>V5</v>
          </cell>
          <cell r="D129" t="str">
            <v>CI-HVC-GREM-V01-120601</v>
          </cell>
          <cell r="E129" t="str">
            <v>Guest Room Energy Management - 3/4 - 1 ton ton Motel with No Housekeeping Setback</v>
          </cell>
          <cell r="F129" t="str">
            <v>Guest Room Energy Management Motel</v>
          </cell>
          <cell r="G129" t="str">
            <v>Controls</v>
          </cell>
          <cell r="H129" t="str">
            <v>Commercial</v>
          </cell>
          <cell r="I129" t="str">
            <v>Project</v>
          </cell>
          <cell r="J129">
            <v>143.58750000000003</v>
          </cell>
          <cell r="K129">
            <v>0</v>
          </cell>
          <cell r="L129">
            <v>55.737500000000004</v>
          </cell>
          <cell r="M129">
            <v>0</v>
          </cell>
          <cell r="N129">
            <v>2153.8125000000005</v>
          </cell>
          <cell r="O129">
            <v>0</v>
          </cell>
          <cell r="P129">
            <v>836.06250000000011</v>
          </cell>
          <cell r="Q129">
            <v>0</v>
          </cell>
          <cell r="R129"/>
          <cell r="S129"/>
          <cell r="T129"/>
          <cell r="U129"/>
          <cell r="V129">
            <v>15</v>
          </cell>
          <cell r="W129">
            <v>260</v>
          </cell>
        </row>
        <row r="130">
          <cell r="A130" t="str">
            <v>4.4.8.2</v>
          </cell>
          <cell r="B130" t="str">
            <v>TRM30.2</v>
          </cell>
          <cell r="C130" t="str">
            <v>V5</v>
          </cell>
          <cell r="D130" t="str">
            <v>CI-HVC-GREM-V01-120601</v>
          </cell>
          <cell r="E130" t="str">
            <v>Guest Room Energy Management - 3/4 - 1 ton ton Hotel with No Housekeeping Setback</v>
          </cell>
          <cell r="F130" t="str">
            <v>Guest Room Energy Management Hotel</v>
          </cell>
          <cell r="G130" t="str">
            <v>Controls</v>
          </cell>
          <cell r="H130" t="str">
            <v>Commercial</v>
          </cell>
          <cell r="I130" t="str">
            <v>Project</v>
          </cell>
          <cell r="J130">
            <v>155.47500000000002</v>
          </cell>
          <cell r="K130">
            <v>4.1250000000000002E-2</v>
          </cell>
          <cell r="L130">
            <v>5.4512499999999999</v>
          </cell>
          <cell r="M130">
            <v>0</v>
          </cell>
          <cell r="N130">
            <v>2332.1250000000005</v>
          </cell>
          <cell r="O130">
            <v>4.1250000000000002E-2</v>
          </cell>
          <cell r="P130">
            <v>81.768749999999997</v>
          </cell>
          <cell r="Q130">
            <v>0</v>
          </cell>
          <cell r="R130"/>
          <cell r="S130"/>
          <cell r="T130"/>
          <cell r="U130"/>
          <cell r="V130">
            <v>15</v>
          </cell>
          <cell r="W130">
            <v>260</v>
          </cell>
        </row>
        <row r="131">
          <cell r="A131"/>
          <cell r="B131"/>
          <cell r="C131"/>
          <cell r="D131"/>
          <cell r="E131"/>
          <cell r="F131"/>
          <cell r="G131"/>
          <cell r="H131"/>
          <cell r="I131"/>
          <cell r="J131"/>
          <cell r="K131"/>
          <cell r="L131"/>
          <cell r="M131"/>
          <cell r="N131"/>
          <cell r="O131"/>
          <cell r="P131"/>
          <cell r="Q131"/>
          <cell r="R131"/>
          <cell r="S131"/>
          <cell r="T131"/>
          <cell r="U131"/>
          <cell r="V131"/>
          <cell r="W131"/>
        </row>
        <row r="132">
          <cell r="A132" t="str">
            <v>4.4.9</v>
          </cell>
          <cell r="B132" t="str">
            <v>TRM31</v>
          </cell>
          <cell r="C132" t="str">
            <v>V5</v>
          </cell>
          <cell r="D132" t="str">
            <v>CI-HVC-HPSY-V01-120601</v>
          </cell>
          <cell r="E132" t="str">
            <v>Heat Pump Systems</v>
          </cell>
          <cell r="F132" t="str">
            <v>Heat Pump Systems</v>
          </cell>
          <cell r="G132" t="str">
            <v>Heat pumps</v>
          </cell>
          <cell r="H132" t="str">
            <v>Commercial</v>
          </cell>
          <cell r="I132" t="str">
            <v>Unit</v>
          </cell>
          <cell r="J132">
            <v>461.42857142857457</v>
          </cell>
          <cell r="K132">
            <v>0.17390476190476356</v>
          </cell>
          <cell r="L132">
            <v>0</v>
          </cell>
          <cell r="M132">
            <v>0</v>
          </cell>
          <cell r="N132">
            <v>6921.4285714286189</v>
          </cell>
          <cell r="O132">
            <v>0.17390476190476356</v>
          </cell>
          <cell r="P132">
            <v>0</v>
          </cell>
          <cell r="Q132">
            <v>0</v>
          </cell>
          <cell r="R132"/>
          <cell r="S132"/>
          <cell r="T132"/>
          <cell r="U132"/>
          <cell r="V132">
            <v>15</v>
          </cell>
          <cell r="W132">
            <v>833.33333333333337</v>
          </cell>
        </row>
        <row r="133">
          <cell r="A133"/>
          <cell r="B133"/>
          <cell r="C133"/>
          <cell r="D133"/>
          <cell r="E133"/>
          <cell r="F133"/>
          <cell r="G133"/>
          <cell r="H133"/>
          <cell r="I133"/>
          <cell r="J133"/>
          <cell r="K133"/>
          <cell r="L133"/>
          <cell r="M133"/>
          <cell r="N133"/>
          <cell r="O133"/>
          <cell r="P133"/>
          <cell r="Q133"/>
          <cell r="R133"/>
          <cell r="S133"/>
          <cell r="T133"/>
          <cell r="U133"/>
          <cell r="V133"/>
          <cell r="W133"/>
        </row>
        <row r="134">
          <cell r="A134" t="str">
            <v>4.4.12</v>
          </cell>
          <cell r="B134" t="str">
            <v>TRM32</v>
          </cell>
          <cell r="C134" t="str">
            <v>V5</v>
          </cell>
          <cell r="D134" t="str">
            <v>CI-HVC-IRHT-V01-120601</v>
          </cell>
          <cell r="E134" t="str">
            <v xml:space="preserve">Baseline Infrared Heaters (all sizes), Low Intensity </v>
          </cell>
          <cell r="F134" t="str">
            <v>Infrared Heaters</v>
          </cell>
          <cell r="G134" t="str">
            <v>Other HVAC</v>
          </cell>
          <cell r="H134" t="str">
            <v>Commercial</v>
          </cell>
          <cell r="I134" t="str">
            <v>Unit</v>
          </cell>
          <cell r="J134">
            <v>0</v>
          </cell>
          <cell r="K134">
            <v>0</v>
          </cell>
          <cell r="L134">
            <v>0</v>
          </cell>
          <cell r="M134">
            <v>0</v>
          </cell>
          <cell r="N134">
            <v>0</v>
          </cell>
          <cell r="O134">
            <v>0</v>
          </cell>
          <cell r="P134">
            <v>0</v>
          </cell>
          <cell r="Q134">
            <v>0</v>
          </cell>
          <cell r="R134">
            <v>2641.5714285714289</v>
          </cell>
          <cell r="S134">
            <v>1716</v>
          </cell>
          <cell r="T134"/>
          <cell r="U134"/>
          <cell r="V134">
            <v>12</v>
          </cell>
          <cell r="W134">
            <v>1716</v>
          </cell>
        </row>
        <row r="135">
          <cell r="A135" t="str">
            <v>4.4.12</v>
          </cell>
          <cell r="B135" t="str">
            <v>TRM32</v>
          </cell>
          <cell r="C135" t="str">
            <v>V5</v>
          </cell>
          <cell r="D135" t="str">
            <v>CI-HVC-IRHT-V01-120601</v>
          </cell>
          <cell r="E135" t="str">
            <v xml:space="preserve">Infrared Heaters (all sizes), Low Intensity </v>
          </cell>
          <cell r="F135" t="str">
            <v>Infrared Heaters</v>
          </cell>
          <cell r="G135" t="str">
            <v>Other HVAC</v>
          </cell>
          <cell r="H135" t="str">
            <v>Commercial</v>
          </cell>
          <cell r="I135" t="str">
            <v>Unit</v>
          </cell>
          <cell r="J135">
            <v>0</v>
          </cell>
          <cell r="K135">
            <v>0</v>
          </cell>
          <cell r="L135">
            <v>451</v>
          </cell>
          <cell r="M135">
            <v>0</v>
          </cell>
          <cell r="N135">
            <v>0</v>
          </cell>
          <cell r="O135">
            <v>0</v>
          </cell>
          <cell r="P135">
            <v>5412</v>
          </cell>
          <cell r="Q135">
            <v>0</v>
          </cell>
          <cell r="R135">
            <v>2641.5714285714289</v>
          </cell>
          <cell r="S135">
            <v>1716</v>
          </cell>
          <cell r="T135"/>
          <cell r="U135"/>
          <cell r="V135">
            <v>12</v>
          </cell>
          <cell r="W135">
            <v>1716</v>
          </cell>
        </row>
        <row r="136">
          <cell r="A136"/>
          <cell r="B136"/>
          <cell r="C136"/>
          <cell r="D136"/>
          <cell r="E136"/>
          <cell r="F136"/>
          <cell r="G136"/>
          <cell r="H136"/>
          <cell r="I136"/>
          <cell r="J136"/>
          <cell r="K136"/>
          <cell r="L136"/>
          <cell r="M136"/>
          <cell r="N136"/>
          <cell r="O136"/>
          <cell r="P136"/>
          <cell r="Q136"/>
          <cell r="R136"/>
          <cell r="S136"/>
          <cell r="T136"/>
          <cell r="U136"/>
          <cell r="V136"/>
          <cell r="W136"/>
        </row>
        <row r="137">
          <cell r="A137" t="str">
            <v>4.4.13</v>
          </cell>
          <cell r="B137" t="str">
            <v>TRM33</v>
          </cell>
          <cell r="C137" t="str">
            <v>V5</v>
          </cell>
          <cell r="D137" t="str">
            <v>CI-HVC-PTAC-V03-130601</v>
          </cell>
          <cell r="E137" t="str">
            <v>Package Terminal Air Conditioner (PTAC) and Package Terminal Heat Pump (PTHP)</v>
          </cell>
          <cell r="F137" t="str">
            <v>Package Terminal AC (PTAC) and Heat Pump (PTHP)</v>
          </cell>
          <cell r="G137" t="str">
            <v>Heat pumps</v>
          </cell>
          <cell r="H137" t="str">
            <v>Commercial</v>
          </cell>
          <cell r="I137" t="str">
            <v>Unit</v>
          </cell>
          <cell r="J137">
            <v>475.85234899328839</v>
          </cell>
          <cell r="K137">
            <v>0.53046788111217624</v>
          </cell>
          <cell r="L137">
            <v>0</v>
          </cell>
          <cell r="M137">
            <v>0</v>
          </cell>
          <cell r="N137">
            <v>7137.7852348993256</v>
          </cell>
          <cell r="O137">
            <v>0.53046788111217624</v>
          </cell>
          <cell r="P137">
            <v>0</v>
          </cell>
          <cell r="Q137">
            <v>0</v>
          </cell>
          <cell r="R137"/>
          <cell r="S137"/>
          <cell r="T137"/>
          <cell r="U137"/>
          <cell r="V137">
            <v>15</v>
          </cell>
          <cell r="W137">
            <v>84</v>
          </cell>
        </row>
        <row r="138">
          <cell r="A138"/>
          <cell r="B138"/>
          <cell r="C138"/>
          <cell r="D138"/>
          <cell r="E138"/>
          <cell r="F138"/>
          <cell r="G138"/>
          <cell r="H138"/>
          <cell r="I138"/>
          <cell r="J138"/>
          <cell r="K138"/>
          <cell r="L138"/>
          <cell r="M138"/>
          <cell r="N138"/>
          <cell r="O138"/>
          <cell r="P138"/>
          <cell r="Q138"/>
          <cell r="R138"/>
          <cell r="S138"/>
          <cell r="T138"/>
          <cell r="U138"/>
          <cell r="V138"/>
          <cell r="W138"/>
        </row>
        <row r="139">
          <cell r="A139" t="str">
            <v>4.4.15</v>
          </cell>
          <cell r="B139" t="str">
            <v>TRM34</v>
          </cell>
          <cell r="C139" t="str">
            <v>V5</v>
          </cell>
          <cell r="D139" t="str">
            <v>CI-HVC-SPUA-V01-120601</v>
          </cell>
          <cell r="E139" t="str">
            <v>Single-Package and Split System Unitary Air Conditioners</v>
          </cell>
          <cell r="F139" t="str">
            <v>Single-Package and Split System Unitary AC</v>
          </cell>
          <cell r="G139" t="str">
            <v>Air conditioner</v>
          </cell>
          <cell r="H139" t="str">
            <v>Commercial</v>
          </cell>
          <cell r="I139" t="str">
            <v>Unit</v>
          </cell>
          <cell r="J139">
            <v>320.54907853449407</v>
          </cell>
          <cell r="K139">
            <v>0.39307379679144377</v>
          </cell>
          <cell r="L139">
            <v>0</v>
          </cell>
          <cell r="M139">
            <v>0</v>
          </cell>
          <cell r="N139">
            <v>4808.2361780174115</v>
          </cell>
          <cell r="O139">
            <v>0.39307379679144377</v>
          </cell>
          <cell r="P139">
            <v>0</v>
          </cell>
          <cell r="Q139">
            <v>0</v>
          </cell>
          <cell r="R139"/>
          <cell r="S139"/>
          <cell r="T139"/>
          <cell r="U139"/>
          <cell r="V139">
            <v>15</v>
          </cell>
          <cell r="W139">
            <v>200</v>
          </cell>
        </row>
        <row r="140">
          <cell r="A140"/>
          <cell r="B140"/>
          <cell r="C140"/>
          <cell r="D140"/>
          <cell r="E140"/>
          <cell r="F140"/>
          <cell r="G140"/>
          <cell r="H140"/>
          <cell r="I140"/>
          <cell r="J140"/>
          <cell r="K140"/>
          <cell r="L140"/>
          <cell r="M140"/>
          <cell r="N140"/>
          <cell r="O140"/>
          <cell r="P140"/>
          <cell r="Q140"/>
          <cell r="R140"/>
          <cell r="S140"/>
          <cell r="T140"/>
          <cell r="U140"/>
          <cell r="V140"/>
          <cell r="W140"/>
        </row>
        <row r="141">
          <cell r="A141" t="str">
            <v>4.4.18.1</v>
          </cell>
          <cell r="B141" t="str">
            <v>TRM103.1</v>
          </cell>
          <cell r="C141" t="str">
            <v>V5</v>
          </cell>
          <cell r="D141" t="str">
            <v>CI-HVC-PROG-V01-140601</v>
          </cell>
          <cell r="E141" t="str">
            <v>Programmable Thermostats - Assembly</v>
          </cell>
          <cell r="F141" t="str">
            <v>Programmable Thermostats - Assembly</v>
          </cell>
          <cell r="G141" t="str">
            <v>Thermostats</v>
          </cell>
          <cell r="H141" t="str">
            <v>Commercial</v>
          </cell>
          <cell r="I141" t="str">
            <v>Unit</v>
          </cell>
          <cell r="J141">
            <v>98</v>
          </cell>
          <cell r="K141">
            <v>5</v>
          </cell>
          <cell r="L141">
            <v>56.13000000000001</v>
          </cell>
          <cell r="M141">
            <v>0</v>
          </cell>
          <cell r="N141">
            <v>150</v>
          </cell>
          <cell r="O141">
            <v>20</v>
          </cell>
          <cell r="P141">
            <v>60</v>
          </cell>
          <cell r="Q141">
            <v>0</v>
          </cell>
          <cell r="R141"/>
          <cell r="S141">
            <v>181</v>
          </cell>
          <cell r="T141"/>
          <cell r="U141"/>
          <cell r="V141">
            <v>4</v>
          </cell>
          <cell r="W141">
            <v>181</v>
          </cell>
        </row>
        <row r="142">
          <cell r="A142" t="str">
            <v>4.4.18.2</v>
          </cell>
          <cell r="B142" t="str">
            <v>TRM103.2</v>
          </cell>
          <cell r="C142" t="str">
            <v>V5</v>
          </cell>
          <cell r="D142" t="str">
            <v>CI-HVC-PROG-V01-140601</v>
          </cell>
          <cell r="E142" t="str">
            <v>Programmable Thermostats - Convenience Store</v>
          </cell>
          <cell r="F142" t="str">
            <v>Programmable Thermostats - Convenience Store</v>
          </cell>
          <cell r="G142" t="str">
            <v>Thermostats</v>
          </cell>
          <cell r="H142" t="str">
            <v>Commercial</v>
          </cell>
          <cell r="I142" t="str">
            <v>Unit</v>
          </cell>
          <cell r="J142">
            <v>108</v>
          </cell>
          <cell r="K142">
            <v>5</v>
          </cell>
          <cell r="L142">
            <v>2.4990000000000179</v>
          </cell>
          <cell r="M142">
            <v>0</v>
          </cell>
          <cell r="N142">
            <v>150</v>
          </cell>
          <cell r="O142">
            <v>20</v>
          </cell>
          <cell r="P142">
            <v>60</v>
          </cell>
          <cell r="Q142">
            <v>0</v>
          </cell>
          <cell r="R142"/>
          <cell r="S142">
            <v>181</v>
          </cell>
          <cell r="T142"/>
          <cell r="U142"/>
          <cell r="V142">
            <v>4</v>
          </cell>
          <cell r="W142">
            <v>181</v>
          </cell>
        </row>
        <row r="143">
          <cell r="A143" t="str">
            <v>4.4.18.3</v>
          </cell>
          <cell r="B143" t="str">
            <v>TRM103.3</v>
          </cell>
          <cell r="C143" t="str">
            <v>V5</v>
          </cell>
          <cell r="D143" t="str">
            <v>CI-HVC-PROG-V01-140601</v>
          </cell>
          <cell r="E143" t="str">
            <v>Programmable Thermostats - Office - Low Rise</v>
          </cell>
          <cell r="F143" t="str">
            <v>Programmable Thermostats - Office - Low Rise</v>
          </cell>
          <cell r="G143" t="str">
            <v>Thermostats</v>
          </cell>
          <cell r="H143" t="str">
            <v>Commercial</v>
          </cell>
          <cell r="I143" t="str">
            <v>Unit</v>
          </cell>
          <cell r="J143">
            <v>55</v>
          </cell>
          <cell r="K143">
            <v>5</v>
          </cell>
          <cell r="L143">
            <v>14.399999999999979</v>
          </cell>
          <cell r="M143">
            <v>0</v>
          </cell>
          <cell r="N143">
            <v>150</v>
          </cell>
          <cell r="O143">
            <v>20</v>
          </cell>
          <cell r="P143">
            <v>60</v>
          </cell>
          <cell r="Q143">
            <v>0</v>
          </cell>
          <cell r="R143"/>
          <cell r="S143">
            <v>181</v>
          </cell>
          <cell r="T143"/>
          <cell r="U143"/>
          <cell r="V143">
            <v>4</v>
          </cell>
          <cell r="W143">
            <v>181</v>
          </cell>
        </row>
        <row r="144">
          <cell r="A144" t="str">
            <v>4.4.18.4</v>
          </cell>
          <cell r="B144" t="str">
            <v>TRM103.4</v>
          </cell>
          <cell r="C144" t="str">
            <v>V5</v>
          </cell>
          <cell r="D144" t="str">
            <v>CI-HVC-PROG-V01-140601</v>
          </cell>
          <cell r="E144" t="str">
            <v>Programmable Thermostats - Religious Facility</v>
          </cell>
          <cell r="F144" t="str">
            <v>Programmable Thermostats - Religious Facility</v>
          </cell>
          <cell r="G144" t="str">
            <v>Thermostats</v>
          </cell>
          <cell r="H144" t="str">
            <v>Commercial</v>
          </cell>
          <cell r="I144" t="str">
            <v>Unit</v>
          </cell>
          <cell r="J144">
            <v>133</v>
          </cell>
          <cell r="K144">
            <v>5</v>
          </cell>
          <cell r="L144">
            <v>47.114999999999974</v>
          </cell>
          <cell r="M144">
            <v>0</v>
          </cell>
          <cell r="N144">
            <v>150</v>
          </cell>
          <cell r="O144">
            <v>20</v>
          </cell>
          <cell r="P144">
            <v>60</v>
          </cell>
          <cell r="Q144">
            <v>0</v>
          </cell>
          <cell r="R144"/>
          <cell r="S144">
            <v>181</v>
          </cell>
          <cell r="T144"/>
          <cell r="U144"/>
          <cell r="V144">
            <v>4</v>
          </cell>
          <cell r="W144">
            <v>181</v>
          </cell>
        </row>
        <row r="145">
          <cell r="A145" t="str">
            <v>4.4.18.5</v>
          </cell>
          <cell r="B145" t="str">
            <v>TRM103.5</v>
          </cell>
          <cell r="C145" t="str">
            <v>V5</v>
          </cell>
          <cell r="D145" t="str">
            <v>CI-HVC-PROG-V01-140601</v>
          </cell>
          <cell r="E145" t="str">
            <v>Programmable Thermostats - Restaurant – Fast Food</v>
          </cell>
          <cell r="F145" t="str">
            <v>Programmable Thermostats - Restaurant – Fast Food</v>
          </cell>
          <cell r="G145" t="str">
            <v>Thermostats</v>
          </cell>
          <cell r="H145" t="str">
            <v>Commercial</v>
          </cell>
          <cell r="I145" t="str">
            <v>Unit</v>
          </cell>
          <cell r="J145">
            <v>108</v>
          </cell>
          <cell r="K145">
            <v>5</v>
          </cell>
          <cell r="L145">
            <v>71.79000000000002</v>
          </cell>
          <cell r="M145">
            <v>0</v>
          </cell>
          <cell r="N145">
            <v>150</v>
          </cell>
          <cell r="O145">
            <v>20</v>
          </cell>
          <cell r="P145">
            <v>60</v>
          </cell>
          <cell r="Q145">
            <v>0</v>
          </cell>
          <cell r="R145"/>
          <cell r="S145">
            <v>181</v>
          </cell>
          <cell r="T145"/>
          <cell r="U145"/>
          <cell r="V145">
            <v>4</v>
          </cell>
          <cell r="W145">
            <v>181</v>
          </cell>
        </row>
        <row r="146">
          <cell r="A146" t="str">
            <v>4.4.18.6</v>
          </cell>
          <cell r="B146" t="str">
            <v>TRM103.6</v>
          </cell>
          <cell r="C146" t="str">
            <v>V5</v>
          </cell>
          <cell r="D146" t="str">
            <v>CI-HVC-PROG-V01-140601</v>
          </cell>
          <cell r="E146" t="str">
            <v>Programmable Thermostats - Restaurant – Full Service</v>
          </cell>
          <cell r="F146" t="str">
            <v>Programmable Thermostats - Restaurant – Full Service</v>
          </cell>
          <cell r="G146" t="str">
            <v>Thermostats</v>
          </cell>
          <cell r="H146" t="str">
            <v>Commercial</v>
          </cell>
          <cell r="I146" t="str">
            <v>Unit</v>
          </cell>
          <cell r="J146">
            <v>117</v>
          </cell>
          <cell r="K146">
            <v>5</v>
          </cell>
          <cell r="L146">
            <v>30.835499999999971</v>
          </cell>
          <cell r="M146">
            <v>0</v>
          </cell>
          <cell r="N146">
            <v>150</v>
          </cell>
          <cell r="O146">
            <v>20</v>
          </cell>
          <cell r="P146">
            <v>60</v>
          </cell>
          <cell r="Q146">
            <v>0</v>
          </cell>
          <cell r="R146"/>
          <cell r="S146">
            <v>181</v>
          </cell>
          <cell r="T146"/>
          <cell r="U146"/>
          <cell r="V146">
            <v>4</v>
          </cell>
          <cell r="W146">
            <v>181</v>
          </cell>
        </row>
        <row r="147">
          <cell r="A147" t="str">
            <v>4.4.18.7</v>
          </cell>
          <cell r="B147" t="str">
            <v>TRM103.7</v>
          </cell>
          <cell r="C147" t="str">
            <v>V5</v>
          </cell>
          <cell r="D147" t="str">
            <v>CI-HVC-PROG-V01-140601</v>
          </cell>
          <cell r="E147" t="str">
            <v>Programmable Thermostats - Retail – Department Store</v>
          </cell>
          <cell r="F147" t="str">
            <v>Programmable Thermostats - Retail – Department Store</v>
          </cell>
          <cell r="G147" t="str">
            <v>Thermostats</v>
          </cell>
          <cell r="H147" t="str">
            <v>Commercial</v>
          </cell>
          <cell r="I147" t="str">
            <v>Unit</v>
          </cell>
          <cell r="J147">
            <v>93</v>
          </cell>
          <cell r="K147">
            <v>5</v>
          </cell>
          <cell r="L147">
            <v>36.310500000000005</v>
          </cell>
          <cell r="M147">
            <v>0</v>
          </cell>
          <cell r="N147">
            <v>150</v>
          </cell>
          <cell r="O147">
            <v>20</v>
          </cell>
          <cell r="P147">
            <v>60</v>
          </cell>
          <cell r="Q147">
            <v>0</v>
          </cell>
          <cell r="R147"/>
          <cell r="S147">
            <v>181</v>
          </cell>
          <cell r="T147"/>
          <cell r="U147"/>
          <cell r="V147">
            <v>4</v>
          </cell>
          <cell r="W147">
            <v>181</v>
          </cell>
        </row>
        <row r="148">
          <cell r="A148" t="str">
            <v>4.4.18.8</v>
          </cell>
          <cell r="B148" t="str">
            <v>TRM103.8</v>
          </cell>
          <cell r="C148" t="str">
            <v>V5</v>
          </cell>
          <cell r="D148" t="str">
            <v>CI-HVC-PROG-V01-140601</v>
          </cell>
          <cell r="E148" t="str">
            <v>Programmable Thermostats - Retail – Strip Mall</v>
          </cell>
          <cell r="F148" t="str">
            <v>Programmable Thermostats - Retail – Strip Mall</v>
          </cell>
          <cell r="G148" t="str">
            <v>Thermostats</v>
          </cell>
          <cell r="H148" t="str">
            <v>Commercial</v>
          </cell>
          <cell r="I148" t="str">
            <v>Unit</v>
          </cell>
          <cell r="J148">
            <v>93</v>
          </cell>
          <cell r="K148">
            <v>5</v>
          </cell>
          <cell r="L148">
            <v>43.762499999999996</v>
          </cell>
          <cell r="M148">
            <v>0</v>
          </cell>
          <cell r="N148">
            <v>150</v>
          </cell>
          <cell r="O148">
            <v>20</v>
          </cell>
          <cell r="P148">
            <v>60</v>
          </cell>
          <cell r="Q148">
            <v>0</v>
          </cell>
          <cell r="R148"/>
          <cell r="S148">
            <v>181</v>
          </cell>
          <cell r="T148"/>
          <cell r="U148"/>
          <cell r="V148">
            <v>4</v>
          </cell>
          <cell r="W148">
            <v>181</v>
          </cell>
        </row>
        <row r="149">
          <cell r="A149"/>
          <cell r="B149"/>
          <cell r="C149"/>
          <cell r="D149"/>
          <cell r="E149"/>
          <cell r="F149"/>
          <cell r="G149"/>
          <cell r="H149"/>
          <cell r="I149"/>
          <cell r="J149"/>
          <cell r="K149"/>
          <cell r="L149"/>
          <cell r="M149"/>
          <cell r="N149"/>
          <cell r="O149"/>
          <cell r="P149"/>
          <cell r="Q149"/>
          <cell r="R149"/>
          <cell r="S149"/>
          <cell r="T149"/>
          <cell r="U149"/>
          <cell r="V149"/>
          <cell r="W149"/>
        </row>
        <row r="150">
          <cell r="A150" t="str">
            <v>4.4.19</v>
          </cell>
          <cell r="B150" t="str">
            <v>TRM104.1</v>
          </cell>
          <cell r="C150" t="str">
            <v>V5</v>
          </cell>
          <cell r="D150" t="str">
            <v>CI-HVC-DCV-V01-14060</v>
          </cell>
          <cell r="E150" t="str">
            <v>Demand Controlled Ventilation - Office Building</v>
          </cell>
          <cell r="F150" t="str">
            <v>DCV - Office Building</v>
          </cell>
          <cell r="G150" t="str">
            <v>Controls</v>
          </cell>
          <cell r="H150" t="str">
            <v>Commercial</v>
          </cell>
          <cell r="I150" t="str">
            <v>Unit</v>
          </cell>
          <cell r="J150">
            <v>2227</v>
          </cell>
          <cell r="K150">
            <v>0</v>
          </cell>
          <cell r="L150">
            <v>4539.0333333333338</v>
          </cell>
          <cell r="M150">
            <v>0</v>
          </cell>
          <cell r="N150">
            <v>22270</v>
          </cell>
          <cell r="O150">
            <v>0</v>
          </cell>
          <cell r="P150">
            <v>45390.333333333336</v>
          </cell>
          <cell r="Q150">
            <v>0</v>
          </cell>
          <cell r="R150"/>
          <cell r="S150">
            <v>20850</v>
          </cell>
          <cell r="T150"/>
          <cell r="U150"/>
          <cell r="V150">
            <v>10</v>
          </cell>
          <cell r="W150">
            <v>20850</v>
          </cell>
        </row>
        <row r="151">
          <cell r="A151" t="str">
            <v>4.4.19.2</v>
          </cell>
          <cell r="B151" t="str">
            <v>TRM104.2</v>
          </cell>
          <cell r="C151" t="str">
            <v>V5</v>
          </cell>
          <cell r="D151" t="str">
            <v>CI-HVC-DCV-V01-14060</v>
          </cell>
          <cell r="E151" t="str">
            <v>Demand Controlled Ventilation - Restaurant</v>
          </cell>
          <cell r="F151" t="str">
            <v>DCV - Restaurant</v>
          </cell>
          <cell r="G151" t="str">
            <v>Controls</v>
          </cell>
          <cell r="H151" t="str">
            <v>Commercial</v>
          </cell>
          <cell r="I151" t="str">
            <v>Unit</v>
          </cell>
          <cell r="J151">
            <v>2579</v>
          </cell>
          <cell r="K151">
            <v>0</v>
          </cell>
          <cell r="L151">
            <v>932.25</v>
          </cell>
          <cell r="M151">
            <v>0</v>
          </cell>
          <cell r="N151">
            <v>25790</v>
          </cell>
          <cell r="O151">
            <v>0</v>
          </cell>
          <cell r="P151">
            <v>9322.5</v>
          </cell>
          <cell r="Q151">
            <v>0</v>
          </cell>
          <cell r="R151"/>
          <cell r="S151">
            <v>1750</v>
          </cell>
          <cell r="T151"/>
          <cell r="U151"/>
          <cell r="V151">
            <v>10</v>
          </cell>
          <cell r="W151">
            <v>1750</v>
          </cell>
        </row>
        <row r="152">
          <cell r="A152" t="str">
            <v>4.4.19.3</v>
          </cell>
          <cell r="B152" t="str">
            <v>TRM104.3</v>
          </cell>
          <cell r="C152" t="str">
            <v>V5</v>
          </cell>
          <cell r="D152" t="str">
            <v>CI-HVC-DCV-V01-14060</v>
          </cell>
          <cell r="E152" t="str">
            <v>Demand Controlled Ventilation - De-fault</v>
          </cell>
          <cell r="F152" t="str">
            <v>DCV - Default</v>
          </cell>
          <cell r="G152" t="str">
            <v>Controls</v>
          </cell>
          <cell r="H152" t="str">
            <v>Commercial</v>
          </cell>
          <cell r="I152" t="str">
            <v>Unit</v>
          </cell>
          <cell r="J152">
            <v>2288</v>
          </cell>
          <cell r="K152">
            <v>0</v>
          </cell>
          <cell r="L152">
            <v>11149.049999999997</v>
          </cell>
          <cell r="M152">
            <v>0</v>
          </cell>
          <cell r="N152">
            <v>22880</v>
          </cell>
          <cell r="O152">
            <v>0</v>
          </cell>
          <cell r="P152">
            <v>111490.49999999997</v>
          </cell>
          <cell r="Q152">
            <v>0</v>
          </cell>
          <cell r="R152"/>
          <cell r="S152">
            <v>16950</v>
          </cell>
          <cell r="T152"/>
          <cell r="U152"/>
          <cell r="V152">
            <v>10</v>
          </cell>
          <cell r="W152">
            <v>16950</v>
          </cell>
        </row>
        <row r="153">
          <cell r="A153" t="str">
            <v>4.4.19.7</v>
          </cell>
          <cell r="B153" t="str">
            <v>TRM104.3</v>
          </cell>
          <cell r="C153" t="str">
            <v>V5</v>
          </cell>
          <cell r="D153" t="str">
            <v>CI-HVC-DCV-V01-14060</v>
          </cell>
          <cell r="E153" t="str">
            <v>Demand Controlled Ventilation - Religious Building</v>
          </cell>
          <cell r="F153" t="str">
            <v>DCV - Religions Building</v>
          </cell>
          <cell r="G153" t="str">
            <v>Controls</v>
          </cell>
          <cell r="H153" t="str">
            <v>Commercial</v>
          </cell>
          <cell r="I153" t="str">
            <v>Unit</v>
          </cell>
          <cell r="J153">
            <v>2553</v>
          </cell>
          <cell r="K153">
            <v>0</v>
          </cell>
          <cell r="L153">
            <v>5211</v>
          </cell>
          <cell r="M153">
            <v>0</v>
          </cell>
          <cell r="N153">
            <v>25530</v>
          </cell>
          <cell r="O153">
            <v>0</v>
          </cell>
          <cell r="P153">
            <v>52110</v>
          </cell>
          <cell r="Q153">
            <v>0</v>
          </cell>
          <cell r="R153"/>
          <cell r="S153">
            <v>4000</v>
          </cell>
          <cell r="T153"/>
          <cell r="U153"/>
          <cell r="V153">
            <v>10</v>
          </cell>
          <cell r="W153">
            <v>4000</v>
          </cell>
        </row>
        <row r="154">
          <cell r="A154" t="str">
            <v>4.4.19.8</v>
          </cell>
          <cell r="B154" t="str">
            <v>TRM104.3</v>
          </cell>
          <cell r="C154" t="str">
            <v>V5</v>
          </cell>
          <cell r="D154" t="str">
            <v>CI-HVC-DCV-V01-14060</v>
          </cell>
          <cell r="E154" t="str">
            <v>Demand Controlled Ventilation - Retail</v>
          </cell>
          <cell r="F154" t="str">
            <v>DCV - Retail</v>
          </cell>
          <cell r="G154" t="str">
            <v>Controls</v>
          </cell>
          <cell r="H154" t="str">
            <v>Commercial</v>
          </cell>
          <cell r="I154" t="str">
            <v>Unit</v>
          </cell>
          <cell r="J154">
            <v>2498</v>
          </cell>
          <cell r="K154">
            <v>0</v>
          </cell>
          <cell r="L154">
            <v>852</v>
          </cell>
          <cell r="M154">
            <v>0</v>
          </cell>
          <cell r="N154">
            <v>24980</v>
          </cell>
          <cell r="O154">
            <v>0</v>
          </cell>
          <cell r="P154">
            <v>8520</v>
          </cell>
          <cell r="Q154">
            <v>0</v>
          </cell>
          <cell r="R154"/>
          <cell r="S154">
            <v>3400</v>
          </cell>
          <cell r="T154"/>
          <cell r="U154"/>
          <cell r="V154">
            <v>10</v>
          </cell>
          <cell r="W154">
            <v>3400</v>
          </cell>
        </row>
        <row r="155">
          <cell r="A155" t="str">
            <v>4.4.19.9</v>
          </cell>
          <cell r="B155" t="str">
            <v>TRM104.3</v>
          </cell>
          <cell r="C155" t="str">
            <v>V5</v>
          </cell>
          <cell r="D155" t="str">
            <v>CI-HVC-DCV-V01-14060</v>
          </cell>
          <cell r="E155" t="str">
            <v>Demand Controlled Ventilation - Convenience Store</v>
          </cell>
          <cell r="F155" t="str">
            <v>DCV - Convenience Store</v>
          </cell>
          <cell r="G155" t="str">
            <v>Controls</v>
          </cell>
          <cell r="H155" t="str">
            <v>Commercial</v>
          </cell>
          <cell r="I155" t="str">
            <v>Unit</v>
          </cell>
          <cell r="J155">
            <v>3017</v>
          </cell>
          <cell r="K155">
            <v>0</v>
          </cell>
          <cell r="L155">
            <v>127.8</v>
          </cell>
          <cell r="M155">
            <v>0</v>
          </cell>
          <cell r="N155">
            <v>30170</v>
          </cell>
          <cell r="O155">
            <v>0</v>
          </cell>
          <cell r="P155">
            <v>1278</v>
          </cell>
          <cell r="Q155">
            <v>0</v>
          </cell>
          <cell r="R155"/>
          <cell r="S155">
            <v>1600</v>
          </cell>
          <cell r="T155"/>
          <cell r="U155"/>
          <cell r="V155">
            <v>10</v>
          </cell>
          <cell r="W155">
            <v>1600</v>
          </cell>
        </row>
        <row r="156">
          <cell r="A156" t="str">
            <v>4.4.19.10</v>
          </cell>
          <cell r="B156" t="str">
            <v>TRM104.3</v>
          </cell>
          <cell r="C156" t="str">
            <v>V5</v>
          </cell>
          <cell r="D156" t="str">
            <v>CI-HVC-DCV-V01-14060</v>
          </cell>
          <cell r="E156" t="str">
            <v>Demand Controlled Ventilation - Elementary and High School</v>
          </cell>
          <cell r="F156" t="str">
            <v>DCV - Elementary and High School</v>
          </cell>
          <cell r="G156" t="str">
            <v>Controls</v>
          </cell>
          <cell r="H156" t="str">
            <v>Commercial</v>
          </cell>
          <cell r="I156" t="str">
            <v>Unit</v>
          </cell>
          <cell r="J156">
            <v>1604</v>
          </cell>
          <cell r="K156">
            <v>0</v>
          </cell>
          <cell r="L156">
            <v>11122.499999999998</v>
          </cell>
          <cell r="M156">
            <v>0</v>
          </cell>
          <cell r="N156">
            <v>16040</v>
          </cell>
          <cell r="O156">
            <v>0</v>
          </cell>
          <cell r="P156">
            <v>111224.99999999999</v>
          </cell>
          <cell r="Q156">
            <v>0</v>
          </cell>
          <cell r="R156"/>
          <cell r="S156">
            <v>16000</v>
          </cell>
          <cell r="T156"/>
          <cell r="U156"/>
          <cell r="V156">
            <v>10</v>
          </cell>
          <cell r="W156">
            <v>16000</v>
          </cell>
        </row>
        <row r="157">
          <cell r="A157" t="str">
            <v>4.4.19.11</v>
          </cell>
          <cell r="B157" t="str">
            <v>TRM104.3</v>
          </cell>
          <cell r="C157" t="str">
            <v>V5</v>
          </cell>
          <cell r="D157" t="str">
            <v>CI-HVC-DCV-V01-14060</v>
          </cell>
          <cell r="E157" t="str">
            <v xml:space="preserve">Demand Controlled Ventilation - College/University </v>
          </cell>
          <cell r="F157" t="str">
            <v>DCV - College/University</v>
          </cell>
          <cell r="G157" t="str">
            <v>Controls</v>
          </cell>
          <cell r="H157" t="str">
            <v>Commercial</v>
          </cell>
          <cell r="I157" t="str">
            <v>Unit</v>
          </cell>
          <cell r="J157">
            <v>2035</v>
          </cell>
          <cell r="K157">
            <v>0</v>
          </cell>
          <cell r="L157">
            <v>145299.99999999997</v>
          </cell>
          <cell r="M157">
            <v>0</v>
          </cell>
          <cell r="N157">
            <v>20350</v>
          </cell>
          <cell r="O157">
            <v>0</v>
          </cell>
          <cell r="P157">
            <v>1452999.9999999998</v>
          </cell>
          <cell r="Q157">
            <v>0</v>
          </cell>
          <cell r="R157"/>
          <cell r="S157">
            <v>101000</v>
          </cell>
          <cell r="T157"/>
          <cell r="U157"/>
          <cell r="V157">
            <v>10</v>
          </cell>
          <cell r="W157">
            <v>101000</v>
          </cell>
        </row>
        <row r="158">
          <cell r="A158" t="str">
            <v>4.4.19.12</v>
          </cell>
          <cell r="B158" t="str">
            <v>TRM104.3</v>
          </cell>
          <cell r="C158" t="str">
            <v>V5</v>
          </cell>
          <cell r="D158" t="str">
            <v>CI-HVC-DCV-V01-14060</v>
          </cell>
          <cell r="E158" t="str">
            <v>Demand Controlled Ventilation - Healthcare Clinic</v>
          </cell>
          <cell r="F158" t="str">
            <v>DCV - Healthcare Clinic</v>
          </cell>
          <cell r="G158" t="str">
            <v>Controls</v>
          </cell>
          <cell r="H158" t="str">
            <v>Commercial</v>
          </cell>
          <cell r="I158" t="str">
            <v>Unit</v>
          </cell>
          <cell r="J158">
            <v>1792.9999999999998</v>
          </cell>
          <cell r="K158">
            <v>0</v>
          </cell>
          <cell r="L158">
            <v>3476.2499999999991</v>
          </cell>
          <cell r="M158">
            <v>0</v>
          </cell>
          <cell r="N158">
            <v>17929.999999999996</v>
          </cell>
          <cell r="O158">
            <v>0</v>
          </cell>
          <cell r="P158">
            <v>34762.499999999993</v>
          </cell>
          <cell r="Q158">
            <v>0</v>
          </cell>
          <cell r="R158"/>
          <cell r="S158">
            <v>7750</v>
          </cell>
          <cell r="T158"/>
          <cell r="U158"/>
          <cell r="V158">
            <v>10</v>
          </cell>
          <cell r="W158">
            <v>7750</v>
          </cell>
        </row>
        <row r="159">
          <cell r="A159" t="str">
            <v>4.4.19.13</v>
          </cell>
          <cell r="B159" t="str">
            <v>TRM104.3</v>
          </cell>
          <cell r="C159" t="str">
            <v>V5</v>
          </cell>
          <cell r="D159" t="str">
            <v>CI-HVC-DCV-V01-14060</v>
          </cell>
          <cell r="E159" t="str">
            <v>Demand Controlled Ventilation - lodging</v>
          </cell>
          <cell r="F159" t="str">
            <v>DCV - lodging</v>
          </cell>
          <cell r="G159" t="str">
            <v>Controls</v>
          </cell>
          <cell r="H159" t="str">
            <v>Commercial</v>
          </cell>
          <cell r="I159" t="str">
            <v>Unit</v>
          </cell>
          <cell r="J159">
            <v>2891</v>
          </cell>
          <cell r="K159">
            <v>0</v>
          </cell>
          <cell r="L159">
            <v>1321.5999999999997</v>
          </cell>
          <cell r="M159">
            <v>0</v>
          </cell>
          <cell r="N159">
            <v>28910</v>
          </cell>
          <cell r="O159">
            <v>0</v>
          </cell>
          <cell r="P159">
            <v>13215.999999999996</v>
          </cell>
          <cell r="Q159">
            <v>0</v>
          </cell>
          <cell r="R159"/>
          <cell r="S159">
            <v>6600</v>
          </cell>
          <cell r="T159"/>
          <cell r="U159"/>
          <cell r="V159">
            <v>10</v>
          </cell>
          <cell r="W159">
            <v>6600</v>
          </cell>
        </row>
        <row r="160">
          <cell r="A160" t="str">
            <v>4.4.19.14</v>
          </cell>
          <cell r="B160" t="str">
            <v>TRM104.3</v>
          </cell>
          <cell r="C160" t="str">
            <v>V5</v>
          </cell>
          <cell r="D160" t="str">
            <v>CI-HVC-DCV-V01-14060</v>
          </cell>
          <cell r="E160" t="str">
            <v>Demand Controlled Ventilation - Manufacturing</v>
          </cell>
          <cell r="F160" t="str">
            <v>DCV - Manufacturing</v>
          </cell>
          <cell r="G160" t="str">
            <v>Controls</v>
          </cell>
          <cell r="H160" t="str">
            <v>Commercial</v>
          </cell>
          <cell r="I160" t="str">
            <v>Unit</v>
          </cell>
          <cell r="J160">
            <v>2408.5</v>
          </cell>
          <cell r="K160">
            <v>0</v>
          </cell>
          <cell r="L160">
            <v>4825</v>
          </cell>
          <cell r="M160">
            <v>0</v>
          </cell>
          <cell r="N160">
            <v>24085</v>
          </cell>
          <cell r="O160">
            <v>0</v>
          </cell>
          <cell r="P160">
            <v>48250</v>
          </cell>
          <cell r="Q160">
            <v>0</v>
          </cell>
          <cell r="R160"/>
          <cell r="S160">
            <v>26000</v>
          </cell>
          <cell r="T160"/>
          <cell r="U160"/>
          <cell r="V160">
            <v>10</v>
          </cell>
          <cell r="W160">
            <v>26000</v>
          </cell>
        </row>
        <row r="161">
          <cell r="A161" t="str">
            <v>4.4.19.15</v>
          </cell>
          <cell r="B161" t="str">
            <v>TRM104.3</v>
          </cell>
          <cell r="C161" t="str">
            <v>V5</v>
          </cell>
          <cell r="D161" t="str">
            <v>CI-HVC-DCV-V01-14060</v>
          </cell>
          <cell r="E161" t="str">
            <v>Demand Controlled Ventilation - Special Assembly Auditorium</v>
          </cell>
          <cell r="F161" t="str">
            <v>DCV - Special Assembly Auditorium</v>
          </cell>
          <cell r="G161" t="str">
            <v>Controls</v>
          </cell>
          <cell r="H161" t="str">
            <v>Commercial</v>
          </cell>
          <cell r="I161" t="str">
            <v>Unit</v>
          </cell>
          <cell r="J161">
            <v>2135.5</v>
          </cell>
          <cell r="K161">
            <v>0</v>
          </cell>
          <cell r="L161">
            <v>7147.0000000000009</v>
          </cell>
          <cell r="M161">
            <v>0</v>
          </cell>
          <cell r="N161">
            <v>21355</v>
          </cell>
          <cell r="O161">
            <v>0</v>
          </cell>
          <cell r="P161">
            <v>71470.000000000015</v>
          </cell>
          <cell r="Q161">
            <v>0</v>
          </cell>
          <cell r="R161"/>
          <cell r="S161">
            <v>4500</v>
          </cell>
          <cell r="T161"/>
          <cell r="U161"/>
          <cell r="V161">
            <v>10</v>
          </cell>
          <cell r="W161">
            <v>4500</v>
          </cell>
        </row>
        <row r="162">
          <cell r="A162" t="str">
            <v>4.4.19.16</v>
          </cell>
          <cell r="B162" t="str">
            <v>TRM104.3</v>
          </cell>
          <cell r="C162" t="str">
            <v>V5</v>
          </cell>
          <cell r="D162" t="str">
            <v>CI-HVC-DCV-V01-14060</v>
          </cell>
          <cell r="E162" t="str">
            <v>Demand Controlled Ventilation - Office - Low-rise</v>
          </cell>
          <cell r="F162" t="str">
            <v>DCV - Office Low Rise</v>
          </cell>
          <cell r="G162" t="str">
            <v>Controls</v>
          </cell>
          <cell r="H162" t="str">
            <v>Commercial</v>
          </cell>
          <cell r="I162" t="str">
            <v>Unit</v>
          </cell>
          <cell r="J162">
            <v>2279</v>
          </cell>
          <cell r="K162">
            <v>0</v>
          </cell>
          <cell r="L162">
            <v>201.75</v>
          </cell>
          <cell r="M162">
            <v>0</v>
          </cell>
          <cell r="N162">
            <v>22790</v>
          </cell>
          <cell r="O162">
            <v>0</v>
          </cell>
          <cell r="P162">
            <v>2017.5</v>
          </cell>
          <cell r="Q162">
            <v>0</v>
          </cell>
          <cell r="R162"/>
          <cell r="S162">
            <v>1750</v>
          </cell>
          <cell r="T162"/>
          <cell r="U162"/>
          <cell r="V162">
            <v>10</v>
          </cell>
          <cell r="W162">
            <v>1750</v>
          </cell>
        </row>
        <row r="163">
          <cell r="A163" t="str">
            <v>4.4.19.17</v>
          </cell>
          <cell r="B163" t="str">
            <v>TRM104.3</v>
          </cell>
          <cell r="C163" t="str">
            <v>V5</v>
          </cell>
          <cell r="D163" t="str">
            <v>CI-HVC-DCV-V01-14060</v>
          </cell>
          <cell r="E163" t="str">
            <v>Demand Controlled Ventilation - Small Building (custom)</v>
          </cell>
          <cell r="F163" t="str">
            <v>DCV - Small Building (custom)</v>
          </cell>
          <cell r="G163" t="str">
            <v>Controls</v>
          </cell>
          <cell r="H163" t="str">
            <v>Commercial</v>
          </cell>
          <cell r="I163" t="str">
            <v>Unit</v>
          </cell>
          <cell r="J163">
            <v>2437.75</v>
          </cell>
          <cell r="K163">
            <v>0</v>
          </cell>
          <cell r="L163">
            <v>300.75</v>
          </cell>
          <cell r="M163">
            <v>0</v>
          </cell>
          <cell r="N163">
            <v>24377.5</v>
          </cell>
          <cell r="O163">
            <v>0</v>
          </cell>
          <cell r="P163">
            <v>3007.5</v>
          </cell>
          <cell r="Q163">
            <v>0</v>
          </cell>
          <cell r="R163"/>
          <cell r="S163">
            <v>1600</v>
          </cell>
          <cell r="T163"/>
          <cell r="U163"/>
          <cell r="V163">
            <v>10</v>
          </cell>
          <cell r="W163">
            <v>1600</v>
          </cell>
        </row>
        <row r="164">
          <cell r="A164" t="str">
            <v>4.4.19.18</v>
          </cell>
          <cell r="B164" t="str">
            <v>TRM104.3</v>
          </cell>
          <cell r="C164" t="str">
            <v>V5</v>
          </cell>
          <cell r="D164" t="str">
            <v>CI-HVC-DCV-V01-14060</v>
          </cell>
          <cell r="E164" t="str">
            <v>Demand Controlled Ventilation - Small College (custom)</v>
          </cell>
          <cell r="F164" t="str">
            <v>DCV - Small College (custom)</v>
          </cell>
          <cell r="G164" t="str">
            <v>Controls</v>
          </cell>
          <cell r="H164" t="str">
            <v>Commercial</v>
          </cell>
          <cell r="I164" t="str">
            <v>Unit</v>
          </cell>
          <cell r="J164">
            <v>2035</v>
          </cell>
          <cell r="K164">
            <v>0</v>
          </cell>
          <cell r="L164">
            <v>3632.4999999999995</v>
          </cell>
          <cell r="M164">
            <v>0</v>
          </cell>
          <cell r="N164">
            <v>20350</v>
          </cell>
          <cell r="O164">
            <v>0</v>
          </cell>
          <cell r="P164">
            <v>36324.999999999993</v>
          </cell>
          <cell r="Q164">
            <v>0</v>
          </cell>
          <cell r="R164"/>
          <cell r="S164">
            <v>3500</v>
          </cell>
          <cell r="T164"/>
          <cell r="U164"/>
          <cell r="V164">
            <v>10</v>
          </cell>
          <cell r="W164">
            <v>3500</v>
          </cell>
        </row>
        <row r="165">
          <cell r="A165" t="str">
            <v>4.4.19.19</v>
          </cell>
          <cell r="B165" t="str">
            <v>TRM104.3</v>
          </cell>
          <cell r="C165" t="str">
            <v>V5</v>
          </cell>
          <cell r="D165" t="str">
            <v>CI-HVC-DCV-V01-14060</v>
          </cell>
          <cell r="E165" t="str">
            <v>Demand Controlled Ventilation - Small Elementary and High School (custom)</v>
          </cell>
          <cell r="F165" t="str">
            <v>DCV - Small Elementary and High School (custom)</v>
          </cell>
          <cell r="G165" t="str">
            <v>Controls</v>
          </cell>
          <cell r="H165" t="str">
            <v>Commercial</v>
          </cell>
          <cell r="I165" t="str">
            <v>Unit</v>
          </cell>
          <cell r="J165">
            <v>1604</v>
          </cell>
          <cell r="K165">
            <v>0</v>
          </cell>
          <cell r="L165">
            <v>5561.2499999999991</v>
          </cell>
          <cell r="M165">
            <v>0</v>
          </cell>
          <cell r="N165">
            <v>16040</v>
          </cell>
          <cell r="O165">
            <v>0</v>
          </cell>
          <cell r="P165">
            <v>55612.499999999993</v>
          </cell>
          <cell r="Q165">
            <v>0</v>
          </cell>
          <cell r="R165"/>
          <cell r="S165">
            <v>8500</v>
          </cell>
          <cell r="T165"/>
          <cell r="U165"/>
          <cell r="V165">
            <v>10</v>
          </cell>
          <cell r="W165">
            <v>8500</v>
          </cell>
        </row>
        <row r="166">
          <cell r="A166"/>
          <cell r="B166"/>
          <cell r="C166"/>
          <cell r="D166"/>
          <cell r="E166"/>
          <cell r="F166"/>
          <cell r="G166"/>
          <cell r="H166"/>
          <cell r="I166"/>
          <cell r="J166"/>
          <cell r="K166"/>
          <cell r="L166"/>
          <cell r="M166"/>
          <cell r="N166"/>
          <cell r="O166"/>
          <cell r="P166"/>
          <cell r="Q166"/>
          <cell r="R166"/>
          <cell r="S166"/>
          <cell r="T166"/>
          <cell r="U166"/>
          <cell r="V166"/>
          <cell r="W166"/>
        </row>
        <row r="167">
          <cell r="A167" t="str">
            <v>4.4.20</v>
          </cell>
          <cell r="B167" t="str">
            <v>TRM114</v>
          </cell>
          <cell r="C167" t="str">
            <v>V5</v>
          </cell>
          <cell r="D167" t="str">
            <v>CI-HVAC-HTBC-V04-140601</v>
          </cell>
          <cell r="E167" t="str">
            <v>High Turndown Burner for Space Heating Boilers</v>
          </cell>
          <cell r="F167" t="str">
            <v>High Turndown Burner</v>
          </cell>
          <cell r="G167" t="str">
            <v>Boilers</v>
          </cell>
          <cell r="H167" t="str">
            <v>Commercial</v>
          </cell>
          <cell r="I167" t="str">
            <v>Project</v>
          </cell>
          <cell r="J167">
            <v>0</v>
          </cell>
          <cell r="K167">
            <v>0</v>
          </cell>
          <cell r="L167">
            <v>159.60000000000002</v>
          </cell>
          <cell r="M167"/>
          <cell r="N167">
            <v>0</v>
          </cell>
          <cell r="O167">
            <v>0</v>
          </cell>
          <cell r="P167">
            <v>3351.6000000000004</v>
          </cell>
          <cell r="Q167"/>
          <cell r="R167"/>
          <cell r="S167"/>
          <cell r="T167"/>
          <cell r="U167"/>
          <cell r="V167">
            <v>21</v>
          </cell>
          <cell r="W167">
            <v>2023.9999999999998</v>
          </cell>
        </row>
        <row r="168">
          <cell r="A168"/>
          <cell r="B168"/>
          <cell r="C168"/>
          <cell r="D168"/>
          <cell r="E168"/>
          <cell r="F168"/>
          <cell r="G168"/>
          <cell r="H168"/>
          <cell r="I168"/>
          <cell r="J168"/>
          <cell r="K168"/>
          <cell r="L168"/>
          <cell r="M168"/>
          <cell r="N168"/>
          <cell r="O168"/>
          <cell r="P168"/>
          <cell r="Q168"/>
          <cell r="R168"/>
          <cell r="S168"/>
          <cell r="T168"/>
          <cell r="U168"/>
          <cell r="V168"/>
          <cell r="W168"/>
        </row>
        <row r="169">
          <cell r="A169" t="str">
            <v>4.4.21.2</v>
          </cell>
          <cell r="B169" t="str">
            <v>TRM105</v>
          </cell>
          <cell r="C169" t="str">
            <v>V5</v>
          </cell>
          <cell r="D169" t="str">
            <v>CI-HVC-LBC-V04-140601</v>
          </cell>
          <cell r="E169" t="str">
            <v>Linkageless Boiler Controls for Space Heating - Public Sector</v>
          </cell>
          <cell r="F169" t="str">
            <v>Linkageless Controls - Public Sector</v>
          </cell>
          <cell r="G169" t="str">
            <v>Boilers</v>
          </cell>
          <cell r="H169" t="str">
            <v>Commercial</v>
          </cell>
          <cell r="I169" t="str">
            <v>Project</v>
          </cell>
          <cell r="J169">
            <v>0</v>
          </cell>
          <cell r="K169">
            <v>0</v>
          </cell>
          <cell r="L169">
            <v>0.57953799999999989</v>
          </cell>
          <cell r="M169">
            <v>0</v>
          </cell>
          <cell r="N169">
            <v>0</v>
          </cell>
          <cell r="O169">
            <v>0</v>
          </cell>
          <cell r="P169">
            <v>9.2726079999999982</v>
          </cell>
          <cell r="Q169">
            <v>0</v>
          </cell>
          <cell r="R169"/>
          <cell r="S169"/>
          <cell r="T169"/>
          <cell r="U169"/>
          <cell r="V169">
            <v>16</v>
          </cell>
          <cell r="W169">
            <v>2.5</v>
          </cell>
        </row>
        <row r="170">
          <cell r="A170"/>
          <cell r="B170"/>
          <cell r="C170"/>
          <cell r="D170"/>
          <cell r="E170"/>
          <cell r="F170"/>
          <cell r="G170"/>
          <cell r="H170"/>
          <cell r="I170"/>
          <cell r="J170"/>
          <cell r="K170"/>
          <cell r="L170"/>
          <cell r="M170"/>
          <cell r="N170"/>
          <cell r="O170"/>
          <cell r="P170"/>
          <cell r="Q170"/>
          <cell r="R170"/>
          <cell r="S170"/>
          <cell r="T170"/>
          <cell r="U170"/>
          <cell r="V170"/>
          <cell r="W170"/>
        </row>
        <row r="171">
          <cell r="A171" t="str">
            <v>4.4.22</v>
          </cell>
          <cell r="B171" t="str">
            <v>TRM106</v>
          </cell>
          <cell r="C171" t="str">
            <v>V5</v>
          </cell>
          <cell r="D171" t="str">
            <v>CI-HVC-O2TC-V01-140601</v>
          </cell>
          <cell r="E171" t="str">
            <v>Oxygen Trim Controls</v>
          </cell>
          <cell r="F171" t="str">
            <v>O2 Trim</v>
          </cell>
          <cell r="G171" t="str">
            <v>Boilers</v>
          </cell>
          <cell r="H171" t="str">
            <v>Commercial</v>
          </cell>
          <cell r="I171" t="str">
            <v>Project</v>
          </cell>
          <cell r="J171">
            <v>0</v>
          </cell>
          <cell r="K171">
            <v>0</v>
          </cell>
          <cell r="L171">
            <v>0.12397499999999999</v>
          </cell>
          <cell r="M171">
            <v>0</v>
          </cell>
          <cell r="N171">
            <v>0</v>
          </cell>
          <cell r="O171">
            <v>0</v>
          </cell>
          <cell r="P171">
            <v>2.2315499999999999</v>
          </cell>
          <cell r="Q171">
            <v>0</v>
          </cell>
          <cell r="R171"/>
          <cell r="S171"/>
          <cell r="T171"/>
          <cell r="U171"/>
          <cell r="V171">
            <v>18</v>
          </cell>
          <cell r="W171">
            <v>23250</v>
          </cell>
        </row>
        <row r="172">
          <cell r="A172"/>
          <cell r="B172"/>
          <cell r="C172"/>
          <cell r="D172"/>
          <cell r="E172"/>
          <cell r="F172"/>
          <cell r="G172"/>
          <cell r="H172"/>
          <cell r="I172"/>
          <cell r="J172"/>
          <cell r="K172"/>
          <cell r="L172"/>
          <cell r="M172"/>
          <cell r="N172"/>
          <cell r="O172"/>
          <cell r="P172"/>
          <cell r="Q172"/>
          <cell r="R172"/>
          <cell r="S172"/>
          <cell r="T172"/>
          <cell r="U172"/>
          <cell r="V172"/>
          <cell r="W172"/>
        </row>
        <row r="173">
          <cell r="A173" t="str">
            <v>4.4.23</v>
          </cell>
          <cell r="B173" t="str">
            <v>TRM107</v>
          </cell>
          <cell r="C173" t="str">
            <v>V5</v>
          </cell>
          <cell r="D173" t="str">
            <v>CI-HVC-SODP-V01-140601</v>
          </cell>
          <cell r="E173" t="str">
            <v>Shut Off Damper for Space Heating Boilers or Furnaces</v>
          </cell>
          <cell r="F173" t="str">
            <v>Shut Off Damper for Space Heating Boilers or Furnaces</v>
          </cell>
          <cell r="G173" t="str">
            <v>Boilers</v>
          </cell>
          <cell r="H173" t="str">
            <v>Commercial</v>
          </cell>
          <cell r="I173" t="str">
            <v>Project</v>
          </cell>
          <cell r="J173">
            <v>0</v>
          </cell>
          <cell r="K173">
            <v>0</v>
          </cell>
          <cell r="L173">
            <v>102.54880000000001</v>
          </cell>
          <cell r="M173">
            <v>0</v>
          </cell>
          <cell r="N173">
            <v>0</v>
          </cell>
          <cell r="O173">
            <v>0</v>
          </cell>
          <cell r="P173">
            <v>1538.2320000000002</v>
          </cell>
          <cell r="Q173">
            <v>0</v>
          </cell>
          <cell r="R173"/>
          <cell r="S173"/>
          <cell r="T173"/>
          <cell r="U173"/>
          <cell r="V173">
            <v>15</v>
          </cell>
          <cell r="W173">
            <v>1500</v>
          </cell>
        </row>
        <row r="174">
          <cell r="A174"/>
          <cell r="B174"/>
          <cell r="C174"/>
          <cell r="D174"/>
          <cell r="E174"/>
          <cell r="F174"/>
          <cell r="G174"/>
          <cell r="H174"/>
          <cell r="I174"/>
          <cell r="J174"/>
          <cell r="K174"/>
          <cell r="L174"/>
          <cell r="M174"/>
          <cell r="N174"/>
          <cell r="O174"/>
          <cell r="P174"/>
          <cell r="Q174"/>
          <cell r="R174"/>
          <cell r="S174"/>
          <cell r="T174"/>
          <cell r="U174"/>
          <cell r="V174"/>
          <cell r="W174"/>
        </row>
        <row r="175">
          <cell r="A175" t="str">
            <v>4.4.25.1</v>
          </cell>
          <cell r="B175" t="str">
            <v>TRM111.1</v>
          </cell>
          <cell r="C175" t="str">
            <v>V5</v>
          </cell>
          <cell r="D175" t="str">
            <v>CI-HVC- PRGA -V01-150601</v>
          </cell>
          <cell r="E175" t="str">
            <v>Programmable Thermostat Adjustments - Assembly</v>
          </cell>
          <cell r="F175" t="str">
            <v>Programmable Thermostat Adjustments - Assembly</v>
          </cell>
          <cell r="G175" t="str">
            <v>Thermostats</v>
          </cell>
          <cell r="H175" t="str">
            <v>Commercial</v>
          </cell>
          <cell r="I175" t="str">
            <v>Project</v>
          </cell>
          <cell r="J175">
            <v>10</v>
          </cell>
          <cell r="K175">
            <v>30</v>
          </cell>
          <cell r="L175">
            <v>56.13000000000001</v>
          </cell>
          <cell r="M175"/>
          <cell r="N175">
            <v>20</v>
          </cell>
          <cell r="O175">
            <v>60</v>
          </cell>
          <cell r="P175">
            <v>112.26000000000002</v>
          </cell>
          <cell r="Q175"/>
          <cell r="R175"/>
          <cell r="S175">
            <v>70.34</v>
          </cell>
          <cell r="T175"/>
          <cell r="U175"/>
          <cell r="V175">
            <v>2</v>
          </cell>
          <cell r="W175">
            <v>70.34</v>
          </cell>
        </row>
        <row r="176">
          <cell r="A176" t="str">
            <v>4.4.25.2</v>
          </cell>
          <cell r="B176" t="str">
            <v>TRM111.2</v>
          </cell>
          <cell r="C176" t="str">
            <v>V5</v>
          </cell>
          <cell r="D176" t="str">
            <v>CI-HVC- PRGA -V01-150601</v>
          </cell>
          <cell r="E176" t="str">
            <v>Programmable Thermostat Adjustments - Convenience Store</v>
          </cell>
          <cell r="F176" t="str">
            <v>Programmable Thermostat Adjustments - Convenience Store</v>
          </cell>
          <cell r="G176" t="str">
            <v>Thermostats</v>
          </cell>
          <cell r="H176" t="str">
            <v>Commercial</v>
          </cell>
          <cell r="I176" t="str">
            <v>Project</v>
          </cell>
          <cell r="J176">
            <v>10</v>
          </cell>
          <cell r="K176">
            <v>30</v>
          </cell>
          <cell r="L176">
            <v>2.4990000000000179</v>
          </cell>
          <cell r="M176"/>
          <cell r="N176">
            <v>20</v>
          </cell>
          <cell r="O176">
            <v>60</v>
          </cell>
          <cell r="P176">
            <v>4.9980000000000357</v>
          </cell>
          <cell r="Q176"/>
          <cell r="R176"/>
          <cell r="S176">
            <v>70.34</v>
          </cell>
          <cell r="T176"/>
          <cell r="U176"/>
          <cell r="V176">
            <v>2</v>
          </cell>
          <cell r="W176">
            <v>70.34</v>
          </cell>
        </row>
        <row r="177">
          <cell r="A177" t="str">
            <v>4.4.25.3</v>
          </cell>
          <cell r="B177" t="str">
            <v>TRM111.3</v>
          </cell>
          <cell r="C177" t="str">
            <v>V5</v>
          </cell>
          <cell r="D177" t="str">
            <v>CI-HVC- PRGA -V01-150601</v>
          </cell>
          <cell r="E177" t="str">
            <v>Programmable Thermostat Adjustments - Office - Low Rise</v>
          </cell>
          <cell r="F177" t="str">
            <v>Programmable Thermostat Adjustments - Office - Low Rise</v>
          </cell>
          <cell r="G177" t="str">
            <v>Thermostats</v>
          </cell>
          <cell r="H177" t="str">
            <v>Commercial</v>
          </cell>
          <cell r="I177" t="str">
            <v>Project</v>
          </cell>
          <cell r="J177">
            <v>10</v>
          </cell>
          <cell r="K177">
            <v>30</v>
          </cell>
          <cell r="L177">
            <v>14.399999999999979</v>
          </cell>
          <cell r="M177"/>
          <cell r="N177">
            <v>20</v>
          </cell>
          <cell r="O177">
            <v>60</v>
          </cell>
          <cell r="P177">
            <v>28.799999999999958</v>
          </cell>
          <cell r="Q177"/>
          <cell r="R177"/>
          <cell r="S177">
            <v>70.34</v>
          </cell>
          <cell r="T177"/>
          <cell r="U177"/>
          <cell r="V177">
            <v>2</v>
          </cell>
          <cell r="W177">
            <v>70.34</v>
          </cell>
        </row>
        <row r="178">
          <cell r="A178" t="str">
            <v>4.4.25.4</v>
          </cell>
          <cell r="B178" t="str">
            <v>TRM111.4</v>
          </cell>
          <cell r="C178" t="str">
            <v>V5</v>
          </cell>
          <cell r="D178" t="str">
            <v>CI-HVC- PRGA -V01-150601</v>
          </cell>
          <cell r="E178" t="str">
            <v>Programmable Thermostat Adjustments - Religious Facility</v>
          </cell>
          <cell r="F178" t="str">
            <v>Programmable Thermostat Adjustments - Religious Facility</v>
          </cell>
          <cell r="G178" t="str">
            <v>Thermostats</v>
          </cell>
          <cell r="H178" t="str">
            <v>Commercial</v>
          </cell>
          <cell r="I178" t="str">
            <v>Project</v>
          </cell>
          <cell r="J178">
            <v>10</v>
          </cell>
          <cell r="K178">
            <v>30</v>
          </cell>
          <cell r="L178">
            <v>47.114999999999974</v>
          </cell>
          <cell r="M178"/>
          <cell r="N178">
            <v>20</v>
          </cell>
          <cell r="O178">
            <v>60</v>
          </cell>
          <cell r="P178">
            <v>94.229999999999947</v>
          </cell>
          <cell r="Q178"/>
          <cell r="R178"/>
          <cell r="S178">
            <v>70.34</v>
          </cell>
          <cell r="T178"/>
          <cell r="U178"/>
          <cell r="V178">
            <v>2</v>
          </cell>
          <cell r="W178">
            <v>70.34</v>
          </cell>
        </row>
        <row r="179">
          <cell r="A179" t="str">
            <v>4.4.25.5</v>
          </cell>
          <cell r="B179" t="str">
            <v>TRM111.5</v>
          </cell>
          <cell r="C179" t="str">
            <v>V5</v>
          </cell>
          <cell r="D179" t="str">
            <v>CI-HVC- PRGA -V01-150601</v>
          </cell>
          <cell r="E179" t="str">
            <v>Programmable Thermostat Adjustments - Restaurant – Fast Food</v>
          </cell>
          <cell r="F179" t="str">
            <v>Programmable Thermostat Adjustments - Restaurant – Fast Food</v>
          </cell>
          <cell r="G179" t="str">
            <v>Thermostats</v>
          </cell>
          <cell r="H179" t="str">
            <v>Commercial</v>
          </cell>
          <cell r="I179" t="str">
            <v>Project</v>
          </cell>
          <cell r="J179">
            <v>10</v>
          </cell>
          <cell r="K179">
            <v>30</v>
          </cell>
          <cell r="L179">
            <v>71.79000000000002</v>
          </cell>
          <cell r="M179"/>
          <cell r="N179">
            <v>20</v>
          </cell>
          <cell r="O179">
            <v>60</v>
          </cell>
          <cell r="P179">
            <v>143.58000000000004</v>
          </cell>
          <cell r="Q179"/>
          <cell r="R179"/>
          <cell r="S179">
            <v>70.34</v>
          </cell>
          <cell r="T179"/>
          <cell r="U179"/>
          <cell r="V179">
            <v>2</v>
          </cell>
          <cell r="W179">
            <v>70.34</v>
          </cell>
        </row>
        <row r="180">
          <cell r="A180" t="str">
            <v>4.4.25.6</v>
          </cell>
          <cell r="B180" t="str">
            <v>TRM111.6</v>
          </cell>
          <cell r="C180" t="str">
            <v>V5</v>
          </cell>
          <cell r="D180" t="str">
            <v>CI-HVC- PRGA -V01-150601</v>
          </cell>
          <cell r="E180" t="str">
            <v>Programmable Thermostat Adjustments - Restaurant – Full Service</v>
          </cell>
          <cell r="F180" t="str">
            <v>Programmable Thermostat Adjustments - Restaurant – Full Service</v>
          </cell>
          <cell r="G180" t="str">
            <v>Thermostats</v>
          </cell>
          <cell r="H180" t="str">
            <v>Commercial</v>
          </cell>
          <cell r="I180" t="str">
            <v>Project</v>
          </cell>
          <cell r="J180">
            <v>10</v>
          </cell>
          <cell r="K180">
            <v>30</v>
          </cell>
          <cell r="L180">
            <v>30.835499999999971</v>
          </cell>
          <cell r="M180"/>
          <cell r="N180">
            <v>20</v>
          </cell>
          <cell r="O180">
            <v>60</v>
          </cell>
          <cell r="P180">
            <v>61.670999999999943</v>
          </cell>
          <cell r="Q180"/>
          <cell r="R180"/>
          <cell r="S180">
            <v>70.34</v>
          </cell>
          <cell r="T180"/>
          <cell r="U180"/>
          <cell r="V180">
            <v>2</v>
          </cell>
          <cell r="W180">
            <v>70.34</v>
          </cell>
        </row>
        <row r="181">
          <cell r="A181" t="str">
            <v>4.4.25.7</v>
          </cell>
          <cell r="B181" t="str">
            <v>TRM111.7</v>
          </cell>
          <cell r="C181" t="str">
            <v>V5</v>
          </cell>
          <cell r="D181" t="str">
            <v>CI-HVC- PRGA -V01-150601</v>
          </cell>
          <cell r="E181" t="str">
            <v>Programmable Thermostat Adjustments - Retail – Department Store</v>
          </cell>
          <cell r="F181" t="str">
            <v>Programmable Thermostat Adjustments - Retail – Department Store</v>
          </cell>
          <cell r="G181" t="str">
            <v>Thermostats</v>
          </cell>
          <cell r="H181" t="str">
            <v>Commercial</v>
          </cell>
          <cell r="I181" t="str">
            <v>Project</v>
          </cell>
          <cell r="J181">
            <v>10</v>
          </cell>
          <cell r="K181">
            <v>30</v>
          </cell>
          <cell r="L181">
            <v>36.310500000000005</v>
          </cell>
          <cell r="M181"/>
          <cell r="N181">
            <v>20</v>
          </cell>
          <cell r="O181">
            <v>60</v>
          </cell>
          <cell r="P181">
            <v>72.621000000000009</v>
          </cell>
          <cell r="Q181"/>
          <cell r="R181"/>
          <cell r="S181">
            <v>70.34</v>
          </cell>
          <cell r="T181"/>
          <cell r="U181"/>
          <cell r="V181">
            <v>2</v>
          </cell>
          <cell r="W181">
            <v>70.34</v>
          </cell>
        </row>
        <row r="182">
          <cell r="A182" t="str">
            <v>4.4.25.8</v>
          </cell>
          <cell r="B182" t="str">
            <v>TRM111.8</v>
          </cell>
          <cell r="C182" t="str">
            <v>V5</v>
          </cell>
          <cell r="D182" t="str">
            <v>CI-HVC- PRGA -V01-150601</v>
          </cell>
          <cell r="E182" t="str">
            <v>Programmable Thermostat Adjustments - Retail – Strip Mall</v>
          </cell>
          <cell r="F182" t="str">
            <v>Programmable Thermostat Adjustments - Retail – Strip Mall</v>
          </cell>
          <cell r="G182" t="str">
            <v>Thermostats</v>
          </cell>
          <cell r="H182" t="str">
            <v>Commercial</v>
          </cell>
          <cell r="I182" t="str">
            <v>Project</v>
          </cell>
          <cell r="J182">
            <v>10</v>
          </cell>
          <cell r="K182">
            <v>30</v>
          </cell>
          <cell r="L182">
            <v>43.762499999999996</v>
          </cell>
          <cell r="M182"/>
          <cell r="N182">
            <v>20</v>
          </cell>
          <cell r="O182">
            <v>60</v>
          </cell>
          <cell r="P182">
            <v>87.524999999999991</v>
          </cell>
          <cell r="Q182"/>
          <cell r="R182"/>
          <cell r="S182">
            <v>70.34</v>
          </cell>
          <cell r="T182"/>
          <cell r="U182"/>
          <cell r="V182">
            <v>2</v>
          </cell>
          <cell r="W182">
            <v>70.34</v>
          </cell>
        </row>
        <row r="183">
          <cell r="A183"/>
          <cell r="B183"/>
          <cell r="C183"/>
          <cell r="D183"/>
          <cell r="E183"/>
          <cell r="F183"/>
          <cell r="G183"/>
          <cell r="H183"/>
          <cell r="I183"/>
          <cell r="J183"/>
          <cell r="K183"/>
          <cell r="L183"/>
          <cell r="M183"/>
          <cell r="N183"/>
          <cell r="O183"/>
          <cell r="P183"/>
          <cell r="Q183"/>
          <cell r="R183"/>
          <cell r="S183"/>
          <cell r="T183"/>
          <cell r="U183"/>
          <cell r="V183"/>
          <cell r="W183"/>
        </row>
        <row r="184">
          <cell r="A184" t="str">
            <v>4.4.28.1</v>
          </cell>
          <cell r="B184" t="str">
            <v>TRM115.1</v>
          </cell>
          <cell r="C184" t="str">
            <v>V5</v>
          </cell>
          <cell r="D184" t="str">
            <v>CI-HVC-BECO-V01-150601</v>
          </cell>
          <cell r="E184" t="str">
            <v>Stack Economizer for HVAC Loads Water (81.9%)Boiler Conventional</v>
          </cell>
          <cell r="F184" t="str">
            <v>HVAC Economizer for Conventional Water Boiler</v>
          </cell>
          <cell r="G184" t="str">
            <v>Boilers</v>
          </cell>
          <cell r="H184" t="str">
            <v>Commercial</v>
          </cell>
          <cell r="I184" t="str">
            <v>Project</v>
          </cell>
          <cell r="J184">
            <v>0</v>
          </cell>
          <cell r="K184">
            <v>0</v>
          </cell>
          <cell r="L184">
            <v>590.70869999999991</v>
          </cell>
          <cell r="M184"/>
          <cell r="N184">
            <v>0</v>
          </cell>
          <cell r="O184">
            <v>0</v>
          </cell>
          <cell r="P184">
            <v>8860.6304999999993</v>
          </cell>
          <cell r="Q184"/>
          <cell r="R184"/>
          <cell r="S184"/>
          <cell r="T184"/>
          <cell r="U184"/>
          <cell r="V184">
            <v>15</v>
          </cell>
          <cell r="W184">
            <v>0</v>
          </cell>
        </row>
        <row r="185">
          <cell r="A185" t="str">
            <v>4.4.28.2</v>
          </cell>
          <cell r="B185" t="str">
            <v>TRM115.2</v>
          </cell>
          <cell r="C185" t="str">
            <v>V5</v>
          </cell>
          <cell r="D185" t="str">
            <v>CI-HVC-BECO-V01-150601</v>
          </cell>
          <cell r="E185" t="str">
            <v>Stack Economizer for HVAC Loads Water (81.9%)Boiler Condensing</v>
          </cell>
          <cell r="F185" t="str">
            <v>HVAC Economizer for Condensing Water Boiler</v>
          </cell>
          <cell r="G185" t="str">
            <v>Boilers</v>
          </cell>
          <cell r="H185" t="str">
            <v>Commercial</v>
          </cell>
          <cell r="I185" t="str">
            <v>Project</v>
          </cell>
          <cell r="J185">
            <v>0</v>
          </cell>
          <cell r="K185">
            <v>0</v>
          </cell>
          <cell r="L185">
            <v>979.1198999999998</v>
          </cell>
          <cell r="M185"/>
          <cell r="N185">
            <v>0</v>
          </cell>
          <cell r="O185">
            <v>0</v>
          </cell>
          <cell r="P185">
            <v>14686.798499999997</v>
          </cell>
          <cell r="Q185"/>
          <cell r="R185"/>
          <cell r="S185"/>
          <cell r="T185"/>
          <cell r="U185"/>
          <cell r="V185">
            <v>15</v>
          </cell>
          <cell r="W185">
            <v>0</v>
          </cell>
        </row>
        <row r="186">
          <cell r="A186" t="str">
            <v>4.4.28.3</v>
          </cell>
          <cell r="B186" t="str">
            <v>TRM115.3</v>
          </cell>
          <cell r="C186" t="str">
            <v>V5</v>
          </cell>
          <cell r="D186" t="str">
            <v>CI-HVC-BECO-V01-150601</v>
          </cell>
          <cell r="E186" t="str">
            <v>Stack Economizer for HVAC Loads Steam (80.7%) Boiler Conventional</v>
          </cell>
          <cell r="F186" t="str">
            <v>HVAC Economizer for Conventional Steam Boiler</v>
          </cell>
          <cell r="G186" t="str">
            <v>Boilers</v>
          </cell>
          <cell r="H186" t="str">
            <v>Commercial</v>
          </cell>
          <cell r="I186" t="str">
            <v>Project</v>
          </cell>
          <cell r="J186">
            <v>0</v>
          </cell>
          <cell r="K186">
            <v>0</v>
          </cell>
          <cell r="L186">
            <v>776.8223999999999</v>
          </cell>
          <cell r="M186"/>
          <cell r="N186">
            <v>0</v>
          </cell>
          <cell r="O186">
            <v>0</v>
          </cell>
          <cell r="P186">
            <v>11652.335999999999</v>
          </cell>
          <cell r="Q186"/>
          <cell r="R186"/>
          <cell r="S186"/>
          <cell r="T186"/>
          <cell r="U186"/>
          <cell r="V186">
            <v>15</v>
          </cell>
          <cell r="W186">
            <v>0</v>
          </cell>
        </row>
        <row r="187">
          <cell r="A187" t="str">
            <v>4.4.28.4</v>
          </cell>
          <cell r="B187" t="str">
            <v>TRM115.4</v>
          </cell>
          <cell r="C187" t="str">
            <v>V5</v>
          </cell>
          <cell r="D187" t="str">
            <v>CI-HVC-BECO-V01-150601</v>
          </cell>
          <cell r="E187" t="str">
            <v>Stack Economizer for HVAC Loads Steam (80.7%) Boiler Condensing</v>
          </cell>
          <cell r="F187" t="str">
            <v>HVAC Economizer for Condensing Steam Boiler</v>
          </cell>
          <cell r="G187" t="str">
            <v>Boilers</v>
          </cell>
          <cell r="H187" t="str">
            <v>Commercial</v>
          </cell>
          <cell r="I187" t="str">
            <v>Project</v>
          </cell>
          <cell r="J187">
            <v>0</v>
          </cell>
          <cell r="K187">
            <v>0</v>
          </cell>
          <cell r="L187">
            <v>1162.5363</v>
          </cell>
          <cell r="M187"/>
          <cell r="N187">
            <v>0</v>
          </cell>
          <cell r="O187">
            <v>0</v>
          </cell>
          <cell r="P187">
            <v>17438.0445</v>
          </cell>
          <cell r="Q187"/>
          <cell r="R187"/>
          <cell r="S187"/>
          <cell r="T187"/>
          <cell r="U187"/>
          <cell r="V187">
            <v>15</v>
          </cell>
          <cell r="W187">
            <v>0</v>
          </cell>
        </row>
        <row r="188">
          <cell r="A188"/>
          <cell r="B188"/>
          <cell r="C188"/>
          <cell r="D188"/>
          <cell r="E188"/>
          <cell r="F188"/>
          <cell r="G188"/>
          <cell r="H188"/>
          <cell r="I188"/>
          <cell r="J188"/>
          <cell r="K188"/>
          <cell r="L188"/>
          <cell r="M188"/>
          <cell r="N188"/>
          <cell r="O188"/>
          <cell r="P188"/>
          <cell r="Q188"/>
          <cell r="R188"/>
          <cell r="S188"/>
          <cell r="T188"/>
          <cell r="U188"/>
          <cell r="V188"/>
          <cell r="W188"/>
        </row>
        <row r="189">
          <cell r="A189" t="str">
            <v>4.4.29.1</v>
          </cell>
          <cell r="B189" t="str">
            <v>TRM116.1</v>
          </cell>
          <cell r="C189" t="str">
            <v>V5</v>
          </cell>
          <cell r="D189" t="str">
            <v>CI-HVC-PECO-V01-150601</v>
          </cell>
          <cell r="E189" t="str">
            <v>Stack Economizer for Process Loads Water (81.9%)Boiler Conventional</v>
          </cell>
          <cell r="F189" t="str">
            <v>Process Economizer for Conventional Water Boiler</v>
          </cell>
          <cell r="G189" t="str">
            <v>Boilers</v>
          </cell>
          <cell r="H189" t="str">
            <v>Commercial</v>
          </cell>
          <cell r="I189" t="str">
            <v>Project</v>
          </cell>
          <cell r="J189">
            <v>0</v>
          </cell>
          <cell r="K189">
            <v>0</v>
          </cell>
          <cell r="L189">
            <v>1206.5653890000001</v>
          </cell>
          <cell r="M189"/>
          <cell r="N189">
            <v>0</v>
          </cell>
          <cell r="O189">
            <v>0</v>
          </cell>
          <cell r="P189">
            <v>18098.480835000002</v>
          </cell>
          <cell r="Q189"/>
          <cell r="R189"/>
          <cell r="S189"/>
          <cell r="T189"/>
          <cell r="U189"/>
          <cell r="V189">
            <v>15</v>
          </cell>
          <cell r="W189">
            <v>0</v>
          </cell>
        </row>
        <row r="190">
          <cell r="A190" t="str">
            <v>4.4.29.2</v>
          </cell>
          <cell r="B190" t="str">
            <v>TRM116.2</v>
          </cell>
          <cell r="C190" t="str">
            <v>V5</v>
          </cell>
          <cell r="D190" t="str">
            <v>CI-HVC-PECO-V01-150601</v>
          </cell>
          <cell r="E190" t="str">
            <v>Stack Economizer for Process Loads Water (81.9%)Boiler Condensing</v>
          </cell>
          <cell r="F190" t="str">
            <v>Process Economizer for Condensing Water Boiler</v>
          </cell>
          <cell r="G190" t="str">
            <v>Boilers</v>
          </cell>
          <cell r="H190" t="str">
            <v>Commercial</v>
          </cell>
          <cell r="I190" t="str">
            <v>Project</v>
          </cell>
          <cell r="J190">
            <v>0</v>
          </cell>
          <cell r="K190">
            <v>0</v>
          </cell>
          <cell r="L190">
            <v>1999.9234529999999</v>
          </cell>
          <cell r="M190"/>
          <cell r="N190">
            <v>0</v>
          </cell>
          <cell r="O190">
            <v>0</v>
          </cell>
          <cell r="P190">
            <v>29998.851794999999</v>
          </cell>
          <cell r="Q190"/>
          <cell r="R190"/>
          <cell r="S190"/>
          <cell r="T190"/>
          <cell r="U190"/>
          <cell r="V190">
            <v>15</v>
          </cell>
          <cell r="W190">
            <v>0</v>
          </cell>
        </row>
        <row r="191">
          <cell r="A191" t="str">
            <v>4.4.29.3</v>
          </cell>
          <cell r="B191" t="str">
            <v>TRM116.3</v>
          </cell>
          <cell r="C191" t="str">
            <v>V5</v>
          </cell>
          <cell r="D191" t="str">
            <v>CI-HVC-PECO-V01-150601</v>
          </cell>
          <cell r="E191" t="str">
            <v>Stack Economizer for Process Loads Steam (80.7%) Boiler Conventional</v>
          </cell>
          <cell r="F191" t="str">
            <v>Process Economizer for Conventional Steam</v>
          </cell>
          <cell r="G191" t="str">
            <v>Boilers</v>
          </cell>
          <cell r="H191" t="str">
            <v>Commercial</v>
          </cell>
          <cell r="I191" t="str">
            <v>Project</v>
          </cell>
          <cell r="J191">
            <v>0</v>
          </cell>
          <cell r="K191">
            <v>0</v>
          </cell>
          <cell r="L191">
            <v>1586.7161279999998</v>
          </cell>
          <cell r="M191"/>
          <cell r="N191">
            <v>0</v>
          </cell>
          <cell r="O191">
            <v>0</v>
          </cell>
          <cell r="P191">
            <v>23800.741919999997</v>
          </cell>
          <cell r="Q191"/>
          <cell r="R191"/>
          <cell r="S191"/>
          <cell r="T191"/>
          <cell r="U191"/>
          <cell r="V191">
            <v>15</v>
          </cell>
          <cell r="W191">
            <v>0</v>
          </cell>
        </row>
        <row r="192">
          <cell r="A192" t="str">
            <v>4.4.29.4</v>
          </cell>
          <cell r="B192" t="str">
            <v>TRM116.4</v>
          </cell>
          <cell r="C192" t="str">
            <v>V5</v>
          </cell>
          <cell r="D192" t="str">
            <v>CI-HVC-PECO-V01-150601</v>
          </cell>
          <cell r="E192" t="str">
            <v>Stack Economizer for Process Loads Steam (80.7%) Boiler Condensing</v>
          </cell>
          <cell r="F192" t="str">
            <v>Process Economizer for Condensing Steam Boiler</v>
          </cell>
          <cell r="G192" t="str">
            <v>Boilers</v>
          </cell>
          <cell r="H192" t="str">
            <v>Commercial</v>
          </cell>
          <cell r="I192" t="str">
            <v>Project</v>
          </cell>
          <cell r="J192">
            <v>0</v>
          </cell>
          <cell r="K192">
            <v>0</v>
          </cell>
          <cell r="L192">
            <v>2374.5647610000001</v>
          </cell>
          <cell r="M192"/>
          <cell r="N192">
            <v>0</v>
          </cell>
          <cell r="O192">
            <v>0</v>
          </cell>
          <cell r="P192">
            <v>35618.471415</v>
          </cell>
          <cell r="Q192"/>
          <cell r="R192"/>
          <cell r="S192"/>
          <cell r="T192"/>
          <cell r="U192"/>
          <cell r="V192">
            <v>15</v>
          </cell>
          <cell r="W192">
            <v>0</v>
          </cell>
        </row>
        <row r="193">
          <cell r="A193"/>
          <cell r="B193"/>
          <cell r="C193"/>
          <cell r="D193"/>
          <cell r="E193"/>
          <cell r="F193"/>
          <cell r="G193"/>
          <cell r="H193"/>
          <cell r="I193"/>
          <cell r="J193"/>
          <cell r="K193"/>
          <cell r="L193"/>
          <cell r="M193"/>
          <cell r="N193"/>
          <cell r="O193"/>
          <cell r="P193"/>
          <cell r="Q193"/>
          <cell r="R193"/>
          <cell r="S193"/>
          <cell r="T193"/>
          <cell r="U193"/>
          <cell r="V193"/>
          <cell r="W193"/>
        </row>
        <row r="194">
          <cell r="A194" t="str">
            <v>4.4.31.1</v>
          </cell>
          <cell r="B194" t="str">
            <v>TRM117</v>
          </cell>
          <cell r="C194" t="str">
            <v>V5</v>
          </cell>
          <cell r="D194" t="str">
            <v>CI-HVC-FTUN-V01-150601</v>
          </cell>
          <cell r="E194" t="str">
            <v>Space Heating Furnace Tune-up - 400000</v>
          </cell>
          <cell r="F194" t="str">
            <v>Small Business Furnace Tune Up</v>
          </cell>
          <cell r="G194" t="str">
            <v>Boilers</v>
          </cell>
          <cell r="H194" t="str">
            <v>Commercial</v>
          </cell>
          <cell r="I194" t="str">
            <v>Project</v>
          </cell>
          <cell r="J194">
            <v>0</v>
          </cell>
          <cell r="K194">
            <v>0</v>
          </cell>
          <cell r="L194">
            <v>134.26011477761853</v>
          </cell>
          <cell r="M194"/>
          <cell r="N194">
            <v>0</v>
          </cell>
          <cell r="O194">
            <v>0</v>
          </cell>
          <cell r="P194">
            <v>268.52022955523705</v>
          </cell>
          <cell r="Q194"/>
          <cell r="R194"/>
          <cell r="S194"/>
          <cell r="T194"/>
          <cell r="U194"/>
          <cell r="V194">
            <v>2</v>
          </cell>
          <cell r="W194">
            <v>0</v>
          </cell>
        </row>
        <row r="195">
          <cell r="A195"/>
          <cell r="B195"/>
          <cell r="C195"/>
          <cell r="D195"/>
          <cell r="E195"/>
          <cell r="F195"/>
          <cell r="G195"/>
          <cell r="H195"/>
          <cell r="I195"/>
          <cell r="J195"/>
          <cell r="K195"/>
          <cell r="L195"/>
          <cell r="M195"/>
          <cell r="N195"/>
          <cell r="O195"/>
          <cell r="P195"/>
          <cell r="Q195"/>
          <cell r="R195"/>
          <cell r="S195"/>
          <cell r="T195"/>
          <cell r="U195"/>
          <cell r="V195"/>
          <cell r="W195"/>
        </row>
        <row r="196">
          <cell r="A196" t="str">
            <v>4.6.1</v>
          </cell>
          <cell r="B196" t="str">
            <v>TRM35</v>
          </cell>
          <cell r="C196" t="str">
            <v>V5</v>
          </cell>
          <cell r="D196" t="str">
            <v>CI-RFG-ATDC-V01-120601</v>
          </cell>
          <cell r="E196" t="str">
            <v>Automatic Door Closer for walk-in coolers and freezers</v>
          </cell>
          <cell r="F196" t="str">
            <v>Automatic Door Closer for walk-in coolers and freezers</v>
          </cell>
          <cell r="G196" t="str">
            <v>Refrigeration</v>
          </cell>
          <cell r="H196" t="str">
            <v>Commercial</v>
          </cell>
          <cell r="I196" t="str">
            <v>Project</v>
          </cell>
          <cell r="J196">
            <v>943</v>
          </cell>
          <cell r="K196">
            <v>0.13700000000000001</v>
          </cell>
          <cell r="L196">
            <v>0</v>
          </cell>
          <cell r="M196">
            <v>0</v>
          </cell>
          <cell r="N196">
            <v>7544</v>
          </cell>
          <cell r="O196">
            <v>0.13700000000000001</v>
          </cell>
          <cell r="P196">
            <v>0</v>
          </cell>
          <cell r="Q196">
            <v>0</v>
          </cell>
          <cell r="R196"/>
          <cell r="S196"/>
          <cell r="T196"/>
          <cell r="U196"/>
          <cell r="V196">
            <v>8</v>
          </cell>
          <cell r="W196">
            <v>156.82</v>
          </cell>
        </row>
        <row r="197">
          <cell r="A197"/>
          <cell r="B197"/>
          <cell r="C197"/>
          <cell r="D197"/>
          <cell r="E197"/>
          <cell r="F197"/>
          <cell r="G197"/>
          <cell r="H197"/>
          <cell r="I197"/>
          <cell r="J197"/>
          <cell r="K197"/>
          <cell r="L197"/>
          <cell r="M197"/>
          <cell r="N197"/>
          <cell r="O197"/>
          <cell r="P197"/>
          <cell r="Q197"/>
          <cell r="R197"/>
          <cell r="S197"/>
          <cell r="T197"/>
          <cell r="U197"/>
          <cell r="V197"/>
          <cell r="W197"/>
        </row>
        <row r="198">
          <cell r="A198" t="str">
            <v>4.6.2</v>
          </cell>
          <cell r="B198" t="str">
            <v>TRM36</v>
          </cell>
          <cell r="C198" t="str">
            <v>V5</v>
          </cell>
          <cell r="D198" t="str">
            <v>CI-RFG-BEVM-V01-120601</v>
          </cell>
          <cell r="E198" t="str">
            <v>Beverage and Snack Machine Controls</v>
          </cell>
          <cell r="F198" t="str">
            <v>Beverage and Snack Machine Controls</v>
          </cell>
          <cell r="G198" t="str">
            <v>Controls</v>
          </cell>
          <cell r="H198" t="str">
            <v>Commercial</v>
          </cell>
          <cell r="I198" t="str">
            <v>Project</v>
          </cell>
          <cell r="J198">
            <v>1209.7080000000001</v>
          </cell>
          <cell r="K198">
            <v>0</v>
          </cell>
          <cell r="L198">
            <v>0</v>
          </cell>
          <cell r="M198">
            <v>0</v>
          </cell>
          <cell r="N198">
            <v>6048.5400000000009</v>
          </cell>
          <cell r="O198">
            <v>0</v>
          </cell>
          <cell r="P198">
            <v>0</v>
          </cell>
          <cell r="Q198">
            <v>0</v>
          </cell>
          <cell r="R198"/>
          <cell r="S198"/>
          <cell r="T198"/>
          <cell r="U198"/>
          <cell r="V198">
            <v>5</v>
          </cell>
          <cell r="W198">
            <v>180</v>
          </cell>
        </row>
        <row r="199">
          <cell r="A199"/>
          <cell r="B199"/>
          <cell r="C199"/>
          <cell r="D199"/>
          <cell r="E199"/>
          <cell r="F199"/>
          <cell r="G199"/>
          <cell r="H199"/>
          <cell r="I199"/>
          <cell r="J199"/>
          <cell r="K199"/>
          <cell r="L199"/>
          <cell r="M199"/>
          <cell r="N199"/>
          <cell r="O199"/>
          <cell r="P199"/>
          <cell r="Q199"/>
          <cell r="R199"/>
          <cell r="S199"/>
          <cell r="T199"/>
          <cell r="U199"/>
          <cell r="V199"/>
          <cell r="W199"/>
        </row>
        <row r="200">
          <cell r="A200" t="str">
            <v>4.6.3</v>
          </cell>
          <cell r="B200" t="str">
            <v>TRM37</v>
          </cell>
          <cell r="C200" t="str">
            <v>V5</v>
          </cell>
          <cell r="D200" t="str">
            <v>CI-RFG-DHCT-V01-120601</v>
          </cell>
          <cell r="E200" t="str">
            <v>Door Heater Controls for Cooler and Freezer</v>
          </cell>
          <cell r="F200" t="str">
            <v>Door Heater Controls for Cooler and Freezer</v>
          </cell>
          <cell r="G200" t="str">
            <v>Refrigeration</v>
          </cell>
          <cell r="H200" t="str">
            <v>Commercial</v>
          </cell>
          <cell r="I200" t="str">
            <v>Project</v>
          </cell>
          <cell r="J200">
            <v>5731.0110000000013</v>
          </cell>
          <cell r="K200">
            <v>0</v>
          </cell>
          <cell r="L200">
            <v>0</v>
          </cell>
          <cell r="M200">
            <v>0</v>
          </cell>
          <cell r="N200">
            <v>68772.132000000012</v>
          </cell>
          <cell r="O200">
            <v>0</v>
          </cell>
          <cell r="P200">
            <v>0</v>
          </cell>
          <cell r="Q200">
            <v>0</v>
          </cell>
          <cell r="R200"/>
          <cell r="S200"/>
          <cell r="T200"/>
          <cell r="U200"/>
          <cell r="V200">
            <v>12</v>
          </cell>
          <cell r="W200">
            <v>300</v>
          </cell>
        </row>
        <row r="201">
          <cell r="A201"/>
          <cell r="B201"/>
          <cell r="C201"/>
          <cell r="D201"/>
          <cell r="E201"/>
          <cell r="F201"/>
          <cell r="G201"/>
          <cell r="H201"/>
          <cell r="I201"/>
          <cell r="J201"/>
          <cell r="K201"/>
          <cell r="L201"/>
          <cell r="M201"/>
          <cell r="N201"/>
          <cell r="O201"/>
          <cell r="P201"/>
          <cell r="Q201"/>
          <cell r="R201"/>
          <cell r="S201"/>
          <cell r="T201"/>
          <cell r="U201"/>
          <cell r="V201"/>
          <cell r="W201"/>
        </row>
        <row r="202">
          <cell r="A202" t="str">
            <v>4.6.4</v>
          </cell>
          <cell r="B202" t="str">
            <v>TRM38</v>
          </cell>
          <cell r="C202" t="str">
            <v>V5</v>
          </cell>
          <cell r="D202" t="str">
            <v>CI-RFG-ECMF-V01-120601</v>
          </cell>
          <cell r="E202" t="str">
            <v>Electronically communicated motors (ECM) for walk-in and reach-in coolers/freezers</v>
          </cell>
          <cell r="F202" t="str">
            <v>ECM for walk-in and reach-in coolers/freezers</v>
          </cell>
          <cell r="G202" t="str">
            <v>Refrigeration</v>
          </cell>
          <cell r="H202" t="str">
            <v>Commercial</v>
          </cell>
          <cell r="I202" t="str">
            <v>Unit</v>
          </cell>
          <cell r="J202">
            <v>2005</v>
          </cell>
          <cell r="K202">
            <v>0.21000000000000002</v>
          </cell>
          <cell r="L202">
            <v>0</v>
          </cell>
          <cell r="M202">
            <v>0</v>
          </cell>
          <cell r="N202">
            <v>30075</v>
          </cell>
          <cell r="O202">
            <v>0.21000000000000002</v>
          </cell>
          <cell r="P202">
            <v>0</v>
          </cell>
          <cell r="Q202">
            <v>0</v>
          </cell>
          <cell r="R202"/>
          <cell r="S202"/>
          <cell r="T202"/>
          <cell r="U202"/>
          <cell r="V202">
            <v>15</v>
          </cell>
          <cell r="W202">
            <v>50</v>
          </cell>
        </row>
        <row r="203">
          <cell r="A203"/>
          <cell r="B203"/>
          <cell r="C203"/>
          <cell r="D203"/>
          <cell r="E203"/>
          <cell r="F203"/>
          <cell r="G203"/>
          <cell r="H203"/>
          <cell r="I203"/>
          <cell r="J203"/>
          <cell r="K203"/>
          <cell r="L203"/>
          <cell r="M203"/>
          <cell r="N203"/>
          <cell r="O203"/>
          <cell r="P203"/>
          <cell r="Q203"/>
          <cell r="R203"/>
          <cell r="S203"/>
          <cell r="T203"/>
          <cell r="U203"/>
          <cell r="V203"/>
          <cell r="W203"/>
        </row>
        <row r="204">
          <cell r="A204" t="str">
            <v>4.6.5</v>
          </cell>
          <cell r="B204" t="str">
            <v>TRM39</v>
          </cell>
          <cell r="C204" t="str">
            <v>V5</v>
          </cell>
          <cell r="D204" t="str">
            <v>CI-RFG-ESVE-V01-120601</v>
          </cell>
          <cell r="E204" t="str">
            <v>ENERGY STAR Refrigerated Beverage Vending Machine</v>
          </cell>
          <cell r="F204" t="str">
            <v>Refrigerated Beverage Vending Machine</v>
          </cell>
          <cell r="G204" t="str">
            <v>Refrigeration</v>
          </cell>
          <cell r="H204" t="str">
            <v>Commercial</v>
          </cell>
          <cell r="I204" t="str">
            <v>Unit</v>
          </cell>
          <cell r="J204">
            <v>1310</v>
          </cell>
          <cell r="K204">
            <v>0</v>
          </cell>
          <cell r="L204">
            <v>0</v>
          </cell>
          <cell r="M204">
            <v>0</v>
          </cell>
          <cell r="N204">
            <v>18340</v>
          </cell>
          <cell r="O204">
            <v>0</v>
          </cell>
          <cell r="P204">
            <v>0</v>
          </cell>
          <cell r="Q204">
            <v>0</v>
          </cell>
          <cell r="R204"/>
          <cell r="S204"/>
          <cell r="T204"/>
          <cell r="U204"/>
          <cell r="V204">
            <v>14</v>
          </cell>
          <cell r="W204">
            <v>500</v>
          </cell>
        </row>
        <row r="205">
          <cell r="A205"/>
          <cell r="B205"/>
          <cell r="C205"/>
          <cell r="D205"/>
          <cell r="E205"/>
          <cell r="F205"/>
          <cell r="G205"/>
          <cell r="H205"/>
          <cell r="I205"/>
          <cell r="J205"/>
          <cell r="K205"/>
          <cell r="L205"/>
          <cell r="M205"/>
          <cell r="N205"/>
          <cell r="O205"/>
          <cell r="P205"/>
          <cell r="Q205"/>
          <cell r="R205"/>
          <cell r="S205"/>
          <cell r="T205"/>
          <cell r="U205"/>
          <cell r="V205"/>
          <cell r="W205"/>
        </row>
        <row r="206">
          <cell r="A206" t="str">
            <v>4.6.6</v>
          </cell>
          <cell r="B206" t="str">
            <v>TRM40</v>
          </cell>
          <cell r="C206" t="str">
            <v>V5</v>
          </cell>
          <cell r="D206" t="str">
            <v>CI-RFG-EVPF-V01-120601</v>
          </cell>
          <cell r="E206" t="str">
            <v>Evaporator Fan Control</v>
          </cell>
          <cell r="F206" t="str">
            <v>Evaporator Fan Control</v>
          </cell>
          <cell r="G206" t="str">
            <v>Controls</v>
          </cell>
          <cell r="H206" t="str">
            <v>Commercial</v>
          </cell>
          <cell r="I206" t="str">
            <v>Project</v>
          </cell>
          <cell r="J206">
            <v>2390</v>
          </cell>
          <cell r="K206">
            <v>0.3</v>
          </cell>
          <cell r="L206">
            <v>0</v>
          </cell>
          <cell r="M206">
            <v>0</v>
          </cell>
          <cell r="N206">
            <v>38240</v>
          </cell>
          <cell r="O206">
            <v>0.3</v>
          </cell>
          <cell r="P206">
            <v>0</v>
          </cell>
          <cell r="Q206">
            <v>0</v>
          </cell>
          <cell r="R206"/>
          <cell r="S206"/>
          <cell r="T206"/>
          <cell r="U206"/>
          <cell r="V206">
            <v>16</v>
          </cell>
          <cell r="W206">
            <v>291</v>
          </cell>
        </row>
        <row r="207">
          <cell r="A207" t="str">
            <v xml:space="preserve"> </v>
          </cell>
          <cell r="B207"/>
          <cell r="C207"/>
          <cell r="D207"/>
          <cell r="E207"/>
          <cell r="F207"/>
          <cell r="G207"/>
          <cell r="H207"/>
          <cell r="I207"/>
          <cell r="J207"/>
          <cell r="K207"/>
          <cell r="L207"/>
          <cell r="M207"/>
          <cell r="N207"/>
          <cell r="O207"/>
          <cell r="P207"/>
          <cell r="Q207"/>
          <cell r="R207"/>
          <cell r="S207"/>
          <cell r="T207"/>
          <cell r="U207"/>
          <cell r="V207"/>
          <cell r="W207"/>
        </row>
        <row r="208">
          <cell r="A208" t="str">
            <v>4.6.7</v>
          </cell>
          <cell r="B208" t="str">
            <v>TRM41</v>
          </cell>
          <cell r="C208" t="str">
            <v>V5</v>
          </cell>
          <cell r="D208" t="str">
            <v>CI-RFG-CRTN-V02-130601</v>
          </cell>
          <cell r="E208" t="str">
            <v>Strip Curtain for Walk-in Coolers and Freezers</v>
          </cell>
          <cell r="F208" t="str">
            <v>Strip Curtain for Walk-in Coolers and Freezers</v>
          </cell>
          <cell r="G208" t="str">
            <v>Refrigeration</v>
          </cell>
          <cell r="H208" t="str">
            <v>Commercial</v>
          </cell>
          <cell r="I208" t="str">
            <v>Unit</v>
          </cell>
          <cell r="J208">
            <v>844</v>
          </cell>
          <cell r="K208">
            <v>9.6281086014145562E-2</v>
          </cell>
          <cell r="L208">
            <v>0</v>
          </cell>
          <cell r="M208">
            <v>0</v>
          </cell>
          <cell r="N208">
            <v>5064</v>
          </cell>
          <cell r="O208">
            <v>9.6281086014145562E-2</v>
          </cell>
          <cell r="P208">
            <v>0</v>
          </cell>
          <cell r="Q208">
            <v>0</v>
          </cell>
          <cell r="R208"/>
          <cell r="S208"/>
          <cell r="T208"/>
          <cell r="U208"/>
          <cell r="V208">
            <v>6</v>
          </cell>
          <cell r="W208">
            <v>286.16000000000003</v>
          </cell>
        </row>
        <row r="209">
          <cell r="A209"/>
          <cell r="B209"/>
          <cell r="C209"/>
          <cell r="D209"/>
          <cell r="E209"/>
          <cell r="F209"/>
          <cell r="G209"/>
          <cell r="H209"/>
          <cell r="I209"/>
          <cell r="J209"/>
          <cell r="K209"/>
          <cell r="L209"/>
          <cell r="M209"/>
          <cell r="N209"/>
          <cell r="O209"/>
          <cell r="P209"/>
          <cell r="Q209"/>
          <cell r="R209"/>
          <cell r="S209"/>
          <cell r="T209"/>
          <cell r="U209"/>
          <cell r="V209"/>
          <cell r="W209"/>
        </row>
        <row r="210">
          <cell r="A210" t="str">
            <v>4.7.1</v>
          </cell>
          <cell r="B210" t="str">
            <v>TRM42</v>
          </cell>
          <cell r="C210" t="str">
            <v>V5</v>
          </cell>
          <cell r="D210" t="str">
            <v>CI-MSC-VSDA-V01-120601</v>
          </cell>
          <cell r="E210" t="str">
            <v>VSD Air Compressor</v>
          </cell>
          <cell r="F210" t="str">
            <v>VSD Air Compressor</v>
          </cell>
          <cell r="G210" t="str">
            <v>Consumer electronics</v>
          </cell>
          <cell r="H210" t="str">
            <v>Commercial</v>
          </cell>
          <cell r="I210" t="str">
            <v>Unit</v>
          </cell>
          <cell r="J210">
            <v>13852.800000000005</v>
          </cell>
          <cell r="K210">
            <v>1.5817500000000004</v>
          </cell>
          <cell r="L210">
            <v>0</v>
          </cell>
          <cell r="M210">
            <v>0</v>
          </cell>
          <cell r="N210">
            <v>138528.00000000006</v>
          </cell>
          <cell r="O210">
            <v>1.5817500000000004</v>
          </cell>
          <cell r="P210">
            <v>0</v>
          </cell>
          <cell r="Q210">
            <v>0</v>
          </cell>
          <cell r="R210"/>
          <cell r="S210"/>
          <cell r="T210"/>
          <cell r="U210"/>
          <cell r="V210">
            <v>10</v>
          </cell>
          <cell r="W210">
            <v>2716</v>
          </cell>
        </row>
        <row r="211">
          <cell r="A211"/>
          <cell r="B211"/>
          <cell r="C211"/>
          <cell r="D211"/>
          <cell r="E211"/>
          <cell r="F211"/>
          <cell r="G211"/>
          <cell r="H211"/>
          <cell r="I211"/>
          <cell r="J211"/>
          <cell r="K211"/>
          <cell r="L211"/>
          <cell r="M211"/>
          <cell r="N211"/>
          <cell r="O211"/>
          <cell r="P211"/>
          <cell r="Q211"/>
          <cell r="R211"/>
          <cell r="S211"/>
          <cell r="T211"/>
          <cell r="U211"/>
          <cell r="V211"/>
          <cell r="W211"/>
        </row>
        <row r="212">
          <cell r="A212" t="str">
            <v>4.8.2.1</v>
          </cell>
          <cell r="B212" t="str">
            <v>TRM110.1</v>
          </cell>
          <cell r="C212" t="str">
            <v>V5</v>
          </cell>
          <cell r="D212" t="str">
            <v>CI-HVC-RINS-V01-150601</v>
          </cell>
          <cell r="E212" t="str">
            <v>Roof Insulation Insulation Entirely Above Deck Nonresidential Continuous Insulation Joint</v>
          </cell>
          <cell r="F212" t="str">
            <v>C&amp;I Roof Insulation</v>
          </cell>
          <cell r="G212" t="str">
            <v>Shell</v>
          </cell>
          <cell r="H212" t="str">
            <v>Commercial</v>
          </cell>
          <cell r="I212" t="str">
            <v>Project</v>
          </cell>
          <cell r="J212">
            <v>36.659624053791177</v>
          </cell>
          <cell r="K212">
            <v>0</v>
          </cell>
          <cell r="L212">
            <v>17.462999270520566</v>
          </cell>
          <cell r="M212">
            <v>0</v>
          </cell>
          <cell r="N212">
            <v>733.19248107582348</v>
          </cell>
          <cell r="O212">
            <v>0</v>
          </cell>
          <cell r="P212">
            <v>349.25998541041133</v>
          </cell>
          <cell r="Q212">
            <v>0</v>
          </cell>
          <cell r="R212"/>
          <cell r="S212"/>
          <cell r="T212"/>
          <cell r="U212"/>
          <cell r="V212">
            <v>20</v>
          </cell>
          <cell r="W212">
            <v>1360</v>
          </cell>
        </row>
        <row r="213">
          <cell r="A213" t="str">
            <v>4.8.2.2</v>
          </cell>
          <cell r="B213" t="str">
            <v>TRM110.2</v>
          </cell>
          <cell r="C213" t="str">
            <v>V5</v>
          </cell>
          <cell r="D213" t="str">
            <v>CI-HVC-RINS-V01-150601</v>
          </cell>
          <cell r="E213" t="str">
            <v>Roof Insulation Insulation Entirely Above Deck Semiheated Continuous Insulation Joint</v>
          </cell>
          <cell r="F213" t="str">
            <v>C&amp;I Roof Insulation</v>
          </cell>
          <cell r="G213" t="str">
            <v>Shell</v>
          </cell>
          <cell r="H213" t="str">
            <v>Commercial</v>
          </cell>
          <cell r="I213" t="str">
            <v>Project</v>
          </cell>
          <cell r="J213">
            <v>17.556569543705329</v>
          </cell>
          <cell r="K213">
            <v>0</v>
          </cell>
          <cell r="L213">
            <v>3.3628092358438675</v>
          </cell>
          <cell r="M213">
            <v>0</v>
          </cell>
          <cell r="N213">
            <v>351.13139087410661</v>
          </cell>
          <cell r="O213">
            <v>0</v>
          </cell>
          <cell r="P213">
            <v>70.618993952721212</v>
          </cell>
          <cell r="Q213">
            <v>0</v>
          </cell>
          <cell r="R213"/>
          <cell r="S213"/>
          <cell r="T213"/>
          <cell r="U213"/>
          <cell r="V213">
            <v>21</v>
          </cell>
          <cell r="W213">
            <v>1360</v>
          </cell>
        </row>
        <row r="214">
          <cell r="A214" t="str">
            <v>4.8.2.3</v>
          </cell>
          <cell r="B214" t="str">
            <v>TRM110.3</v>
          </cell>
          <cell r="C214" t="str">
            <v>V5</v>
          </cell>
          <cell r="D214" t="str">
            <v>CI-HVC-RINS-V01-150601</v>
          </cell>
          <cell r="E214" t="str">
            <v>Roof Insulation Metal Building (Roof) Nonresidential Continuous Insulation Joint</v>
          </cell>
          <cell r="F214" t="str">
            <v>C&amp;I Roof Insulation</v>
          </cell>
          <cell r="G214" t="str">
            <v>Shell</v>
          </cell>
          <cell r="H214" t="str">
            <v>Commercial</v>
          </cell>
          <cell r="I214" t="str">
            <v>Project</v>
          </cell>
          <cell r="J214">
            <v>38.390027180076657</v>
          </cell>
          <cell r="K214">
            <v>0</v>
          </cell>
          <cell r="L214">
            <v>18.740197439998148</v>
          </cell>
          <cell r="M214">
            <v>0</v>
          </cell>
          <cell r="N214">
            <v>767.80054360153315</v>
          </cell>
          <cell r="O214">
            <v>0</v>
          </cell>
          <cell r="P214">
            <v>412.28434367995925</v>
          </cell>
          <cell r="Q214">
            <v>0</v>
          </cell>
          <cell r="R214"/>
          <cell r="S214"/>
          <cell r="T214"/>
          <cell r="U214"/>
          <cell r="V214">
            <v>22</v>
          </cell>
          <cell r="W214">
            <v>1360</v>
          </cell>
        </row>
        <row r="215">
          <cell r="A215" t="str">
            <v>4.8.2.4</v>
          </cell>
          <cell r="B215" t="str">
            <v>TRM110.4</v>
          </cell>
          <cell r="C215" t="str">
            <v>V5</v>
          </cell>
          <cell r="D215" t="str">
            <v>CI-HVC-RINS-V01-150601</v>
          </cell>
          <cell r="E215" t="str">
            <v>Roof Insulation Metal Building (Roof) Nonresidential Linear System Joint</v>
          </cell>
          <cell r="F215" t="str">
            <v>C&amp;I Roof Insulation</v>
          </cell>
          <cell r="G215" t="str">
            <v>Shell</v>
          </cell>
          <cell r="H215" t="str">
            <v>Commercial</v>
          </cell>
          <cell r="I215" t="str">
            <v>Project</v>
          </cell>
          <cell r="J215">
            <v>36.659624053791177</v>
          </cell>
          <cell r="K215">
            <v>0</v>
          </cell>
          <cell r="L215">
            <v>17.462999270520566</v>
          </cell>
          <cell r="M215">
            <v>0</v>
          </cell>
          <cell r="N215">
            <v>733.19248107582348</v>
          </cell>
          <cell r="O215">
            <v>0</v>
          </cell>
          <cell r="P215">
            <v>401.64898322197303</v>
          </cell>
          <cell r="Q215">
            <v>0</v>
          </cell>
          <cell r="R215"/>
          <cell r="S215"/>
          <cell r="T215"/>
          <cell r="U215"/>
          <cell r="V215">
            <v>23</v>
          </cell>
          <cell r="W215">
            <v>1360</v>
          </cell>
        </row>
        <row r="216">
          <cell r="A216" t="str">
            <v>4.8.2.5</v>
          </cell>
          <cell r="B216" t="str">
            <v>TRM110.5</v>
          </cell>
          <cell r="C216" t="str">
            <v>V5</v>
          </cell>
          <cell r="D216" t="str">
            <v>CI-HVC-RINS-V01-150601</v>
          </cell>
          <cell r="E216" t="str">
            <v>Roof Insulation Metal Building (Roof) Semiheated NA Joint</v>
          </cell>
          <cell r="F216" t="str">
            <v>C&amp;I Roof Insulation</v>
          </cell>
          <cell r="G216" t="str">
            <v>Shell</v>
          </cell>
          <cell r="H216" t="str">
            <v>Commercial</v>
          </cell>
          <cell r="I216" t="str">
            <v>Project</v>
          </cell>
          <cell r="J216">
            <v>25.639688354815231</v>
          </cell>
          <cell r="K216">
            <v>0</v>
          </cell>
          <cell r="L216">
            <v>9.3292635596370275</v>
          </cell>
          <cell r="M216">
            <v>0</v>
          </cell>
          <cell r="N216">
            <v>512.79376709630458</v>
          </cell>
          <cell r="O216">
            <v>0</v>
          </cell>
          <cell r="P216">
            <v>223.90232543128866</v>
          </cell>
          <cell r="Q216">
            <v>0</v>
          </cell>
          <cell r="R216"/>
          <cell r="S216"/>
          <cell r="T216"/>
          <cell r="U216"/>
          <cell r="V216">
            <v>24</v>
          </cell>
          <cell r="W216">
            <v>1360</v>
          </cell>
        </row>
        <row r="217">
          <cell r="A217" t="str">
            <v>4.8.2.6</v>
          </cell>
          <cell r="B217" t="str">
            <v>TRM110.6</v>
          </cell>
          <cell r="C217" t="str">
            <v>V5</v>
          </cell>
          <cell r="D217" t="str">
            <v>CI-HVC-RINS-V01-150601</v>
          </cell>
          <cell r="E217" t="str">
            <v>Roof Insulation Attic and Other Nonresidential NA Joint</v>
          </cell>
          <cell r="F217" t="str">
            <v>C&amp;I Roof Insulation</v>
          </cell>
          <cell r="G217" t="str">
            <v>Shell</v>
          </cell>
          <cell r="H217" t="str">
            <v>Commercial</v>
          </cell>
          <cell r="I217" t="str">
            <v>Project</v>
          </cell>
          <cell r="J217">
            <v>44.04032310264148</v>
          </cell>
          <cell r="K217">
            <v>0</v>
          </cell>
          <cell r="L217">
            <v>22.910640442373925</v>
          </cell>
          <cell r="M217">
            <v>0</v>
          </cell>
          <cell r="N217">
            <v>880.8064620528296</v>
          </cell>
          <cell r="O217">
            <v>0</v>
          </cell>
          <cell r="P217">
            <v>549.85537061697414</v>
          </cell>
          <cell r="Q217">
            <v>0</v>
          </cell>
          <cell r="R217"/>
          <cell r="S217"/>
          <cell r="T217"/>
          <cell r="U217"/>
          <cell r="V217">
            <v>24</v>
          </cell>
          <cell r="W217">
            <v>1360</v>
          </cell>
        </row>
        <row r="218">
          <cell r="A218" t="str">
            <v>4.8.2.7</v>
          </cell>
          <cell r="B218" t="str">
            <v>TRM110.7</v>
          </cell>
          <cell r="C218" t="str">
            <v>V5</v>
          </cell>
          <cell r="D218" t="str">
            <v>CI-HVC-RINS-V01-150601</v>
          </cell>
          <cell r="E218" t="str">
            <v>Roof Insulation Attic and Other Semiheated NA Joint</v>
          </cell>
          <cell r="F218" t="str">
            <v>C&amp;I Roof Insulation</v>
          </cell>
          <cell r="G218" t="str">
            <v>Shell</v>
          </cell>
          <cell r="H218" t="str">
            <v>Commercial</v>
          </cell>
          <cell r="I218" t="str">
            <v>Project</v>
          </cell>
          <cell r="J218">
            <v>36.659624053791177</v>
          </cell>
          <cell r="K218">
            <v>0</v>
          </cell>
          <cell r="L218">
            <v>17.462999270520566</v>
          </cell>
          <cell r="M218">
            <v>0</v>
          </cell>
          <cell r="N218">
            <v>733.19248107582348</v>
          </cell>
          <cell r="O218">
            <v>0</v>
          </cell>
          <cell r="P218">
            <v>436.57498176301414</v>
          </cell>
          <cell r="Q218">
            <v>0</v>
          </cell>
          <cell r="R218"/>
          <cell r="S218"/>
          <cell r="T218"/>
          <cell r="U218"/>
          <cell r="V218">
            <v>25</v>
          </cell>
          <cell r="W218">
            <v>1360</v>
          </cell>
        </row>
        <row r="219">
          <cell r="A219"/>
          <cell r="B219"/>
          <cell r="C219"/>
          <cell r="D219"/>
          <cell r="E219"/>
          <cell r="F219"/>
          <cell r="G219"/>
          <cell r="H219"/>
          <cell r="I219"/>
          <cell r="J219"/>
          <cell r="K219"/>
          <cell r="L219"/>
          <cell r="M219"/>
          <cell r="N219"/>
          <cell r="O219"/>
          <cell r="P219"/>
          <cell r="Q219"/>
          <cell r="R219"/>
          <cell r="S219"/>
          <cell r="T219"/>
          <cell r="U219"/>
          <cell r="V219"/>
          <cell r="W219"/>
        </row>
        <row r="220">
          <cell r="A220" t="str">
            <v>4.3.9.1</v>
          </cell>
          <cell r="B220" t="str">
            <v>TRM112.1</v>
          </cell>
          <cell r="C220" t="str">
            <v>V5</v>
          </cell>
          <cell r="D220" t="str">
            <v>CI-HW_-GRTF-V01-160601</v>
          </cell>
          <cell r="E220" t="str">
            <v>4.3.9 Heat Recovery Grease Trap Filter Average - All Buildings</v>
          </cell>
          <cell r="F220" t="str">
            <v>Heat Recovery Grease Trap Filter - All Buildings</v>
          </cell>
          <cell r="G220" t="str">
            <v>Food Service</v>
          </cell>
          <cell r="H220" t="str">
            <v>Commercial</v>
          </cell>
          <cell r="I220" t="str">
            <v>Project</v>
          </cell>
          <cell r="J220">
            <v>0</v>
          </cell>
          <cell r="K220">
            <v>0</v>
          </cell>
          <cell r="L220">
            <v>1504.6053244444445</v>
          </cell>
          <cell r="M220">
            <v>0</v>
          </cell>
          <cell r="N220">
            <v>0</v>
          </cell>
          <cell r="O220">
            <v>0</v>
          </cell>
          <cell r="P220">
            <v>22569.079866666667</v>
          </cell>
          <cell r="Q220">
            <v>0</v>
          </cell>
          <cell r="R220"/>
          <cell r="S220">
            <v>8957.3333333333321</v>
          </cell>
          <cell r="T220"/>
          <cell r="U220"/>
          <cell r="V220">
            <v>15</v>
          </cell>
          <cell r="W220">
            <v>8957.3333333333321</v>
          </cell>
        </row>
        <row r="221">
          <cell r="A221" t="str">
            <v>4.3.9.2</v>
          </cell>
          <cell r="B221" t="str">
            <v>TRM112.2</v>
          </cell>
          <cell r="C221" t="str">
            <v>V5</v>
          </cell>
          <cell r="D221" t="str">
            <v>CI-HW_-GRTF-V01-160601</v>
          </cell>
          <cell r="E221" t="str">
            <v>4.3.9 Heat Recovery Grease Trap Filter School - Average</v>
          </cell>
          <cell r="F221" t="str">
            <v>Heat Recovery Grease Trap Filter - School</v>
          </cell>
          <cell r="G221" t="str">
            <v>Food Service</v>
          </cell>
          <cell r="H221" t="str">
            <v>Commercial</v>
          </cell>
          <cell r="I221" t="str">
            <v>Project</v>
          </cell>
          <cell r="J221">
            <v>0</v>
          </cell>
          <cell r="K221">
            <v>0</v>
          </cell>
          <cell r="L221">
            <v>706.59225000000004</v>
          </cell>
          <cell r="M221">
            <v>0</v>
          </cell>
          <cell r="N221">
            <v>0</v>
          </cell>
          <cell r="O221">
            <v>0</v>
          </cell>
          <cell r="P221">
            <v>10598.883750000001</v>
          </cell>
          <cell r="Q221">
            <v>0</v>
          </cell>
          <cell r="R221"/>
          <cell r="S221">
            <v>7467.5</v>
          </cell>
          <cell r="T221"/>
          <cell r="U221"/>
          <cell r="V221">
            <v>15</v>
          </cell>
          <cell r="W221">
            <v>7467.5</v>
          </cell>
        </row>
        <row r="222">
          <cell r="A222" t="str">
            <v>4.3.9.3</v>
          </cell>
          <cell r="B222" t="str">
            <v>TRM112.3</v>
          </cell>
          <cell r="C222" t="str">
            <v>V5</v>
          </cell>
          <cell r="D222" t="str">
            <v>CI-HW_-GRTF-V01-160601</v>
          </cell>
          <cell r="E222" t="str">
            <v>4.3.9 Heat Recovery Grease Trap Filter Food/Hotel/Hospital - excluding School</v>
          </cell>
          <cell r="F222" t="str">
            <v>Heat Recovery Grease Trap Filter - Food/Hotel/Hospital - excluding School</v>
          </cell>
          <cell r="G222" t="str">
            <v>Food Service</v>
          </cell>
          <cell r="H222" t="str">
            <v>Commercial</v>
          </cell>
          <cell r="I222" t="str">
            <v>Project</v>
          </cell>
          <cell r="J222">
            <v>0</v>
          </cell>
          <cell r="K222">
            <v>0</v>
          </cell>
          <cell r="L222">
            <v>2031.7335438749999</v>
          </cell>
          <cell r="M222">
            <v>0</v>
          </cell>
          <cell r="N222">
            <v>0</v>
          </cell>
          <cell r="O222">
            <v>0</v>
          </cell>
          <cell r="P222">
            <v>30476.003158124997</v>
          </cell>
          <cell r="Q222">
            <v>0</v>
          </cell>
          <cell r="R222"/>
          <cell r="S222">
            <v>9702.25</v>
          </cell>
          <cell r="T222"/>
          <cell r="U222"/>
          <cell r="V222">
            <v>15</v>
          </cell>
          <cell r="W222">
            <v>9702.25</v>
          </cell>
        </row>
        <row r="223">
          <cell r="A223" t="str">
            <v>4.3.9.5</v>
          </cell>
          <cell r="B223" t="str">
            <v>TRM112.3</v>
          </cell>
          <cell r="C223" t="str">
            <v>V5</v>
          </cell>
          <cell r="D223" t="str">
            <v>CI-HW_-GRTF-V01-160601</v>
          </cell>
          <cell r="E223" t="str">
            <v>4.3.9 Heat Recovery Grease Trap Filter Primary School</v>
          </cell>
          <cell r="F223" t="str">
            <v>Heat Recovery Grease Trap Filter - Small School</v>
          </cell>
          <cell r="G223" t="str">
            <v>Food Service</v>
          </cell>
          <cell r="H223" t="str">
            <v>Commercial</v>
          </cell>
          <cell r="I223" t="str">
            <v>Project</v>
          </cell>
          <cell r="J223">
            <v>0</v>
          </cell>
          <cell r="K223">
            <v>0</v>
          </cell>
          <cell r="L223">
            <v>452.21903999999995</v>
          </cell>
          <cell r="M223">
            <v>0</v>
          </cell>
          <cell r="N223">
            <v>0</v>
          </cell>
          <cell r="O223">
            <v>0</v>
          </cell>
          <cell r="P223">
            <v>6783.2855999999992</v>
          </cell>
          <cell r="Q223">
            <v>0</v>
          </cell>
          <cell r="R223"/>
          <cell r="S223">
            <v>6829</v>
          </cell>
          <cell r="T223"/>
          <cell r="U223"/>
          <cell r="V223">
            <v>15</v>
          </cell>
          <cell r="W223">
            <v>6829</v>
          </cell>
        </row>
        <row r="224">
          <cell r="A224" t="str">
            <v>4.3.9.6</v>
          </cell>
          <cell r="B224" t="str">
            <v>TRM112.3</v>
          </cell>
          <cell r="C224" t="str">
            <v>V5</v>
          </cell>
          <cell r="D224" t="str">
            <v>CI-HW_-GRTF-V01-160601</v>
          </cell>
          <cell r="E224" t="str">
            <v>4.3.9 Heat Recovery Grease Trap Filter Custom Small</v>
          </cell>
          <cell r="F224" t="str">
            <v>Heat Recovery Grease Trap Filter - Custom Small</v>
          </cell>
          <cell r="G224" t="str">
            <v>Food Service</v>
          </cell>
          <cell r="H224" t="str">
            <v>Commercial</v>
          </cell>
          <cell r="I224" t="str">
            <v>Project</v>
          </cell>
          <cell r="J224">
            <v>0</v>
          </cell>
          <cell r="K224">
            <v>0</v>
          </cell>
          <cell r="L224">
            <v>452.21903999999995</v>
          </cell>
          <cell r="M224">
            <v>0</v>
          </cell>
          <cell r="N224">
            <v>0</v>
          </cell>
          <cell r="O224">
            <v>0</v>
          </cell>
          <cell r="P224">
            <v>6783.2855999999992</v>
          </cell>
          <cell r="Q224">
            <v>0</v>
          </cell>
          <cell r="R224"/>
          <cell r="S224">
            <v>6829</v>
          </cell>
          <cell r="T224"/>
          <cell r="U224"/>
          <cell r="V224">
            <v>15</v>
          </cell>
          <cell r="W224">
            <v>6829</v>
          </cell>
        </row>
        <row r="225">
          <cell r="A225"/>
          <cell r="B225"/>
          <cell r="C225"/>
          <cell r="D225"/>
          <cell r="E225"/>
          <cell r="F225"/>
          <cell r="G225"/>
          <cell r="H225"/>
          <cell r="I225"/>
          <cell r="J225"/>
          <cell r="K225"/>
          <cell r="L225"/>
          <cell r="M225"/>
          <cell r="N225"/>
          <cell r="O225"/>
          <cell r="P225"/>
          <cell r="Q225"/>
          <cell r="R225"/>
          <cell r="S225"/>
          <cell r="T225"/>
          <cell r="U225"/>
          <cell r="V225"/>
          <cell r="W225"/>
        </row>
        <row r="226">
          <cell r="A226" t="str">
            <v>4.4.36</v>
          </cell>
          <cell r="B226" t="str">
            <v>TRM113</v>
          </cell>
          <cell r="C226" t="str">
            <v>V5</v>
          </cell>
          <cell r="D226" t="str">
            <v>CI-HVC-SBAC-V01-160601</v>
          </cell>
          <cell r="E226" t="str">
            <v>Multi-Family Space Heating Steam Boiler Averaging Controls - 300000</v>
          </cell>
          <cell r="F226" t="str">
            <v>Multi-Family Space Heating Steam Boiler Averaging Controls</v>
          </cell>
          <cell r="G226" t="str">
            <v>Boilers</v>
          </cell>
          <cell r="H226" t="str">
            <v>Commercial</v>
          </cell>
          <cell r="I226" t="str">
            <v>Unit</v>
          </cell>
          <cell r="J226">
            <v>0</v>
          </cell>
          <cell r="K226">
            <v>0</v>
          </cell>
          <cell r="L226">
            <v>238.80375000000001</v>
          </cell>
          <cell r="M226">
            <v>0</v>
          </cell>
          <cell r="N226">
            <v>0</v>
          </cell>
          <cell r="O226">
            <v>0</v>
          </cell>
          <cell r="P226">
            <v>4776.0749999999998</v>
          </cell>
          <cell r="Q226">
            <v>0</v>
          </cell>
          <cell r="R226"/>
          <cell r="S226"/>
          <cell r="T226"/>
          <cell r="U226"/>
          <cell r="V226">
            <v>20</v>
          </cell>
          <cell r="W226">
            <v>0</v>
          </cell>
        </row>
        <row r="227">
          <cell r="A227"/>
          <cell r="B227"/>
          <cell r="C227"/>
          <cell r="D227"/>
          <cell r="E227"/>
          <cell r="F227"/>
          <cell r="G227"/>
          <cell r="H227"/>
          <cell r="I227"/>
          <cell r="J227"/>
          <cell r="K227"/>
          <cell r="L227"/>
          <cell r="M227"/>
          <cell r="N227"/>
          <cell r="O227"/>
          <cell r="P227"/>
          <cell r="Q227"/>
          <cell r="R227"/>
          <cell r="S227"/>
          <cell r="T227"/>
          <cell r="U227"/>
          <cell r="V227"/>
          <cell r="W227"/>
        </row>
        <row r="228">
          <cell r="A228" t="str">
            <v>4.4.37</v>
          </cell>
          <cell r="B228" t="str">
            <v>TRM114</v>
          </cell>
          <cell r="C228" t="str">
            <v>V5</v>
          </cell>
          <cell r="D228" t="str">
            <v>CI-HVC-DSFN-V01-160601</v>
          </cell>
          <cell r="E228" t="str">
            <v>Unitary HVAC Condensing Furnace</v>
          </cell>
          <cell r="F228" t="str">
            <v>Unitary HVAC Condensing Furnace</v>
          </cell>
          <cell r="G228" t="str">
            <v>Furnaces</v>
          </cell>
          <cell r="H228" t="str">
            <v>Commercial</v>
          </cell>
          <cell r="I228" t="str">
            <v>Unit</v>
          </cell>
          <cell r="J228">
            <v>0</v>
          </cell>
          <cell r="K228">
            <v>0</v>
          </cell>
          <cell r="L228">
            <v>2106.0277777777769</v>
          </cell>
          <cell r="M228">
            <v>0</v>
          </cell>
          <cell r="N228">
            <v>0</v>
          </cell>
          <cell r="O228">
            <v>0</v>
          </cell>
          <cell r="P228">
            <v>31590.416666666653</v>
          </cell>
          <cell r="Q228">
            <v>0</v>
          </cell>
          <cell r="R228"/>
          <cell r="S228"/>
          <cell r="T228"/>
          <cell r="U228"/>
          <cell r="V228">
            <v>15</v>
          </cell>
          <cell r="W228">
            <v>542</v>
          </cell>
        </row>
        <row r="229">
          <cell r="A229"/>
          <cell r="B229"/>
          <cell r="C229"/>
          <cell r="D229"/>
          <cell r="E229"/>
          <cell r="F229"/>
          <cell r="G229"/>
          <cell r="H229"/>
          <cell r="I229"/>
          <cell r="J229"/>
          <cell r="K229"/>
          <cell r="L229"/>
          <cell r="M229"/>
          <cell r="N229"/>
          <cell r="O229"/>
          <cell r="P229"/>
          <cell r="Q229"/>
          <cell r="R229"/>
          <cell r="S229"/>
          <cell r="T229"/>
          <cell r="U229"/>
          <cell r="V229"/>
          <cell r="W229"/>
        </row>
        <row r="230">
          <cell r="A230" t="str">
            <v>4.8.4.1</v>
          </cell>
          <cell r="B230" t="str">
            <v>TRM115.1</v>
          </cell>
          <cell r="C230" t="str">
            <v>V5</v>
          </cell>
          <cell r="D230" t="str">
            <v>CI-MSC-MODD-V01-160601</v>
          </cell>
          <cell r="E230" t="str">
            <v xml:space="preserve">Modulating Commercial Gas Clothes Dryer - Coin- Operated Laundromats </v>
          </cell>
          <cell r="F230" t="str">
            <v>Modulating Commercial Gas Clothes Dryer - Coin Operaed Laundromat</v>
          </cell>
          <cell r="G230" t="str">
            <v>Clothes washers</v>
          </cell>
          <cell r="H230" t="str">
            <v>Commercial</v>
          </cell>
          <cell r="I230" t="str">
            <v>Unit</v>
          </cell>
          <cell r="J230">
            <v>0</v>
          </cell>
          <cell r="K230">
            <v>0</v>
          </cell>
          <cell r="L230">
            <v>266.94</v>
          </cell>
          <cell r="M230">
            <v>0</v>
          </cell>
          <cell r="N230">
            <v>0</v>
          </cell>
          <cell r="O230">
            <v>0</v>
          </cell>
          <cell r="P230">
            <v>3737.16</v>
          </cell>
          <cell r="Q230">
            <v>0</v>
          </cell>
          <cell r="R230"/>
          <cell r="S230">
            <v>700</v>
          </cell>
          <cell r="T230"/>
          <cell r="U230"/>
          <cell r="V230">
            <v>14</v>
          </cell>
          <cell r="W230">
            <v>700</v>
          </cell>
        </row>
        <row r="231">
          <cell r="A231" t="str">
            <v>4.8.4.2</v>
          </cell>
          <cell r="B231" t="str">
            <v>TRM115.2</v>
          </cell>
          <cell r="C231" t="str">
            <v>V5</v>
          </cell>
          <cell r="D231" t="str">
            <v>CI-MSC-MODD-V01-160601</v>
          </cell>
          <cell r="E231" t="str">
            <v xml:space="preserve">Modulating Commercial Gas Clothes Dryer - Multi-family Dryers </v>
          </cell>
          <cell r="F231" t="str">
            <v>Modulating Commercial Gas Clothes Dryer - Multi-family Dryers</v>
          </cell>
          <cell r="G231" t="str">
            <v>Clothes washers</v>
          </cell>
          <cell r="H231" t="str">
            <v>Commercial</v>
          </cell>
          <cell r="I231" t="str">
            <v>Unit</v>
          </cell>
          <cell r="J231">
            <v>0</v>
          </cell>
          <cell r="K231">
            <v>0</v>
          </cell>
          <cell r="L231">
            <v>193.32</v>
          </cell>
          <cell r="M231">
            <v>0</v>
          </cell>
          <cell r="N231">
            <v>0</v>
          </cell>
          <cell r="O231">
            <v>0</v>
          </cell>
          <cell r="P231">
            <v>2706.48</v>
          </cell>
          <cell r="Q231">
            <v>0</v>
          </cell>
          <cell r="R231"/>
          <cell r="S231">
            <v>700</v>
          </cell>
          <cell r="T231"/>
          <cell r="U231"/>
          <cell r="V231">
            <v>14</v>
          </cell>
          <cell r="W231">
            <v>700</v>
          </cell>
        </row>
        <row r="232">
          <cell r="A232" t="str">
            <v>4.8.4.3</v>
          </cell>
          <cell r="B232" t="str">
            <v>TRM115.3</v>
          </cell>
          <cell r="C232" t="str">
            <v>V5</v>
          </cell>
          <cell r="D232" t="str">
            <v>CI-MSC-MODD-V01-160601</v>
          </cell>
          <cell r="E232" t="str">
            <v xml:space="preserve">Modulating Commercial Gas Clothes Dryer - On-Premise Laundromats  </v>
          </cell>
          <cell r="F232" t="str">
            <v>Modulating Commercial Gas Clothes Dryer - On Premise Laundromat</v>
          </cell>
          <cell r="G232" t="str">
            <v>Clothes washers</v>
          </cell>
          <cell r="H232" t="str">
            <v>Commercial</v>
          </cell>
          <cell r="I232" t="str">
            <v>Unit</v>
          </cell>
          <cell r="J232">
            <v>0</v>
          </cell>
          <cell r="K232">
            <v>0</v>
          </cell>
          <cell r="L232">
            <v>649.26</v>
          </cell>
          <cell r="M232">
            <v>0</v>
          </cell>
          <cell r="N232">
            <v>0</v>
          </cell>
          <cell r="O232">
            <v>0</v>
          </cell>
          <cell r="P232">
            <v>9089.64</v>
          </cell>
          <cell r="Q232">
            <v>0</v>
          </cell>
          <cell r="R232"/>
          <cell r="S232">
            <v>700</v>
          </cell>
          <cell r="T232"/>
          <cell r="U232"/>
          <cell r="V232">
            <v>14</v>
          </cell>
          <cell r="W232">
            <v>700</v>
          </cell>
        </row>
        <row r="233">
          <cell r="A233"/>
          <cell r="B233"/>
          <cell r="C233"/>
          <cell r="D233"/>
          <cell r="E233"/>
          <cell r="F233"/>
          <cell r="G233"/>
          <cell r="H233"/>
          <cell r="I233"/>
          <cell r="J233"/>
          <cell r="K233"/>
          <cell r="L233"/>
          <cell r="M233"/>
          <cell r="N233"/>
          <cell r="O233"/>
          <cell r="P233"/>
          <cell r="Q233"/>
          <cell r="R233"/>
          <cell r="S233"/>
          <cell r="T233"/>
          <cell r="U233"/>
          <cell r="V233"/>
          <cell r="W233"/>
        </row>
        <row r="234">
          <cell r="A234" t="str">
            <v>4.3.10.1</v>
          </cell>
          <cell r="B234"/>
          <cell r="C234" t="str">
            <v>V5</v>
          </cell>
          <cell r="D234" t="str">
            <v>CI-HWE-DBTU-V01-170601</v>
          </cell>
          <cell r="E234" t="str">
            <v>DHW Boiler Tune-up - Multi-Family</v>
          </cell>
          <cell r="F234" t="str">
            <v>DHW Boiler Tune-up - Multi-Family, Multi-Family, 1000 Mbh</v>
          </cell>
          <cell r="G234" t="str">
            <v>Water heater</v>
          </cell>
          <cell r="H234" t="str">
            <v>Commercial</v>
          </cell>
          <cell r="I234" t="str">
            <v>Project</v>
          </cell>
          <cell r="J234">
            <v>0</v>
          </cell>
          <cell r="K234">
            <v>0</v>
          </cell>
          <cell r="L234">
            <v>12.959275000000073</v>
          </cell>
          <cell r="M234"/>
          <cell r="N234">
            <v>0</v>
          </cell>
          <cell r="O234">
            <v>0</v>
          </cell>
          <cell r="P234">
            <v>38.877825000000215</v>
          </cell>
          <cell r="Q234"/>
          <cell r="R234"/>
          <cell r="S234">
            <v>830</v>
          </cell>
          <cell r="T234"/>
          <cell r="U234"/>
          <cell r="V234">
            <v>3</v>
          </cell>
          <cell r="W234">
            <v>830</v>
          </cell>
        </row>
        <row r="235">
          <cell r="A235" t="str">
            <v>4.3.10.2</v>
          </cell>
          <cell r="B235"/>
          <cell r="C235" t="str">
            <v>V5</v>
          </cell>
          <cell r="D235" t="str">
            <v>CI-HWE-DBTU-V01-170601</v>
          </cell>
          <cell r="E235" t="str">
            <v>DHW Boiler Tune-up - Other Commercial</v>
          </cell>
          <cell r="F235" t="str">
            <v>DHW Boiler Tune-up - Other Commercial, Other Commercial, 1000 Mbh</v>
          </cell>
          <cell r="G235" t="str">
            <v>Water heater</v>
          </cell>
          <cell r="H235" t="str">
            <v>Commercial</v>
          </cell>
          <cell r="I235" t="str">
            <v>Project</v>
          </cell>
          <cell r="J235">
            <v>0</v>
          </cell>
          <cell r="K235">
            <v>0</v>
          </cell>
          <cell r="L235">
            <v>4.9430791666666938</v>
          </cell>
          <cell r="M235"/>
          <cell r="N235">
            <v>0</v>
          </cell>
          <cell r="O235">
            <v>0</v>
          </cell>
          <cell r="P235">
            <v>14.829237500000081</v>
          </cell>
          <cell r="Q235"/>
          <cell r="R235"/>
          <cell r="S235">
            <v>830</v>
          </cell>
          <cell r="T235"/>
          <cell r="U235"/>
          <cell r="V235">
            <v>3</v>
          </cell>
          <cell r="W235">
            <v>830</v>
          </cell>
        </row>
        <row r="236">
          <cell r="A236"/>
          <cell r="B236"/>
          <cell r="C236"/>
          <cell r="D236"/>
          <cell r="E236"/>
          <cell r="F236"/>
          <cell r="G236"/>
          <cell r="H236"/>
          <cell r="I236"/>
          <cell r="J236"/>
          <cell r="K236"/>
          <cell r="L236"/>
          <cell r="M236"/>
          <cell r="N236"/>
          <cell r="O236"/>
          <cell r="P236"/>
          <cell r="Q236"/>
          <cell r="R236"/>
          <cell r="S236"/>
          <cell r="T236"/>
          <cell r="U236"/>
          <cell r="V236"/>
          <cell r="W236"/>
        </row>
        <row r="237">
          <cell r="A237" t="str">
            <v>4.4.38.1</v>
          </cell>
          <cell r="B237"/>
          <cell r="C237" t="str">
            <v>V5</v>
          </cell>
          <cell r="D237" t="str">
            <v>CI-HVC-CRAC-V01-170601</v>
          </cell>
          <cell r="E237" t="str">
            <v>Covers and Gap Sealers for Room Air Conditioners</v>
          </cell>
          <cell r="F237" t="str">
            <v>Covers and Gap Sealers for Room Air Conditioners, MF - Mid Rise, 5 Stories</v>
          </cell>
          <cell r="G237" t="str">
            <v>Other HVAC</v>
          </cell>
          <cell r="H237" t="str">
            <v>Commercial</v>
          </cell>
          <cell r="I237" t="str">
            <v>Project</v>
          </cell>
          <cell r="J237">
            <v>2905.84</v>
          </cell>
          <cell r="K237">
            <v>0</v>
          </cell>
          <cell r="L237">
            <v>322.26400000000001</v>
          </cell>
          <cell r="M237"/>
          <cell r="N237">
            <v>14529.2</v>
          </cell>
          <cell r="O237">
            <v>0</v>
          </cell>
          <cell r="P237">
            <v>1611.3200000000002</v>
          </cell>
          <cell r="Q237"/>
          <cell r="R237"/>
          <cell r="S237">
            <v>2780</v>
          </cell>
          <cell r="T237"/>
          <cell r="U237"/>
          <cell r="V237">
            <v>5</v>
          </cell>
          <cell r="W237">
            <v>2780</v>
          </cell>
        </row>
      </sheetData>
      <sheetData sheetId="5"/>
      <sheetData sheetId="6"/>
      <sheetData sheetId="7"/>
      <sheetData sheetId="8">
        <row r="11">
          <cell r="B11">
            <v>20</v>
          </cell>
        </row>
        <row r="12">
          <cell r="B12">
            <v>22</v>
          </cell>
        </row>
        <row r="13">
          <cell r="B13">
            <v>24</v>
          </cell>
        </row>
      </sheetData>
      <sheetData sheetId="9">
        <row r="11">
          <cell r="B11" t="str">
            <v>24 through 35</v>
          </cell>
        </row>
        <row r="12">
          <cell r="B12" t="str">
            <v>36 through 47</v>
          </cell>
        </row>
        <row r="13">
          <cell r="B13" t="str">
            <v>48 through 71</v>
          </cell>
        </row>
      </sheetData>
      <sheetData sheetId="10"/>
      <sheetData sheetId="11"/>
      <sheetData sheetId="12">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13"/>
      <sheetData sheetId="14"/>
      <sheetData sheetId="15"/>
      <sheetData sheetId="16"/>
      <sheetData sheetId="17">
        <row r="76">
          <cell r="B76" t="str">
            <v>Fast Food Limited Menu</v>
          </cell>
        </row>
        <row r="77">
          <cell r="B77" t="str">
            <v>Fast Food Expanded Menu</v>
          </cell>
        </row>
        <row r="78">
          <cell r="B78" t="str">
            <v>Pizza</v>
          </cell>
        </row>
        <row r="79">
          <cell r="B79" t="str">
            <v>Full Service Limited Menu</v>
          </cell>
        </row>
        <row r="80">
          <cell r="B80" t="str">
            <v>Full Service Expanded Menu</v>
          </cell>
        </row>
        <row r="81">
          <cell r="B81" t="str">
            <v>Cafeteria</v>
          </cell>
        </row>
      </sheetData>
      <sheetData sheetId="18">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9">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20"/>
      <sheetData sheetId="21"/>
      <sheetData sheetId="22"/>
      <sheetData sheetId="23"/>
      <sheetData sheetId="24">
        <row r="12">
          <cell r="B12" t="str">
            <v>DVC Control Retrofit</v>
          </cell>
        </row>
        <row r="13">
          <cell r="B13" t="str">
            <v>DVC Control New</v>
          </cell>
        </row>
      </sheetData>
      <sheetData sheetId="25"/>
      <sheetData sheetId="26"/>
      <sheetData sheetId="27">
        <row r="72">
          <cell r="A72" t="str">
            <v>TOS</v>
          </cell>
        </row>
        <row r="73">
          <cell r="A73" t="str">
            <v>RF</v>
          </cell>
        </row>
        <row r="74">
          <cell r="A74" t="str">
            <v>EREP</v>
          </cell>
        </row>
        <row r="77">
          <cell r="A77" t="str">
            <v>Gas,High Efficiency, ≥88% TE</v>
          </cell>
        </row>
        <row r="78">
          <cell r="A78" t="str">
            <v>Gas, Standard, ≥0.67 EF</v>
          </cell>
        </row>
        <row r="79">
          <cell r="A79" t="str">
            <v>Electric</v>
          </cell>
        </row>
        <row r="83">
          <cell r="A83" t="str">
            <v>50 gallons</v>
          </cell>
        </row>
        <row r="84">
          <cell r="A84" t="str">
            <v>80 gallons</v>
          </cell>
        </row>
        <row r="85">
          <cell r="A85" t="str">
            <v>100 gallons</v>
          </cell>
        </row>
      </sheetData>
      <sheetData sheetId="28">
        <row r="62">
          <cell r="B62" t="str">
            <v>Electric</v>
          </cell>
        </row>
        <row r="63">
          <cell r="B63" t="str">
            <v>Fossil Fuel</v>
          </cell>
        </row>
      </sheetData>
      <sheetData sheetId="29">
        <row r="63">
          <cell r="B63" t="str">
            <v>Electric</v>
          </cell>
          <cell r="E63">
            <v>2</v>
          </cell>
        </row>
        <row r="64">
          <cell r="B64" t="str">
            <v>Fossil Fuel</v>
          </cell>
          <cell r="E64">
            <v>1.75</v>
          </cell>
        </row>
        <row r="65">
          <cell r="B65" t="str">
            <v>Unknown</v>
          </cell>
          <cell r="E65">
            <v>1.5</v>
          </cell>
        </row>
        <row r="66">
          <cell r="E66" t="str">
            <v>Custom or Actual</v>
          </cell>
        </row>
      </sheetData>
      <sheetData sheetId="30">
        <row r="43">
          <cell r="B43" t="str">
            <v>Indoor</v>
          </cell>
        </row>
        <row r="44">
          <cell r="B44" t="str">
            <v>Outdoor</v>
          </cell>
        </row>
      </sheetData>
      <sheetData sheetId="31"/>
      <sheetData sheetId="32"/>
      <sheetData sheetId="33"/>
      <sheetData sheetId="34"/>
      <sheetData sheetId="35"/>
      <sheetData sheetId="36"/>
      <sheetData sheetId="37"/>
      <sheetData sheetId="38"/>
      <sheetData sheetId="39">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40">
        <row r="11">
          <cell r="J11" t="str">
            <v>Energy Star</v>
          </cell>
        </row>
        <row r="12">
          <cell r="J12" t="str">
            <v>CEE Tier 1</v>
          </cell>
        </row>
        <row r="13">
          <cell r="J13" t="b">
            <v>1</v>
          </cell>
        </row>
        <row r="14">
          <cell r="J14" t="b">
            <v>0</v>
          </cell>
        </row>
      </sheetData>
      <sheetData sheetId="41"/>
      <sheetData sheetId="42">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43"/>
      <sheetData sheetId="44">
        <row r="32">
          <cell r="J32" t="str">
            <v>PTAC (cooling mode)</v>
          </cell>
        </row>
        <row r="33">
          <cell r="J33" t="str">
            <v>PTHP (cooling mode)</v>
          </cell>
        </row>
        <row r="34">
          <cell r="J34" t="str">
            <v>PTHP (Heating mode)</v>
          </cell>
        </row>
      </sheetData>
      <sheetData sheetId="45">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1">
          <cell r="B11" t="str">
            <v>Walk in Cooler</v>
          </cell>
        </row>
        <row r="12">
          <cell r="B12" t="str">
            <v>Walk in Freezer</v>
          </cell>
        </row>
      </sheetData>
      <sheetData sheetId="61">
        <row r="18">
          <cell r="B18" t="str">
            <v>Refrigerated Beverage Vending Machines</v>
          </cell>
        </row>
        <row r="19">
          <cell r="B19" t="str">
            <v>Non-Refrigerated Snack Vending Machines</v>
          </cell>
        </row>
        <row r="20">
          <cell r="B20" t="str">
            <v>Glass Front Refrigerated Coolers</v>
          </cell>
        </row>
      </sheetData>
      <sheetData sheetId="62">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63">
        <row r="11">
          <cell r="F11" t="str">
            <v>Restaurant</v>
          </cell>
        </row>
        <row r="12">
          <cell r="F12" t="str">
            <v>Grocery</v>
          </cell>
        </row>
        <row r="13">
          <cell r="F13" t="str">
            <v>Average</v>
          </cell>
        </row>
      </sheetData>
      <sheetData sheetId="64">
        <row r="14">
          <cell r="F14" t="str">
            <v>&lt;500</v>
          </cell>
        </row>
        <row r="15">
          <cell r="F15">
            <v>500</v>
          </cell>
        </row>
        <row r="16">
          <cell r="F16">
            <v>699</v>
          </cell>
        </row>
        <row r="17">
          <cell r="F17">
            <v>799</v>
          </cell>
        </row>
        <row r="18">
          <cell r="F18" t="str">
            <v>800+</v>
          </cell>
        </row>
        <row r="19">
          <cell r="F19" t="str">
            <v>Average</v>
          </cell>
        </row>
      </sheetData>
      <sheetData sheetId="65">
        <row r="8">
          <cell r="F8" t="str">
            <v>Freezer</v>
          </cell>
        </row>
        <row r="9">
          <cell r="F9" t="str">
            <v>Cooler</v>
          </cell>
        </row>
      </sheetData>
      <sheetData sheetId="66">
        <row r="20">
          <cell r="E20" t="str">
            <v>Single shift (8/5)</v>
          </cell>
        </row>
        <row r="21">
          <cell r="E21" t="str">
            <v>2-shift (16/5)</v>
          </cell>
        </row>
        <row r="22">
          <cell r="E22" t="str">
            <v>3-shift (24/5)</v>
          </cell>
        </row>
        <row r="23">
          <cell r="E23" t="str">
            <v>4-shift (24/7)</v>
          </cell>
        </row>
      </sheetData>
      <sheetData sheetId="67"/>
      <sheetData sheetId="68"/>
      <sheetData sheetId="69"/>
      <sheetData sheetId="70"/>
      <sheetData sheetId="71">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cell r="L9" t="str">
            <v>1 (Rockford)</v>
          </cell>
          <cell r="M9">
            <v>2</v>
          </cell>
        </row>
        <row r="10">
          <cell r="B10" t="str">
            <v>Heat pumps</v>
          </cell>
          <cell r="L10" t="str">
            <v>2 (Chicago)</v>
          </cell>
          <cell r="M10">
            <v>3</v>
          </cell>
        </row>
        <row r="11">
          <cell r="B11" t="str">
            <v>Steam traps</v>
          </cell>
          <cell r="L11" t="str">
            <v>3 (Springfield)</v>
          </cell>
          <cell r="M11">
            <v>4</v>
          </cell>
        </row>
        <row r="12">
          <cell r="B12" t="str">
            <v>Other HVAC</v>
          </cell>
          <cell r="L12" t="str">
            <v>4 (Belleville)</v>
          </cell>
          <cell r="M12">
            <v>5</v>
          </cell>
        </row>
        <row r="13">
          <cell r="B13" t="str">
            <v>Lighting</v>
          </cell>
          <cell r="L13" t="str">
            <v>5 (Marion)</v>
          </cell>
          <cell r="M13">
            <v>6</v>
          </cell>
        </row>
        <row r="14">
          <cell r="B14" t="str">
            <v>Refrigeration</v>
          </cell>
          <cell r="L14" t="str">
            <v>6 (Nicor Custom)</v>
          </cell>
          <cell r="M14">
            <v>7</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72">
        <row r="8">
          <cell r="D8">
            <v>2.2185999999999987E-2</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_Data"/>
      <sheetName val="CANDI"/>
      <sheetName val="RES"/>
      <sheetName val="RNC"/>
      <sheetName val="Kit"/>
      <sheetName val="Furnace"/>
      <sheetName val="Furnace Simple"/>
      <sheetName val="EEP2 Sources"/>
      <sheetName val="Avoided Costs"/>
      <sheetName val="PY1 Sources"/>
      <sheetName val="Furnace background"/>
      <sheetName val="Column Headings"/>
      <sheetName val="Sheet1"/>
      <sheetName val="Thermostats"/>
      <sheetName val="Non-TRM"/>
    </sheetNames>
    <sheetDataSet>
      <sheetData sheetId="0"/>
      <sheetData sheetId="1"/>
      <sheetData sheetId="2">
        <row r="5">
          <cell r="D5">
            <v>5100</v>
          </cell>
        </row>
        <row r="6">
          <cell r="D6">
            <v>3000</v>
          </cell>
        </row>
        <row r="7">
          <cell r="D7">
            <v>0.7</v>
          </cell>
        </row>
        <row r="11">
          <cell r="D11">
            <v>1250</v>
          </cell>
        </row>
        <row r="35">
          <cell r="D35">
            <v>38</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sheetData sheetId="1"/>
      <sheetData sheetId="2"/>
      <sheetData sheetId="3">
        <row r="73">
          <cell r="B73"/>
        </row>
        <row r="74">
          <cell r="B74" t="str">
            <v>Natural Gas Steam Cooker</v>
          </cell>
        </row>
        <row r="75">
          <cell r="B75" t="str">
            <v>Electric Steam Cooker</v>
          </cell>
        </row>
        <row r="78">
          <cell r="A78" t="str">
            <v>Number of Pans</v>
          </cell>
        </row>
        <row r="79">
          <cell r="A79">
            <v>3</v>
          </cell>
        </row>
        <row r="80">
          <cell r="A80">
            <v>4</v>
          </cell>
        </row>
        <row r="81">
          <cell r="A81">
            <v>5</v>
          </cell>
        </row>
        <row r="82">
          <cell r="A82">
            <v>6</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cell r="E89" t="str">
            <v>Avg Most Efficient</v>
          </cell>
        </row>
        <row r="90">
          <cell r="A90" t="str">
            <v>Full Service, expanded menu</v>
          </cell>
        </row>
        <row r="91">
          <cell r="A91" t="str">
            <v>Cafeteria</v>
          </cell>
        </row>
        <row r="92">
          <cell r="A92" t="str">
            <v>Unknown</v>
          </cell>
        </row>
        <row r="93">
          <cell r="A93" t="str">
            <v>Custom</v>
          </cell>
        </row>
      </sheetData>
      <sheetData sheetId="4">
        <row r="44">
          <cell r="A44" t="str">
            <v>Efficient Definition</v>
          </cell>
        </row>
        <row r="49">
          <cell r="A49" t="str">
            <v>Small, quick- service restaurants</v>
          </cell>
        </row>
        <row r="50">
          <cell r="A50" t="str">
            <v>Medium-sized casual dining restaurants</v>
          </cell>
        </row>
        <row r="51">
          <cell r="A51" t="str">
            <v>Large institutional establishments with cafeteria</v>
          </cell>
        </row>
        <row r="57">
          <cell r="A57" t="str">
            <v>Actual-MF</v>
          </cell>
        </row>
        <row r="58">
          <cell r="A58" t="str">
            <v>Actual-SBES</v>
          </cell>
        </row>
        <row r="59">
          <cell r="A59"/>
        </row>
        <row r="62">
          <cell r="A62" t="str">
            <v>TOS</v>
          </cell>
        </row>
        <row r="63">
          <cell r="A63" t="str">
            <v>RF</v>
          </cell>
        </row>
        <row r="64">
          <cell r="A64" t="str">
            <v>DI</v>
          </cell>
        </row>
        <row r="67">
          <cell r="A67" t="str">
            <v>Electric</v>
          </cell>
        </row>
        <row r="68">
          <cell r="A68" t="str">
            <v>Gas</v>
          </cell>
        </row>
      </sheetData>
      <sheetData sheetId="5">
        <row r="52">
          <cell r="A52" t="str">
            <v>Output (Gpm) at delta T 70</v>
          </cell>
        </row>
        <row r="53">
          <cell r="A53">
            <v>5</v>
          </cell>
        </row>
        <row r="54">
          <cell r="A54">
            <v>10</v>
          </cell>
        </row>
        <row r="55">
          <cell r="A55">
            <v>15</v>
          </cell>
        </row>
        <row r="63">
          <cell r="B63" t="str">
            <v>Program Type</v>
          </cell>
        </row>
        <row r="64">
          <cell r="B64" t="str">
            <v>TOS</v>
          </cell>
        </row>
        <row r="65">
          <cell r="B65" t="str">
            <v>RF</v>
          </cell>
        </row>
        <row r="66">
          <cell r="B66" t="str">
            <v>ER</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A51" t="str">
            <v>Custom</v>
          </cell>
          <cell r="D51">
            <v>482</v>
          </cell>
        </row>
        <row r="52">
          <cell r="D52">
            <v>800</v>
          </cell>
        </row>
        <row r="74">
          <cell r="B74"/>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row r="91">
          <cell r="B91" t="str">
            <v>Unknown</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0">
          <cell r="B70" t="str">
            <v>Commercial Dry Cleaners</v>
          </cell>
        </row>
        <row r="71">
          <cell r="B71" t="str">
            <v>Commercial Heating , (including Multifamily) low pressure steam</v>
          </cell>
        </row>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row>
        <row r="38">
          <cell r="B38" t="str">
            <v>Hospital</v>
          </cell>
          <cell r="G38" t="str">
            <v>Parking areas &amp; drives</v>
          </cell>
        </row>
        <row r="39">
          <cell r="B39" t="str">
            <v>Hotel</v>
          </cell>
          <cell r="G39"/>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row>
        <row r="49">
          <cell r="B49" t="str">
            <v>Performing Arts Theater</v>
          </cell>
          <cell r="G49" t="str">
            <v>Free standing &amp; attached</v>
          </cell>
        </row>
        <row r="50">
          <cell r="B50" t="str">
            <v>Police/Fire Station</v>
          </cell>
          <cell r="G50"/>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row r="38">
          <cell r="J38" t="str">
            <v>1 (Rockford)</v>
          </cell>
          <cell r="K38">
            <v>2</v>
          </cell>
        </row>
        <row r="39">
          <cell r="J39" t="str">
            <v>2 (Chicago)</v>
          </cell>
          <cell r="K39">
            <v>3</v>
          </cell>
        </row>
        <row r="40">
          <cell r="J40" t="str">
            <v>3 (Springfield)</v>
          </cell>
          <cell r="K40">
            <v>4</v>
          </cell>
        </row>
        <row r="41">
          <cell r="J41" t="str">
            <v>4 (Belleville)</v>
          </cell>
          <cell r="K41">
            <v>5</v>
          </cell>
        </row>
        <row r="42">
          <cell r="J42" t="str">
            <v>5 (Marion)</v>
          </cell>
          <cell r="K42">
            <v>6</v>
          </cell>
        </row>
        <row r="43">
          <cell r="J43" t="str">
            <v>6 (Nicor Custom)</v>
          </cell>
          <cell r="K43">
            <v>7</v>
          </cell>
        </row>
      </sheetData>
      <sheetData sheetId="25">
        <row r="8">
          <cell r="D8">
            <v>7.4399999999999994E-2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s>
    <sheetDataSet>
      <sheetData sheetId="0" refreshError="1"/>
      <sheetData sheetId="1" refreshError="1">
        <row r="14">
          <cell r="H14" t="str">
            <v>Natural Gas Steam Cooker</v>
          </cell>
        </row>
        <row r="15">
          <cell r="H15" t="str">
            <v>Electric Steam Cooker</v>
          </cell>
        </row>
        <row r="38">
          <cell r="D38">
            <v>3</v>
          </cell>
        </row>
        <row r="39">
          <cell r="D39">
            <v>4</v>
          </cell>
        </row>
        <row r="40">
          <cell r="D40">
            <v>5</v>
          </cell>
        </row>
        <row r="41">
          <cell r="D41">
            <v>6</v>
          </cell>
        </row>
        <row r="45">
          <cell r="D45" t="str">
            <v>Fast Food, limited menu</v>
          </cell>
          <cell r="H45" t="str">
            <v>Tier 1A</v>
          </cell>
        </row>
        <row r="46">
          <cell r="D46" t="str">
            <v>Fast Food, expanded menu</v>
          </cell>
          <cell r="H46" t="str">
            <v>Tier 1B</v>
          </cell>
        </row>
        <row r="47">
          <cell r="D47" t="str">
            <v>Pizza</v>
          </cell>
          <cell r="H47" t="str">
            <v>Avg Efficient</v>
          </cell>
        </row>
        <row r="48">
          <cell r="D48" t="str">
            <v>Full Service, limited menu</v>
          </cell>
          <cell r="H48" t="str">
            <v>Avg Most Efficient</v>
          </cell>
        </row>
        <row r="49">
          <cell r="D49" t="str">
            <v>Full Service, expanded menu</v>
          </cell>
        </row>
        <row r="50">
          <cell r="D50" t="str">
            <v>Cafeteria</v>
          </cell>
        </row>
        <row r="51">
          <cell r="D51" t="str">
            <v>Unknown</v>
          </cell>
        </row>
        <row r="52">
          <cell r="D52" t="str">
            <v>Custom</v>
          </cell>
        </row>
      </sheetData>
      <sheetData sheetId="2" refreshError="1">
        <row r="13">
          <cell r="K13" t="str">
            <v>TOS</v>
          </cell>
        </row>
        <row r="14">
          <cell r="K14" t="str">
            <v>RF</v>
          </cell>
        </row>
        <row r="15">
          <cell r="K15" t="str">
            <v>DI</v>
          </cell>
        </row>
        <row r="30">
          <cell r="B30" t="str">
            <v>Small, quick- service restaurants</v>
          </cell>
        </row>
        <row r="31">
          <cell r="B31" t="str">
            <v>Medium-sized casual dining restaurants</v>
          </cell>
        </row>
        <row r="32">
          <cell r="B32" t="str">
            <v>Large institutional establishments with cafeteria</v>
          </cell>
        </row>
      </sheetData>
      <sheetData sheetId="3" refreshError="1">
        <row r="8">
          <cell r="K8" t="str">
            <v>TOS</v>
          </cell>
        </row>
        <row r="9">
          <cell r="K9" t="str">
            <v>RF</v>
          </cell>
        </row>
        <row r="10">
          <cell r="K10" t="str">
            <v>ER</v>
          </cell>
        </row>
        <row r="14">
          <cell r="H14">
            <v>5</v>
          </cell>
        </row>
        <row r="15">
          <cell r="H15">
            <v>10</v>
          </cell>
        </row>
        <row r="16">
          <cell r="H16">
            <v>15</v>
          </cell>
        </row>
      </sheetData>
      <sheetData sheetId="4" refreshError="1">
        <row r="15">
          <cell r="O15">
            <v>1</v>
          </cell>
        </row>
        <row r="16">
          <cell r="H16" t="str">
            <v>1 (Rockford)</v>
          </cell>
          <cell r="O16">
            <v>75</v>
          </cell>
        </row>
        <row r="17">
          <cell r="H17" t="str">
            <v>2 (Chicago)</v>
          </cell>
          <cell r="O17">
            <v>300</v>
          </cell>
        </row>
        <row r="18">
          <cell r="H18" t="str">
            <v>3 (Springfield)</v>
          </cell>
          <cell r="O18">
            <v>400</v>
          </cell>
        </row>
        <row r="19">
          <cell r="H19" t="str">
            <v>4 (Belleville)</v>
          </cell>
          <cell r="O19">
            <v>650</v>
          </cell>
        </row>
        <row r="20">
          <cell r="H20" t="str">
            <v>5 (Marion)</v>
          </cell>
          <cell r="O20">
            <v>482</v>
          </cell>
        </row>
        <row r="21">
          <cell r="H21" t="str">
            <v>Custom</v>
          </cell>
          <cell r="O21">
            <v>800</v>
          </cell>
        </row>
        <row r="28">
          <cell r="B28" t="str">
            <v>Office - High Rise</v>
          </cell>
        </row>
        <row r="29">
          <cell r="B29" t="str">
            <v>Office - Mid Rise</v>
          </cell>
        </row>
        <row r="30">
          <cell r="B30" t="str">
            <v>Office - Low Rise</v>
          </cell>
        </row>
        <row r="31">
          <cell r="B31" t="str">
            <v>Convenience</v>
          </cell>
        </row>
        <row r="32">
          <cell r="B32" t="str">
            <v>Healthcare Clinic</v>
          </cell>
        </row>
        <row r="33">
          <cell r="B33" t="str">
            <v>Manufacturing Facility</v>
          </cell>
        </row>
        <row r="34">
          <cell r="B34" t="str">
            <v>Lodging Hotel/Motel</v>
          </cell>
        </row>
        <row r="35">
          <cell r="B35" t="str">
            <v>High School</v>
          </cell>
        </row>
        <row r="36">
          <cell r="B36" t="str">
            <v>Hospital</v>
          </cell>
        </row>
        <row r="37">
          <cell r="B37" t="str">
            <v>Elementary</v>
          </cell>
        </row>
        <row r="38">
          <cell r="B38" t="str">
            <v>Religious Facility</v>
          </cell>
        </row>
        <row r="39">
          <cell r="B39" t="str">
            <v>Restaurant</v>
          </cell>
        </row>
        <row r="40">
          <cell r="B40" t="str">
            <v>Retail - Strip Mall</v>
          </cell>
        </row>
        <row r="41">
          <cell r="B41" t="str">
            <v>Retail - Department Store</v>
          </cell>
        </row>
        <row r="42">
          <cell r="B42" t="str">
            <v>College/University</v>
          </cell>
        </row>
        <row r="43">
          <cell r="B43" t="str">
            <v>Warehouse</v>
          </cell>
        </row>
        <row r="44">
          <cell r="B44" t="str">
            <v>Unknown</v>
          </cell>
        </row>
      </sheetData>
      <sheetData sheetId="5" refreshError="1"/>
      <sheetData sheetId="6" refreshError="1">
        <row r="20">
          <cell r="H20" t="str">
            <v>TOS</v>
          </cell>
        </row>
        <row r="21">
          <cell r="H21" t="str">
            <v>RF</v>
          </cell>
        </row>
        <row r="31">
          <cell r="J31" t="str">
            <v>Hot Water &lt;300,000 Btu/h &lt; June 1, 2013</v>
          </cell>
        </row>
        <row r="32">
          <cell r="J32" t="str">
            <v>Hot Water &lt;300,000 Btu/h  ≥ June 1, 2013</v>
          </cell>
          <cell r="N32" t="str">
            <v>ENERGY STAR® Minimum</v>
          </cell>
        </row>
        <row r="33">
          <cell r="J33" t="str">
            <v>Hot Water  ≥300,000 &amp; ≤2,500,000 Btu/h</v>
          </cell>
          <cell r="N33" t="str">
            <v>AFUE 90%</v>
          </cell>
        </row>
        <row r="34">
          <cell r="J34" t="str">
            <v>Hot Water  &gt;2,500,000 Btu/h</v>
          </cell>
          <cell r="N34" t="str">
            <v>AFUE 95%</v>
          </cell>
        </row>
        <row r="35">
          <cell r="J35" t="str">
            <v>Steam &lt;300,000 Btu/h &lt; June 1, 2013</v>
          </cell>
          <cell r="N35" t="str">
            <v>AFUE ≥ 96%</v>
          </cell>
        </row>
        <row r="36">
          <cell r="J36" t="str">
            <v>Steam &lt;300,000 Btu/h ≥June 1, 2013</v>
          </cell>
          <cell r="N36" t="str">
            <v>Custom</v>
          </cell>
        </row>
        <row r="37">
          <cell r="J37" t="str">
            <v>Steam - all except natural draft ≥300,000 &amp; ≤2,500,000 Btu/h</v>
          </cell>
        </row>
        <row r="38">
          <cell r="J38" t="str">
            <v>Steam - natural draft ≥300,000 &amp; ≤2,500,000 Btu/h</v>
          </cell>
        </row>
        <row r="39">
          <cell r="J39" t="str">
            <v>Steam - all except natural draft &gt;2,500,000 Btu/h</v>
          </cell>
        </row>
        <row r="40">
          <cell r="J40" t="str">
            <v>Steam - natural draft &gt;2,500,000 Btu/h</v>
          </cell>
        </row>
      </sheetData>
      <sheetData sheetId="7" refreshError="1">
        <row r="29">
          <cell r="B29" t="str">
            <v>Air Conditioning</v>
          </cell>
          <cell r="J29">
            <v>2012</v>
          </cell>
        </row>
        <row r="30">
          <cell r="B30" t="str">
            <v>No Air Conditioning</v>
          </cell>
          <cell r="J30">
            <v>2013</v>
          </cell>
        </row>
        <row r="31">
          <cell r="B31" t="str">
            <v>Unknown</v>
          </cell>
        </row>
      </sheetData>
      <sheetData sheetId="8" refreshError="1"/>
      <sheetData sheetId="9" refreshError="1">
        <row r="26">
          <cell r="B26" t="str">
            <v>Commercial Dry Cleaners</v>
          </cell>
        </row>
        <row r="27">
          <cell r="B27" t="str">
            <v>Commercial Heating , (including Multifamily) low pressure steam</v>
          </cell>
        </row>
        <row r="28">
          <cell r="B28" t="str">
            <v xml:space="preserve">Industrial Low Pressure &lt;15 psig </v>
          </cell>
        </row>
        <row r="29">
          <cell r="B29" t="str">
            <v>Industrial Medium Pressure &gt;15 psig &lt; 30 psig</v>
          </cell>
        </row>
        <row r="30">
          <cell r="B30" t="str">
            <v>Industrial Medium Pressure ≥30 &lt;75 psig</v>
          </cell>
        </row>
        <row r="31">
          <cell r="B31" t="str">
            <v>Industrial High Pressure ≥75 &lt;125 psig</v>
          </cell>
        </row>
        <row r="32">
          <cell r="B32" t="str">
            <v>Industrial High Pressure ≥125 &lt;175 psig</v>
          </cell>
        </row>
        <row r="33">
          <cell r="B33" t="str">
            <v>Industrial High Pressure ≥175 &lt;250 psig</v>
          </cell>
        </row>
        <row r="34">
          <cell r="B34" t="str">
            <v>Industrial High Pressure ≥250 psig</v>
          </cell>
        </row>
      </sheetData>
      <sheetData sheetId="10" refreshError="1">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1" refreshError="1"/>
      <sheetData sheetId="12" refreshError="1">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3"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4" refreshError="1">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5" refreshError="1">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6" refreshError="1">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7" refreshError="1">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18" refreshError="1">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row>
        <row r="38">
          <cell r="B38" t="str">
            <v>Hospital</v>
          </cell>
          <cell r="G38" t="str">
            <v>Parking areas &amp; drives</v>
          </cell>
        </row>
        <row r="39">
          <cell r="B39" t="str">
            <v>Hotel</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row>
        <row r="49">
          <cell r="B49" t="str">
            <v>Performing Arts Theater</v>
          </cell>
          <cell r="G49" t="str">
            <v>Free standing &amp; attached</v>
          </cell>
        </row>
        <row r="50">
          <cell r="B50" t="str">
            <v>Police/Fire Station</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19" refreshError="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0" refreshError="1">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1" refreshError="1">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2.3"/>
      <sheetName val="4.2.11"/>
      <sheetName val="4.3.5"/>
      <sheetName val="4.4.2"/>
      <sheetName val="4.4.4"/>
      <sheetName val="4.4.10"/>
      <sheetName val="4.4.11"/>
      <sheetName val="4.4.14"/>
      <sheetName val="4.4.16"/>
      <sheetName val="4.4.17"/>
      <sheetName val="4.4.24 "/>
      <sheetName val="4.5.1"/>
      <sheetName val="4.5.2"/>
      <sheetName val="4.5.3"/>
      <sheetName val="4.5.4"/>
      <sheetName val="4.5.5"/>
      <sheetName val="4.5.6"/>
      <sheetName val="4.5.7"/>
      <sheetName val="4.5.9"/>
      <sheetName val="4.5.10"/>
      <sheetName val="4.5.12"/>
      <sheetName val="List"/>
      <sheetName val="Input_Data"/>
      <sheetName val="Lists"/>
    </sheetNames>
    <sheetDataSet>
      <sheetData sheetId="0"/>
      <sheetData sheetId="1"/>
      <sheetData sheetId="2">
        <row r="3">
          <cell r="A3" t="str">
            <v>4.2.3.1</v>
          </cell>
        </row>
      </sheetData>
      <sheetData sheetId="3">
        <row r="73">
          <cell r="B73">
            <v>0</v>
          </cell>
        </row>
        <row r="74">
          <cell r="B74" t="str">
            <v>Natural Gas Steam Cooker</v>
          </cell>
        </row>
        <row r="78">
          <cell r="A78" t="str">
            <v>Number of Pans</v>
          </cell>
        </row>
        <row r="79">
          <cell r="A79">
            <v>3</v>
          </cell>
        </row>
        <row r="80">
          <cell r="A80">
            <v>4</v>
          </cell>
        </row>
        <row r="81">
          <cell r="A81">
            <v>5</v>
          </cell>
        </row>
        <row r="85">
          <cell r="A85" t="str">
            <v>Type of Food Service</v>
          </cell>
          <cell r="E85" t="str">
            <v>CEE Tier</v>
          </cell>
        </row>
        <row r="86">
          <cell r="A86" t="str">
            <v>Fast Food, limited menu</v>
          </cell>
          <cell r="E86" t="str">
            <v>Tier 1A</v>
          </cell>
        </row>
        <row r="87">
          <cell r="A87" t="str">
            <v>Fast Food, expanded menu</v>
          </cell>
          <cell r="E87" t="str">
            <v>Tier 1B</v>
          </cell>
        </row>
        <row r="88">
          <cell r="A88" t="str">
            <v>Pizza</v>
          </cell>
          <cell r="E88" t="str">
            <v>Avg Efficient</v>
          </cell>
        </row>
        <row r="89">
          <cell r="A89" t="str">
            <v>Full Service, limited menu</v>
          </cell>
        </row>
        <row r="90">
          <cell r="A90" t="str">
            <v>Full Service, expanded menu</v>
          </cell>
        </row>
        <row r="91">
          <cell r="A91" t="str">
            <v>Cafeteria</v>
          </cell>
        </row>
        <row r="92">
          <cell r="A92" t="str">
            <v>Unknown</v>
          </cell>
        </row>
      </sheetData>
      <sheetData sheetId="4">
        <row r="44">
          <cell r="A44" t="str">
            <v>Efficient Definition</v>
          </cell>
        </row>
        <row r="45">
          <cell r="A45" t="str">
            <v>Table for Algorithm Inputs</v>
          </cell>
        </row>
        <row r="46">
          <cell r="A46" t="str">
            <v>Application</v>
          </cell>
        </row>
        <row r="57">
          <cell r="A57" t="str">
            <v>Actual-MF</v>
          </cell>
        </row>
        <row r="58">
          <cell r="A58" t="str">
            <v>Actual-SBES</v>
          </cell>
        </row>
        <row r="59">
          <cell r="A59">
            <v>0</v>
          </cell>
        </row>
      </sheetData>
      <sheetData sheetId="5">
        <row r="52">
          <cell r="A52" t="str">
            <v>Output (Gpm) at delta T 70</v>
          </cell>
        </row>
        <row r="53">
          <cell r="A53">
            <v>5</v>
          </cell>
        </row>
        <row r="54">
          <cell r="A54">
            <v>10</v>
          </cell>
        </row>
        <row r="63">
          <cell r="B63" t="str">
            <v>Program Type</v>
          </cell>
        </row>
        <row r="64">
          <cell r="B64" t="str">
            <v>TOS</v>
          </cell>
        </row>
        <row r="65">
          <cell r="B65" t="str">
            <v>RF</v>
          </cell>
        </row>
      </sheetData>
      <sheetData sheetId="6">
        <row r="45">
          <cell r="A45" t="str">
            <v>Climate Table Lookup</v>
          </cell>
          <cell r="D45" t="str">
            <v>Boiler kbtuh (MBh)</v>
          </cell>
        </row>
        <row r="46">
          <cell r="A46" t="str">
            <v>1 (Rockford)</v>
          </cell>
          <cell r="D46">
            <v>1</v>
          </cell>
        </row>
        <row r="47">
          <cell r="A47" t="str">
            <v>2 (Chicago)</v>
          </cell>
          <cell r="D47">
            <v>75</v>
          </cell>
        </row>
        <row r="48">
          <cell r="A48" t="str">
            <v>3 (Springfield)</v>
          </cell>
          <cell r="D48">
            <v>300</v>
          </cell>
        </row>
        <row r="49">
          <cell r="A49" t="str">
            <v>4 (Belleville)</v>
          </cell>
          <cell r="D49">
            <v>400</v>
          </cell>
        </row>
        <row r="50">
          <cell r="A50" t="str">
            <v>5 (Marion)</v>
          </cell>
          <cell r="D50">
            <v>650</v>
          </cell>
        </row>
        <row r="51">
          <cell r="D51">
            <v>482</v>
          </cell>
        </row>
        <row r="74">
          <cell r="B74">
            <v>0</v>
          </cell>
        </row>
        <row r="75">
          <cell r="B75" t="str">
            <v>Office - High Rise</v>
          </cell>
        </row>
        <row r="76">
          <cell r="B76" t="str">
            <v>Office - Mid Rise</v>
          </cell>
        </row>
        <row r="77">
          <cell r="B77" t="str">
            <v>Office - Low Rise</v>
          </cell>
        </row>
        <row r="78">
          <cell r="B78" t="str">
            <v>Convenience</v>
          </cell>
        </row>
        <row r="79">
          <cell r="B79" t="str">
            <v>Healthcare Clinic</v>
          </cell>
        </row>
        <row r="80">
          <cell r="B80" t="str">
            <v>Manufacturing Facility</v>
          </cell>
        </row>
        <row r="81">
          <cell r="B81" t="str">
            <v>Lodging Hotel/Motel</v>
          </cell>
        </row>
        <row r="82">
          <cell r="B82" t="str">
            <v>High School</v>
          </cell>
        </row>
        <row r="83">
          <cell r="B83" t="str">
            <v>Hospital</v>
          </cell>
        </row>
        <row r="84">
          <cell r="B84" t="str">
            <v>Elementary</v>
          </cell>
        </row>
        <row r="85">
          <cell r="B85" t="str">
            <v>Religious Facility</v>
          </cell>
        </row>
        <row r="86">
          <cell r="B86" t="str">
            <v>Restaurant</v>
          </cell>
        </row>
        <row r="87">
          <cell r="B87" t="str">
            <v>Retail - Strip Mall</v>
          </cell>
        </row>
        <row r="88">
          <cell r="B88" t="str">
            <v>Retail - Department Store</v>
          </cell>
        </row>
        <row r="89">
          <cell r="B89" t="str">
            <v>College/University</v>
          </cell>
        </row>
        <row r="90">
          <cell r="B90" t="str">
            <v>Warehouse</v>
          </cell>
        </row>
      </sheetData>
      <sheetData sheetId="7"/>
      <sheetData sheetId="8">
        <row r="39">
          <cell r="C39" t="str">
            <v>Program Type</v>
          </cell>
        </row>
        <row r="40">
          <cell r="C40" t="str">
            <v>TOS</v>
          </cell>
        </row>
        <row r="41">
          <cell r="C41" t="str">
            <v>RF</v>
          </cell>
        </row>
        <row r="45">
          <cell r="D45" t="str">
            <v>ENERGY STAR® Minimum</v>
          </cell>
        </row>
        <row r="46">
          <cell r="D46" t="str">
            <v>AFUE 90%</v>
          </cell>
        </row>
        <row r="47">
          <cell r="D47" t="str">
            <v>AFUE 95%</v>
          </cell>
        </row>
        <row r="48">
          <cell r="D48" t="str">
            <v>AFUE ≥ 96%</v>
          </cell>
        </row>
        <row r="49">
          <cell r="D49" t="str">
            <v>Custom</v>
          </cell>
        </row>
        <row r="53">
          <cell r="A53" t="str">
            <v>Hot Water &lt;300,000 Btu/h &lt; June 1, 2013</v>
          </cell>
        </row>
        <row r="54">
          <cell r="A54" t="str">
            <v>Hot Water &lt;300,000 Btu/h  ≥ June 1, 2013</v>
          </cell>
        </row>
        <row r="55">
          <cell r="A55" t="str">
            <v>Hot Water  ≥300,000 &amp; ≤2,500,000 Btu/h</v>
          </cell>
        </row>
        <row r="56">
          <cell r="A56" t="str">
            <v>Hot Water  &gt;2,500,000 Btu/h</v>
          </cell>
        </row>
        <row r="57">
          <cell r="A57" t="str">
            <v>Steam &lt;300,000 Btu/h &lt; June 1, 2013</v>
          </cell>
        </row>
        <row r="58">
          <cell r="A58" t="str">
            <v>Steam &lt;300,000 Btu/h ≥June 1, 2013</v>
          </cell>
        </row>
        <row r="59">
          <cell r="A59" t="str">
            <v>Steam - all except natural draft ≥300,000 &amp; ≤2,500,000 Btu/h</v>
          </cell>
        </row>
        <row r="60">
          <cell r="A60" t="str">
            <v>Steam - natural draft ≥300,000 &amp; ≤2,500,000 Btu/h</v>
          </cell>
        </row>
        <row r="61">
          <cell r="A61" t="str">
            <v>Steam - all except natural draft &gt;2,500,000 Btu/h</v>
          </cell>
        </row>
        <row r="62">
          <cell r="A62" t="str">
            <v>Steam - natural draft &gt;2,500,000 Btu/h</v>
          </cell>
        </row>
      </sheetData>
      <sheetData sheetId="9">
        <row r="56">
          <cell r="B56" t="str">
            <v>Air Conditioning</v>
          </cell>
        </row>
        <row r="57">
          <cell r="B57" t="str">
            <v>No Air Conditioning</v>
          </cell>
        </row>
        <row r="58">
          <cell r="B58" t="str">
            <v>Unknown</v>
          </cell>
        </row>
        <row r="96">
          <cell r="B96">
            <v>2012</v>
          </cell>
        </row>
        <row r="97">
          <cell r="B97">
            <v>2013</v>
          </cell>
        </row>
      </sheetData>
      <sheetData sheetId="10"/>
      <sheetData sheetId="11">
        <row r="72">
          <cell r="B72" t="str">
            <v xml:space="preserve">Industrial Low Pressure &lt;15 psig </v>
          </cell>
        </row>
        <row r="73">
          <cell r="B73" t="str">
            <v>Industrial Medium Pressure &gt;15 psig &lt; 30 psig</v>
          </cell>
        </row>
        <row r="74">
          <cell r="B74" t="str">
            <v>Industrial Medium Pressure ≥30 &lt;75 psig</v>
          </cell>
        </row>
        <row r="75">
          <cell r="B75" t="str">
            <v>Industrial High Pressure ≥75 &lt;125 psig</v>
          </cell>
        </row>
        <row r="76">
          <cell r="B76" t="str">
            <v>Industrial High Pressure ≥125 &lt;175 psig</v>
          </cell>
        </row>
        <row r="77">
          <cell r="B77" t="str">
            <v>Industrial High Pressure ≥175 &lt;250 psig</v>
          </cell>
        </row>
        <row r="78">
          <cell r="B78" t="str">
            <v>Industrial High Pressure ≥250 psig</v>
          </cell>
        </row>
        <row r="79">
          <cell r="B79" t="str">
            <v>Industrial High Pressure ≥300psig</v>
          </cell>
        </row>
        <row r="80">
          <cell r="B80">
            <v>0</v>
          </cell>
        </row>
      </sheetData>
      <sheetData sheetId="12">
        <row r="8">
          <cell r="L8" t="str">
            <v>C39 - VFD - Supply fans &lt;10 HP</v>
          </cell>
        </row>
        <row r="9">
          <cell r="L9" t="str">
            <v>C40 - VFD - Return fans &lt;10 HP</v>
          </cell>
        </row>
        <row r="10">
          <cell r="L10" t="str">
            <v>C41 - VFD - Exhaust fans &lt;10 HP</v>
          </cell>
        </row>
        <row r="11">
          <cell r="L11" t="str">
            <v>C42 - VFD - Boiler feedwater pumps &lt;10 HP</v>
          </cell>
        </row>
        <row r="12">
          <cell r="L12" t="str">
            <v>C43 - VFD - Chilled water pumps &lt;10 HP</v>
          </cell>
        </row>
        <row r="13">
          <cell r="L13" t="str">
            <v>C44 - VFD Boiler circulation pumps &lt;10 HP</v>
          </cell>
        </row>
        <row r="14">
          <cell r="L14" t="str">
            <v>C48 - VFD Boiler draft fans &lt;10 HP</v>
          </cell>
        </row>
        <row r="15">
          <cell r="L15" t="str">
            <v>C49 - VFD Cooling Tower Fans &lt;10 HP</v>
          </cell>
        </row>
        <row r="20">
          <cell r="B20" t="str">
            <v>Hot Water Pump</v>
          </cell>
        </row>
        <row r="21">
          <cell r="B21" t="str">
            <v>Chilled Water Pump</v>
          </cell>
        </row>
        <row r="22">
          <cell r="B22" t="str">
            <v>Constant Volume Fan</v>
          </cell>
        </row>
        <row r="23">
          <cell r="B23" t="str">
            <v>Air Foil/inlet Guide Vanes</v>
          </cell>
        </row>
        <row r="24">
          <cell r="B24" t="str">
            <v>Forward Curved Fan, with discharge dampers</v>
          </cell>
        </row>
        <row r="25">
          <cell r="B25" t="str">
            <v>Forward Curved Inlet Guide Vanes</v>
          </cell>
        </row>
        <row r="29">
          <cell r="A29" t="str">
            <v>HVAC Application</v>
          </cell>
          <cell r="D29" t="str">
            <v>1 -5 HP</v>
          </cell>
        </row>
        <row r="30">
          <cell r="A30" t="str">
            <v>Process</v>
          </cell>
          <cell r="D30" t="str">
            <v>7.5 HP</v>
          </cell>
        </row>
        <row r="31">
          <cell r="D31" t="str">
            <v>10 HP</v>
          </cell>
        </row>
        <row r="32">
          <cell r="D32" t="str">
            <v>15 HP</v>
          </cell>
        </row>
        <row r="33">
          <cell r="D33" t="str">
            <v>20 HP</v>
          </cell>
        </row>
        <row r="37">
          <cell r="A37" t="str">
            <v>College/ University</v>
          </cell>
        </row>
        <row r="38">
          <cell r="A38" t="str">
            <v>Grocery</v>
          </cell>
        </row>
        <row r="39">
          <cell r="A39" t="str">
            <v>Heavy Industry</v>
          </cell>
        </row>
        <row r="40">
          <cell r="A40" t="str">
            <v>Hotel/Motel</v>
          </cell>
        </row>
        <row r="41">
          <cell r="A41" t="str">
            <v>Light Industry</v>
          </cell>
        </row>
        <row r="42">
          <cell r="A42" t="str">
            <v>Medical</v>
          </cell>
        </row>
        <row r="43">
          <cell r="A43" t="str">
            <v>Office</v>
          </cell>
        </row>
        <row r="44">
          <cell r="A44" t="str">
            <v>Restaurant</v>
          </cell>
        </row>
        <row r="45">
          <cell r="A45" t="str">
            <v>Retail/Service</v>
          </cell>
        </row>
        <row r="46">
          <cell r="A46" t="str">
            <v>School(K-12)</v>
          </cell>
        </row>
        <row r="47">
          <cell r="A47" t="str">
            <v>Warehouse</v>
          </cell>
        </row>
        <row r="48">
          <cell r="A48" t="str">
            <v>Average=Misc</v>
          </cell>
        </row>
      </sheetData>
      <sheetData sheetId="13"/>
      <sheetData sheetId="14">
        <row r="7">
          <cell r="M7" t="str">
            <v>TOS</v>
          </cell>
        </row>
        <row r="8">
          <cell r="M8" t="str">
            <v>NC</v>
          </cell>
        </row>
        <row r="9">
          <cell r="M9" t="str">
            <v>RF</v>
          </cell>
        </row>
        <row r="12">
          <cell r="M12" t="str">
            <v>June 2012-May 2013</v>
          </cell>
        </row>
        <row r="13">
          <cell r="M13" t="str">
            <v>June 2013-May 2014</v>
          </cell>
        </row>
        <row r="14">
          <cell r="M14" t="str">
            <v>June 2014-May 2015</v>
          </cell>
        </row>
        <row r="15">
          <cell r="M15" t="str">
            <v>June 2015-May 2016</v>
          </cell>
        </row>
        <row r="16">
          <cell r="M16" t="str">
            <v>June 2016-May 2017</v>
          </cell>
        </row>
        <row r="17">
          <cell r="M17" t="str">
            <v>June 2017-May 2018</v>
          </cell>
        </row>
        <row r="18">
          <cell r="M18" t="str">
            <v>June 2018-May 2019</v>
          </cell>
        </row>
        <row r="19">
          <cell r="M19" t="str">
            <v>June 2019-May 2020</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cell r="K33" t="str">
            <v>C06 - Commercial Indoor Lighting</v>
          </cell>
        </row>
        <row r="34">
          <cell r="B34" t="str">
            <v>Restaurant</v>
          </cell>
          <cell r="K34" t="str">
            <v>C07 - Grocery/Conv. Store Indoor Lighting</v>
          </cell>
        </row>
        <row r="35">
          <cell r="B35" t="str">
            <v>Retail/Service</v>
          </cell>
          <cell r="K35" t="str">
            <v>C08 - Hospital Indoor Lighting</v>
          </cell>
        </row>
        <row r="36">
          <cell r="B36" t="str">
            <v>College/University</v>
          </cell>
          <cell r="K36" t="str">
            <v>C09 - Office Indoor Lighting</v>
          </cell>
        </row>
        <row r="37">
          <cell r="B37" t="str">
            <v>Warehouse</v>
          </cell>
          <cell r="K37" t="str">
            <v>C10 - Restaurant Indoor Lighting</v>
          </cell>
        </row>
        <row r="38">
          <cell r="B38" t="str">
            <v>Garage</v>
          </cell>
          <cell r="K38" t="str">
            <v>C11 - Retail Indoor Lighting</v>
          </cell>
        </row>
        <row r="39">
          <cell r="B39" t="str">
            <v>Garage, 24/7 lighting[1]</v>
          </cell>
          <cell r="K39" t="str">
            <v>C12 - Warehouse Indoor Lighting</v>
          </cell>
        </row>
        <row r="40">
          <cell r="B40" t="str">
            <v>Exterior</v>
          </cell>
          <cell r="K40" t="str">
            <v>C13 - K-12 School Indoor Lighting</v>
          </cell>
        </row>
        <row r="41">
          <cell r="B41" t="str">
            <v>Multi-family Common Areas</v>
          </cell>
          <cell r="K41" t="str">
            <v>C14 - Indust. 1-shift (8/5) (e.g., comp. air, lights)</v>
          </cell>
        </row>
        <row r="42">
          <cell r="B42" t="str">
            <v>Miscellaneous</v>
          </cell>
          <cell r="K42" t="str">
            <v>C15 - Indust. 2-shift (16/5) (e.g., comp. air, lights)</v>
          </cell>
        </row>
        <row r="43">
          <cell r="B43" t="str">
            <v>Uncooled Building</v>
          </cell>
          <cell r="K43" t="str">
            <v>C16 - Indust. 3-shift (24/5) (e.g., comp. air, lights)</v>
          </cell>
        </row>
        <row r="44">
          <cell r="B44" t="str">
            <v>Refrigerated Cases</v>
          </cell>
          <cell r="K44" t="str">
            <v>C17 - Indust. 4-shift (24/7) (e.g., comp. air, lights)</v>
          </cell>
        </row>
        <row r="45">
          <cell r="B45" t="str">
            <v>Freezer Cases</v>
          </cell>
          <cell r="K45" t="str">
            <v>C18 - Industrial Indoor Lighting</v>
          </cell>
        </row>
        <row r="46">
          <cell r="K46" t="str">
            <v>C19 - Industrial Outdoor Lighting</v>
          </cell>
        </row>
        <row r="47">
          <cell r="K47" t="str">
            <v>C20 - Commercial Outdoor Lighting</v>
          </cell>
        </row>
        <row r="52">
          <cell r="B52" t="str">
            <v>5280-6209</v>
          </cell>
        </row>
        <row r="53">
          <cell r="B53" t="str">
            <v>3000-5279</v>
          </cell>
        </row>
        <row r="54">
          <cell r="B54" t="str">
            <v>2601-2999</v>
          </cell>
        </row>
        <row r="55">
          <cell r="B55" t="str">
            <v>1490-2600</v>
          </cell>
        </row>
        <row r="56">
          <cell r="B56" t="str">
            <v>1050-1489</v>
          </cell>
        </row>
        <row r="57">
          <cell r="B57" t="str">
            <v>750-1049</v>
          </cell>
        </row>
        <row r="58">
          <cell r="B58" t="str">
            <v>310-749</v>
          </cell>
        </row>
        <row r="59">
          <cell r="B59" t="str">
            <v>250-309</v>
          </cell>
        </row>
      </sheetData>
      <sheetData sheetId="15">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E24" t="str">
            <v>T8</v>
          </cell>
          <cell r="F24" t="str">
            <v>T12</v>
          </cell>
          <cell r="G24" t="str">
            <v>Unknown</v>
          </cell>
        </row>
        <row r="25">
          <cell r="B25" t="str">
            <v>8' Lamp Removal</v>
          </cell>
        </row>
        <row r="26">
          <cell r="B26" t="str">
            <v xml:space="preserve">4' Lamp Removal </v>
          </cell>
        </row>
        <row r="27">
          <cell r="B27" t="str">
            <v>8' Lamp Removal w/ reflector</v>
          </cell>
        </row>
        <row r="28">
          <cell r="B28" t="str">
            <v>4' Lamp Removal w/ reflector</v>
          </cell>
        </row>
        <row r="29">
          <cell r="B29" t="str">
            <v>3' Removal</v>
          </cell>
        </row>
        <row r="30">
          <cell r="B30" t="str">
            <v>2' Removal</v>
          </cell>
        </row>
        <row r="31">
          <cell r="B31" t="str">
            <v>3' Removal w/ reflector</v>
          </cell>
        </row>
        <row r="32">
          <cell r="B32" t="str">
            <v>2' Removal w/ reflector</v>
          </cell>
        </row>
        <row r="36">
          <cell r="B36" t="str">
            <v>Office</v>
          </cell>
        </row>
        <row r="37">
          <cell r="B37" t="str">
            <v>Grocery</v>
          </cell>
        </row>
        <row r="38">
          <cell r="B38" t="str">
            <v>Healthcare Clinic</v>
          </cell>
        </row>
        <row r="39">
          <cell r="B39" t="str">
            <v>Hospital</v>
          </cell>
        </row>
        <row r="40">
          <cell r="B40" t="str">
            <v>Heavy Industry</v>
          </cell>
        </row>
        <row r="41">
          <cell r="B41" t="str">
            <v>Light Industry</v>
          </cell>
        </row>
        <row r="42">
          <cell r="B42" t="str">
            <v>Hotel/Motel Common Areas</v>
          </cell>
        </row>
        <row r="43">
          <cell r="B43" t="str">
            <v xml:space="preserve">Hotel/Motel Guest Rooms </v>
          </cell>
        </row>
        <row r="44">
          <cell r="B44" t="str">
            <v>Hotel/Motel Guest Rooms with electric heat</v>
          </cell>
        </row>
        <row r="45">
          <cell r="B45" t="str">
            <v>High School/Middle School</v>
          </cell>
        </row>
        <row r="46">
          <cell r="B46" t="str">
            <v>Elementary School</v>
          </cell>
        </row>
        <row r="47">
          <cell r="B47" t="str">
            <v>Restaurant</v>
          </cell>
        </row>
        <row r="48">
          <cell r="B48" t="str">
            <v>Retail/Service</v>
          </cell>
        </row>
        <row r="49">
          <cell r="B49" t="str">
            <v>College/ University</v>
          </cell>
        </row>
        <row r="50">
          <cell r="B50" t="str">
            <v>Warehouse</v>
          </cell>
        </row>
        <row r="51">
          <cell r="B51" t="str">
            <v>Garage</v>
          </cell>
        </row>
        <row r="52">
          <cell r="B52" t="str">
            <v>Garage, 24/7 lighting</v>
          </cell>
        </row>
        <row r="53">
          <cell r="B53" t="str">
            <v>Exterior</v>
          </cell>
        </row>
        <row r="54">
          <cell r="B54" t="str">
            <v>Multi-family Common Areas</v>
          </cell>
        </row>
        <row r="55">
          <cell r="B55" t="str">
            <v xml:space="preserve">Religious Worship/Church </v>
          </cell>
        </row>
        <row r="56">
          <cell r="B56" t="str">
            <v>Low-Use Small Business  Miscellaneous</v>
          </cell>
        </row>
        <row r="57">
          <cell r="B57" t="str">
            <v>Miscellaneous</v>
          </cell>
        </row>
        <row r="58">
          <cell r="B58" t="str">
            <v>Uncooled Building</v>
          </cell>
        </row>
        <row r="59">
          <cell r="B59" t="str">
            <v>Refrigerated Cases</v>
          </cell>
        </row>
        <row r="60">
          <cell r="B60" t="str">
            <v>Freezer Cases</v>
          </cell>
        </row>
      </sheetData>
      <sheetData sheetId="16">
        <row r="22">
          <cell r="B22" t="str">
            <v>Office</v>
          </cell>
        </row>
        <row r="23">
          <cell r="B23" t="str">
            <v>Grocery</v>
          </cell>
        </row>
        <row r="24">
          <cell r="B24" t="str">
            <v>Healthcare Clinic</v>
          </cell>
        </row>
        <row r="25">
          <cell r="B25" t="str">
            <v>Hospital</v>
          </cell>
        </row>
        <row r="26">
          <cell r="B26" t="str">
            <v>Heavy Industry</v>
          </cell>
          <cell r="J26">
            <v>2012</v>
          </cell>
        </row>
        <row r="27">
          <cell r="B27" t="str">
            <v>Light Industry</v>
          </cell>
          <cell r="J27">
            <v>2013</v>
          </cell>
        </row>
        <row r="28">
          <cell r="B28" t="str">
            <v>Hotel/Motel Common Areas</v>
          </cell>
          <cell r="J28">
            <v>2014</v>
          </cell>
          <cell r="N28" t="str">
            <v>C06 - Commercial Indoor Lighting</v>
          </cell>
        </row>
        <row r="29">
          <cell r="B29" t="str">
            <v>Hotel/Motel Guest Rooms</v>
          </cell>
          <cell r="J29">
            <v>2015</v>
          </cell>
          <cell r="N29" t="str">
            <v>C07 - Grocery/Conv. Store Indoor Lighting</v>
          </cell>
        </row>
        <row r="30">
          <cell r="B30" t="str">
            <v>Hotel/Motel Guest Rooms with electric heat</v>
          </cell>
          <cell r="J30">
            <v>2016</v>
          </cell>
          <cell r="N30" t="str">
            <v>C08 - Hospital Indoor Lighting</v>
          </cell>
        </row>
        <row r="31">
          <cell r="B31" t="str">
            <v>High School/Middle School</v>
          </cell>
          <cell r="N31" t="str">
            <v>C09 - Office Indoor Lighting</v>
          </cell>
        </row>
        <row r="32">
          <cell r="B32" t="str">
            <v>Elementary School</v>
          </cell>
          <cell r="N32" t="str">
            <v>C10 - Restaurant Indoor Lighting</v>
          </cell>
        </row>
        <row r="33">
          <cell r="B33" t="str">
            <v>Restaurant</v>
          </cell>
          <cell r="N33" t="str">
            <v>C11 - Retail Indoor Lighting</v>
          </cell>
        </row>
        <row r="34">
          <cell r="B34" t="str">
            <v>Retail/Service</v>
          </cell>
          <cell r="N34" t="str">
            <v>C12 - Warehouse Indoor Lighting</v>
          </cell>
        </row>
        <row r="35">
          <cell r="B35" t="str">
            <v>College/University</v>
          </cell>
          <cell r="N35" t="str">
            <v>C13 - K-12 School Indoor Lighting</v>
          </cell>
        </row>
        <row r="36">
          <cell r="B36" t="str">
            <v>Warehouse</v>
          </cell>
          <cell r="N36" t="str">
            <v>C14 - Indust. 1-shift (8/5) (e.g., comp. air, lights)</v>
          </cell>
        </row>
        <row r="37">
          <cell r="B37" t="str">
            <v>Garage</v>
          </cell>
          <cell r="N37" t="str">
            <v>C15 - Indust. 2-shift (16/5) (e.g., comp. air, lights)</v>
          </cell>
        </row>
        <row r="38">
          <cell r="B38" t="str">
            <v>Garage, 24/7 lighting[1]</v>
          </cell>
          <cell r="N38" t="str">
            <v>C16 - Indust. 3-shift (24/5) (e.g., comp. air, lights)</v>
          </cell>
        </row>
        <row r="39">
          <cell r="B39" t="str">
            <v>Exterior</v>
          </cell>
          <cell r="N39" t="str">
            <v>C17 - Indust. 4-shift (24/7) (e.g., comp. air, lights)</v>
          </cell>
        </row>
        <row r="40">
          <cell r="B40" t="str">
            <v>Multi-family Common Areas</v>
          </cell>
          <cell r="N40" t="str">
            <v>C18 - Industrial Indoor Lighting</v>
          </cell>
        </row>
        <row r="41">
          <cell r="B41" t="str">
            <v>Miscellaneous</v>
          </cell>
          <cell r="N41" t="str">
            <v>C19 - Industrial Outdoor Lighting</v>
          </cell>
        </row>
        <row r="42">
          <cell r="B42" t="str">
            <v>Uncooled Building</v>
          </cell>
          <cell r="N42" t="str">
            <v>C20 - Commercial Outdoor Lighting</v>
          </cell>
        </row>
        <row r="43">
          <cell r="B43" t="str">
            <v>Refrigerated Cases</v>
          </cell>
        </row>
        <row r="44">
          <cell r="B44" t="str">
            <v>Freezer Cases</v>
          </cell>
        </row>
        <row r="49">
          <cell r="B49" t="str">
            <v>4-Lamp HPT8 w/ High-BF Ballast High-Bay (200 Wbase)</v>
          </cell>
        </row>
        <row r="50">
          <cell r="B50" t="str">
            <v>4-Lamp HPT8 w/ High-BF Ballast High-Bay(250 Wbase)</v>
          </cell>
        </row>
        <row r="51">
          <cell r="B51" t="str">
            <v>6-Lamp HPT8 w/ High-BF Ballast High-Bay</v>
          </cell>
        </row>
        <row r="52">
          <cell r="B52" t="str">
            <v>6-Lamp HPT8 w/ High-BF Ballast High-Bay</v>
          </cell>
        </row>
        <row r="53">
          <cell r="B53" t="str">
            <v>8-Lamp HPT8 w/ High-BF Ballast High-Bay</v>
          </cell>
        </row>
        <row r="54">
          <cell r="B54" t="str">
            <v>8-Lamp HPT8 w/ High-BF Ballast High-Bay</v>
          </cell>
        </row>
        <row r="55">
          <cell r="B55" t="str">
            <v>1-Lamp Relamp/ Reballast T12 to HPT8</v>
          </cell>
        </row>
        <row r="56">
          <cell r="B56" t="str">
            <v>2-Lamp Relamp/ Reballast T12 to HPT9</v>
          </cell>
        </row>
        <row r="57">
          <cell r="B57" t="str">
            <v>3-Lamp Relamp/ Reballast T12 to HPT8</v>
          </cell>
        </row>
        <row r="58">
          <cell r="B58" t="str">
            <v>4-Lamp Relamp/ Reballast T12 to HPT8</v>
          </cell>
        </row>
        <row r="59">
          <cell r="B59" t="str">
            <v>1-Lamp Relamp/ Reballast T12 to HPT8</v>
          </cell>
        </row>
        <row r="60">
          <cell r="B60" t="str">
            <v>2-Lamp Relamp/ Reballast T12 to HPT9</v>
          </cell>
        </row>
        <row r="61">
          <cell r="B61" t="str">
            <v>3-Lamp Relamp/ Reballast T12 to HPT8</v>
          </cell>
        </row>
        <row r="62">
          <cell r="B62" t="str">
            <v>4-Lamp Relamp/ Reballast T12 to HPT8</v>
          </cell>
        </row>
        <row r="63">
          <cell r="B63" t="str">
            <v>1-Lamp Relamp/ Reballast T12 to HPT8</v>
          </cell>
        </row>
        <row r="64">
          <cell r="B64" t="str">
            <v>2-Lamp Relamp/ Reballast T12 to HPT9</v>
          </cell>
        </row>
        <row r="65">
          <cell r="B65" t="str">
            <v>3-Lamp Relamp/ Reballast T12 to HPT8</v>
          </cell>
        </row>
        <row r="66">
          <cell r="B66" t="str">
            <v>4-Lamp Relamp/ Reballast T12 to HPT8</v>
          </cell>
        </row>
        <row r="67">
          <cell r="B67" t="str">
            <v>1-Lamp Relamp/ Reballast T8 to HPT8</v>
          </cell>
        </row>
        <row r="68">
          <cell r="B68" t="str">
            <v>2-Lamp Relamp/ Reballast T8 to HP8</v>
          </cell>
        </row>
        <row r="69">
          <cell r="B69" t="str">
            <v>3-Lamp Relamp/ Reballast T8 to HPT8</v>
          </cell>
        </row>
        <row r="70">
          <cell r="B70" t="str">
            <v>4-Lamp Relamp/ Reballast T8 to HPT8</v>
          </cell>
        </row>
        <row r="71">
          <cell r="B71" t="str">
            <v>2-Lamp HPT8 troffer or high eff. Retrofit troffer</v>
          </cell>
        </row>
      </sheetData>
      <sheetData sheetId="17">
        <row r="6">
          <cell r="M6" t="str">
            <v>C06 - Commercial Indoor Lighting</v>
          </cell>
        </row>
        <row r="7">
          <cell r="M7" t="str">
            <v>C07 - Grocery/Conv. Store Indoor Lighting</v>
          </cell>
        </row>
        <row r="8">
          <cell r="M8" t="str">
            <v>C08 - Hospital Indoor Lighting</v>
          </cell>
        </row>
        <row r="9">
          <cell r="M9" t="str">
            <v>C09 - Office Indoor Lighting</v>
          </cell>
        </row>
        <row r="10">
          <cell r="H10" t="str">
            <v>Before Jun2012</v>
          </cell>
          <cell r="M10" t="str">
            <v>C10 - Restaurant Indoor Lighting</v>
          </cell>
        </row>
        <row r="11">
          <cell r="H11" t="str">
            <v>Jun2012-May2013</v>
          </cell>
          <cell r="M11" t="str">
            <v>C11 - Retail Indoor Lighting</v>
          </cell>
        </row>
        <row r="12">
          <cell r="H12" t="str">
            <v>Jun2013-May2014</v>
          </cell>
          <cell r="M12" t="str">
            <v>C12 - Warehouse Indoor Lighting</v>
          </cell>
        </row>
        <row r="13">
          <cell r="H13" t="str">
            <v>Jun2014-May2015</v>
          </cell>
          <cell r="M13" t="str">
            <v>C13 - K-12 School Indoor Lighting</v>
          </cell>
        </row>
        <row r="14">
          <cell r="H14" t="str">
            <v>Jun2015-May2016</v>
          </cell>
          <cell r="M14" t="str">
            <v>C14 - Indust. 1-shift (8/5) (e.g., comp. air, lights)</v>
          </cell>
        </row>
        <row r="15">
          <cell r="H15" t="str">
            <v>Jun2016-May2017</v>
          </cell>
          <cell r="M15" t="str">
            <v>C15 - Indust. 2-shift (16/5) (e.g., comp. air, lights)</v>
          </cell>
        </row>
        <row r="16">
          <cell r="H16" t="str">
            <v>Jun2017-May2018</v>
          </cell>
          <cell r="M16" t="str">
            <v>C16 - Indust. 3-shift (24/5) (e.g., comp. air, lights)</v>
          </cell>
        </row>
        <row r="17">
          <cell r="H17" t="str">
            <v>Jun2018-May2019</v>
          </cell>
          <cell r="M17" t="str">
            <v>C17 - Indust. 4-shift (24/7) (e.g., comp. air, lights)</v>
          </cell>
        </row>
        <row r="18">
          <cell r="H18" t="str">
            <v>Jun2019-May2020</v>
          </cell>
          <cell r="M18" t="str">
            <v>C18 - Industrial Indoor Lighting</v>
          </cell>
        </row>
        <row r="19">
          <cell r="H19" t="str">
            <v>Jun2020 Onwards</v>
          </cell>
          <cell r="M19" t="str">
            <v>C19 - Industrial Outdoor Lighting</v>
          </cell>
        </row>
        <row r="20">
          <cell r="M20" t="str">
            <v>C20 - Commercial Outdoor Lighting</v>
          </cell>
        </row>
        <row r="36">
          <cell r="R36" t="str">
            <v>Office</v>
          </cell>
        </row>
        <row r="37">
          <cell r="R37" t="str">
            <v>Grocery</v>
          </cell>
        </row>
        <row r="38">
          <cell r="R38" t="str">
            <v>Healthcare Clinic</v>
          </cell>
        </row>
        <row r="39">
          <cell r="R39" t="str">
            <v>Hospital</v>
          </cell>
        </row>
        <row r="40">
          <cell r="R40" t="str">
            <v>Heavy Industry</v>
          </cell>
        </row>
        <row r="41">
          <cell r="R41" t="str">
            <v>Light Industry</v>
          </cell>
        </row>
        <row r="42">
          <cell r="R42" t="str">
            <v>Hotel/Motel Common Areas</v>
          </cell>
        </row>
        <row r="43">
          <cell r="R43" t="str">
            <v>Hotel/Motel Guest Rooms</v>
          </cell>
        </row>
        <row r="44">
          <cell r="R44" t="str">
            <v>Hotel/Motel Guest Rooms with electric heat</v>
          </cell>
        </row>
        <row r="45">
          <cell r="R45" t="str">
            <v>High School/Middle School</v>
          </cell>
        </row>
        <row r="46">
          <cell r="R46" t="str">
            <v>Elementary School</v>
          </cell>
        </row>
        <row r="47">
          <cell r="R47" t="str">
            <v>Restaurant</v>
          </cell>
        </row>
        <row r="48">
          <cell r="R48" t="str">
            <v>Retail/Service</v>
          </cell>
        </row>
        <row r="49">
          <cell r="R49" t="str">
            <v>College/University</v>
          </cell>
        </row>
        <row r="50">
          <cell r="R50" t="str">
            <v>Warehouse</v>
          </cell>
        </row>
        <row r="51">
          <cell r="R51" t="str">
            <v>Garage</v>
          </cell>
        </row>
        <row r="52">
          <cell r="R52" t="str">
            <v>Garage, 24/7 lighting[1]</v>
          </cell>
        </row>
        <row r="53">
          <cell r="R53" t="str">
            <v>Exterior</v>
          </cell>
        </row>
        <row r="54">
          <cell r="R54" t="str">
            <v>Multi-family Common Areas</v>
          </cell>
        </row>
        <row r="55">
          <cell r="R55" t="str">
            <v>Miscellaneous</v>
          </cell>
        </row>
        <row r="56">
          <cell r="R56" t="str">
            <v>Uncooled Building</v>
          </cell>
        </row>
        <row r="57">
          <cell r="R57" t="str">
            <v>Refrigerated Cases</v>
          </cell>
        </row>
        <row r="58">
          <cell r="R58" t="str">
            <v>Freezer Cases</v>
          </cell>
        </row>
        <row r="88">
          <cell r="B88" t="str">
            <v>(WattsEE=4) Omnidirectional LED Screw &amp; Pin-based Bulbs</v>
          </cell>
        </row>
        <row r="89">
          <cell r="B89" t="str">
            <v>(WattsEE=6.5) Omnidirectional LED Screw &amp; Pin-based Bulbs</v>
          </cell>
        </row>
        <row r="90">
          <cell r="B90" t="str">
            <v>(WattsEE=9) Omnidirectional LED Screw &amp; Pin-based Bulbs</v>
          </cell>
        </row>
        <row r="91">
          <cell r="B91" t="str">
            <v>(WattsEE=14.5) Omnidirectional LED Screw &amp; Pin-based Bulbs</v>
          </cell>
        </row>
        <row r="92">
          <cell r="B92" t="str">
            <v>(WattsEE=20) Omnidirectional LED Screw &amp; Pin-based Bulbs</v>
          </cell>
        </row>
        <row r="93">
          <cell r="B93" t="str">
            <v>(WattsEE=29.1) Omnidirectional LED Screw &amp; Pin-based Bulbs</v>
          </cell>
        </row>
        <row r="94">
          <cell r="B94" t="str">
            <v>(WattsEE=36.4) Omnidirectional LED Screw &amp; Pin-based Bulbs</v>
          </cell>
        </row>
        <row r="95">
          <cell r="B95" t="str">
            <v>(WattsEE=47.3) Omnidirectional LED Screw &amp; Pin-based Bulbs</v>
          </cell>
        </row>
        <row r="96">
          <cell r="B96" t="str">
            <v>(WattsEE=1.75) Decorative LED Screw &amp; Pin-based Bulbs</v>
          </cell>
        </row>
        <row r="97">
          <cell r="B97" t="str">
            <v>(WattsEE=2.25) Decorative LED Screw &amp; Pin-based Bulbs</v>
          </cell>
        </row>
        <row r="98">
          <cell r="B98" t="str">
            <v>(WattsEE=3.75) Decorative LED Screw &amp; Pin-based Bulbs</v>
          </cell>
        </row>
        <row r="99">
          <cell r="B99" t="str">
            <v>(WattsEE=7.5) Decorative LED Screw &amp; Pin-based Bulbs</v>
          </cell>
        </row>
        <row r="100">
          <cell r="B100" t="str">
            <v>(WattsEE=12.5) Decorative LED Screw &amp; Pin-based Bulbs</v>
          </cell>
        </row>
        <row r="101">
          <cell r="B101" t="str">
            <v>(WattsEE=6.25) Directional LED Screw-based Bulbs</v>
          </cell>
        </row>
        <row r="102">
          <cell r="B102" t="str">
            <v>(WattsEE=8.75) Directional LED Screw-based Bulbs</v>
          </cell>
        </row>
        <row r="103">
          <cell r="B103" t="str">
            <v>(WattsEE=10) Directional LED Screw-based Bulbs</v>
          </cell>
        </row>
        <row r="104">
          <cell r="B104" t="str">
            <v>(WattsEE=15) Directional LED Screw-based Bulbs</v>
          </cell>
        </row>
        <row r="105">
          <cell r="B105" t="str">
            <v>(WattsEE=18.75) Directional LED Screw-based Bulbs</v>
          </cell>
        </row>
        <row r="106">
          <cell r="B106" t="str">
            <v>(WattsEE=25) Directional LED Screw-based Bulbs</v>
          </cell>
        </row>
        <row r="107">
          <cell r="B107" t="str">
            <v>(WattsEE=31.25) Directional LED Screw-based Bulbs</v>
          </cell>
        </row>
        <row r="108">
          <cell r="B108" t="str">
            <v>(WattsEE=37.5) Directional LED Screw-based Bulbs</v>
          </cell>
        </row>
        <row r="109">
          <cell r="B109" t="str">
            <v>LED Recessed, Surface, Pendant Downlights</v>
          </cell>
        </row>
        <row r="110">
          <cell r="B110" t="str">
            <v>LED Track Lighting</v>
          </cell>
        </row>
        <row r="111">
          <cell r="B111" t="str">
            <v>LED Wall-Wash Fixtures</v>
          </cell>
        </row>
        <row r="112">
          <cell r="B112" t="str">
            <v>LED Portable Desk/ Task Light Fixtures</v>
          </cell>
        </row>
        <row r="113">
          <cell r="B113" t="str">
            <v>LED Undercabinet Shelf-Mounted Task Light Fixtures (per foot)</v>
          </cell>
        </row>
        <row r="114">
          <cell r="B114" t="str">
            <v>LED Refrigerated Case Light, Horizontal or Vertical (per foot of light bar)</v>
          </cell>
        </row>
        <row r="115">
          <cell r="B115" t="str">
            <v>LED Freezer Case Light, Horizontal or Vertical (per foot)</v>
          </cell>
        </row>
        <row r="116">
          <cell r="B116" t="str">
            <v>LED Display Case Light Fixture (per foot)</v>
          </cell>
        </row>
        <row r="117">
          <cell r="B117" t="str">
            <v>LED 2x2 Recessed Light Fixture</v>
          </cell>
        </row>
        <row r="118">
          <cell r="B118" t="str">
            <v>LED 2x4 Recessed Light Fixture</v>
          </cell>
        </row>
        <row r="119">
          <cell r="B119" t="str">
            <v>LED 1x4 Recessed Light Fixture</v>
          </cell>
        </row>
        <row r="120">
          <cell r="B120" t="str">
            <v>LED High- and Low-Bay Fixtures</v>
          </cell>
        </row>
        <row r="121">
          <cell r="B121" t="str">
            <v>LED Outdoor Pole/Arm Mounted Parking/ Roadway, &lt; 30W</v>
          </cell>
        </row>
        <row r="122">
          <cell r="B122" t="str">
            <v>LED Outdoor Pole/Arm Mounted Parking/Roadway, 30W - 75W</v>
          </cell>
        </row>
        <row r="123">
          <cell r="B123" t="str">
            <v>LED Outdoor Pole/Arm Mounted Parking/Roadway, &gt;= 75W</v>
          </cell>
        </row>
        <row r="124">
          <cell r="B124" t="str">
            <v>LED Outdoor Pole/Arm Mounted Parking/ Roadway, &lt; 30W</v>
          </cell>
        </row>
        <row r="125">
          <cell r="B125" t="str">
            <v>LED Outdoor Pole/Arm Mounted Parking/Roadway, 30W - 75W</v>
          </cell>
        </row>
        <row r="126">
          <cell r="B126" t="str">
            <v>LED Outdoor Pole/Arm Mounted Parking/Roadway, &gt;= 75W</v>
          </cell>
        </row>
        <row r="127">
          <cell r="B127" t="str">
            <v>LED Parking Garage/Canopy, &lt; 30W</v>
          </cell>
        </row>
        <row r="128">
          <cell r="B128" t="str">
            <v>LED Parking Garage/Canopy, 30W - 75W</v>
          </cell>
        </row>
        <row r="129">
          <cell r="B129" t="str">
            <v>LED Parking Garage/Canopy, &gt;= 75W</v>
          </cell>
        </row>
        <row r="130">
          <cell r="B130" t="str">
            <v>LED Wall-Mounted Area Lights, &lt; 30W</v>
          </cell>
        </row>
        <row r="131">
          <cell r="B131" t="str">
            <v>LED Wall-Mounted Area Lights, 30W - 75W</v>
          </cell>
        </row>
        <row r="132">
          <cell r="B132" t="str">
            <v>LED Wall-Mounted Area Lights, &gt;= 75W</v>
          </cell>
        </row>
        <row r="133">
          <cell r="B133" t="str">
            <v>LED Bollard, &lt; 30W</v>
          </cell>
        </row>
        <row r="134">
          <cell r="B134" t="str">
            <v>LED Bollard, &gt;= 30W</v>
          </cell>
        </row>
        <row r="135">
          <cell r="B135" t="str">
            <v>LED Flood Light, &lt; 15W</v>
          </cell>
        </row>
        <row r="136">
          <cell r="B136" t="str">
            <v>LED Flood Light, &gt;= 15W</v>
          </cell>
        </row>
      </sheetData>
      <sheetData sheetId="18">
        <row r="23">
          <cell r="B23" t="str">
            <v>Incandescent</v>
          </cell>
        </row>
        <row r="24">
          <cell r="B24" t="str">
            <v>Fluorescent</v>
          </cell>
        </row>
        <row r="25">
          <cell r="B25" t="str">
            <v>Unknown</v>
          </cell>
        </row>
        <row r="28">
          <cell r="B28" t="str">
            <v>Office</v>
          </cell>
        </row>
        <row r="29">
          <cell r="B29" t="str">
            <v>Grocery</v>
          </cell>
        </row>
        <row r="30">
          <cell r="B30" t="str">
            <v>Healthcare Clinic</v>
          </cell>
        </row>
        <row r="31">
          <cell r="B31" t="str">
            <v>Hospital</v>
          </cell>
        </row>
        <row r="32">
          <cell r="B32" t="str">
            <v>Heavy Industry</v>
          </cell>
        </row>
        <row r="33">
          <cell r="B33" t="str">
            <v>Light Industry</v>
          </cell>
        </row>
        <row r="34">
          <cell r="B34" t="str">
            <v>Hotel/Motel Common Areas</v>
          </cell>
        </row>
        <row r="35">
          <cell r="B35" t="str">
            <v xml:space="preserve">Hotel/Motel Guest Rooms </v>
          </cell>
        </row>
        <row r="36">
          <cell r="B36" t="str">
            <v>Hotel/Motel Guest Rooms with electric heat</v>
          </cell>
        </row>
        <row r="37">
          <cell r="B37" t="str">
            <v>High School/Middle School</v>
          </cell>
        </row>
        <row r="38">
          <cell r="B38" t="str">
            <v>Elementary School</v>
          </cell>
        </row>
        <row r="39">
          <cell r="B39" t="str">
            <v>Restaurant</v>
          </cell>
        </row>
        <row r="40">
          <cell r="B40" t="str">
            <v>Retail/Service</v>
          </cell>
        </row>
        <row r="41">
          <cell r="B41" t="str">
            <v>College/ University</v>
          </cell>
        </row>
        <row r="42">
          <cell r="B42" t="str">
            <v>Warehouse</v>
          </cell>
        </row>
        <row r="43">
          <cell r="B43" t="str">
            <v>Garage</v>
          </cell>
        </row>
        <row r="44">
          <cell r="B44" t="str">
            <v>Garage, 24/7 lighting</v>
          </cell>
        </row>
        <row r="45">
          <cell r="B45" t="str">
            <v>Exterior</v>
          </cell>
        </row>
        <row r="46">
          <cell r="B46" t="str">
            <v>Multi-family Common Areas</v>
          </cell>
        </row>
        <row r="47">
          <cell r="B47" t="str">
            <v xml:space="preserve">Religious Worship/Church </v>
          </cell>
        </row>
        <row r="48">
          <cell r="B48" t="str">
            <v>Low-Use Small Business  Miscellaneous</v>
          </cell>
        </row>
        <row r="49">
          <cell r="B49" t="str">
            <v>Miscellaneous</v>
          </cell>
        </row>
        <row r="50">
          <cell r="B50" t="str">
            <v>Uncooled Building</v>
          </cell>
        </row>
        <row r="51">
          <cell r="B51" t="str">
            <v>Refrigerated Cases</v>
          </cell>
        </row>
        <row r="52">
          <cell r="B52" t="str">
            <v>Freezer Cases</v>
          </cell>
        </row>
      </sheetData>
      <sheetData sheetId="19">
        <row r="7">
          <cell r="M7" t="str">
            <v>C24 - Traffic Signal - Red Balls, always changing or flashing</v>
          </cell>
        </row>
        <row r="8">
          <cell r="M8" t="str">
            <v>C25 - Traffic Signal - Red Balls, changing day, off night</v>
          </cell>
        </row>
        <row r="9">
          <cell r="M9" t="str">
            <v>C26 - Traffic Signal - Green Balls, always changing</v>
          </cell>
        </row>
        <row r="10">
          <cell r="M10" t="str">
            <v>C27 - Traffic Signal - Green Balls, changing day, off night</v>
          </cell>
        </row>
        <row r="11">
          <cell r="M11" t="str">
            <v>C28 - Traffic Signal - Red Arrows</v>
          </cell>
        </row>
        <row r="12">
          <cell r="M12" t="str">
            <v>C29 - Traffic Signal - Green Arrows</v>
          </cell>
        </row>
        <row r="13">
          <cell r="M13" t="str">
            <v>C30 - Traffic Signal - Flashing Yellows</v>
          </cell>
        </row>
        <row r="14">
          <cell r="M14" t="str">
            <v>C31 - Traffic Signal - “Hand” Don’t Walk Signal</v>
          </cell>
        </row>
        <row r="15">
          <cell r="M15" t="str">
            <v>C32 - Traffic Signal - “Man” Walk Signal</v>
          </cell>
        </row>
        <row r="16">
          <cell r="M16" t="str">
            <v>C33 - Traffic Signal - Bi-Modal Walk/Don’t Walk</v>
          </cell>
        </row>
        <row r="22">
          <cell r="E22" t="str">
            <v>Round Signals 8” Red</v>
          </cell>
        </row>
        <row r="23">
          <cell r="E23" t="str">
            <v>Round Signals 12” Red</v>
          </cell>
        </row>
        <row r="24">
          <cell r="E24" t="str">
            <v>Flashing Signal 8” Red</v>
          </cell>
        </row>
        <row r="25">
          <cell r="E25" t="str">
            <v>Flashing Signal 12” Red</v>
          </cell>
        </row>
        <row r="26">
          <cell r="E26" t="str">
            <v>Flashing Signal 8” Yellow</v>
          </cell>
        </row>
        <row r="27">
          <cell r="E27" t="str">
            <v>Flashing Signal 12” Yellow</v>
          </cell>
        </row>
        <row r="28">
          <cell r="E28" t="str">
            <v>Round Signals 8” Yellow</v>
          </cell>
        </row>
        <row r="29">
          <cell r="E29" t="str">
            <v>Round Signals 12” Yellow</v>
          </cell>
        </row>
        <row r="30">
          <cell r="E30" t="str">
            <v>Round Signals 8” Green</v>
          </cell>
        </row>
        <row r="31">
          <cell r="E31" t="str">
            <v>Round Signals 12” Green</v>
          </cell>
        </row>
        <row r="32">
          <cell r="E32" t="str">
            <v>Turn Arrows 8” Yellow</v>
          </cell>
        </row>
        <row r="33">
          <cell r="E33" t="str">
            <v>Turn Arrows 12” Yellow</v>
          </cell>
        </row>
        <row r="34">
          <cell r="E34" t="str">
            <v>Turn Arrows 8” Green</v>
          </cell>
        </row>
        <row r="35">
          <cell r="E35" t="str">
            <v>Turn Arrows 12” Green</v>
          </cell>
        </row>
        <row r="36">
          <cell r="E36" t="str">
            <v>Pedestrian Sign 12” Hand</v>
          </cell>
        </row>
        <row r="37">
          <cell r="E37" t="str">
            <v>Pedestrian Sign 12” Man</v>
          </cell>
        </row>
      </sheetData>
      <sheetData sheetId="20">
        <row r="9">
          <cell r="G9" t="str">
            <v>RF</v>
          </cell>
        </row>
        <row r="10">
          <cell r="G10" t="str">
            <v>DI</v>
          </cell>
        </row>
        <row r="14">
          <cell r="O14" t="str">
            <v>C06 - Commercial Indoor Lighting</v>
          </cell>
        </row>
        <row r="15">
          <cell r="O15" t="str">
            <v>C07 - Grocery/Conv. Store Indoor Lighting</v>
          </cell>
        </row>
        <row r="16">
          <cell r="O16" t="str">
            <v>C08 - Hospital Indoor Lighting</v>
          </cell>
        </row>
        <row r="17">
          <cell r="O17" t="str">
            <v>C09 - Office Indoor Lighting</v>
          </cell>
        </row>
        <row r="18">
          <cell r="O18" t="str">
            <v>C10 - Restaurant Indoor Lighting</v>
          </cell>
        </row>
        <row r="19">
          <cell r="O19" t="str">
            <v>C11 - Retail Indoor Lighting</v>
          </cell>
        </row>
        <row r="20">
          <cell r="O20" t="str">
            <v>C12 - Warehouse Indoor Lighting</v>
          </cell>
        </row>
        <row r="21">
          <cell r="O21" t="str">
            <v>C13 - K-12 School Indoor Lighting</v>
          </cell>
        </row>
        <row r="22">
          <cell r="O22" t="str">
            <v>C14 - Indust. 1-shift (8/5) (e.g., comp. air, lights)</v>
          </cell>
        </row>
        <row r="23">
          <cell r="O23" t="str">
            <v>C15 - Indust. 2-shift (16/5) (e.g., comp. air, lights)</v>
          </cell>
        </row>
        <row r="24">
          <cell r="O24" t="str">
            <v>C16 - Indust. 3-shift (24/5) (e.g., comp. air, lights)</v>
          </cell>
        </row>
        <row r="25">
          <cell r="O25" t="str">
            <v>C17 - Indust. 4-shift (24/7) (e.g., comp. air, lights)</v>
          </cell>
        </row>
        <row r="26">
          <cell r="O26" t="str">
            <v>C18 - Industrial Indoor Lighting</v>
          </cell>
        </row>
        <row r="27">
          <cell r="F27" t="str">
            <v>NONE</v>
          </cell>
          <cell r="O27" t="str">
            <v>C19 - Industrial Outdoor Lighting</v>
          </cell>
        </row>
        <row r="28">
          <cell r="B28" t="str">
            <v>Automotive Facility</v>
          </cell>
          <cell r="F28" t="str">
            <v>Zone 1</v>
          </cell>
          <cell r="O28" t="str">
            <v>C20 - Commercial Outdoor Lighting</v>
          </cell>
        </row>
        <row r="29">
          <cell r="B29" t="str">
            <v>Convention Center</v>
          </cell>
          <cell r="F29" t="str">
            <v>Zone 2</v>
          </cell>
        </row>
        <row r="30">
          <cell r="B30" t="str">
            <v>Court House</v>
          </cell>
          <cell r="F30" t="str">
            <v>Zone 3</v>
          </cell>
        </row>
        <row r="31">
          <cell r="B31" t="str">
            <v>Dining:  Bar Lounge/ Leisure</v>
          </cell>
          <cell r="F31" t="str">
            <v>Zone 4</v>
          </cell>
        </row>
        <row r="32">
          <cell r="B32" t="str">
            <v>Dining:  Cafe/ Fast Food</v>
          </cell>
        </row>
        <row r="33">
          <cell r="B33" t="str">
            <v>Dining:  Family</v>
          </cell>
        </row>
        <row r="34">
          <cell r="B34" t="str">
            <v>Dormitory</v>
          </cell>
        </row>
        <row r="35">
          <cell r="B35" t="str">
            <v>Exercise Center</v>
          </cell>
        </row>
        <row r="36">
          <cell r="B36" t="str">
            <v>Gymnasium</v>
          </cell>
          <cell r="G36" t="str">
            <v>Base Site Allowance</v>
          </cell>
        </row>
        <row r="37">
          <cell r="B37" t="str">
            <v>Healthcare – clinic</v>
          </cell>
          <cell r="G37">
            <v>0</v>
          </cell>
        </row>
        <row r="38">
          <cell r="B38" t="str">
            <v>Hospital</v>
          </cell>
          <cell r="G38" t="str">
            <v>Parking areas &amp; drives</v>
          </cell>
        </row>
        <row r="39">
          <cell r="B39" t="str">
            <v>Hotel</v>
          </cell>
          <cell r="G39">
            <v>0</v>
          </cell>
        </row>
        <row r="40">
          <cell r="B40" t="str">
            <v>Library</v>
          </cell>
          <cell r="G40" t="str">
            <v>Walkways &lt;10ft wide</v>
          </cell>
        </row>
        <row r="41">
          <cell r="B41" t="str">
            <v>Manufacturing Facility</v>
          </cell>
          <cell r="G41" t="str">
            <v>Walkways &gt;= 10 ft wise, plaza, special feature areas</v>
          </cell>
        </row>
        <row r="42">
          <cell r="B42" t="str">
            <v>Motel</v>
          </cell>
          <cell r="G42" t="str">
            <v>Stairways</v>
          </cell>
        </row>
        <row r="43">
          <cell r="B43" t="str">
            <v>Motion Picture Theater</v>
          </cell>
          <cell r="G43" t="str">
            <v>Pedestrian Tunnels</v>
          </cell>
        </row>
        <row r="44">
          <cell r="B44" t="str">
            <v>Multifamily</v>
          </cell>
          <cell r="G44">
            <v>0</v>
          </cell>
        </row>
        <row r="45">
          <cell r="B45" t="str">
            <v>Museum</v>
          </cell>
          <cell r="G45" t="str">
            <v>Main Entries</v>
          </cell>
        </row>
        <row r="46">
          <cell r="B46" t="str">
            <v>Office</v>
          </cell>
          <cell r="G46" t="str">
            <v>Other doors</v>
          </cell>
        </row>
        <row r="47">
          <cell r="B47" t="str">
            <v>Parking Garage</v>
          </cell>
          <cell r="G47" t="str">
            <v>Entry Canopies</v>
          </cell>
        </row>
        <row r="48">
          <cell r="B48" t="str">
            <v>Penitentiary</v>
          </cell>
          <cell r="G48">
            <v>0</v>
          </cell>
        </row>
        <row r="49">
          <cell r="B49" t="str">
            <v>Performing Arts Theater</v>
          </cell>
          <cell r="G49" t="str">
            <v>Free standing &amp; attached</v>
          </cell>
        </row>
        <row r="50">
          <cell r="B50" t="str">
            <v>Police/Fire Station</v>
          </cell>
          <cell r="G50">
            <v>0</v>
          </cell>
        </row>
        <row r="51">
          <cell r="B51" t="str">
            <v>Post Office</v>
          </cell>
          <cell r="G51" t="str">
            <v>Open areas (incl. vehicle sales lots)</v>
          </cell>
        </row>
        <row r="52">
          <cell r="B52" t="str">
            <v>Religious Building</v>
          </cell>
          <cell r="G52" t="str">
            <v>Street frontage for vehicle sales lots in add. to open area allowance</v>
          </cell>
        </row>
        <row r="53">
          <cell r="B53" t="str">
            <v>Retail</v>
          </cell>
          <cell r="G53" t="str">
            <v>Building facades (SF)</v>
          </cell>
        </row>
        <row r="54">
          <cell r="B54" t="str">
            <v>School/University</v>
          </cell>
          <cell r="G54" t="str">
            <v>Building facades (LF)</v>
          </cell>
        </row>
        <row r="55">
          <cell r="B55" t="str">
            <v>Sports Arena</v>
          </cell>
          <cell r="G55" t="str">
            <v>Entrances &amp; gatehouse inspectn statns at guarded facilities</v>
          </cell>
        </row>
        <row r="56">
          <cell r="B56" t="str">
            <v>Town Hall</v>
          </cell>
          <cell r="G56" t="str">
            <v>Loading areas for law enforcemt, fire, ambulance, &amp; other emergency service vehicles</v>
          </cell>
        </row>
        <row r="57">
          <cell r="B57" t="str">
            <v>Transportation</v>
          </cell>
          <cell r="G57" t="str">
            <v>Drive up windows/doors</v>
          </cell>
        </row>
        <row r="58">
          <cell r="B58" t="str">
            <v>Warehouse</v>
          </cell>
          <cell r="G58" t="str">
            <v>Parking near 24 hr retail entrances</v>
          </cell>
        </row>
        <row r="59">
          <cell r="B59" t="str">
            <v>Workshop</v>
          </cell>
          <cell r="G59" t="str">
            <v>ATMs and night depositories</v>
          </cell>
        </row>
        <row r="60">
          <cell r="G60">
            <v>0</v>
          </cell>
        </row>
        <row r="66">
          <cell r="B66" t="str">
            <v>Office</v>
          </cell>
        </row>
        <row r="67">
          <cell r="B67" t="str">
            <v>Grocery</v>
          </cell>
        </row>
        <row r="68">
          <cell r="B68" t="str">
            <v>Healthcare Clinic</v>
          </cell>
        </row>
        <row r="69">
          <cell r="B69" t="str">
            <v>Hospital</v>
          </cell>
        </row>
        <row r="70">
          <cell r="B70" t="str">
            <v>Heavy Industry</v>
          </cell>
        </row>
        <row r="71">
          <cell r="B71" t="str">
            <v>Light Industry</v>
          </cell>
        </row>
        <row r="72">
          <cell r="B72" t="str">
            <v>Hotel/Motel Common Areas</v>
          </cell>
        </row>
        <row r="73">
          <cell r="B73" t="str">
            <v>Hotel/Motel Guest Rooms</v>
          </cell>
        </row>
        <row r="74">
          <cell r="B74" t="str">
            <v>Hotel/Motel Guest Rooms with elec heat</v>
          </cell>
        </row>
        <row r="75">
          <cell r="B75" t="str">
            <v>High School/ Middle School</v>
          </cell>
        </row>
        <row r="76">
          <cell r="B76" t="str">
            <v>Elementary School</v>
          </cell>
        </row>
        <row r="77">
          <cell r="B77" t="str">
            <v>Restaurant</v>
          </cell>
        </row>
        <row r="78">
          <cell r="B78" t="str">
            <v>Retail/Service</v>
          </cell>
        </row>
        <row r="79">
          <cell r="B79" t="str">
            <v>College/ University</v>
          </cell>
        </row>
        <row r="80">
          <cell r="B80" t="str">
            <v>Warehouse</v>
          </cell>
        </row>
        <row r="81">
          <cell r="B81" t="str">
            <v>Garage</v>
          </cell>
        </row>
        <row r="82">
          <cell r="B82" t="str">
            <v>Garage, 24/7 lighting[1]</v>
          </cell>
        </row>
        <row r="83">
          <cell r="B83" t="str">
            <v>Exterior</v>
          </cell>
        </row>
        <row r="84">
          <cell r="B84" t="str">
            <v>Multi-family Common Areas</v>
          </cell>
        </row>
        <row r="85">
          <cell r="B85" t="str">
            <v>Miscellaneous</v>
          </cell>
        </row>
        <row r="86">
          <cell r="B86" t="str">
            <v>Uncooled Building</v>
          </cell>
        </row>
        <row r="87">
          <cell r="B87" t="str">
            <v>Refrigerated Cases</v>
          </cell>
        </row>
        <row r="88">
          <cell r="B88" t="str">
            <v>Freezer Cases</v>
          </cell>
        </row>
      </sheetData>
      <sheetData sheetId="21">
        <row r="7">
          <cell r="L7" t="str">
            <v>C06 - Commercial Indoor Lighting</v>
          </cell>
        </row>
        <row r="8">
          <cell r="L8" t="str">
            <v>C07 - Grocery/Conv. Store Indoor Lighting</v>
          </cell>
        </row>
        <row r="9">
          <cell r="L9" t="str">
            <v>C08 - Hospital Indoor Lighting</v>
          </cell>
        </row>
        <row r="10">
          <cell r="L10" t="str">
            <v>C09 - Office Indoor Lighting</v>
          </cell>
        </row>
        <row r="11">
          <cell r="L11" t="str">
            <v>C10 - Restaurant Indoor Lighting</v>
          </cell>
        </row>
        <row r="12">
          <cell r="L12" t="str">
            <v>C11 - Retail Indoor Lighting</v>
          </cell>
        </row>
        <row r="13">
          <cell r="L13" t="str">
            <v>C12 - Warehouse Indoor Lighting</v>
          </cell>
        </row>
        <row r="14">
          <cell r="L14" t="str">
            <v>C13 - K-12 School Indoor Lighting</v>
          </cell>
        </row>
        <row r="15">
          <cell r="L15" t="str">
            <v>C14 - Indust. 1-shift (8/5) (e.g., comp. air, lights)</v>
          </cell>
        </row>
        <row r="16">
          <cell r="L16" t="str">
            <v>C15 - Indust. 2-shift (16/5) (e.g., comp. air, lights)</v>
          </cell>
        </row>
        <row r="17">
          <cell r="L17" t="str">
            <v>C16 - Indust. 3-shift (24/5) (e.g., comp. air, lights)</v>
          </cell>
        </row>
        <row r="18">
          <cell r="L18" t="str">
            <v>C17 - Indust. 4-shift (24/7) (e.g., comp. air, lights)</v>
          </cell>
        </row>
        <row r="19">
          <cell r="L19" t="str">
            <v>C18 - Industrial Indoor Lighting</v>
          </cell>
        </row>
        <row r="20">
          <cell r="L20" t="str">
            <v>C19 - Industrial Outdoor Lighting</v>
          </cell>
        </row>
        <row r="21">
          <cell r="L21" t="str">
            <v>C20 - Commercial Outdoor Lighting</v>
          </cell>
        </row>
        <row r="24">
          <cell r="B24" t="str">
            <v>Office</v>
          </cell>
          <cell r="K24" t="str">
            <v>Private Office</v>
          </cell>
        </row>
        <row r="25">
          <cell r="B25" t="str">
            <v>Grocery</v>
          </cell>
          <cell r="K25" t="str">
            <v>Open Office</v>
          </cell>
        </row>
        <row r="26">
          <cell r="B26" t="str">
            <v>Healthcare Clinic</v>
          </cell>
          <cell r="K26" t="str">
            <v>Retail</v>
          </cell>
        </row>
        <row r="27">
          <cell r="B27" t="str">
            <v>Hospital</v>
          </cell>
          <cell r="K27" t="str">
            <v>Classrooms</v>
          </cell>
        </row>
        <row r="28">
          <cell r="B28" t="str">
            <v>Heavy Industry</v>
          </cell>
          <cell r="K28" t="str">
            <v>Unknown, average</v>
          </cell>
        </row>
        <row r="29">
          <cell r="B29" t="str">
            <v>Light Industry</v>
          </cell>
        </row>
        <row r="30">
          <cell r="B30" t="str">
            <v>Hotel/Motel Common Areas</v>
          </cell>
        </row>
        <row r="31">
          <cell r="B31" t="str">
            <v xml:space="preserve">Hotel/Motel Guest Rooms </v>
          </cell>
        </row>
        <row r="32">
          <cell r="B32" t="str">
            <v>Hotel/Motel Guest Rooms with electric heat</v>
          </cell>
        </row>
        <row r="33">
          <cell r="B33" t="str">
            <v>High School/Middle School</v>
          </cell>
        </row>
        <row r="34">
          <cell r="B34" t="str">
            <v>Elementary School</v>
          </cell>
        </row>
        <row r="35">
          <cell r="B35" t="str">
            <v>Restaurant</v>
          </cell>
        </row>
        <row r="36">
          <cell r="B36" t="str">
            <v>Retail/Service</v>
          </cell>
        </row>
        <row r="37">
          <cell r="B37" t="str">
            <v>College/ University</v>
          </cell>
        </row>
        <row r="38">
          <cell r="B38" t="str">
            <v>Warehouse</v>
          </cell>
        </row>
        <row r="39">
          <cell r="B39" t="str">
            <v>Garage</v>
          </cell>
        </row>
        <row r="40">
          <cell r="B40" t="str">
            <v>Garage, 24/7 lighting</v>
          </cell>
        </row>
        <row r="41">
          <cell r="B41" t="str">
            <v>Exterior</v>
          </cell>
        </row>
        <row r="42">
          <cell r="B42" t="str">
            <v>Multi-family Common Areas</v>
          </cell>
        </row>
        <row r="43">
          <cell r="B43" t="str">
            <v xml:space="preserve">Religious Worship/Church </v>
          </cell>
        </row>
        <row r="44">
          <cell r="B44" t="str">
            <v>Low-Use Small Business  Miscellaneous</v>
          </cell>
        </row>
        <row r="45">
          <cell r="B45" t="str">
            <v>Miscellaneous</v>
          </cell>
        </row>
        <row r="46">
          <cell r="B46" t="str">
            <v>Uncooled Building</v>
          </cell>
        </row>
        <row r="47">
          <cell r="B47" t="str">
            <v>Refrigerated Cases</v>
          </cell>
        </row>
        <row r="48">
          <cell r="B48" t="str">
            <v>Freezer Cases</v>
          </cell>
        </row>
      </sheetData>
      <sheetData sheetId="22">
        <row r="23">
          <cell r="B23" t="str">
            <v>Wall mounted occupancy sensor</v>
          </cell>
          <cell r="G23" t="str">
            <v>Office</v>
          </cell>
        </row>
        <row r="24">
          <cell r="B24" t="str">
            <v>Remote mounted occupancy sensor</v>
          </cell>
          <cell r="G24" t="str">
            <v>Grocery</v>
          </cell>
        </row>
        <row r="25">
          <cell r="B25" t="str">
            <v>fixture mounted occupancy sensor</v>
          </cell>
          <cell r="G25" t="str">
            <v>Healthcare Clinic</v>
          </cell>
        </row>
        <row r="26">
          <cell r="G26" t="str">
            <v>Hospital</v>
          </cell>
        </row>
        <row r="27">
          <cell r="G27" t="str">
            <v>Heavy Industry</v>
          </cell>
        </row>
        <row r="28">
          <cell r="G28" t="str">
            <v>Light Industry</v>
          </cell>
        </row>
        <row r="29">
          <cell r="B29" t="str">
            <v>C06 - Commercial Indoor Lighting</v>
          </cell>
          <cell r="G29" t="str">
            <v>Hotel/Motel Common Areas</v>
          </cell>
        </row>
        <row r="30">
          <cell r="B30" t="str">
            <v>C07 - Grocery/Conv. Store Indoor Lighting</v>
          </cell>
          <cell r="G30" t="str">
            <v>Hotel/ Motel Guest Rooms</v>
          </cell>
        </row>
        <row r="31">
          <cell r="B31" t="str">
            <v>C08 - Hospital Indoor Lighting</v>
          </cell>
          <cell r="G31" t="str">
            <v>Hotel/ Motel Guest Rooms with electric heat</v>
          </cell>
        </row>
        <row r="32">
          <cell r="B32" t="str">
            <v>C09 - Office Indoor Lighting</v>
          </cell>
          <cell r="G32" t="str">
            <v>High School/ Middle School</v>
          </cell>
        </row>
        <row r="33">
          <cell r="B33" t="str">
            <v>C10 - Restaurant Indoor Lighting</v>
          </cell>
          <cell r="G33" t="str">
            <v>Elementary School</v>
          </cell>
        </row>
        <row r="34">
          <cell r="B34" t="str">
            <v>C11 - Retail Indoor Lighting</v>
          </cell>
          <cell r="G34" t="str">
            <v>Restaurant</v>
          </cell>
        </row>
        <row r="35">
          <cell r="B35" t="str">
            <v>C12 - Warehouse Indoor Lighting</v>
          </cell>
          <cell r="G35" t="str">
            <v>Retail/ Service</v>
          </cell>
        </row>
        <row r="36">
          <cell r="B36" t="str">
            <v>C13 - K-12 School Indoor Lighting</v>
          </cell>
          <cell r="G36" t="str">
            <v>College/ University</v>
          </cell>
        </row>
        <row r="37">
          <cell r="B37" t="str">
            <v>C14 - Indust. 1-shift (8/5) (e.g., comp. air, lights)</v>
          </cell>
          <cell r="G37" t="str">
            <v>Warehouse</v>
          </cell>
        </row>
        <row r="38">
          <cell r="B38" t="str">
            <v>C15 - Indust. 2-shift (16/5) (e.g., comp. air, lights)</v>
          </cell>
          <cell r="G38" t="str">
            <v>Garage</v>
          </cell>
        </row>
        <row r="39">
          <cell r="B39" t="str">
            <v>C16 - Indust. 3-shift (24/5) (e.g., comp. air, lights)</v>
          </cell>
          <cell r="G39" t="str">
            <v>Garage, 24/7 lighting[1]</v>
          </cell>
        </row>
        <row r="40">
          <cell r="B40" t="str">
            <v>C17 - Indust. 4-shift (24/7) (e.g., comp. air, lights)</v>
          </cell>
          <cell r="G40" t="str">
            <v>Exterior</v>
          </cell>
        </row>
        <row r="41">
          <cell r="B41" t="str">
            <v>C18 - Industrial Indoor Lighting</v>
          </cell>
          <cell r="G41" t="str">
            <v>Multi-family Common Areas</v>
          </cell>
        </row>
        <row r="42">
          <cell r="B42" t="str">
            <v>C19 - Industrial Outdoor Lighting</v>
          </cell>
          <cell r="G42" t="str">
            <v>Miscellaneous</v>
          </cell>
        </row>
        <row r="43">
          <cell r="B43" t="str">
            <v>C20 - Commercial Outdoor Lighting</v>
          </cell>
          <cell r="G43" t="str">
            <v>Uncooled Building</v>
          </cell>
        </row>
        <row r="44">
          <cell r="G44" t="str">
            <v>Refrigerated Cases</v>
          </cell>
        </row>
        <row r="45">
          <cell r="G45" t="str">
            <v>Freezer Cases</v>
          </cell>
        </row>
      </sheetData>
      <sheetData sheetId="23">
        <row r="7">
          <cell r="H7" t="str">
            <v>RF</v>
          </cell>
        </row>
        <row r="8">
          <cell r="H8" t="str">
            <v>TOS</v>
          </cell>
        </row>
        <row r="23">
          <cell r="B23" t="str">
            <v>Office</v>
          </cell>
        </row>
        <row r="24">
          <cell r="B24" t="str">
            <v>Grocery</v>
          </cell>
        </row>
        <row r="25">
          <cell r="B25" t="str">
            <v>Healthcare Clinic</v>
          </cell>
        </row>
        <row r="26">
          <cell r="B26" t="str">
            <v>Hospital</v>
          </cell>
        </row>
        <row r="27">
          <cell r="B27" t="str">
            <v>Heavy Industry</v>
          </cell>
        </row>
        <row r="28">
          <cell r="B28" t="str">
            <v>Light Industry</v>
          </cell>
        </row>
        <row r="29">
          <cell r="B29" t="str">
            <v>Hotel/Motel Common Areas</v>
          </cell>
        </row>
        <row r="30">
          <cell r="B30" t="str">
            <v>Hotel/Motel Guest Rooms</v>
          </cell>
        </row>
        <row r="31">
          <cell r="B31" t="str">
            <v>Hotel/Motel Guest Rooms with electric heat</v>
          </cell>
        </row>
        <row r="32">
          <cell r="B32" t="str">
            <v>High School/Middle School</v>
          </cell>
        </row>
        <row r="33">
          <cell r="B33" t="str">
            <v>Elementary School</v>
          </cell>
        </row>
        <row r="34">
          <cell r="B34" t="str">
            <v>Restaurant</v>
          </cell>
        </row>
        <row r="35">
          <cell r="B35" t="str">
            <v>Retail/Service</v>
          </cell>
        </row>
        <row r="36">
          <cell r="B36" t="str">
            <v>College/University</v>
          </cell>
        </row>
        <row r="37">
          <cell r="B37" t="str">
            <v>Warehouse</v>
          </cell>
        </row>
        <row r="38">
          <cell r="B38" t="str">
            <v>Garage</v>
          </cell>
        </row>
        <row r="39">
          <cell r="B39" t="str">
            <v>Garage, 24/7 lighting[1]</v>
          </cell>
        </row>
        <row r="40">
          <cell r="B40" t="str">
            <v>Exterior</v>
          </cell>
        </row>
        <row r="41">
          <cell r="B41" t="str">
            <v>Multi-family Common Areas</v>
          </cell>
        </row>
        <row r="42">
          <cell r="B42" t="str">
            <v>Miscellaneous</v>
          </cell>
        </row>
        <row r="43">
          <cell r="B43" t="str">
            <v>Uncooled Building</v>
          </cell>
        </row>
        <row r="44">
          <cell r="B44" t="str">
            <v>Refrigerated Cases</v>
          </cell>
        </row>
        <row r="45">
          <cell r="B45" t="str">
            <v>Freezer Cases</v>
          </cell>
        </row>
        <row r="50">
          <cell r="E50" t="str">
            <v>200W PSMH</v>
          </cell>
          <cell r="H50" t="str">
            <v>3-Lamp T5 High-Bay</v>
          </cell>
        </row>
        <row r="51">
          <cell r="E51" t="str">
            <v>250W MH</v>
          </cell>
          <cell r="H51" t="str">
            <v>3-Lamp T5 HB- Base 250W MH</v>
          </cell>
        </row>
        <row r="52">
          <cell r="E52" t="str">
            <v>320W PSMH</v>
          </cell>
          <cell r="H52" t="str">
            <v>4-Lamp T5 High-Bay</v>
          </cell>
        </row>
        <row r="53">
          <cell r="E53" t="str">
            <v>400W MH</v>
          </cell>
          <cell r="H53" t="str">
            <v>4-Lamp T5 HB- Base 400 MH</v>
          </cell>
        </row>
        <row r="54">
          <cell r="E54" t="str">
            <v>400W PSMH</v>
          </cell>
          <cell r="H54" t="str">
            <v>6-Lamp T5 High-Bay</v>
          </cell>
        </row>
        <row r="55">
          <cell r="E55" t="str">
            <v>1-lamp F34T12 w/EEMag Ballast</v>
          </cell>
          <cell r="H55" t="str">
            <v>1-Lamp T5 Troffer/Wrap</v>
          </cell>
        </row>
        <row r="56">
          <cell r="E56" t="str">
            <v>2-lamp F34T12 w/EEMag Ballast</v>
          </cell>
          <cell r="H56" t="str">
            <v>2-Lamp T5 Troffer/Wrap</v>
          </cell>
        </row>
        <row r="57">
          <cell r="E57" t="str">
            <v>3-lamp F34T12 w/EEMag Ballast</v>
          </cell>
          <cell r="H57" t="str">
            <v>1-lamp T5 Industrial/ Strip</v>
          </cell>
        </row>
        <row r="58">
          <cell r="E58" t="str">
            <v>4-lamp F34T12 w/EEMag Ballast</v>
          </cell>
          <cell r="H58" t="str">
            <v>2-lamp T5 Industrial/ Strip</v>
          </cell>
        </row>
        <row r="59">
          <cell r="E59" t="str">
            <v>1-lamp F40T12 w/EEMag Ballast</v>
          </cell>
          <cell r="H59" t="str">
            <v>3-lamp T5 Industrial/ Strip</v>
          </cell>
        </row>
        <row r="60">
          <cell r="E60" t="str">
            <v>2-lamp F40T12 w/EEMag Ballast</v>
          </cell>
          <cell r="H60" t="str">
            <v>4-lamp T5 Industrial/ Strip</v>
          </cell>
        </row>
        <row r="61">
          <cell r="E61" t="str">
            <v>3-lamp F40T12 w/EEMag Ballast</v>
          </cell>
          <cell r="H61" t="str">
            <v>1-lamp T5 Indirect</v>
          </cell>
        </row>
        <row r="62">
          <cell r="E62" t="str">
            <v>4-lamp F40T12 w/EEMag Ballast</v>
          </cell>
          <cell r="H62" t="str">
            <v>2-lamp T5 Indirect</v>
          </cell>
        </row>
        <row r="63">
          <cell r="E63" t="str">
            <v>1-lamp F40T12 w/Mag Ballast</v>
          </cell>
        </row>
        <row r="64">
          <cell r="E64" t="str">
            <v>2-lamp F40T12 w/Mag Ballast</v>
          </cell>
          <cell r="I64" t="str">
            <v>C06 - Commercial Indoor Lighting</v>
          </cell>
        </row>
        <row r="65">
          <cell r="E65" t="str">
            <v>3-lamp F40T12 w/Mag Ballast</v>
          </cell>
          <cell r="I65" t="str">
            <v>C07 - Grocery/Conv. Store Indoor Lighting</v>
          </cell>
        </row>
        <row r="66">
          <cell r="E66" t="str">
            <v>4-lamp F40T12 w/Mag Ballast</v>
          </cell>
          <cell r="I66" t="str">
            <v>C08 - Hospital Indoor Lighting</v>
          </cell>
        </row>
        <row r="67">
          <cell r="E67" t="str">
            <v>1-lamp F32T8</v>
          </cell>
          <cell r="I67" t="str">
            <v>C09 - Office Indoor Lighting</v>
          </cell>
        </row>
        <row r="68">
          <cell r="E68" t="str">
            <v>2-lamp F32T8</v>
          </cell>
          <cell r="I68" t="str">
            <v>C10 - Restaurant Indoor Lighting</v>
          </cell>
        </row>
        <row r="69">
          <cell r="E69" t="str">
            <v>3-lamp F32T8</v>
          </cell>
          <cell r="I69" t="str">
            <v>C11 - Retail Indoor Lighting</v>
          </cell>
        </row>
        <row r="70">
          <cell r="E70" t="str">
            <v>4-lamp F32T8</v>
          </cell>
          <cell r="I70" t="str">
            <v>C12 - Warehouse Indoor Lighting</v>
          </cell>
        </row>
        <row r="71">
          <cell r="I71" t="str">
            <v>C13 - K-12 School Indoor Lighting</v>
          </cell>
        </row>
        <row r="72">
          <cell r="I72" t="str">
            <v>C14 - Indust. 1-shift (8/5) (e.g., comp. air, lights)</v>
          </cell>
        </row>
        <row r="73">
          <cell r="I73" t="str">
            <v>C15 - Indust. 2-shift (16/5) (e.g., comp. air, lights)</v>
          </cell>
        </row>
        <row r="74">
          <cell r="I74" t="str">
            <v>C16 - Indust. 3-shift (24/5) (e.g., comp. air, lights)</v>
          </cell>
        </row>
        <row r="75">
          <cell r="I75" t="str">
            <v>C17 - Indust. 4-shift (24/7) (e.g., comp. air, lights)</v>
          </cell>
        </row>
        <row r="76">
          <cell r="I76" t="str">
            <v>C18 - Industrial Indoor Lighting</v>
          </cell>
        </row>
        <row r="77">
          <cell r="I77" t="str">
            <v>C19 - Industrial Outdoor Lighting</v>
          </cell>
        </row>
        <row r="78">
          <cell r="I78" t="str">
            <v>C20 - Commercial Outdoor Lighting</v>
          </cell>
        </row>
      </sheetData>
      <sheetData sheetId="24"/>
      <sheetData sheetId="25">
        <row r="8">
          <cell r="D8">
            <v>7.4399999999999994E-2</v>
          </cell>
        </row>
      </sheetData>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Algorithm Components 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sheetData sheetId="4"/>
      <sheetData sheetId="5"/>
      <sheetData sheetId="6">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7">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8"/>
      <sheetData sheetId="9">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10">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11">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12"/>
      <sheetData sheetId="13">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4"/>
      <sheetData sheetId="15"/>
      <sheetData sheetId="16"/>
      <sheetData sheetId="17">
        <row r="7">
          <cell r="J7" t="str">
            <v>TOS</v>
          </cell>
        </row>
        <row r="8">
          <cell r="J8" t="str">
            <v>NC</v>
          </cell>
        </row>
        <row r="9">
          <cell r="J9" t="str">
            <v>RF</v>
          </cell>
        </row>
      </sheetData>
      <sheetData sheetId="18">
        <row r="7">
          <cell r="M7" t="str">
            <v>Central AC</v>
          </cell>
        </row>
        <row r="8">
          <cell r="M8" t="str">
            <v>Air Source HP</v>
          </cell>
        </row>
      </sheetData>
      <sheetData sheetId="19"/>
      <sheetData sheetId="20"/>
      <sheetData sheetId="21"/>
      <sheetData sheetId="22"/>
      <sheetData sheetId="23">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4"/>
      <sheetData sheetId="25">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6">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7">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8">
        <row r="19">
          <cell r="J19" t="str">
            <v>Incandacent</v>
          </cell>
        </row>
        <row r="20">
          <cell r="J20" t="str">
            <v>Fluorescent</v>
          </cell>
        </row>
        <row r="21">
          <cell r="J21" t="str">
            <v>Unknown</v>
          </cell>
        </row>
      </sheetData>
      <sheetData sheetId="29"/>
      <sheetData sheetId="30">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31">
        <row r="8">
          <cell r="D8">
            <v>2.2185999999999987E-2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row r="26">
          <cell r="B26" t="str">
            <v>1 (Rockford)</v>
          </cell>
        </row>
        <row r="27">
          <cell r="B27" t="str">
            <v>2 (Chicago)</v>
          </cell>
        </row>
        <row r="28">
          <cell r="B28" t="str">
            <v>3 (Springfield)</v>
          </cell>
        </row>
        <row r="29">
          <cell r="B29" t="str">
            <v>4 (Belleville)</v>
          </cell>
        </row>
        <row r="30">
          <cell r="B30" t="str">
            <v>5 (Marion)</v>
          </cell>
        </row>
        <row r="31">
          <cell r="B31" t="str">
            <v>Unknown</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7.4399999999999994E-2</v>
          </cell>
        </row>
        <row r="111">
          <cell r="B111" t="str">
            <v>Agriculture</v>
          </cell>
        </row>
        <row r="112">
          <cell r="B112" t="str">
            <v>Food service</v>
          </cell>
        </row>
        <row r="113">
          <cell r="B113" t="str">
            <v>Low-flow fixtures</v>
          </cell>
        </row>
        <row r="114">
          <cell r="B114" t="str">
            <v>Water heater</v>
          </cell>
        </row>
        <row r="115">
          <cell r="B115" t="str">
            <v>Air conditioner</v>
          </cell>
        </row>
        <row r="116">
          <cell r="B116" t="str">
            <v>Boilers</v>
          </cell>
        </row>
        <row r="117">
          <cell r="B117" t="str">
            <v>Furnaces</v>
          </cell>
        </row>
        <row r="118">
          <cell r="B118" t="str">
            <v xml:space="preserve">Heat pumps </v>
          </cell>
        </row>
        <row r="119">
          <cell r="B119" t="str">
            <v xml:space="preserve">Steam traps </v>
          </cell>
        </row>
        <row r="120">
          <cell r="B120" t="str">
            <v>Other HVAC</v>
          </cell>
        </row>
        <row r="121">
          <cell r="B121" t="str">
            <v xml:space="preserve">Lighting </v>
          </cell>
        </row>
        <row r="122">
          <cell r="B122" t="str">
            <v>Refigeration</v>
          </cell>
        </row>
        <row r="123">
          <cell r="B123" t="str">
            <v>Dishwasher</v>
          </cell>
        </row>
        <row r="124">
          <cell r="B124" t="str">
            <v>Clothes washers</v>
          </cell>
        </row>
        <row r="125">
          <cell r="B125" t="str">
            <v>Appliances</v>
          </cell>
        </row>
        <row r="126">
          <cell r="B126" t="str">
            <v>Consumer electronics</v>
          </cell>
        </row>
        <row r="127">
          <cell r="B127" t="str">
            <v>Thermostats</v>
          </cell>
        </row>
        <row r="128">
          <cell r="B128" t="str">
            <v>Duct sealing</v>
          </cell>
        </row>
        <row r="129">
          <cell r="B129" t="str">
            <v>Pipe insulation</v>
          </cell>
        </row>
        <row r="130">
          <cell r="B130" t="str">
            <v>Technical assistance</v>
          </cell>
        </row>
        <row r="131">
          <cell r="B131" t="str">
            <v>Technical assistance - DI</v>
          </cell>
        </row>
        <row r="132">
          <cell r="B132" t="str">
            <v>Shell</v>
          </cell>
        </row>
        <row r="133">
          <cell r="B133" t="str">
            <v>Custom</v>
          </cell>
        </row>
        <row r="134">
          <cell r="B134" t="str">
            <v>Controls</v>
          </cell>
        </row>
        <row r="135">
          <cell r="B135" t="str">
            <v xml:space="preserve">Code-compliance </v>
          </cell>
        </row>
        <row r="136">
          <cell r="B136" t="str">
            <v>RCx</v>
          </cell>
        </row>
        <row r="137">
          <cell r="B137" t="str">
            <v>New Construction</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asure Mapping List"/>
      <sheetName val="Residential Measures"/>
      <sheetName val="Tech, Saturation, Stock"/>
      <sheetName val="Business Custom Analysis"/>
      <sheetName val="3.1  Participation"/>
      <sheetName val="EEP 3.1 Plan"/>
      <sheetName val="PY6 Participation"/>
      <sheetName val="PY5 Participation"/>
      <sheetName val="PY4 Participatin"/>
      <sheetName val="Sheet1"/>
    </sheetNames>
    <sheetDataSet>
      <sheetData sheetId="0">
        <row r="2">
          <cell r="B2" t="str">
            <v>Clothes Washer (Energy Star)</v>
          </cell>
          <cell r="C2" t="str">
            <v>Clothes Washer</v>
          </cell>
          <cell r="D2" t="str">
            <v>Thermostats</v>
          </cell>
          <cell r="E2" t="str">
            <v>Thermostats_Max</v>
          </cell>
        </row>
        <row r="3">
          <cell r="B3" t="str">
            <v>Clothes Washer (Energy Star Most Efficient)</v>
          </cell>
          <cell r="C3" t="str">
            <v>Clothes Washer</v>
          </cell>
          <cell r="D3" t="str">
            <v>Thermostats</v>
          </cell>
          <cell r="E3" t="str">
            <v>Thermostats_Max</v>
          </cell>
        </row>
        <row r="4">
          <cell r="B4" t="str">
            <v>Boiler, 90% AFUE - SF</v>
          </cell>
          <cell r="C4" t="str">
            <v>Boiler</v>
          </cell>
          <cell r="D4" t="str">
            <v>Boiler</v>
          </cell>
          <cell r="E4" t="str">
            <v>Boiler_Max</v>
          </cell>
        </row>
        <row r="5">
          <cell r="B5" t="str">
            <v>Boilers, &gt;95% AFUE &lt;300 MBH - SF</v>
          </cell>
          <cell r="C5" t="str">
            <v>Boiler</v>
          </cell>
          <cell r="D5" t="str">
            <v>Boiler</v>
          </cell>
          <cell r="E5" t="str">
            <v>Boiler_Max</v>
          </cell>
        </row>
        <row r="6">
          <cell r="B6" t="str">
            <v>Boiler, 90% AFUE - MF</v>
          </cell>
          <cell r="C6" t="str">
            <v>Boiler</v>
          </cell>
          <cell r="D6" t="str">
            <v>Boiler</v>
          </cell>
          <cell r="E6" t="str">
            <v>Boiler_Max</v>
          </cell>
        </row>
        <row r="7">
          <cell r="B7" t="str">
            <v>Boilers, &gt;95% AFUE &lt;300 MBH - MF</v>
          </cell>
          <cell r="C7" t="str">
            <v>Boiler</v>
          </cell>
          <cell r="D7" t="str">
            <v>Boiler</v>
          </cell>
          <cell r="E7" t="str">
            <v>Boiler_Max</v>
          </cell>
        </row>
        <row r="8">
          <cell r="B8" t="str">
            <v>Boiler, 90% AFUE - SF Upstream</v>
          </cell>
          <cell r="C8" t="str">
            <v>Boiler</v>
          </cell>
          <cell r="D8" t="str">
            <v>Boiler</v>
          </cell>
          <cell r="E8" t="str">
            <v>Boiler_Max</v>
          </cell>
        </row>
        <row r="9">
          <cell r="B9" t="str">
            <v>Boilers, &gt;95% AFUE &lt;300 MBH - SF Upstream</v>
          </cell>
          <cell r="C9" t="str">
            <v>Boiler</v>
          </cell>
          <cell r="D9" t="str">
            <v>Boiler</v>
          </cell>
          <cell r="E9" t="str">
            <v>Boiler_Max</v>
          </cell>
          <cell r="I9" t="str">
            <v>Furnace</v>
          </cell>
          <cell r="J9" t="str">
            <v>Furnace</v>
          </cell>
          <cell r="K9" t="str">
            <v>Furnace_Max</v>
          </cell>
          <cell r="L9" t="str">
            <v>Units</v>
          </cell>
          <cell r="M9">
            <v>17</v>
          </cell>
          <cell r="N9">
            <v>1536861.2227352501</v>
          </cell>
          <cell r="O9">
            <v>5.7235486652104234E-2</v>
          </cell>
        </row>
        <row r="10">
          <cell r="B10" t="str">
            <v>Boiler, 90% AFUE - MF Upstream</v>
          </cell>
          <cell r="C10" t="str">
            <v>Boiler</v>
          </cell>
          <cell r="D10" t="str">
            <v>Boiler</v>
          </cell>
          <cell r="E10" t="str">
            <v>Boiler_Max</v>
          </cell>
          <cell r="I10" t="str">
            <v>Boiler</v>
          </cell>
          <cell r="J10" t="str">
            <v>Boiler</v>
          </cell>
          <cell r="K10" t="str">
            <v>Boiler_Max</v>
          </cell>
          <cell r="L10" t="str">
            <v>Units</v>
          </cell>
          <cell r="M10">
            <v>17</v>
          </cell>
          <cell r="N10">
            <v>70779.861118690314</v>
          </cell>
          <cell r="O10">
            <v>6.3153557090261658E-3</v>
          </cell>
        </row>
        <row r="11">
          <cell r="B11" t="str">
            <v>Boiler, 90% AFUE - MF Upstream</v>
          </cell>
          <cell r="C11" t="str">
            <v>Boiler</v>
          </cell>
          <cell r="D11" t="str">
            <v>Boiler</v>
          </cell>
          <cell r="E11" t="str">
            <v>Boiler_Max</v>
          </cell>
          <cell r="I11" t="str">
            <v>Thermostats</v>
          </cell>
          <cell r="J11" t="str">
            <v>Thermostats</v>
          </cell>
          <cell r="K11" t="str">
            <v>Thermostats_Max</v>
          </cell>
          <cell r="L11" t="str">
            <v>Units</v>
          </cell>
          <cell r="M11" t="str">
            <v>n/a</v>
          </cell>
          <cell r="N11">
            <v>1720467</v>
          </cell>
          <cell r="O11">
            <v>2.0497341710128705E-2</v>
          </cell>
        </row>
        <row r="12">
          <cell r="B12" t="str">
            <v>Boilers, &gt;95% AFUE &lt;300 MBH - SF Early Retire</v>
          </cell>
          <cell r="C12" t="str">
            <v>Boiler</v>
          </cell>
          <cell r="D12" t="str">
            <v>Boiler</v>
          </cell>
          <cell r="E12" t="str">
            <v>Boiler_Max</v>
          </cell>
          <cell r="I12" t="str">
            <v>SF Wx Projects</v>
          </cell>
          <cell r="J12" t="str">
            <v>SF Wx Projects</v>
          </cell>
          <cell r="K12" t="str">
            <v>SF Wx Projects_Max</v>
          </cell>
          <cell r="L12" t="str">
            <v>Projects</v>
          </cell>
          <cell r="M12" t="str">
            <v>n/a</v>
          </cell>
          <cell r="N12">
            <v>3440934</v>
          </cell>
          <cell r="O12">
            <v>1.7387720892060121E-3</v>
          </cell>
        </row>
        <row r="13">
          <cell r="B13" t="str">
            <v>Boilers, &gt;95% AFUE &lt;300 MBH - MF Early Retire</v>
          </cell>
          <cell r="C13" t="str">
            <v>Boiler</v>
          </cell>
          <cell r="D13" t="str">
            <v>Boiler</v>
          </cell>
          <cell r="E13" t="str">
            <v>Boiler_Max</v>
          </cell>
          <cell r="I13" t="str">
            <v>SF Assessments</v>
          </cell>
          <cell r="J13" t="str">
            <v>SF Assessments</v>
          </cell>
          <cell r="K13" t="str">
            <v>SF Assessments_Max</v>
          </cell>
          <cell r="L13" t="str">
            <v>Assessments</v>
          </cell>
          <cell r="M13" t="str">
            <v>n/a</v>
          </cell>
          <cell r="N13">
            <v>1720467</v>
          </cell>
          <cell r="O13">
            <v>9.4311602605571618E-3</v>
          </cell>
        </row>
        <row r="14">
          <cell r="B14" t="str">
            <v>Furnace, &gt;95% AFUE</v>
          </cell>
          <cell r="C14" t="str">
            <v>Furnace</v>
          </cell>
          <cell r="D14" t="str">
            <v>Furnace</v>
          </cell>
          <cell r="E14" t="str">
            <v>Furnace_Max</v>
          </cell>
          <cell r="I14" t="str">
            <v>Energy Kits</v>
          </cell>
          <cell r="J14" t="str">
            <v>Energy Kits</v>
          </cell>
          <cell r="K14" t="str">
            <v>Energy Kits_Max</v>
          </cell>
          <cell r="L14" t="str">
            <v>Kits</v>
          </cell>
          <cell r="M14" t="str">
            <v>n/a</v>
          </cell>
          <cell r="N14">
            <v>1720467</v>
          </cell>
          <cell r="O14">
            <v>0.10751441323780113</v>
          </cell>
        </row>
        <row r="15">
          <cell r="B15" t="str">
            <v>Furnace, &gt;97% AFUE</v>
          </cell>
          <cell r="C15" t="str">
            <v>Furnace</v>
          </cell>
          <cell r="D15" t="str">
            <v>Furnace</v>
          </cell>
          <cell r="E15" t="str">
            <v>Furnace_Max</v>
          </cell>
          <cell r="I15" t="str">
            <v>Education Kits</v>
          </cell>
          <cell r="J15" t="str">
            <v>Education Kits</v>
          </cell>
          <cell r="K15" t="str">
            <v>Education Kits_Max</v>
          </cell>
          <cell r="L15" t="str">
            <v>Kits</v>
          </cell>
          <cell r="M15" t="str">
            <v>n/a</v>
          </cell>
          <cell r="N15">
            <v>1720467</v>
          </cell>
          <cell r="O15">
            <v>4.3209779670287198E-2</v>
          </cell>
        </row>
        <row r="16">
          <cell r="B16" t="str">
            <v>Furnace, ≥92% AFUE</v>
          </cell>
          <cell r="C16" t="str">
            <v>Furnace</v>
          </cell>
          <cell r="D16" t="str">
            <v>Furnace</v>
          </cell>
          <cell r="E16" t="str">
            <v>Furnace_Max</v>
          </cell>
          <cell r="I16" t="str">
            <v>Behavior</v>
          </cell>
          <cell r="J16" t="str">
            <v>Behavior</v>
          </cell>
          <cell r="K16" t="str">
            <v>Behavior_Max</v>
          </cell>
          <cell r="L16" t="str">
            <v>Reports</v>
          </cell>
          <cell r="M16" t="str">
            <v>n/a</v>
          </cell>
          <cell r="N16">
            <v>1720467</v>
          </cell>
          <cell r="O16">
            <v>0.20518091890167031</v>
          </cell>
        </row>
        <row r="17">
          <cell r="B17" t="str">
            <v xml:space="preserve">Furnace, &gt;92% AFUE - MF IU </v>
          </cell>
          <cell r="C17" t="str">
            <v>Furnace</v>
          </cell>
          <cell r="D17" t="str">
            <v>Furnace</v>
          </cell>
          <cell r="E17" t="str">
            <v>Furnace_Max</v>
          </cell>
          <cell r="I17" t="str">
            <v>RNC</v>
          </cell>
          <cell r="J17" t="str">
            <v>RNC</v>
          </cell>
          <cell r="K17" t="str">
            <v>RNC_Max</v>
          </cell>
          <cell r="L17" t="str">
            <v>Homes</v>
          </cell>
          <cell r="M17" t="str">
            <v>n/a</v>
          </cell>
          <cell r="N17">
            <v>8000</v>
          </cell>
          <cell r="O17"/>
        </row>
        <row r="18">
          <cell r="B18" t="str">
            <v>Furnace, &gt;95% AFUE - MF IU</v>
          </cell>
          <cell r="C18" t="str">
            <v>Furnace</v>
          </cell>
          <cell r="D18" t="str">
            <v>Furnace</v>
          </cell>
          <cell r="E18" t="str">
            <v>Furnace_Max</v>
          </cell>
          <cell r="I18" t="str">
            <v>MF Assessment</v>
          </cell>
          <cell r="J18" t="str">
            <v>MF Assessment</v>
          </cell>
          <cell r="K18" t="str">
            <v>MF Assessment_Max</v>
          </cell>
          <cell r="L18" t="str">
            <v>Assessments</v>
          </cell>
          <cell r="M18" t="str">
            <v>n/a</v>
          </cell>
          <cell r="N18">
            <v>294317.31507151562</v>
          </cell>
          <cell r="O18">
            <v>6.9360513142217403E-2</v>
          </cell>
        </row>
        <row r="19">
          <cell r="B19" t="str">
            <v>Furnace, &gt;97% AFUE - MF IU</v>
          </cell>
          <cell r="C19" t="str">
            <v>Furnace</v>
          </cell>
          <cell r="D19" t="str">
            <v>Furnace</v>
          </cell>
          <cell r="E19" t="str">
            <v>Furnace_Max</v>
          </cell>
          <cell r="I19" t="str">
            <v>Water Heater</v>
          </cell>
          <cell r="J19" t="str">
            <v>Water Heater</v>
          </cell>
          <cell r="K19" t="str">
            <v>Water Heater_Max</v>
          </cell>
          <cell r="L19" t="str">
            <v>Unit</v>
          </cell>
          <cell r="M19">
            <v>12</v>
          </cell>
          <cell r="N19">
            <v>1720467</v>
          </cell>
          <cell r="O19">
            <v>2.230789663504153E-3</v>
          </cell>
        </row>
        <row r="20">
          <cell r="B20" t="str">
            <v>Furnace, &gt;92% AFUE - Early Retire</v>
          </cell>
          <cell r="C20" t="str">
            <v>Furnace</v>
          </cell>
          <cell r="D20" t="str">
            <v>Furnace</v>
          </cell>
          <cell r="E20" t="str">
            <v>Furnace_Max</v>
          </cell>
          <cell r="I20" t="str">
            <v>Clothes Washer</v>
          </cell>
          <cell r="J20" t="str">
            <v>Thermostats</v>
          </cell>
          <cell r="K20" t="str">
            <v>Thermostats_Max</v>
          </cell>
          <cell r="L20" t="str">
            <v>Unit</v>
          </cell>
          <cell r="M20">
            <v>14</v>
          </cell>
          <cell r="N20">
            <v>1290350.25</v>
          </cell>
          <cell r="O20">
            <v>0.25</v>
          </cell>
        </row>
        <row r="21">
          <cell r="B21" t="str">
            <v>Furnace, &gt;95% AFUE - Early Retire</v>
          </cell>
          <cell r="C21" t="str">
            <v>Furnace</v>
          </cell>
          <cell r="D21" t="str">
            <v>Furnace</v>
          </cell>
          <cell r="E21" t="str">
            <v>Furnace_Max</v>
          </cell>
          <cell r="I21" t="str">
            <v>Dishwasher</v>
          </cell>
          <cell r="J21" t="str">
            <v>Thermostats</v>
          </cell>
          <cell r="K21" t="str">
            <v>Thermostats_Max</v>
          </cell>
          <cell r="L21" t="str">
            <v>Unit</v>
          </cell>
          <cell r="M21">
            <v>13</v>
          </cell>
          <cell r="N21">
            <v>328026.98439482437</v>
          </cell>
          <cell r="O21">
            <v>0.5</v>
          </cell>
        </row>
        <row r="22">
          <cell r="B22" t="str">
            <v>Furnace, &gt;97% AFUE - Early Retire</v>
          </cell>
          <cell r="C22" t="str">
            <v>Furnace</v>
          </cell>
          <cell r="D22" t="str">
            <v>Furnace</v>
          </cell>
          <cell r="E22" t="str">
            <v>Furnace_Max</v>
          </cell>
          <cell r="I22" t="str">
            <v>Steam traps</v>
          </cell>
          <cell r="J22" t="str">
            <v>Steam traps</v>
          </cell>
          <cell r="K22" t="str">
            <v>Steam traps_Max</v>
          </cell>
          <cell r="L22" t="str">
            <v>Traps</v>
          </cell>
          <cell r="M22" t="str">
            <v>n/a</v>
          </cell>
          <cell r="N22">
            <v>581049.70000000007</v>
          </cell>
          <cell r="O22">
            <v>3.5625179739357922E-2</v>
          </cell>
        </row>
        <row r="23">
          <cell r="B23" t="str">
            <v>Upstream Furnace, &gt;95% AFUE</v>
          </cell>
          <cell r="C23" t="str">
            <v>Furnace</v>
          </cell>
          <cell r="D23" t="str">
            <v>Furnace</v>
          </cell>
          <cell r="E23" t="str">
            <v>Furnace_Max</v>
          </cell>
          <cell r="I23" t="str">
            <v>Pipe insulation</v>
          </cell>
          <cell r="J23" t="str">
            <v>Pipe insulation</v>
          </cell>
          <cell r="K23" t="str">
            <v>Pipe insulation_Max</v>
          </cell>
          <cell r="L23" t="str">
            <v>Ln Feet</v>
          </cell>
          <cell r="M23" t="str">
            <v>n/a</v>
          </cell>
          <cell r="N23">
            <v>24620750</v>
          </cell>
          <cell r="O23">
            <v>6.0397835159367603E-3</v>
          </cell>
        </row>
        <row r="24">
          <cell r="B24" t="str">
            <v>Upstream Furnace, &gt;97% AFUE</v>
          </cell>
          <cell r="C24" t="str">
            <v>Furnace</v>
          </cell>
          <cell r="D24" t="str">
            <v>Furnace</v>
          </cell>
          <cell r="E24" t="str">
            <v>Furnace_Max</v>
          </cell>
          <cell r="I24" t="str">
            <v>Food service</v>
          </cell>
          <cell r="J24" t="str">
            <v>Food service</v>
          </cell>
          <cell r="K24" t="str">
            <v>Food service_Max</v>
          </cell>
          <cell r="L24" t="str">
            <v>Units</v>
          </cell>
          <cell r="M24">
            <v>12</v>
          </cell>
          <cell r="N24">
            <v>19696.600000000002</v>
          </cell>
          <cell r="O24">
            <v>0.1278900927063554</v>
          </cell>
        </row>
        <row r="25">
          <cell r="B25" t="str">
            <v>Upstream Furnace, &gt;95% AFUE - MF IU</v>
          </cell>
          <cell r="C25" t="str">
            <v>Furnace</v>
          </cell>
          <cell r="D25" t="str">
            <v>Furnace</v>
          </cell>
          <cell r="E25" t="str">
            <v>Furnace_Max</v>
          </cell>
          <cell r="I25" t="str">
            <v>Boilers</v>
          </cell>
          <cell r="J25" t="str">
            <v>Boilers</v>
          </cell>
          <cell r="K25" t="str">
            <v>Boilers_Max</v>
          </cell>
          <cell r="L25" t="str">
            <v>Units</v>
          </cell>
          <cell r="M25">
            <v>20</v>
          </cell>
          <cell r="N25">
            <v>37423.54</v>
          </cell>
          <cell r="O25">
            <v>1.843759302300103E-2</v>
          </cell>
        </row>
        <row r="26">
          <cell r="B26" t="str">
            <v>WH - SF Storage 40 gal</v>
          </cell>
          <cell r="C26" t="str">
            <v>Water Heater</v>
          </cell>
          <cell r="D26" t="str">
            <v>Water Heater</v>
          </cell>
          <cell r="E26" t="str">
            <v>Water Heater_Max</v>
          </cell>
          <cell r="I26" t="str">
            <v>Business Custom</v>
          </cell>
          <cell r="J26" t="str">
            <v>Business Custom</v>
          </cell>
          <cell r="K26" t="str">
            <v>Business Custom_Max</v>
          </cell>
          <cell r="L26" t="str">
            <v>Projects</v>
          </cell>
          <cell r="M26" t="str">
            <v>n/a</v>
          </cell>
          <cell r="N26">
            <v>3939.32</v>
          </cell>
          <cell r="O26">
            <v>0.16373384238904176</v>
          </cell>
        </row>
        <row r="27">
          <cell r="B27" t="str">
            <v>WH - SF Condensing 40 gal</v>
          </cell>
          <cell r="C27" t="str">
            <v>Water Heater</v>
          </cell>
          <cell r="D27" t="str">
            <v>Water Heater</v>
          </cell>
          <cell r="E27" t="str">
            <v>Water Heater_Max</v>
          </cell>
          <cell r="I27" t="str">
            <v>Furnaces</v>
          </cell>
          <cell r="J27" t="str">
            <v>Furnace</v>
          </cell>
          <cell r="K27" t="str">
            <v>Furnace_Max</v>
          </cell>
          <cell r="L27" t="str">
            <v>Units</v>
          </cell>
          <cell r="M27">
            <v>11</v>
          </cell>
          <cell r="N27">
            <v>84695.38</v>
          </cell>
          <cell r="O27">
            <v>2.1099143778562656E-2</v>
          </cell>
        </row>
        <row r="28">
          <cell r="B28" t="str">
            <v>WH - SF Tankless 40 gal</v>
          </cell>
          <cell r="C28" t="str">
            <v>Water Heater</v>
          </cell>
          <cell r="D28" t="str">
            <v>Water Heater</v>
          </cell>
          <cell r="E28" t="str">
            <v>Water Heater_Max</v>
          </cell>
          <cell r="I28" t="str">
            <v>Water Heater</v>
          </cell>
          <cell r="J28" t="str">
            <v>Water Heater</v>
          </cell>
          <cell r="K28" t="str">
            <v>Water Heater_Max</v>
          </cell>
          <cell r="L28" t="str">
            <v>Units</v>
          </cell>
          <cell r="M28">
            <v>12.5</v>
          </cell>
          <cell r="N28">
            <v>196965.99999999997</v>
          </cell>
          <cell r="O28">
            <v>9.0370926962013757E-4</v>
          </cell>
        </row>
        <row r="29">
          <cell r="B29" t="str">
            <v>WH - MF Storage 40 gal</v>
          </cell>
          <cell r="C29" t="str">
            <v>Water Heater</v>
          </cell>
          <cell r="D29" t="str">
            <v>Water Heater</v>
          </cell>
          <cell r="E29" t="str">
            <v>Water Heater_Max</v>
          </cell>
          <cell r="I29" t="str">
            <v>Low-flow fixtures</v>
          </cell>
          <cell r="J29" t="str">
            <v>Low-flow fixtures</v>
          </cell>
          <cell r="K29" t="str">
            <v>Low-flow fixtures_Max</v>
          </cell>
          <cell r="L29" t="str">
            <v>Units</v>
          </cell>
          <cell r="M29" t="str">
            <v>n/a</v>
          </cell>
          <cell r="N29">
            <v>393932</v>
          </cell>
          <cell r="O29">
            <v>3.4716651604845508E-2</v>
          </cell>
        </row>
        <row r="30">
          <cell r="B30" t="str">
            <v>WH - SF Storage Upstream40 gal</v>
          </cell>
          <cell r="C30" t="str">
            <v>Water Heater</v>
          </cell>
          <cell r="D30" t="str">
            <v>Water Heater</v>
          </cell>
          <cell r="E30" t="str">
            <v>Water Heater_Max</v>
          </cell>
          <cell r="I30" t="str">
            <v>Showerheads</v>
          </cell>
          <cell r="J30" t="str">
            <v>Showerheads</v>
          </cell>
          <cell r="K30" t="str">
            <v>Showerheads_Max</v>
          </cell>
          <cell r="L30" t="str">
            <v>Units</v>
          </cell>
          <cell r="M30" t="str">
            <v>n/a</v>
          </cell>
          <cell r="N30">
            <v>87311.65</v>
          </cell>
          <cell r="O30">
            <v>9.9345276374916761E-2</v>
          </cell>
        </row>
        <row r="31">
          <cell r="B31" t="str">
            <v>WH - MF Storage Upstream40 gal</v>
          </cell>
          <cell r="C31" t="str">
            <v>Water Heater</v>
          </cell>
          <cell r="D31" t="str">
            <v>Water Heater</v>
          </cell>
          <cell r="E31" t="str">
            <v>Water Heater_Max</v>
          </cell>
          <cell r="I31" t="str">
            <v>Thermostats</v>
          </cell>
          <cell r="J31" t="str">
            <v>Thermostats</v>
          </cell>
          <cell r="K31" t="str">
            <v>Thermostats_Max</v>
          </cell>
          <cell r="L31" t="str">
            <v>Units</v>
          </cell>
          <cell r="M31" t="str">
            <v>n/a</v>
          </cell>
          <cell r="N31">
            <v>98483</v>
          </cell>
          <cell r="O31">
            <v>7.3048140288171567E-2</v>
          </cell>
        </row>
        <row r="32">
          <cell r="B32" t="str">
            <v>WH - SF Tankless Upstream40 gal</v>
          </cell>
          <cell r="C32" t="str">
            <v>Water Heater</v>
          </cell>
          <cell r="D32" t="str">
            <v>Water Heater</v>
          </cell>
          <cell r="E32" t="str">
            <v>Water Heater_Max</v>
          </cell>
          <cell r="I32" t="str">
            <v>New Construction</v>
          </cell>
          <cell r="J32" t="str">
            <v>New Construction</v>
          </cell>
          <cell r="K32" t="str">
            <v>New Construction_Max</v>
          </cell>
          <cell r="L32" t="str">
            <v>Sq Ft</v>
          </cell>
          <cell r="M32" t="str">
            <v>n/a</v>
          </cell>
          <cell r="N32">
            <v>57739428.57142856</v>
          </cell>
          <cell r="O32">
            <v>0.6569519413989795</v>
          </cell>
        </row>
        <row r="33">
          <cell r="B33" t="str">
            <v>WH - SF Condensing Upstream40 gal</v>
          </cell>
          <cell r="C33" t="str">
            <v>Water Heater</v>
          </cell>
          <cell r="D33" t="str">
            <v>Water Heater</v>
          </cell>
          <cell r="E33" t="str">
            <v>Water Heater_Max</v>
          </cell>
          <cell r="I33" t="str">
            <v>Commercial Assessments</v>
          </cell>
          <cell r="J33" t="str">
            <v>Commercial Assessments</v>
          </cell>
          <cell r="K33" t="str">
            <v>Commercial Assessments_Max</v>
          </cell>
          <cell r="L33" t="str">
            <v>Assessments</v>
          </cell>
          <cell r="M33" t="str">
            <v>n/a</v>
          </cell>
          <cell r="N33">
            <v>196965.99999999997</v>
          </cell>
          <cell r="O33">
            <v>4.0732918371698672E-2</v>
          </cell>
        </row>
        <row r="34">
          <cell r="B34" t="str">
            <v>WH - SF Storage 40 galEREP</v>
          </cell>
          <cell r="C34" t="str">
            <v>Water Heater</v>
          </cell>
          <cell r="D34" t="str">
            <v>Water Heater</v>
          </cell>
          <cell r="E34" t="str">
            <v>Water Heater_Max</v>
          </cell>
          <cell r="I34" t="str">
            <v>Pool Covers</v>
          </cell>
          <cell r="J34" t="str">
            <v>Pool Covers</v>
          </cell>
          <cell r="K34" t="str">
            <v>Pool Covers_Max</v>
          </cell>
          <cell r="L34" t="str">
            <v>Units</v>
          </cell>
          <cell r="M34" t="str">
            <v>n/a</v>
          </cell>
          <cell r="N34">
            <v>1500</v>
          </cell>
          <cell r="O34">
            <v>2.7333333333333334E-2</v>
          </cell>
        </row>
        <row r="35">
          <cell r="B35" t="str">
            <v>WH - MF Storage 40 galEREP</v>
          </cell>
          <cell r="C35" t="str">
            <v>Water Heater</v>
          </cell>
          <cell r="D35" t="str">
            <v>Water Heater</v>
          </cell>
          <cell r="E35" t="str">
            <v>Water Heater_Max</v>
          </cell>
          <cell r="I35" t="str">
            <v>Residential Average</v>
          </cell>
          <cell r="J35" t="str">
            <v>Residential Average</v>
          </cell>
          <cell r="K35" t="str">
            <v>Residential Average_Max</v>
          </cell>
          <cell r="L35" t="str">
            <v>Units</v>
          </cell>
          <cell r="M35">
            <v>12</v>
          </cell>
          <cell r="N35">
            <v>3328108.0838539405</v>
          </cell>
          <cell r="O35">
            <v>5.0372668654920565E-2</v>
          </cell>
        </row>
        <row r="36">
          <cell r="B36" t="str">
            <v>Diswasher - Standard</v>
          </cell>
          <cell r="C36" t="str">
            <v>Dishwasher</v>
          </cell>
          <cell r="D36" t="str">
            <v>Thermostats</v>
          </cell>
          <cell r="E36" t="str">
            <v>Thermostats_Max</v>
          </cell>
          <cell r="I36" t="str">
            <v>Business Average</v>
          </cell>
          <cell r="J36" t="str">
            <v>Business Average</v>
          </cell>
          <cell r="K36" t="str">
            <v>Business Average_Max</v>
          </cell>
          <cell r="L36" t="str">
            <v>Units</v>
          </cell>
          <cell r="M36">
            <v>14.181818181818182</v>
          </cell>
          <cell r="N36">
            <v>919831.22000000009</v>
          </cell>
          <cell r="O36">
            <v>0.13136277327051368</v>
          </cell>
        </row>
        <row r="37">
          <cell r="B37" t="str">
            <v>Diswasher - Compact</v>
          </cell>
          <cell r="C37" t="str">
            <v>Dishwasher</v>
          </cell>
          <cell r="D37" t="str">
            <v>Thermostats</v>
          </cell>
          <cell r="E37" t="str">
            <v>Thermostats_Max</v>
          </cell>
          <cell r="I37" t="str">
            <v>DCV</v>
          </cell>
          <cell r="J37" t="str">
            <v>Small Custom</v>
          </cell>
          <cell r="K37" t="str">
            <v>Small Custom_Max</v>
          </cell>
          <cell r="L37" t="str">
            <v>project</v>
          </cell>
          <cell r="M37">
            <v>10</v>
          </cell>
          <cell r="N37">
            <v>75952.699041043976</v>
          </cell>
          <cell r="O37">
            <v>1.3166089061030094E-4</v>
          </cell>
        </row>
        <row r="38">
          <cell r="B38" t="str">
            <v>BUNDLE #1 - 95% Furnace, WH, Tstat</v>
          </cell>
          <cell r="C38" t="str">
            <v>Furnace</v>
          </cell>
          <cell r="D38" t="str">
            <v>Furnace</v>
          </cell>
          <cell r="E38" t="str">
            <v>Furnace_Max</v>
          </cell>
          <cell r="I38" t="str">
            <v>RCx Project</v>
          </cell>
          <cell r="J38" t="str">
            <v>Small Custom</v>
          </cell>
          <cell r="K38" t="str">
            <v>Small Custom_Max</v>
          </cell>
          <cell r="L38" t="str">
            <v>project</v>
          </cell>
          <cell r="M38" t="str">
            <v>n/a</v>
          </cell>
          <cell r="N38">
            <v>59033.944798936311</v>
          </cell>
          <cell r="O38">
            <v>2.5070321914632868E-3</v>
          </cell>
        </row>
        <row r="39">
          <cell r="B39" t="str">
            <v>BUNDLE #2  - 97% Furnace, WH, Tstat</v>
          </cell>
          <cell r="C39" t="str">
            <v>Furnace</v>
          </cell>
          <cell r="D39" t="str">
            <v>Furnace</v>
          </cell>
          <cell r="E39" t="str">
            <v>Furnace_Max</v>
          </cell>
          <cell r="I39" t="str">
            <v>Custom Assessments</v>
          </cell>
          <cell r="J39" t="str">
            <v>Custom Assessments</v>
          </cell>
          <cell r="K39" t="str">
            <v>Custom Assessments_Max</v>
          </cell>
          <cell r="L39" t="str">
            <v>project</v>
          </cell>
          <cell r="M39" t="str">
            <v>n/a</v>
          </cell>
          <cell r="N39">
            <v>2268.4104963427931</v>
          </cell>
          <cell r="O39">
            <v>0.1056158047171175</v>
          </cell>
        </row>
        <row r="40">
          <cell r="B40" t="str">
            <v>Programmable Thermostat (DI)</v>
          </cell>
          <cell r="C40" t="str">
            <v>Thermostats</v>
          </cell>
          <cell r="D40" t="str">
            <v>Thermostats</v>
          </cell>
          <cell r="E40" t="str">
            <v>Thermostats_Max</v>
          </cell>
          <cell r="I40" t="str">
            <v>Small Custom Projects</v>
          </cell>
          <cell r="J40" t="str">
            <v>Small Custom</v>
          </cell>
          <cell r="K40" t="str">
            <v>Small Custom_Max</v>
          </cell>
          <cell r="L40" t="str">
            <v>project</v>
          </cell>
          <cell r="M40" t="str">
            <v>n/a</v>
          </cell>
          <cell r="N40">
            <v>193026.68</v>
          </cell>
          <cell r="O40">
            <v>4.8751637165736196E-4</v>
          </cell>
        </row>
        <row r="41">
          <cell r="B41" t="str">
            <v xml:space="preserve">Programmable Tstats -Point of Sale </v>
          </cell>
          <cell r="C41" t="str">
            <v>Thermostats</v>
          </cell>
          <cell r="D41" t="str">
            <v>Thermostats</v>
          </cell>
          <cell r="E41" t="str">
            <v>Thermostats_Max</v>
          </cell>
          <cell r="I41" t="str">
            <v>RCx Assessments</v>
          </cell>
          <cell r="J41" t="str">
            <v>Small Custom</v>
          </cell>
          <cell r="K41" t="str">
            <v>Small Custom_Max</v>
          </cell>
          <cell r="L41" t="str">
            <v>project</v>
          </cell>
          <cell r="M41" t="str">
            <v>n/a</v>
          </cell>
          <cell r="N41">
            <v>59033.944798936311</v>
          </cell>
          <cell r="O41">
            <v>3.76054828719493E-4</v>
          </cell>
        </row>
        <row r="42">
          <cell r="B42" t="str">
            <v>Thermostat Education (DI)</v>
          </cell>
          <cell r="C42" t="str">
            <v>SF Assessments</v>
          </cell>
          <cell r="D42" t="str">
            <v>SF Assessments</v>
          </cell>
          <cell r="E42" t="str">
            <v>SF Assessments_Max</v>
          </cell>
          <cell r="I42" t="str">
            <v>SEM Industrial/Mfg</v>
          </cell>
          <cell r="J42" t="str">
            <v>Business Custom</v>
          </cell>
          <cell r="K42" t="str">
            <v>Business Custom_Max</v>
          </cell>
          <cell r="L42" t="str">
            <v>project</v>
          </cell>
          <cell r="M42" t="str">
            <v>n/a</v>
          </cell>
          <cell r="N42">
            <v>214.74842015009898</v>
          </cell>
          <cell r="O42">
            <v>4.6566116728637509E-2</v>
          </cell>
        </row>
        <row r="43">
          <cell r="B43" t="str">
            <v>Programmable Thermostat (DI) MF-IU</v>
          </cell>
          <cell r="C43" t="str">
            <v>Thermostats</v>
          </cell>
          <cell r="D43" t="str">
            <v>Thermostats</v>
          </cell>
          <cell r="E43" t="str">
            <v>Thermostats_Max</v>
          </cell>
          <cell r="I43" t="str">
            <v>SEM Service</v>
          </cell>
          <cell r="J43" t="str">
            <v>SEM Service</v>
          </cell>
          <cell r="K43" t="str">
            <v>SEM Service_Max</v>
          </cell>
          <cell r="L43" t="str">
            <v>project</v>
          </cell>
          <cell r="M43" t="str">
            <v>n/a</v>
          </cell>
          <cell r="N43">
            <v>72.014684866652445</v>
          </cell>
          <cell r="O43">
            <v>0.13886056737617775</v>
          </cell>
        </row>
        <row r="44">
          <cell r="B44" t="str">
            <v>Re-Program Thermostat (DI) MF-IU</v>
          </cell>
          <cell r="C44" t="str">
            <v>Thermostats</v>
          </cell>
          <cell r="D44" t="str">
            <v>Thermostats</v>
          </cell>
          <cell r="E44" t="str">
            <v>Thermostats_Max</v>
          </cell>
          <cell r="I44" t="str">
            <v>Heat Recovery Grease Trap Filter</v>
          </cell>
          <cell r="J44" t="str">
            <v>Small Custom</v>
          </cell>
          <cell r="K44" t="str">
            <v>Small Custom_Max</v>
          </cell>
          <cell r="L44" t="str">
            <v>project</v>
          </cell>
          <cell r="M44">
            <v>10</v>
          </cell>
          <cell r="N44">
            <v>98.779338014042139</v>
          </cell>
          <cell r="O44">
            <v>1.3166089061030094E-4</v>
          </cell>
        </row>
        <row r="45">
          <cell r="B45" t="str">
            <v>Porgrammable Thermostat - Contractor Install</v>
          </cell>
          <cell r="C45" t="str">
            <v>Thermostats</v>
          </cell>
          <cell r="D45" t="str">
            <v>Thermostats</v>
          </cell>
          <cell r="E45" t="str">
            <v>Thermostats_Max</v>
          </cell>
          <cell r="I45" t="str">
            <v>Condensing Unit Heater</v>
          </cell>
          <cell r="J45" t="str">
            <v>Small Custom</v>
          </cell>
          <cell r="K45" t="str">
            <v>Small Custom_Max</v>
          </cell>
          <cell r="L45" t="str">
            <v>project</v>
          </cell>
          <cell r="M45">
            <v>12</v>
          </cell>
          <cell r="N45">
            <v>2000</v>
          </cell>
          <cell r="O45">
            <v>2.8500000000000001E-2</v>
          </cell>
        </row>
        <row r="46">
          <cell r="B46" t="str">
            <v>Advanced Thermostat (TOS) - Manual SF</v>
          </cell>
          <cell r="C46" t="str">
            <v>Thermostats</v>
          </cell>
          <cell r="D46" t="str">
            <v>Thermostats</v>
          </cell>
          <cell r="E46" t="str">
            <v>Thermostats_Max</v>
          </cell>
          <cell r="I46" t="str">
            <v>CDHW</v>
          </cell>
          <cell r="J46" t="str">
            <v>Small Custom</v>
          </cell>
          <cell r="K46" t="str">
            <v>Small Custom_Max</v>
          </cell>
          <cell r="L46" t="str">
            <v>project</v>
          </cell>
          <cell r="M46">
            <v>15</v>
          </cell>
          <cell r="N46">
            <v>2000</v>
          </cell>
          <cell r="O46">
            <v>3.0000000000000001E-3</v>
          </cell>
        </row>
        <row r="47">
          <cell r="B47" t="str">
            <v>Advanced Thermostat (TOS) - Programmable SF</v>
          </cell>
          <cell r="C47" t="str">
            <v>Thermostats</v>
          </cell>
          <cell r="D47" t="str">
            <v>Thermostats</v>
          </cell>
          <cell r="E47" t="str">
            <v>Thermostats_Max</v>
          </cell>
          <cell r="I47" t="str">
            <v>MF Custom</v>
          </cell>
          <cell r="J47" t="str">
            <v>Small Custom</v>
          </cell>
          <cell r="K47" t="str">
            <v>Small Custom_Max</v>
          </cell>
          <cell r="L47" t="str">
            <v>project</v>
          </cell>
          <cell r="M47" t="str">
            <v>N/A</v>
          </cell>
          <cell r="N47">
            <v>2000</v>
          </cell>
          <cell r="O47">
            <v>2.2499999999999999E-2</v>
          </cell>
        </row>
        <row r="48">
          <cell r="B48" t="str">
            <v>Advanced Thermostat (TOS) - Blended SF</v>
          </cell>
          <cell r="C48" t="str">
            <v>Thermostats</v>
          </cell>
          <cell r="D48" t="str">
            <v>Thermostats</v>
          </cell>
          <cell r="E48" t="str">
            <v>Thermostats_Max</v>
          </cell>
          <cell r="I48"/>
          <cell r="J48" t="str">
            <v>Small Custom</v>
          </cell>
          <cell r="K48" t="str">
            <v>Small Custom_Max</v>
          </cell>
          <cell r="L48" t="str">
            <v>project</v>
          </cell>
          <cell r="M48"/>
          <cell r="N48"/>
          <cell r="O48"/>
        </row>
        <row r="49">
          <cell r="B49" t="str">
            <v>Advanced Thermostat (DI) - Manual SF</v>
          </cell>
          <cell r="C49" t="str">
            <v>Thermostats</v>
          </cell>
          <cell r="D49" t="str">
            <v>Thermostats</v>
          </cell>
          <cell r="E49" t="str">
            <v>Thermostats_Max</v>
          </cell>
          <cell r="I49"/>
          <cell r="J49" t="str">
            <v>Custom Assessments</v>
          </cell>
          <cell r="K49" t="str">
            <v>Custom Assessments_Max</v>
          </cell>
          <cell r="L49" t="str">
            <v>project</v>
          </cell>
          <cell r="M49"/>
          <cell r="N49"/>
          <cell r="O49">
            <v>0.1056158047171175</v>
          </cell>
        </row>
        <row r="50">
          <cell r="B50" t="str">
            <v>Advanced Thermostat (DI) - Programmable SF</v>
          </cell>
          <cell r="C50" t="str">
            <v>Thermostats</v>
          </cell>
          <cell r="D50" t="str">
            <v>Thermostats</v>
          </cell>
          <cell r="E50" t="str">
            <v>Thermostats_Max</v>
          </cell>
        </row>
        <row r="51">
          <cell r="B51" t="str">
            <v>Advanced Thermostat (DI) - Blended - SF</v>
          </cell>
          <cell r="C51" t="str">
            <v>Thermostats</v>
          </cell>
          <cell r="D51" t="str">
            <v>Thermostats</v>
          </cell>
          <cell r="E51" t="str">
            <v>Thermostats_Max</v>
          </cell>
        </row>
        <row r="52">
          <cell r="B52" t="str">
            <v>Advanced Thermostat (DI) - Manual MF</v>
          </cell>
          <cell r="C52" t="str">
            <v>Thermostats</v>
          </cell>
          <cell r="D52" t="str">
            <v>Thermostats</v>
          </cell>
          <cell r="E52" t="str">
            <v>Thermostats_Max</v>
          </cell>
        </row>
        <row r="53">
          <cell r="B53" t="str">
            <v>Advanced Thermostat (DI) - Programmable MF</v>
          </cell>
          <cell r="C53" t="str">
            <v>Thermostats</v>
          </cell>
          <cell r="D53" t="str">
            <v>Thermostats</v>
          </cell>
          <cell r="E53" t="str">
            <v>Thermostats_Max</v>
          </cell>
        </row>
        <row r="54">
          <cell r="B54" t="str">
            <v>Advanced Thermostat (DI) - Blended - MF</v>
          </cell>
          <cell r="C54" t="str">
            <v>Thermostats</v>
          </cell>
          <cell r="D54" t="str">
            <v>Thermostats</v>
          </cell>
          <cell r="E54" t="str">
            <v>Thermostats_Max</v>
          </cell>
        </row>
        <row r="55">
          <cell r="B55" t="str">
            <v>Bathroom Aerator SF (DI)</v>
          </cell>
          <cell r="C55" t="str">
            <v>Energy Kits</v>
          </cell>
          <cell r="D55" t="str">
            <v>Energy Kits</v>
          </cell>
          <cell r="E55" t="str">
            <v>Energy Kits_Max</v>
          </cell>
        </row>
        <row r="56">
          <cell r="B56" t="str">
            <v>Kitchen Aerator SF (DI)</v>
          </cell>
          <cell r="C56" t="str">
            <v>Energy Kits</v>
          </cell>
          <cell r="D56" t="str">
            <v>Energy Kits</v>
          </cell>
          <cell r="E56" t="str">
            <v>Energy Kits_Max</v>
          </cell>
        </row>
        <row r="57">
          <cell r="B57" t="str">
            <v>Low Flow Aerator - Bath (DI) MF-CA</v>
          </cell>
          <cell r="C57" t="str">
            <v>Energy Kits</v>
          </cell>
          <cell r="D57" t="str">
            <v>Energy Kits</v>
          </cell>
          <cell r="E57" t="str">
            <v>Energy Kits_Max</v>
          </cell>
        </row>
        <row r="58">
          <cell r="B58" t="str">
            <v>Low Flow Aerator - Bath (DI) MF-IU</v>
          </cell>
          <cell r="C58" t="str">
            <v>Energy Kits</v>
          </cell>
          <cell r="D58" t="str">
            <v>Energy Kits</v>
          </cell>
          <cell r="E58" t="str">
            <v>Energy Kits_Max</v>
          </cell>
        </row>
        <row r="59">
          <cell r="B59" t="str">
            <v>Low Flow Aerator - Kitchen (DI) MF-IU</v>
          </cell>
          <cell r="C59" t="str">
            <v>Energy Kits</v>
          </cell>
          <cell r="D59" t="str">
            <v>Energy Kits</v>
          </cell>
          <cell r="E59" t="str">
            <v>Energy Kits_Max</v>
          </cell>
        </row>
        <row r="60">
          <cell r="B60" t="str">
            <v>Low Flow Aerator - Kitchen (DI) MF-CA</v>
          </cell>
          <cell r="C60" t="str">
            <v>Energy Kits</v>
          </cell>
          <cell r="D60" t="str">
            <v>Energy Kits</v>
          </cell>
          <cell r="E60" t="str">
            <v>Energy Kits_Max</v>
          </cell>
        </row>
        <row r="61">
          <cell r="B61" t="str">
            <v>Showerhead (DI) SF</v>
          </cell>
          <cell r="C61" t="str">
            <v>Energy Kits</v>
          </cell>
          <cell r="D61" t="str">
            <v>Energy Kits</v>
          </cell>
          <cell r="E61" t="str">
            <v>Energy Kits_Max</v>
          </cell>
        </row>
        <row r="62">
          <cell r="B62" t="str">
            <v>Handheld Showerhead (DI) SF</v>
          </cell>
          <cell r="C62" t="str">
            <v>Energy Kits</v>
          </cell>
          <cell r="D62" t="str">
            <v>Energy Kits</v>
          </cell>
          <cell r="E62" t="str">
            <v>Energy Kits_Max</v>
          </cell>
        </row>
        <row r="63">
          <cell r="B63" t="str">
            <v>Showerhead (DI) MF-CA</v>
          </cell>
          <cell r="C63" t="str">
            <v>Energy Kits</v>
          </cell>
          <cell r="D63" t="str">
            <v>Energy Kits</v>
          </cell>
          <cell r="E63" t="str">
            <v>Energy Kits_Max</v>
          </cell>
        </row>
        <row r="64">
          <cell r="B64" t="str">
            <v>Air Sealing SF</v>
          </cell>
          <cell r="C64" t="str">
            <v>SF Wx Projects</v>
          </cell>
          <cell r="D64" t="str">
            <v>SF Wx Projects</v>
          </cell>
          <cell r="E64" t="str">
            <v>SF Wx Projects_Max</v>
          </cell>
        </row>
        <row r="65">
          <cell r="B65" t="str">
            <v>Basement/Sidewall Insulation SF Joint</v>
          </cell>
          <cell r="C65" t="str">
            <v>SF Wx Projects</v>
          </cell>
          <cell r="D65" t="str">
            <v>SF Wx Projects</v>
          </cell>
          <cell r="E65" t="str">
            <v>SF Wx Projects_Max</v>
          </cell>
        </row>
        <row r="66">
          <cell r="B66" t="str">
            <v>Attic Insulation (R5 to R19) SF</v>
          </cell>
          <cell r="C66" t="str">
            <v>SF Wx Projects</v>
          </cell>
          <cell r="D66" t="str">
            <v>SF Wx Projects</v>
          </cell>
          <cell r="E66" t="str">
            <v>SF Wx Projects_Max</v>
          </cell>
        </row>
        <row r="67">
          <cell r="B67" t="str">
            <v>Wall Insulation SF</v>
          </cell>
          <cell r="C67" t="str">
            <v>SF Wx Projects</v>
          </cell>
          <cell r="D67" t="str">
            <v>SF Wx Projects</v>
          </cell>
          <cell r="E67" t="str">
            <v>SF Wx Projects_Max</v>
          </cell>
        </row>
        <row r="68">
          <cell r="B68" t="str">
            <v>Attic Insulation (&lt;R19 to R38) SF</v>
          </cell>
          <cell r="C68" t="str">
            <v>SF Wx Projects</v>
          </cell>
          <cell r="D68" t="str">
            <v>SF Wx Projects</v>
          </cell>
          <cell r="E68" t="str">
            <v>SF Wx Projects_Max</v>
          </cell>
        </row>
        <row r="69">
          <cell r="B69" t="str">
            <v>Attic Insulation (&lt;R19  to R49) SF</v>
          </cell>
          <cell r="C69" t="str">
            <v>SF Wx Projects</v>
          </cell>
          <cell r="D69" t="str">
            <v>SF Wx Projects</v>
          </cell>
          <cell r="E69" t="str">
            <v>SF Wx Projects_Max</v>
          </cell>
        </row>
        <row r="70">
          <cell r="B70" t="str">
            <v>Attic Insulation (&gt;R19  to R49) SF</v>
          </cell>
          <cell r="C70" t="str">
            <v>SF Wx Projects</v>
          </cell>
          <cell r="D70" t="str">
            <v>SF Wx Projects</v>
          </cell>
          <cell r="E70" t="str">
            <v>SF Wx Projects_Max</v>
          </cell>
        </row>
        <row r="71">
          <cell r="B71" t="str">
            <v>Duct Sealing SF Unconditioned</v>
          </cell>
          <cell r="C71" t="str">
            <v>SF Wx Projects</v>
          </cell>
          <cell r="D71" t="str">
            <v>SF Wx Projects</v>
          </cell>
          <cell r="E71" t="str">
            <v>SF Wx Projects_Max</v>
          </cell>
        </row>
        <row r="72">
          <cell r="B72" t="str">
            <v>Duct Sealing SF Semi Conditioned</v>
          </cell>
          <cell r="C72" t="str">
            <v>SF Wx Projects</v>
          </cell>
          <cell r="D72" t="str">
            <v>SF Wx Projects</v>
          </cell>
          <cell r="E72" t="str">
            <v>SF Wx Projects_Max</v>
          </cell>
        </row>
        <row r="73">
          <cell r="B73" t="str">
            <v>HW Pipe Insulation (3 ft.) (DI)</v>
          </cell>
          <cell r="C73" t="str">
            <v>Energy Kits</v>
          </cell>
          <cell r="D73" t="str">
            <v>Energy Kits</v>
          </cell>
          <cell r="E73" t="str">
            <v>Energy Kits_Max</v>
          </cell>
        </row>
        <row r="74">
          <cell r="B74" t="str">
            <v>HW Pipe Insulation (1 ft.) DI IU MF</v>
          </cell>
          <cell r="C74" t="str">
            <v>Energy Kits</v>
          </cell>
          <cell r="D74" t="str">
            <v>Energy Kits</v>
          </cell>
          <cell r="E74" t="str">
            <v>Energy Kits_Max</v>
          </cell>
        </row>
        <row r="75">
          <cell r="B75" t="str">
            <v>HW Pipe Insulation (6 ft.) (DI)</v>
          </cell>
          <cell r="C75" t="str">
            <v>Energy Kits</v>
          </cell>
          <cell r="D75" t="str">
            <v>Energy Kits</v>
          </cell>
          <cell r="E75" t="str">
            <v>Energy Kits_Max</v>
          </cell>
        </row>
        <row r="76">
          <cell r="B76" t="str">
            <v>Boiler Pipe Insulation - R2.8</v>
          </cell>
          <cell r="C76" t="str">
            <v>Boiler</v>
          </cell>
          <cell r="D76" t="str">
            <v>Boiler</v>
          </cell>
          <cell r="E76" t="str">
            <v>Boiler_Max</v>
          </cell>
        </row>
        <row r="77">
          <cell r="B77" t="str">
            <v>WH Set Back - SF</v>
          </cell>
          <cell r="C77" t="str">
            <v>Education Kits</v>
          </cell>
          <cell r="D77" t="str">
            <v>Education Kits</v>
          </cell>
          <cell r="E77" t="str">
            <v>Education Kits_Max</v>
          </cell>
        </row>
        <row r="78">
          <cell r="B78" t="str">
            <v>WH Set Back - MF</v>
          </cell>
          <cell r="C78" t="str">
            <v>Education Kits</v>
          </cell>
          <cell r="D78" t="str">
            <v>Education Kits</v>
          </cell>
          <cell r="E78" t="str">
            <v>Education Kits_Max</v>
          </cell>
        </row>
        <row r="79">
          <cell r="B79" t="str">
            <v>Bonus Incentives - HEER</v>
          </cell>
          <cell r="C79" t="str">
            <v>N</v>
          </cell>
          <cell r="D79" t="str">
            <v>N</v>
          </cell>
          <cell r="E79" t="str">
            <v>N</v>
          </cell>
        </row>
        <row r="80">
          <cell r="B80" t="str">
            <v>Kit 1</v>
          </cell>
          <cell r="C80" t="str">
            <v>Energy Kits</v>
          </cell>
          <cell r="D80" t="str">
            <v>Energy Kits</v>
          </cell>
          <cell r="E80" t="str">
            <v>Energy Kits_Max</v>
          </cell>
        </row>
        <row r="81">
          <cell r="B81" t="str">
            <v>Kit 2</v>
          </cell>
          <cell r="C81" t="str">
            <v>Energy Kits</v>
          </cell>
          <cell r="D81" t="str">
            <v>Energy Kits</v>
          </cell>
          <cell r="E81" t="str">
            <v>Energy Kits_Max</v>
          </cell>
        </row>
        <row r="82">
          <cell r="B82" t="str">
            <v>Kit Optional</v>
          </cell>
          <cell r="C82" t="str">
            <v>Energy Kits</v>
          </cell>
          <cell r="D82" t="str">
            <v>Energy Kits</v>
          </cell>
          <cell r="E82" t="str">
            <v>Energy Kits_Max</v>
          </cell>
        </row>
        <row r="83">
          <cell r="B83" t="str">
            <v>Assessment (HES) - joint</v>
          </cell>
          <cell r="C83" t="str">
            <v>SF Assessments</v>
          </cell>
          <cell r="D83" t="str">
            <v>SF Assessments</v>
          </cell>
          <cell r="E83" t="str">
            <v>SF Assessments_Max</v>
          </cell>
        </row>
        <row r="84">
          <cell r="B84" t="str">
            <v>Assessment (HES)</v>
          </cell>
          <cell r="C84" t="str">
            <v>SF Assessments</v>
          </cell>
          <cell r="D84" t="str">
            <v>SF Assessments</v>
          </cell>
          <cell r="E84" t="str">
            <v>SF Assessments_Max</v>
          </cell>
        </row>
        <row r="85">
          <cell r="B85" t="str">
            <v>Assessment (HES Teapot)</v>
          </cell>
          <cell r="C85" t="str">
            <v>SF Assessments</v>
          </cell>
          <cell r="D85" t="str">
            <v>SF Assessments</v>
          </cell>
          <cell r="E85" t="str">
            <v>SF Assessments_Max</v>
          </cell>
        </row>
        <row r="86">
          <cell r="B86" t="str">
            <v>Unit Assessment MF</v>
          </cell>
          <cell r="C86" t="str">
            <v>MF Assessment</v>
          </cell>
          <cell r="D86" t="str">
            <v>MF Assessment</v>
          </cell>
          <cell r="E86" t="str">
            <v>MF Assessment_Max</v>
          </cell>
        </row>
        <row r="87">
          <cell r="B87" t="str">
            <v>Unit Assessment MF - Joint</v>
          </cell>
          <cell r="C87" t="str">
            <v>MF Assessment</v>
          </cell>
          <cell r="D87" t="str">
            <v>MF Assessment</v>
          </cell>
          <cell r="E87" t="str">
            <v>MF Assessment_Max</v>
          </cell>
        </row>
        <row r="88">
          <cell r="B88" t="str">
            <v>Unit Assessment MF - Teapot</v>
          </cell>
          <cell r="C88" t="str">
            <v>MF Assessment</v>
          </cell>
          <cell r="D88" t="str">
            <v>MF Assessment</v>
          </cell>
          <cell r="E88" t="str">
            <v>MF Assessment_Max</v>
          </cell>
        </row>
        <row r="89">
          <cell r="B89" t="str">
            <v>RNC Home</v>
          </cell>
          <cell r="C89" t="str">
            <v>RNC</v>
          </cell>
          <cell r="D89" t="str">
            <v>RNC</v>
          </cell>
          <cell r="E89" t="str">
            <v>RNC_Max</v>
          </cell>
        </row>
        <row r="90">
          <cell r="B90" t="str">
            <v>EEE Kit - Teapot</v>
          </cell>
          <cell r="C90" t="str">
            <v>Education Kits</v>
          </cell>
          <cell r="D90" t="str">
            <v>Education Kits</v>
          </cell>
          <cell r="E90" t="str">
            <v>Education Kits_Max</v>
          </cell>
        </row>
        <row r="91">
          <cell r="B91" t="str">
            <v>EEE Kit</v>
          </cell>
          <cell r="C91" t="str">
            <v>Education Kits</v>
          </cell>
          <cell r="D91" t="str">
            <v>Education Kits</v>
          </cell>
          <cell r="E91" t="str">
            <v>Education Kits_Max</v>
          </cell>
        </row>
        <row r="92">
          <cell r="B92" t="str">
            <v>Home Reports</v>
          </cell>
          <cell r="C92" t="str">
            <v>Behavior</v>
          </cell>
          <cell r="D92" t="str">
            <v>Behavior</v>
          </cell>
          <cell r="E92" t="str">
            <v>Behavior_Max</v>
          </cell>
        </row>
        <row r="93">
          <cell r="B93" t="str">
            <v>Furnace Tune Up 100-250 MBH CA</v>
          </cell>
          <cell r="C93" t="str">
            <v>Furnace</v>
          </cell>
          <cell r="D93" t="str">
            <v>Furnace</v>
          </cell>
          <cell r="E93" t="str">
            <v>Furnace_Max</v>
          </cell>
        </row>
        <row r="94">
          <cell r="B94" t="str">
            <v>Furnace Tune Up 40-99 MBH IU</v>
          </cell>
          <cell r="C94" t="str">
            <v>Furnace</v>
          </cell>
          <cell r="D94" t="str">
            <v>Furnace</v>
          </cell>
          <cell r="E94" t="str">
            <v>Furnace_Max</v>
          </cell>
        </row>
        <row r="95">
          <cell r="B95" t="str">
            <v>Furnace Tune Up 100-250 MBH IU</v>
          </cell>
          <cell r="C95" t="str">
            <v>Furnace</v>
          </cell>
          <cell r="D95" t="str">
            <v>Furnace</v>
          </cell>
          <cell r="E95" t="str">
            <v>Furnace_Max</v>
          </cell>
        </row>
        <row r="96">
          <cell r="B96" t="str">
            <v>Furnace Tune Up 40-99 MBH CA</v>
          </cell>
          <cell r="C96" t="str">
            <v>Furnace</v>
          </cell>
          <cell r="D96" t="str">
            <v>Furnace</v>
          </cell>
          <cell r="E96" t="str">
            <v>Furnace_Max</v>
          </cell>
        </row>
        <row r="97">
          <cell r="B97" t="str">
            <v xml:space="preserve">HW Insulation (1') DI CA </v>
          </cell>
          <cell r="C97" t="str">
            <v>MF Assessment</v>
          </cell>
          <cell r="D97" t="str">
            <v>MF Assessment</v>
          </cell>
          <cell r="E97" t="str">
            <v>MF Assessment_Max</v>
          </cell>
        </row>
        <row r="98">
          <cell r="B98" t="str">
            <v>Bonus Incentives - HEA</v>
          </cell>
          <cell r="C98" t="str">
            <v>N</v>
          </cell>
          <cell r="D98" t="str">
            <v>N</v>
          </cell>
          <cell r="E98" t="str">
            <v>N</v>
          </cell>
        </row>
        <row r="99">
          <cell r="B99" t="str">
            <v>Bonus Incentives - RNC</v>
          </cell>
          <cell r="C99" t="str">
            <v>N</v>
          </cell>
          <cell r="D99" t="str">
            <v>N</v>
          </cell>
          <cell r="E99" t="str">
            <v>N</v>
          </cell>
        </row>
        <row r="100">
          <cell r="B100" t="str">
            <v>Attic Insulation SF</v>
          </cell>
          <cell r="C100" t="str">
            <v>SF Wx Projects</v>
          </cell>
          <cell r="D100" t="str">
            <v>SF Wx Projects</v>
          </cell>
          <cell r="E100" t="str">
            <v>SF Wx Projects_Max</v>
          </cell>
        </row>
        <row r="101">
          <cell r="B101" t="str">
            <v>EEE Kit - Gas Only</v>
          </cell>
          <cell r="C101" t="str">
            <v>Education Kits</v>
          </cell>
          <cell r="D101" t="str">
            <v>Education Kits</v>
          </cell>
          <cell r="E101" t="str">
            <v>Education Kits_Max</v>
          </cell>
        </row>
        <row r="102">
          <cell r="B102" t="str">
            <v>Wx Project</v>
          </cell>
          <cell r="C102" t="str">
            <v>SF Wx Projects</v>
          </cell>
          <cell r="D102" t="str">
            <v>SF Wx Projects</v>
          </cell>
          <cell r="E102" t="str">
            <v>SF Wx Projects_Max</v>
          </cell>
        </row>
        <row r="103">
          <cell r="B103" t="str">
            <v>Wx - Whole House Retrofit</v>
          </cell>
          <cell r="C103" t="str">
            <v>SF Wx Projects</v>
          </cell>
          <cell r="D103" t="str">
            <v>SF Wx Projects</v>
          </cell>
          <cell r="E103" t="str">
            <v>SF Wx Projects_Max</v>
          </cell>
        </row>
        <row r="104">
          <cell r="B104" t="str">
            <v>Wx - Income Qualified</v>
          </cell>
          <cell r="C104" t="str">
            <v>SF Wx Projects</v>
          </cell>
          <cell r="D104" t="str">
            <v>SF Wx Projects</v>
          </cell>
          <cell r="E104" t="str">
            <v>SF Wx Projects_Max</v>
          </cell>
        </row>
        <row r="105">
          <cell r="B105" t="str">
            <v>Residential Deep Assessment</v>
          </cell>
          <cell r="C105" t="str">
            <v>SF Assessments</v>
          </cell>
          <cell r="D105" t="str">
            <v>SF Assessments</v>
          </cell>
          <cell r="E105" t="str">
            <v>SF Assessments_Max</v>
          </cell>
        </row>
        <row r="106">
          <cell r="B106" t="str">
            <v>Residential Mod Income Assessment</v>
          </cell>
          <cell r="C106" t="str">
            <v>SF Assessments</v>
          </cell>
          <cell r="D106" t="str">
            <v>SF Assessments</v>
          </cell>
          <cell r="E106" t="str">
            <v>SF Assessments_Max</v>
          </cell>
        </row>
        <row r="107">
          <cell r="B107" t="str">
            <v>MF Tenant Behavior Cold Water Wash</v>
          </cell>
          <cell r="C107" t="str">
            <v>Behavior</v>
          </cell>
          <cell r="D107" t="str">
            <v>Behavior</v>
          </cell>
          <cell r="E107" t="str">
            <v>Behavior_Max</v>
          </cell>
        </row>
        <row r="108">
          <cell r="B108" t="str">
            <v>MF Tenant Behavior Education</v>
          </cell>
          <cell r="C108" t="str">
            <v>Behavior</v>
          </cell>
          <cell r="D108" t="str">
            <v>Behavior</v>
          </cell>
          <cell r="E108" t="str">
            <v>Behavior_Max</v>
          </cell>
        </row>
        <row r="109">
          <cell r="B109" t="str">
            <v>Commercial Steamer, E ≥38%</v>
          </cell>
          <cell r="C109" t="str">
            <v>Food service</v>
          </cell>
          <cell r="D109" t="str">
            <v>Food service</v>
          </cell>
          <cell r="E109" t="str">
            <v>Food service_Max</v>
          </cell>
        </row>
        <row r="110">
          <cell r="B110" t="str">
            <v>Commercial Steamer, E ≥38% Upstream</v>
          </cell>
          <cell r="C110" t="str">
            <v>Food service</v>
          </cell>
          <cell r="D110" t="str">
            <v>Food service</v>
          </cell>
          <cell r="E110" t="str">
            <v>Food service_Max</v>
          </cell>
        </row>
        <row r="111">
          <cell r="B111" t="str">
            <v>Commercial Steamer, E ≥38% EREP</v>
          </cell>
          <cell r="C111" t="str">
            <v>Food service</v>
          </cell>
          <cell r="D111" t="str">
            <v>Food service</v>
          </cell>
          <cell r="E111" t="str">
            <v>Food service_Max</v>
          </cell>
        </row>
        <row r="112">
          <cell r="B112" t="str">
            <v>Condensing Boilers, ≥90%, &lt;300 MBH</v>
          </cell>
          <cell r="C112" t="str">
            <v>Boilers</v>
          </cell>
          <cell r="D112" t="str">
            <v>Boilers</v>
          </cell>
          <cell r="E112" t="str">
            <v>Boilers_Max</v>
          </cell>
        </row>
        <row r="113">
          <cell r="B113" t="str">
            <v>Condensing Boilers, ≥90%, &lt;300 MBH EREP</v>
          </cell>
          <cell r="C113" t="str">
            <v>Boilers</v>
          </cell>
          <cell r="D113" t="str">
            <v>Boilers</v>
          </cell>
          <cell r="E113" t="str">
            <v>Boilers_Max</v>
          </cell>
        </row>
        <row r="114">
          <cell r="B114" t="str">
            <v>Condensing Boilers, ≥90% 300-499 MBH</v>
          </cell>
          <cell r="C114" t="str">
            <v>Boilers</v>
          </cell>
          <cell r="D114" t="str">
            <v>Boilers</v>
          </cell>
          <cell r="E114" t="str">
            <v>Boilers_Max</v>
          </cell>
        </row>
        <row r="115">
          <cell r="B115" t="str">
            <v>Condensing Boilers, ≥90% 300-499 MBH EREP</v>
          </cell>
          <cell r="C115" t="str">
            <v>Boilers</v>
          </cell>
          <cell r="D115" t="str">
            <v>Boilers</v>
          </cell>
          <cell r="E115" t="str">
            <v>Boilers_Max</v>
          </cell>
        </row>
        <row r="116">
          <cell r="B116" t="str">
            <v>Condensing Boilers, ≥90% 500-999 MBH</v>
          </cell>
          <cell r="C116" t="str">
            <v>Boilers</v>
          </cell>
          <cell r="D116" t="str">
            <v>Boilers</v>
          </cell>
          <cell r="E116" t="str">
            <v>Boilers_Max</v>
          </cell>
        </row>
        <row r="117">
          <cell r="B117" t="str">
            <v>Condensing Boilers, ≥90% 500-999 MBH EREP</v>
          </cell>
          <cell r="C117" t="str">
            <v>Boilers</v>
          </cell>
          <cell r="D117" t="str">
            <v>Boilers</v>
          </cell>
          <cell r="E117" t="str">
            <v>Boilers_Max</v>
          </cell>
        </row>
        <row r="118">
          <cell r="B118" t="str">
            <v>Condensing Boilers, ≥90% 1000-1700 MBH</v>
          </cell>
          <cell r="C118" t="str">
            <v>Boilers</v>
          </cell>
          <cell r="D118" t="str">
            <v>Boilers</v>
          </cell>
          <cell r="E118" t="str">
            <v>Boilers_Max</v>
          </cell>
        </row>
        <row r="119">
          <cell r="B119" t="str">
            <v>Condensing Boilers, ≥90% 1000-1700 MBH EREP</v>
          </cell>
          <cell r="C119" t="str">
            <v>Boilers</v>
          </cell>
          <cell r="D119" t="str">
            <v>Boilers</v>
          </cell>
          <cell r="E119" t="str">
            <v>Boilers_Max</v>
          </cell>
        </row>
        <row r="120">
          <cell r="B120" t="str">
            <v>Condensing Boilers, ≥90% 1701-2000 MBH</v>
          </cell>
          <cell r="C120" t="str">
            <v>Boilers</v>
          </cell>
          <cell r="D120" t="str">
            <v>Boilers</v>
          </cell>
          <cell r="E120" t="str">
            <v>Boilers_Max</v>
          </cell>
        </row>
        <row r="121">
          <cell r="B121" t="str">
            <v>Condensing Boilers, ≥90% 1701-2000 MBH EREP</v>
          </cell>
          <cell r="C121" t="str">
            <v>Boilers</v>
          </cell>
          <cell r="D121" t="str">
            <v>Boilers</v>
          </cell>
          <cell r="E121" t="str">
            <v>Boilers_Max</v>
          </cell>
        </row>
        <row r="122">
          <cell r="B122" t="str">
            <v>Hydronic Boilers, ≥85% &lt;300 MBH</v>
          </cell>
          <cell r="C122" t="str">
            <v>Boilers</v>
          </cell>
          <cell r="D122" t="str">
            <v>Boilers</v>
          </cell>
          <cell r="E122" t="str">
            <v>Boilers_Max</v>
          </cell>
        </row>
        <row r="123">
          <cell r="B123" t="str">
            <v>Hydronic Boilers, ≥85% &lt;300 MBH EREP</v>
          </cell>
          <cell r="C123" t="str">
            <v>Boilers</v>
          </cell>
          <cell r="D123" t="str">
            <v>Boilers</v>
          </cell>
          <cell r="E123" t="str">
            <v>Boilers_Max</v>
          </cell>
        </row>
        <row r="124">
          <cell r="B124" t="str">
            <v>Hydronic Boilers, ≥85% 300-499 MBH</v>
          </cell>
          <cell r="C124" t="str">
            <v>Boilers</v>
          </cell>
          <cell r="D124" t="str">
            <v>Boilers</v>
          </cell>
          <cell r="E124" t="str">
            <v>Boilers_Max</v>
          </cell>
        </row>
        <row r="125">
          <cell r="B125" t="str">
            <v>Hydronic Boilers, ≥85% 300-499 MBH EREP</v>
          </cell>
          <cell r="C125" t="str">
            <v>Boilers</v>
          </cell>
          <cell r="D125" t="str">
            <v>Boilers</v>
          </cell>
          <cell r="E125" t="str">
            <v>Boilers_Max</v>
          </cell>
        </row>
        <row r="126">
          <cell r="B126" t="str">
            <v>Hydronic Boilers, ≥85% 500-999 MBH</v>
          </cell>
          <cell r="C126" t="str">
            <v>Boilers</v>
          </cell>
          <cell r="D126" t="str">
            <v>Boilers</v>
          </cell>
          <cell r="E126" t="str">
            <v>Boilers_Max</v>
          </cell>
        </row>
        <row r="127">
          <cell r="B127" t="str">
            <v>Hydronic Boilers, ≥85% 500-999 MBH EREP</v>
          </cell>
          <cell r="C127" t="str">
            <v>Boilers</v>
          </cell>
          <cell r="D127" t="str">
            <v>Boilers</v>
          </cell>
          <cell r="E127" t="str">
            <v>Boilers_Max</v>
          </cell>
        </row>
        <row r="128">
          <cell r="B128" t="str">
            <v>Hydronic Boilers, ≥85% 1000-1700 MBH</v>
          </cell>
          <cell r="C128" t="str">
            <v>Boilers</v>
          </cell>
          <cell r="D128" t="str">
            <v>Boilers</v>
          </cell>
          <cell r="E128" t="str">
            <v>Boilers_Max</v>
          </cell>
        </row>
        <row r="129">
          <cell r="B129" t="str">
            <v>Hydronic Boilers, ≥85% 1000-1700 MBH EREP</v>
          </cell>
          <cell r="C129" t="str">
            <v>Boilers</v>
          </cell>
          <cell r="D129" t="str">
            <v>Boilers</v>
          </cell>
          <cell r="E129" t="str">
            <v>Boilers_Max</v>
          </cell>
        </row>
        <row r="130">
          <cell r="B130" t="str">
            <v>Hydronic Boilers, ≥85% 1701-2000 MBH</v>
          </cell>
          <cell r="C130" t="str">
            <v>Boilers</v>
          </cell>
          <cell r="D130" t="str">
            <v>Boilers</v>
          </cell>
          <cell r="E130" t="str">
            <v>Boilers_Max</v>
          </cell>
        </row>
        <row r="131">
          <cell r="B131" t="str">
            <v>Hydronic Boilers, ≥85% 1701-2000 MBH EREP</v>
          </cell>
          <cell r="C131" t="str">
            <v>Boilers</v>
          </cell>
          <cell r="D131" t="str">
            <v>Boilers</v>
          </cell>
          <cell r="E131" t="str">
            <v>Boilers_Max</v>
          </cell>
        </row>
        <row r="132">
          <cell r="B132" t="str">
            <v>Furnace, &gt;92% AFUE</v>
          </cell>
          <cell r="C132" t="str">
            <v>Furnace</v>
          </cell>
          <cell r="D132" t="str">
            <v>Furnace</v>
          </cell>
          <cell r="E132" t="str">
            <v>Furnace_Max</v>
          </cell>
        </row>
        <row r="133">
          <cell r="B133" t="str">
            <v xml:space="preserve">Furnace, &gt;95% AFUE </v>
          </cell>
          <cell r="C133" t="str">
            <v>Furnace</v>
          </cell>
          <cell r="D133" t="str">
            <v>Furnace</v>
          </cell>
          <cell r="E133" t="str">
            <v>Furnace_Max</v>
          </cell>
        </row>
        <row r="134">
          <cell r="B134" t="str">
            <v>Furnace, &gt;92% AFUE - CA</v>
          </cell>
          <cell r="C134" t="str">
            <v>Furnace</v>
          </cell>
          <cell r="D134" t="str">
            <v>Furnace</v>
          </cell>
          <cell r="E134" t="str">
            <v>Furnace_Max</v>
          </cell>
        </row>
        <row r="135">
          <cell r="B135" t="str">
            <v>Furnace, &gt;95% AFUE  - CA</v>
          </cell>
          <cell r="C135" t="str">
            <v>Furnace</v>
          </cell>
          <cell r="D135" t="str">
            <v>Furnace</v>
          </cell>
          <cell r="E135" t="str">
            <v>Furnace_Max</v>
          </cell>
        </row>
        <row r="136">
          <cell r="B136" t="str">
            <v xml:space="preserve">Furnace, &gt;97% AFUE </v>
          </cell>
          <cell r="C136" t="str">
            <v>Furnace</v>
          </cell>
          <cell r="D136" t="str">
            <v>Furnace</v>
          </cell>
          <cell r="E136" t="str">
            <v>Furnace_Max</v>
          </cell>
        </row>
        <row r="137">
          <cell r="B137" t="str">
            <v>Furnace, &gt;97% AFUE  - CA</v>
          </cell>
          <cell r="C137" t="str">
            <v>Furnace</v>
          </cell>
          <cell r="D137" t="str">
            <v>Furnace</v>
          </cell>
          <cell r="E137" t="str">
            <v>Furnace_Max</v>
          </cell>
        </row>
        <row r="138">
          <cell r="B138" t="str">
            <v>Furnace, &gt;95% AFUE Upstream</v>
          </cell>
          <cell r="C138" t="str">
            <v>Furnace</v>
          </cell>
          <cell r="D138" t="str">
            <v>Furnace</v>
          </cell>
          <cell r="E138" t="str">
            <v>Furnace_Max</v>
          </cell>
        </row>
        <row r="139">
          <cell r="B139" t="str">
            <v>Furnace, &gt;97% AFUE Upstream</v>
          </cell>
          <cell r="C139" t="str">
            <v>Furnace</v>
          </cell>
          <cell r="D139" t="str">
            <v>Furnace</v>
          </cell>
          <cell r="E139" t="str">
            <v>Furnace_Max</v>
          </cell>
        </row>
        <row r="140">
          <cell r="B140" t="str">
            <v>Furnace, &gt;95% AFUE  - CA Upstream</v>
          </cell>
          <cell r="C140" t="str">
            <v>Furnace</v>
          </cell>
          <cell r="D140" t="str">
            <v>Furnace</v>
          </cell>
          <cell r="E140" t="str">
            <v>Furnace_Max</v>
          </cell>
        </row>
        <row r="141">
          <cell r="B141" t="str">
            <v>Furnace, &gt;97% AFUE  - CA Upstream</v>
          </cell>
          <cell r="C141" t="str">
            <v>Furnace</v>
          </cell>
          <cell r="D141" t="str">
            <v>Furnace</v>
          </cell>
          <cell r="E141" t="str">
            <v>Furnace_Max</v>
          </cell>
        </row>
        <row r="142">
          <cell r="B142" t="str">
            <v>Furnace, &gt;92% AFUE EREP</v>
          </cell>
          <cell r="C142" t="str">
            <v>Furnace</v>
          </cell>
          <cell r="D142" t="str">
            <v>Furnace</v>
          </cell>
          <cell r="E142" t="str">
            <v>Furnace_Max</v>
          </cell>
        </row>
        <row r="143">
          <cell r="B143" t="str">
            <v>Furnace, &gt;95% AFUE EREP</v>
          </cell>
          <cell r="C143" t="str">
            <v>Furnace</v>
          </cell>
          <cell r="D143" t="str">
            <v>Furnace</v>
          </cell>
          <cell r="E143" t="str">
            <v>Furnace_Max</v>
          </cell>
        </row>
        <row r="144">
          <cell r="B144" t="str">
            <v>Furnace, &gt;92% AFUE - CA EREP</v>
          </cell>
          <cell r="C144" t="str">
            <v>Furnace</v>
          </cell>
          <cell r="D144" t="str">
            <v>Furnace</v>
          </cell>
          <cell r="E144" t="str">
            <v>Furnace_Max</v>
          </cell>
        </row>
        <row r="145">
          <cell r="B145" t="str">
            <v>Furnace, &gt;95% AFUE  - CA EREP</v>
          </cell>
          <cell r="C145" t="str">
            <v>Furnace</v>
          </cell>
          <cell r="D145" t="str">
            <v>Furnace</v>
          </cell>
          <cell r="E145" t="str">
            <v>Furnace_Max</v>
          </cell>
        </row>
        <row r="146">
          <cell r="B146" t="str">
            <v>Furnace, &gt;97% AFUE EREP</v>
          </cell>
          <cell r="C146" t="str">
            <v>Furnace</v>
          </cell>
          <cell r="D146" t="str">
            <v>Furnace</v>
          </cell>
          <cell r="E146" t="str">
            <v>Furnace_Max</v>
          </cell>
        </row>
        <row r="147">
          <cell r="B147" t="str">
            <v>Furnace, &gt;97% AFUE  - CA EREP</v>
          </cell>
          <cell r="C147" t="str">
            <v>Furnace</v>
          </cell>
          <cell r="D147" t="str">
            <v>Furnace</v>
          </cell>
          <cell r="E147" t="str">
            <v>Furnace_Max</v>
          </cell>
        </row>
        <row r="148">
          <cell r="B148" t="str">
            <v>Combination Oven  (10 pans)</v>
          </cell>
          <cell r="C148" t="str">
            <v>Food service</v>
          </cell>
          <cell r="D148" t="str">
            <v>Food service</v>
          </cell>
          <cell r="E148" t="str">
            <v>Food service_Max</v>
          </cell>
        </row>
        <row r="149">
          <cell r="B149" t="str">
            <v>Combination Oven  (16 pans)</v>
          </cell>
          <cell r="C149" t="str">
            <v>Food service</v>
          </cell>
          <cell r="D149" t="str">
            <v>Food service</v>
          </cell>
          <cell r="E149" t="str">
            <v>Food service_Max</v>
          </cell>
        </row>
        <row r="150">
          <cell r="B150" t="str">
            <v>Combination Oven  (31 pans)</v>
          </cell>
          <cell r="C150" t="str">
            <v>Food service</v>
          </cell>
          <cell r="D150" t="str">
            <v>Food service</v>
          </cell>
          <cell r="E150" t="str">
            <v>Food service_Max</v>
          </cell>
        </row>
        <row r="151">
          <cell r="B151" t="str">
            <v>Combination Oven  (10 pans) Upstream</v>
          </cell>
          <cell r="C151" t="str">
            <v>Food service</v>
          </cell>
          <cell r="D151" t="str">
            <v>Food service</v>
          </cell>
          <cell r="E151" t="str">
            <v>Food service_Max</v>
          </cell>
        </row>
        <row r="152">
          <cell r="B152" t="str">
            <v>Combination Oven  (16 pans) Upstream</v>
          </cell>
          <cell r="C152" t="str">
            <v>Food service</v>
          </cell>
          <cell r="D152" t="str">
            <v>Food service</v>
          </cell>
          <cell r="E152" t="str">
            <v>Food service_Max</v>
          </cell>
        </row>
        <row r="153">
          <cell r="B153" t="str">
            <v>Combination Oven  (31 pans) Upstream</v>
          </cell>
          <cell r="C153" t="str">
            <v>Food service</v>
          </cell>
          <cell r="D153" t="str">
            <v>Food service</v>
          </cell>
          <cell r="E153" t="str">
            <v>Food service_Max</v>
          </cell>
        </row>
        <row r="154">
          <cell r="B154" t="str">
            <v>Combination Oven  (10 pans) EREP</v>
          </cell>
          <cell r="C154" t="str">
            <v>Food service</v>
          </cell>
          <cell r="D154" t="str">
            <v>Food service</v>
          </cell>
          <cell r="E154" t="str">
            <v>Food service_Max</v>
          </cell>
        </row>
        <row r="155">
          <cell r="B155" t="str">
            <v>Combination Oven  (16 pans) EREP</v>
          </cell>
          <cell r="C155" t="str">
            <v>Food service</v>
          </cell>
          <cell r="D155" t="str">
            <v>Food service</v>
          </cell>
          <cell r="E155" t="str">
            <v>Food service_Max</v>
          </cell>
        </row>
        <row r="156">
          <cell r="B156" t="str">
            <v>Combination Oven  (31 pans) EREP</v>
          </cell>
          <cell r="C156" t="str">
            <v>Food service</v>
          </cell>
          <cell r="D156" t="str">
            <v>Food service</v>
          </cell>
          <cell r="E156" t="str">
            <v>Food service_Max</v>
          </cell>
        </row>
        <row r="157">
          <cell r="B157" t="str">
            <v>Large Conveyor Oven, &gt;=25 in</v>
          </cell>
          <cell r="C157" t="str">
            <v>Food service</v>
          </cell>
          <cell r="D157" t="str">
            <v>Food service</v>
          </cell>
          <cell r="E157" t="str">
            <v>Food service_Max</v>
          </cell>
        </row>
        <row r="158">
          <cell r="B158" t="str">
            <v>Large Conveyor Oven, &gt;=25 in Upstream</v>
          </cell>
          <cell r="C158" t="str">
            <v>Food service</v>
          </cell>
          <cell r="D158" t="str">
            <v>Food service</v>
          </cell>
          <cell r="E158" t="str">
            <v>Food service_Max</v>
          </cell>
        </row>
        <row r="159">
          <cell r="B159" t="str">
            <v>Large Conveyor Oven, &gt;=25 in EREP</v>
          </cell>
          <cell r="C159" t="str">
            <v>Food service</v>
          </cell>
          <cell r="D159" t="str">
            <v>Food service</v>
          </cell>
          <cell r="E159" t="str">
            <v>Food service_Max</v>
          </cell>
        </row>
        <row r="160">
          <cell r="B160" t="str">
            <v>Convection Oven, E &gt;46%</v>
          </cell>
          <cell r="C160" t="str">
            <v>Food service</v>
          </cell>
          <cell r="D160" t="str">
            <v>Food service</v>
          </cell>
          <cell r="E160" t="str">
            <v>Food service_Max</v>
          </cell>
        </row>
        <row r="161">
          <cell r="B161" t="str">
            <v>Convection Oven, E &gt;46% Upstream</v>
          </cell>
          <cell r="C161" t="str">
            <v>Food service</v>
          </cell>
          <cell r="D161" t="str">
            <v>Food service</v>
          </cell>
          <cell r="E161" t="str">
            <v>Food service_Max</v>
          </cell>
        </row>
        <row r="162">
          <cell r="B162" t="str">
            <v>Convection Oven, E &gt;46% EREP</v>
          </cell>
          <cell r="C162" t="str">
            <v>Food service</v>
          </cell>
          <cell r="D162" t="str">
            <v>Food service</v>
          </cell>
          <cell r="E162" t="str">
            <v>Food service_Max</v>
          </cell>
        </row>
        <row r="163">
          <cell r="B163" t="str">
            <v>Fryer - E &gt;50%</v>
          </cell>
          <cell r="C163" t="str">
            <v>Food service</v>
          </cell>
          <cell r="D163" t="str">
            <v>Food service</v>
          </cell>
          <cell r="E163" t="str">
            <v>Food service_Max</v>
          </cell>
        </row>
        <row r="164">
          <cell r="B164" t="str">
            <v>Fryer - E &gt;50% Upstream</v>
          </cell>
          <cell r="C164" t="str">
            <v>Food service</v>
          </cell>
          <cell r="D164" t="str">
            <v>Food service</v>
          </cell>
          <cell r="E164" t="str">
            <v>Food service_Max</v>
          </cell>
        </row>
        <row r="165">
          <cell r="B165" t="str">
            <v>Fryer - E &gt;50% EREP</v>
          </cell>
          <cell r="C165" t="str">
            <v>Food service</v>
          </cell>
          <cell r="D165" t="str">
            <v>Food service</v>
          </cell>
          <cell r="E165" t="str">
            <v>Food service_Max</v>
          </cell>
        </row>
        <row r="166">
          <cell r="B166" t="str">
            <v>Griddle</v>
          </cell>
          <cell r="C166" t="str">
            <v>Food service</v>
          </cell>
          <cell r="D166" t="str">
            <v>Food service</v>
          </cell>
          <cell r="E166" t="str">
            <v>Food service_Max</v>
          </cell>
        </row>
        <row r="167">
          <cell r="B167" t="str">
            <v>Griddle Upstream</v>
          </cell>
          <cell r="C167" t="str">
            <v>Food service</v>
          </cell>
          <cell r="D167" t="str">
            <v>Food service</v>
          </cell>
          <cell r="E167" t="str">
            <v>Food service_Max</v>
          </cell>
        </row>
        <row r="168">
          <cell r="B168" t="str">
            <v>Griddle EREP</v>
          </cell>
          <cell r="C168" t="str">
            <v>Food service</v>
          </cell>
          <cell r="D168" t="str">
            <v>Food service</v>
          </cell>
          <cell r="E168" t="str">
            <v>Food service_Max</v>
          </cell>
        </row>
        <row r="169">
          <cell r="B169" t="str">
            <v>Infrared Charbroiler</v>
          </cell>
          <cell r="C169" t="str">
            <v>Food service</v>
          </cell>
          <cell r="D169" t="str">
            <v>Food service</v>
          </cell>
          <cell r="E169" t="str">
            <v>Food service_Max</v>
          </cell>
        </row>
        <row r="170">
          <cell r="B170" t="str">
            <v>Infrared Charbroiler Upstream</v>
          </cell>
          <cell r="C170" t="str">
            <v>Food service</v>
          </cell>
          <cell r="D170" t="str">
            <v>Food service</v>
          </cell>
          <cell r="E170" t="str">
            <v>Food service_Max</v>
          </cell>
        </row>
        <row r="171">
          <cell r="B171" t="str">
            <v>Infrared Charbroiler EREP</v>
          </cell>
          <cell r="C171" t="str">
            <v>Food service</v>
          </cell>
          <cell r="D171" t="str">
            <v>Food service</v>
          </cell>
          <cell r="E171" t="str">
            <v>Food service_Max</v>
          </cell>
        </row>
        <row r="172">
          <cell r="B172" t="str">
            <v>Infrared Rotisserie Oven</v>
          </cell>
          <cell r="C172" t="str">
            <v>Food service</v>
          </cell>
          <cell r="D172" t="str">
            <v>Food service</v>
          </cell>
          <cell r="E172" t="str">
            <v>Food service_Max</v>
          </cell>
        </row>
        <row r="173">
          <cell r="B173" t="str">
            <v>Infrared Rotisserie Oven Upstream</v>
          </cell>
          <cell r="C173" t="str">
            <v>Food service</v>
          </cell>
          <cell r="D173" t="str">
            <v>Food service</v>
          </cell>
          <cell r="E173" t="str">
            <v>Food service_Max</v>
          </cell>
        </row>
        <row r="174">
          <cell r="B174" t="str">
            <v>Infrared Rotisserie Oven EREP</v>
          </cell>
          <cell r="C174" t="str">
            <v>Food service</v>
          </cell>
          <cell r="D174" t="str">
            <v>Food service</v>
          </cell>
          <cell r="E174" t="str">
            <v>Food service_Max</v>
          </cell>
        </row>
        <row r="175">
          <cell r="B175" t="str">
            <v>Infrared Salamander Broiler</v>
          </cell>
          <cell r="C175" t="str">
            <v>Food service</v>
          </cell>
          <cell r="D175" t="str">
            <v>Food service</v>
          </cell>
          <cell r="E175" t="str">
            <v>Food service_Max</v>
          </cell>
        </row>
        <row r="176">
          <cell r="B176" t="str">
            <v>Infrared Salamander Broiler Upstream</v>
          </cell>
          <cell r="C176" t="str">
            <v>Food service</v>
          </cell>
          <cell r="D176" t="str">
            <v>Food service</v>
          </cell>
          <cell r="E176" t="str">
            <v>Food service_Max</v>
          </cell>
        </row>
        <row r="177">
          <cell r="B177" t="str">
            <v>Infrared Salamander Broiler EREP</v>
          </cell>
          <cell r="C177" t="str">
            <v>Food service</v>
          </cell>
          <cell r="D177" t="str">
            <v>Food service</v>
          </cell>
          <cell r="E177" t="str">
            <v>Food service_Max</v>
          </cell>
        </row>
        <row r="178">
          <cell r="B178" t="str">
            <v>Infrared Upright Broiler</v>
          </cell>
          <cell r="C178" t="str">
            <v>Food service</v>
          </cell>
          <cell r="D178" t="str">
            <v>Food service</v>
          </cell>
          <cell r="E178" t="str">
            <v>Food service_Max</v>
          </cell>
        </row>
        <row r="179">
          <cell r="B179" t="str">
            <v>Infrared Upright Broiler Upstream</v>
          </cell>
          <cell r="C179" t="str">
            <v>Food service</v>
          </cell>
          <cell r="D179" t="str">
            <v>Food service</v>
          </cell>
          <cell r="E179" t="str">
            <v>Food service_Max</v>
          </cell>
        </row>
        <row r="180">
          <cell r="B180" t="str">
            <v>Infrared Upright Broiler EREP</v>
          </cell>
          <cell r="C180" t="str">
            <v>Food service</v>
          </cell>
          <cell r="D180" t="str">
            <v>Food service</v>
          </cell>
          <cell r="E180" t="str">
            <v>Food service_Max</v>
          </cell>
        </row>
        <row r="181">
          <cell r="B181" t="str">
            <v>Pasta Cooker</v>
          </cell>
          <cell r="C181" t="str">
            <v>Food service</v>
          </cell>
          <cell r="D181" t="str">
            <v>Food service</v>
          </cell>
          <cell r="E181" t="str">
            <v>Food service_Max</v>
          </cell>
        </row>
        <row r="182">
          <cell r="B182" t="str">
            <v>Pasta Cooker Upstream</v>
          </cell>
          <cell r="C182" t="str">
            <v>Food service</v>
          </cell>
          <cell r="D182" t="str">
            <v>Food service</v>
          </cell>
          <cell r="E182" t="str">
            <v>Food service_Max</v>
          </cell>
        </row>
        <row r="183">
          <cell r="B183" t="str">
            <v>Pasta Cooker EREP</v>
          </cell>
          <cell r="C183" t="str">
            <v>Food service</v>
          </cell>
          <cell r="D183" t="str">
            <v>Food service</v>
          </cell>
          <cell r="E183" t="str">
            <v>Food service_Max</v>
          </cell>
        </row>
        <row r="184">
          <cell r="B184" t="str">
            <v>Rack Oven - Double</v>
          </cell>
          <cell r="C184" t="str">
            <v>Food service</v>
          </cell>
          <cell r="D184" t="str">
            <v>Food service</v>
          </cell>
          <cell r="E184" t="str">
            <v>Food service_Max</v>
          </cell>
        </row>
        <row r="185">
          <cell r="B185" t="str">
            <v>Rack Oven - Double Upstream</v>
          </cell>
          <cell r="C185" t="str">
            <v>Food service</v>
          </cell>
          <cell r="D185" t="str">
            <v>Food service</v>
          </cell>
          <cell r="E185" t="str">
            <v>Food service_Max</v>
          </cell>
        </row>
        <row r="186">
          <cell r="B186" t="str">
            <v>Rack Oven - Double EREP</v>
          </cell>
          <cell r="C186" t="str">
            <v>Food service</v>
          </cell>
          <cell r="D186" t="str">
            <v>Food service</v>
          </cell>
          <cell r="E186" t="str">
            <v>Food service_Max</v>
          </cell>
        </row>
        <row r="187">
          <cell r="B187" t="str">
            <v>Storage Water Heater, &gt;0.67 EF</v>
          </cell>
          <cell r="C187" t="str">
            <v>Water Heater</v>
          </cell>
          <cell r="D187" t="str">
            <v>Water Heater</v>
          </cell>
          <cell r="E187" t="str">
            <v>Water Heater_Max</v>
          </cell>
        </row>
        <row r="188">
          <cell r="B188" t="str">
            <v>Storage Water Heater, &gt;0.67 EF, Sml Biz</v>
          </cell>
          <cell r="C188" t="str">
            <v>Water Heater</v>
          </cell>
          <cell r="D188" t="str">
            <v>Water Heater</v>
          </cell>
          <cell r="E188" t="str">
            <v>Water Heater_Max</v>
          </cell>
        </row>
        <row r="189">
          <cell r="B189" t="str">
            <v>Storage Water Heater, &gt;88% TE</v>
          </cell>
          <cell r="C189" t="str">
            <v>Water Heater</v>
          </cell>
          <cell r="D189" t="str">
            <v>Water Heater</v>
          </cell>
          <cell r="E189" t="str">
            <v>Water Heater_Max</v>
          </cell>
        </row>
        <row r="190">
          <cell r="B190" t="str">
            <v>Storage Water Heater, &gt;0.67 EF Upstream</v>
          </cell>
          <cell r="C190" t="str">
            <v>Water Heater</v>
          </cell>
          <cell r="D190" t="str">
            <v>Water Heater</v>
          </cell>
          <cell r="E190" t="str">
            <v>Water Heater_Max</v>
          </cell>
        </row>
        <row r="191">
          <cell r="B191" t="str">
            <v>Storage Water Heater, &gt;0.67 EF, Sml Biz upstream</v>
          </cell>
          <cell r="C191" t="str">
            <v>Water Heater</v>
          </cell>
          <cell r="D191" t="str">
            <v>Water Heater</v>
          </cell>
          <cell r="E191" t="str">
            <v>Water Heater_Max</v>
          </cell>
        </row>
        <row r="192">
          <cell r="B192" t="str">
            <v>Storage Water Heater, &gt;88% TE Upstream</v>
          </cell>
          <cell r="C192" t="str">
            <v>Water Heater</v>
          </cell>
          <cell r="D192" t="str">
            <v>Water Heater</v>
          </cell>
          <cell r="E192" t="str">
            <v>Water Heater_Max</v>
          </cell>
        </row>
        <row r="193">
          <cell r="B193" t="str">
            <v>Storage Water Heater, &gt;0.67 EF EREP</v>
          </cell>
          <cell r="C193" t="str">
            <v>Water Heater</v>
          </cell>
          <cell r="D193" t="str">
            <v>Water Heater</v>
          </cell>
          <cell r="E193" t="str">
            <v>Water Heater_Max</v>
          </cell>
        </row>
        <row r="194">
          <cell r="B194" t="str">
            <v>Storage Water Heater, &gt;0.67 EF, Sml Biz EREP</v>
          </cell>
          <cell r="C194" t="str">
            <v>Water Heater</v>
          </cell>
          <cell r="D194" t="str">
            <v>Water Heater</v>
          </cell>
          <cell r="E194" t="str">
            <v>Water Heater_Max</v>
          </cell>
        </row>
        <row r="195">
          <cell r="B195" t="str">
            <v>Storage Water Heater, &gt;88% TE EREP</v>
          </cell>
          <cell r="C195" t="str">
            <v>Water Heater</v>
          </cell>
          <cell r="D195" t="str">
            <v>Water Heater</v>
          </cell>
          <cell r="E195" t="str">
            <v>Water Heater_Max</v>
          </cell>
        </row>
        <row r="196">
          <cell r="B196" t="str">
            <v>Ozone Laundry</v>
          </cell>
          <cell r="C196" t="str">
            <v>Pipe insulation</v>
          </cell>
          <cell r="D196" t="str">
            <v>Pipe insulation</v>
          </cell>
          <cell r="E196" t="str">
            <v>Pipe insulation_Max</v>
          </cell>
        </row>
        <row r="197">
          <cell r="B197" t="str">
            <v>Ozone Laundry-25 lbs</v>
          </cell>
          <cell r="C197" t="str">
            <v>Pipe insulation</v>
          </cell>
          <cell r="D197" t="str">
            <v>Pipe insulation</v>
          </cell>
          <cell r="E197" t="str">
            <v>Pipe insulation_Max</v>
          </cell>
        </row>
        <row r="198">
          <cell r="B198" t="str">
            <v>Ozone Laundry-100 lbs</v>
          </cell>
          <cell r="C198" t="str">
            <v>Pipe insulation</v>
          </cell>
          <cell r="D198" t="str">
            <v>Pipe insulation</v>
          </cell>
          <cell r="E198" t="str">
            <v>Pipe insulation_Max</v>
          </cell>
        </row>
        <row r="199">
          <cell r="B199" t="str">
            <v>Ozone Laundry-50 lbs</v>
          </cell>
          <cell r="C199" t="str">
            <v>Pipe insulation</v>
          </cell>
          <cell r="D199" t="str">
            <v>Pipe insulation</v>
          </cell>
          <cell r="E199" t="str">
            <v>Pipe insulation_Max</v>
          </cell>
        </row>
        <row r="200">
          <cell r="B200" t="str">
            <v>Condensing Unit Heaters, &gt;90% &lt;300 MBH</v>
          </cell>
          <cell r="C200" t="str">
            <v>Condensing Unit Heater</v>
          </cell>
          <cell r="D200" t="str">
            <v>Small Custom</v>
          </cell>
          <cell r="E200" t="str">
            <v>Small Custom_Max</v>
          </cell>
        </row>
        <row r="201">
          <cell r="B201" t="str">
            <v>Infrared Heaters</v>
          </cell>
          <cell r="C201" t="str">
            <v>Business Average</v>
          </cell>
          <cell r="D201" t="str">
            <v>Business Average</v>
          </cell>
          <cell r="E201" t="str">
            <v>Business Average_Max</v>
          </cell>
        </row>
        <row r="202">
          <cell r="B202" t="str">
            <v>RCx Lite SB</v>
          </cell>
          <cell r="C202" t="str">
            <v>RCx Project</v>
          </cell>
          <cell r="D202" t="str">
            <v>Small Custom</v>
          </cell>
          <cell r="E202" t="str">
            <v>Small Custom_Max</v>
          </cell>
        </row>
        <row r="203">
          <cell r="B203" t="str">
            <v>Custom &gt;= 2,500 &lt; 7,500 SB</v>
          </cell>
          <cell r="C203" t="str">
            <v>Small Custom Projects</v>
          </cell>
          <cell r="D203" t="str">
            <v>Small Custom</v>
          </cell>
          <cell r="E203" t="str">
            <v>Small Custom_Max</v>
          </cell>
        </row>
        <row r="204">
          <cell r="B204" t="str">
            <v>Large Conveyor Oven, &lt;25 in</v>
          </cell>
          <cell r="C204" t="str">
            <v>Food service</v>
          </cell>
          <cell r="D204" t="str">
            <v>Food service</v>
          </cell>
          <cell r="E204" t="str">
            <v>Food service_Max</v>
          </cell>
        </row>
        <row r="205">
          <cell r="B205" t="str">
            <v>Fryer - Large Vat</v>
          </cell>
          <cell r="C205" t="str">
            <v>Food service</v>
          </cell>
          <cell r="D205" t="str">
            <v>Food service</v>
          </cell>
          <cell r="E205" t="str">
            <v>Food service_Max</v>
          </cell>
        </row>
        <row r="206">
          <cell r="B206" t="str">
            <v>Finned-Bottom Stock Pots</v>
          </cell>
          <cell r="C206" t="str">
            <v>Food service</v>
          </cell>
          <cell r="D206" t="str">
            <v>Food service</v>
          </cell>
          <cell r="E206" t="str">
            <v>Food service_Max</v>
          </cell>
        </row>
        <row r="207">
          <cell r="B207" t="str">
            <v>Rack Oven - Single</v>
          </cell>
          <cell r="C207" t="str">
            <v>Food service</v>
          </cell>
          <cell r="D207" t="str">
            <v>Food service</v>
          </cell>
          <cell r="E207" t="str">
            <v>Food service_Max</v>
          </cell>
        </row>
        <row r="208">
          <cell r="B208" t="str">
            <v>Direct Fired Space Heater &lt; 800 MBH</v>
          </cell>
          <cell r="C208" t="str">
            <v>N</v>
          </cell>
          <cell r="D208" t="str">
            <v>N</v>
          </cell>
          <cell r="E208" t="str">
            <v>N</v>
          </cell>
        </row>
        <row r="209">
          <cell r="B209" t="str">
            <v>Direct Fired Space Heater 800-1600 MBH</v>
          </cell>
          <cell r="C209" t="str">
            <v>N</v>
          </cell>
          <cell r="D209" t="str">
            <v>N</v>
          </cell>
          <cell r="E209" t="str">
            <v>N</v>
          </cell>
        </row>
        <row r="210">
          <cell r="B210" t="str">
            <v>Direct Fired Space Heater &gt; 1600 MBH</v>
          </cell>
          <cell r="C210" t="str">
            <v>N</v>
          </cell>
          <cell r="D210" t="str">
            <v>N</v>
          </cell>
          <cell r="E210" t="str">
            <v>N</v>
          </cell>
        </row>
        <row r="211">
          <cell r="B211" t="str">
            <v>Spray Valve (Med Sized Restuarants)-DI</v>
          </cell>
          <cell r="C211" t="str">
            <v>Low-flow fixtures</v>
          </cell>
          <cell r="D211" t="str">
            <v>Low-flow fixtures</v>
          </cell>
          <cell r="E211" t="str">
            <v>Low-flow fixtures_Max</v>
          </cell>
        </row>
        <row r="212">
          <cell r="B212" t="str">
            <v>Spray Valve (Small Restaurants)-DI</v>
          </cell>
          <cell r="C212" t="str">
            <v>Low-flow fixtures</v>
          </cell>
          <cell r="D212" t="str">
            <v>Low-flow fixtures</v>
          </cell>
          <cell r="E212" t="str">
            <v>Low-flow fixtures_Max</v>
          </cell>
        </row>
        <row r="213">
          <cell r="B213" t="str">
            <v>Spray Valve (Large Restaurants)-DI</v>
          </cell>
          <cell r="C213" t="str">
            <v>Low-flow fixtures</v>
          </cell>
          <cell r="D213" t="str">
            <v>Low-flow fixtures</v>
          </cell>
          <cell r="E213" t="str">
            <v>Low-flow fixtures_Max</v>
          </cell>
        </row>
        <row r="214">
          <cell r="B214" t="str">
            <v>Pre-Rinse Spray Valves DI CA</v>
          </cell>
          <cell r="C214" t="str">
            <v>Low-flow fixtures</v>
          </cell>
          <cell r="D214" t="str">
            <v>Low-flow fixtures</v>
          </cell>
          <cell r="E214" t="str">
            <v>Low-flow fixtures_Max</v>
          </cell>
        </row>
        <row r="215">
          <cell r="B215" t="str">
            <v>Boiler Tune Up, 400 MBH</v>
          </cell>
          <cell r="C215" t="str">
            <v>Boilers</v>
          </cell>
          <cell r="D215" t="str">
            <v>Boilers</v>
          </cell>
          <cell r="E215" t="str">
            <v>Boilers_Max</v>
          </cell>
        </row>
        <row r="216">
          <cell r="B216" t="str">
            <v>Boiler Tune Up, 300 MBH</v>
          </cell>
          <cell r="C216" t="str">
            <v>Boilers</v>
          </cell>
          <cell r="D216" t="str">
            <v>Boilers</v>
          </cell>
          <cell r="E216" t="str">
            <v>Boilers_Max</v>
          </cell>
        </row>
        <row r="217">
          <cell r="B217" t="str">
            <v>Boiler Tune Up, 75 MBH</v>
          </cell>
          <cell r="C217" t="str">
            <v>Boilers</v>
          </cell>
          <cell r="D217" t="str">
            <v>Boilers</v>
          </cell>
          <cell r="E217" t="str">
            <v>Boilers_Max</v>
          </cell>
        </row>
        <row r="218">
          <cell r="B218" t="str">
            <v>Boiler Tune Up, 650 MBH</v>
          </cell>
          <cell r="C218" t="str">
            <v>Boilers</v>
          </cell>
          <cell r="D218" t="str">
            <v>Boilers</v>
          </cell>
          <cell r="E218" t="str">
            <v>Boilers_Max</v>
          </cell>
        </row>
        <row r="219">
          <cell r="B219" t="str">
            <v>Boiler Tune Up, 482 MBH</v>
          </cell>
          <cell r="C219" t="str">
            <v>Boilers</v>
          </cell>
          <cell r="D219" t="str">
            <v>Boilers</v>
          </cell>
          <cell r="E219" t="str">
            <v>Boilers_Max</v>
          </cell>
        </row>
        <row r="220">
          <cell r="B220" t="str">
            <v>Boiler Tune Up, 800 MBH</v>
          </cell>
          <cell r="C220" t="str">
            <v>Boilers</v>
          </cell>
          <cell r="D220" t="str">
            <v>Boilers</v>
          </cell>
          <cell r="E220" t="str">
            <v>Boilers_Max</v>
          </cell>
        </row>
        <row r="221">
          <cell r="B221" t="str">
            <v>Boiler Reset Controls, 300 MBH</v>
          </cell>
          <cell r="C221" t="str">
            <v>Boilers</v>
          </cell>
          <cell r="D221" t="str">
            <v>Boilers</v>
          </cell>
          <cell r="E221" t="str">
            <v>Boilers_Max</v>
          </cell>
        </row>
        <row r="222">
          <cell r="B222" t="str">
            <v>Boiler Reset Controls, 400 MBH</v>
          </cell>
          <cell r="C222" t="str">
            <v>Boilers</v>
          </cell>
          <cell r="D222" t="str">
            <v>Boilers</v>
          </cell>
          <cell r="E222" t="str">
            <v>Boilers_Max</v>
          </cell>
        </row>
        <row r="223">
          <cell r="B223" t="str">
            <v>Pipe Insulation, Outdoor HPS Space Heat</v>
          </cell>
          <cell r="C223" t="str">
            <v>Pipe insulation</v>
          </cell>
          <cell r="D223" t="str">
            <v>Pipe insulation</v>
          </cell>
          <cell r="E223" t="str">
            <v>Pipe insulation_Max</v>
          </cell>
        </row>
        <row r="224">
          <cell r="B224" t="str">
            <v>Pipe Insulation, Outdoor LPS Space Heat</v>
          </cell>
          <cell r="C224" t="str">
            <v>Pipe insulation</v>
          </cell>
          <cell r="D224" t="str">
            <v>Pipe insulation</v>
          </cell>
          <cell r="E224" t="str">
            <v>Pipe insulation_Max</v>
          </cell>
        </row>
        <row r="225">
          <cell r="B225" t="str">
            <v>Pipe Insulation, Indoor HPS Space Heat</v>
          </cell>
          <cell r="C225" t="str">
            <v>Pipe insulation</v>
          </cell>
          <cell r="D225" t="str">
            <v>Pipe insulation</v>
          </cell>
          <cell r="E225" t="str">
            <v>Pipe insulation_Max</v>
          </cell>
        </row>
        <row r="226">
          <cell r="B226" t="str">
            <v>Pipe Insulation, Indoor LPS Space Heat</v>
          </cell>
          <cell r="C226" t="str">
            <v>Pipe insulation</v>
          </cell>
          <cell r="D226" t="str">
            <v>Pipe insulation</v>
          </cell>
          <cell r="E226" t="str">
            <v>Pipe insulation_Max</v>
          </cell>
        </row>
        <row r="227">
          <cell r="B227" t="str">
            <v>Pipe Insulation, Outdoor HW Space Heat</v>
          </cell>
          <cell r="C227" t="str">
            <v>Pipe insulation</v>
          </cell>
          <cell r="D227" t="str">
            <v>Pipe insulation</v>
          </cell>
          <cell r="E227" t="str">
            <v>Pipe insulation_Max</v>
          </cell>
        </row>
        <row r="228">
          <cell r="B228" t="str">
            <v>Pipe Insulation, Indoor DHW</v>
          </cell>
          <cell r="C228" t="str">
            <v>Pipe insulation</v>
          </cell>
          <cell r="D228" t="str">
            <v>Pipe insulation</v>
          </cell>
          <cell r="E228" t="str">
            <v>Pipe insulation_Max</v>
          </cell>
        </row>
        <row r="229">
          <cell r="B229" t="str">
            <v>Pipe Insulation, Indoor HW Space Heat</v>
          </cell>
          <cell r="C229" t="str">
            <v>Pipe insulation</v>
          </cell>
          <cell r="D229" t="str">
            <v>Pipe insulation</v>
          </cell>
          <cell r="E229" t="str">
            <v>Pipe insulation_Max</v>
          </cell>
        </row>
        <row r="230">
          <cell r="B230" t="str">
            <v>Pipe Insulation, Outdoor MPS Space Heat</v>
          </cell>
          <cell r="C230" t="str">
            <v>Pipe insulation</v>
          </cell>
          <cell r="D230" t="str">
            <v>Pipe insulation</v>
          </cell>
          <cell r="E230" t="str">
            <v>Pipe insulation_Max</v>
          </cell>
        </row>
        <row r="231">
          <cell r="B231" t="str">
            <v>Pipe Insulation, Indoor MPS Space Heat</v>
          </cell>
          <cell r="C231" t="str">
            <v>Pipe insulation</v>
          </cell>
          <cell r="D231" t="str">
            <v>Pipe insulation</v>
          </cell>
          <cell r="E231" t="str">
            <v>Pipe insulation_Max</v>
          </cell>
        </row>
        <row r="232">
          <cell r="B232" t="str">
            <v>Pipe Insulation, Outdoor HPS Process Heat</v>
          </cell>
          <cell r="C232" t="str">
            <v>Pipe insulation</v>
          </cell>
          <cell r="D232" t="str">
            <v>Pipe insulation</v>
          </cell>
          <cell r="E232" t="str">
            <v>Pipe insulation_Max</v>
          </cell>
        </row>
        <row r="233">
          <cell r="B233" t="str">
            <v>Pipe Insulation, Outdoor MPS Process Heat</v>
          </cell>
          <cell r="C233" t="str">
            <v>Pipe insulation</v>
          </cell>
          <cell r="D233" t="str">
            <v>Pipe insulation</v>
          </cell>
          <cell r="E233" t="str">
            <v>Pipe insulation_Max</v>
          </cell>
        </row>
        <row r="234">
          <cell r="B234" t="str">
            <v>Pipe Insulation, Outdoor LPS Process Heat</v>
          </cell>
          <cell r="C234" t="str">
            <v>Pipe insulation</v>
          </cell>
          <cell r="D234" t="str">
            <v>Pipe insulation</v>
          </cell>
          <cell r="E234" t="str">
            <v>Pipe insulation_Max</v>
          </cell>
        </row>
        <row r="235">
          <cell r="B235" t="str">
            <v>Pipe Insulation, Indoor HPS Process Heat</v>
          </cell>
          <cell r="C235" t="str">
            <v>Pipe insulation</v>
          </cell>
          <cell r="D235" t="str">
            <v>Pipe insulation</v>
          </cell>
          <cell r="E235" t="str">
            <v>Pipe insulation_Max</v>
          </cell>
        </row>
        <row r="236">
          <cell r="B236" t="str">
            <v>Pipe Insulation, Indoor MPS Process Heat</v>
          </cell>
          <cell r="C236" t="str">
            <v>Pipe insulation</v>
          </cell>
          <cell r="D236" t="str">
            <v>Pipe insulation</v>
          </cell>
          <cell r="E236" t="str">
            <v>Pipe insulation_Max</v>
          </cell>
        </row>
        <row r="237">
          <cell r="B237" t="str">
            <v>Pipe Insulation, Indoor LPS Process Heat</v>
          </cell>
          <cell r="C237" t="str">
            <v>Pipe insulation</v>
          </cell>
          <cell r="D237" t="str">
            <v>Pipe insulation</v>
          </cell>
          <cell r="E237" t="str">
            <v>Pipe insulation_Max</v>
          </cell>
        </row>
        <row r="238">
          <cell r="B238" t="str">
            <v>Steam Trap, Indust MP 15-30 psig</v>
          </cell>
          <cell r="C238" t="str">
            <v>Steam traps</v>
          </cell>
          <cell r="D238" t="str">
            <v>Steam traps</v>
          </cell>
          <cell r="E238" t="str">
            <v>Steam traps_Max</v>
          </cell>
        </row>
        <row r="239">
          <cell r="B239" t="str">
            <v>Steam Trap, Indust MP 30-75 psig</v>
          </cell>
          <cell r="C239" t="str">
            <v>Steam traps</v>
          </cell>
          <cell r="D239" t="str">
            <v>Steam traps</v>
          </cell>
          <cell r="E239" t="str">
            <v>Steam traps_Max</v>
          </cell>
        </row>
        <row r="240">
          <cell r="B240" t="str">
            <v>Steam Trap, Indust HP 75-125 psig</v>
          </cell>
          <cell r="C240" t="str">
            <v>Steam traps</v>
          </cell>
          <cell r="D240" t="str">
            <v>Steam traps</v>
          </cell>
          <cell r="E240" t="str">
            <v>Steam traps_Max</v>
          </cell>
        </row>
        <row r="241">
          <cell r="B241" t="str">
            <v>Steam Trap, Indust HP 125-175 psig</v>
          </cell>
          <cell r="C241" t="str">
            <v>Steam traps</v>
          </cell>
          <cell r="D241" t="str">
            <v>Steam traps</v>
          </cell>
          <cell r="E241" t="str">
            <v>Steam traps_Max</v>
          </cell>
        </row>
        <row r="242">
          <cell r="B242" t="str">
            <v>Steam Trap, Indust HP 175-250 psig</v>
          </cell>
          <cell r="C242" t="str">
            <v>Steam traps</v>
          </cell>
          <cell r="D242" t="str">
            <v>Steam traps</v>
          </cell>
          <cell r="E242" t="str">
            <v>Steam traps_Max</v>
          </cell>
        </row>
        <row r="243">
          <cell r="B243" t="str">
            <v>Steam Trap, Indust HP 250 psig</v>
          </cell>
          <cell r="C243" t="str">
            <v>Steam traps</v>
          </cell>
          <cell r="D243" t="str">
            <v>Steam traps</v>
          </cell>
          <cell r="E243" t="str">
            <v>Steam traps_Max</v>
          </cell>
        </row>
        <row r="244">
          <cell r="B244" t="str">
            <v>Steam Trap, Commercial</v>
          </cell>
          <cell r="C244" t="str">
            <v>Steam traps</v>
          </cell>
          <cell r="D244" t="str">
            <v>Steam traps</v>
          </cell>
          <cell r="E244" t="str">
            <v>Steam traps_Max</v>
          </cell>
        </row>
        <row r="245">
          <cell r="B245" t="str">
            <v>Steam Trap, Commercial &lt;15 psig</v>
          </cell>
          <cell r="C245" t="str">
            <v>Steam traps</v>
          </cell>
          <cell r="D245" t="str">
            <v>Steam traps</v>
          </cell>
          <cell r="E245" t="str">
            <v>Steam traps_Max</v>
          </cell>
        </row>
        <row r="246">
          <cell r="B246" t="str">
            <v>Steam Trap, Dry Cleaner</v>
          </cell>
          <cell r="C246" t="str">
            <v>Steam traps</v>
          </cell>
          <cell r="D246" t="str">
            <v>Steam traps</v>
          </cell>
          <cell r="E246" t="str">
            <v>Steam traps_Max</v>
          </cell>
        </row>
        <row r="247">
          <cell r="B247" t="str">
            <v>Small Pipe Insulation, 1/2", Indoor Space Heat</v>
          </cell>
          <cell r="C247" t="str">
            <v>Pipe insulation</v>
          </cell>
          <cell r="D247" t="str">
            <v>Pipe insulation</v>
          </cell>
          <cell r="E247" t="str">
            <v>Pipe insulation_Max</v>
          </cell>
        </row>
        <row r="248">
          <cell r="B248" t="str">
            <v>Small Pipe Insulation, 3/4", Indoor Space Heat</v>
          </cell>
          <cell r="C248" t="str">
            <v>Pipe insulation</v>
          </cell>
          <cell r="D248" t="str">
            <v>Pipe insulation</v>
          </cell>
          <cell r="E248" t="str">
            <v>Pipe insulation_Max</v>
          </cell>
        </row>
        <row r="249">
          <cell r="B249" t="str">
            <v>Small Pipe Insulation, 1/2", Indoor DHW</v>
          </cell>
          <cell r="C249" t="str">
            <v>Pipe insulation</v>
          </cell>
          <cell r="D249" t="str">
            <v>Pipe insulation</v>
          </cell>
          <cell r="E249" t="str">
            <v>Pipe insulation_Max</v>
          </cell>
        </row>
        <row r="250">
          <cell r="B250" t="str">
            <v>Small Pipe Insulation, 3/4", Indoor DHW</v>
          </cell>
          <cell r="C250" t="str">
            <v>Pipe insulation</v>
          </cell>
          <cell r="D250" t="str">
            <v>Pipe insulation</v>
          </cell>
          <cell r="E250" t="str">
            <v>Pipe insulation_Max</v>
          </cell>
        </row>
        <row r="251">
          <cell r="B251" t="str">
            <v>Faucet Aerators - Bath - DI</v>
          </cell>
          <cell r="C251" t="str">
            <v>Low-flow fixtures</v>
          </cell>
          <cell r="D251" t="str">
            <v>Low-flow fixtures</v>
          </cell>
          <cell r="E251" t="str">
            <v>Low-flow fixtures_Max</v>
          </cell>
        </row>
        <row r="252">
          <cell r="B252" t="str">
            <v>Faucet Aerators - Kitchen  - DI</v>
          </cell>
          <cell r="C252" t="str">
            <v>Low-flow fixtures</v>
          </cell>
          <cell r="D252" t="str">
            <v>Low-flow fixtures</v>
          </cell>
          <cell r="E252" t="str">
            <v>Low-flow fixtures_Max</v>
          </cell>
        </row>
        <row r="253">
          <cell r="B253" t="str">
            <v>Laminar Flow</v>
          </cell>
          <cell r="C253" t="str">
            <v>Low-flow fixtures</v>
          </cell>
          <cell r="D253" t="str">
            <v>Low-flow fixtures</v>
          </cell>
          <cell r="E253" t="str">
            <v>Low-flow fixtures_Max</v>
          </cell>
        </row>
        <row r="254">
          <cell r="B254" t="str">
            <v>Low Flow Shower Heads - DI</v>
          </cell>
          <cell r="C254" t="str">
            <v>Showerheads</v>
          </cell>
          <cell r="D254" t="str">
            <v>Showerheads</v>
          </cell>
          <cell r="E254" t="str">
            <v>Showerheads_Max</v>
          </cell>
        </row>
        <row r="255">
          <cell r="B255" t="str">
            <v>Boiler Tune Up, Process</v>
          </cell>
          <cell r="C255" t="str">
            <v>Boilers</v>
          </cell>
          <cell r="D255" t="str">
            <v>Boilers</v>
          </cell>
          <cell r="E255" t="str">
            <v>Boilers_Max</v>
          </cell>
        </row>
        <row r="256">
          <cell r="B256" t="str">
            <v>Programmable Thermostats - Assembly</v>
          </cell>
          <cell r="C256" t="str">
            <v>Thermostats</v>
          </cell>
          <cell r="D256" t="str">
            <v>Thermostats</v>
          </cell>
          <cell r="E256" t="str">
            <v>Thermostats_Max</v>
          </cell>
        </row>
        <row r="257">
          <cell r="B257" t="str">
            <v>Programmable Thermostats - Convenience Store</v>
          </cell>
          <cell r="C257" t="str">
            <v>Thermostats</v>
          </cell>
          <cell r="D257" t="str">
            <v>Thermostats</v>
          </cell>
          <cell r="E257" t="str">
            <v>Thermostats_Max</v>
          </cell>
        </row>
        <row r="258">
          <cell r="B258" t="str">
            <v>Programmable Thermostats - Office - Low Rise</v>
          </cell>
          <cell r="C258" t="str">
            <v>Thermostats</v>
          </cell>
          <cell r="D258" t="str">
            <v>Thermostats</v>
          </cell>
          <cell r="E258" t="str">
            <v>Thermostats_Max</v>
          </cell>
        </row>
        <row r="259">
          <cell r="B259" t="str">
            <v>Programmable Thermostats - Religious Facility</v>
          </cell>
          <cell r="C259" t="str">
            <v>Thermostats</v>
          </cell>
          <cell r="D259" t="str">
            <v>Thermostats</v>
          </cell>
          <cell r="E259" t="str">
            <v>Thermostats_Max</v>
          </cell>
        </row>
        <row r="260">
          <cell r="B260" t="str">
            <v>Programmable Thermostats - Restaurant – Fast Food</v>
          </cell>
          <cell r="C260" t="str">
            <v>Thermostats</v>
          </cell>
          <cell r="D260" t="str">
            <v>Thermostats</v>
          </cell>
          <cell r="E260" t="str">
            <v>Thermostats_Max</v>
          </cell>
        </row>
        <row r="261">
          <cell r="B261" t="str">
            <v>Programmable Thermostats - Restaurant – Full Service</v>
          </cell>
          <cell r="C261" t="str">
            <v>Thermostats</v>
          </cell>
          <cell r="D261" t="str">
            <v>Thermostats</v>
          </cell>
          <cell r="E261" t="str">
            <v>Thermostats_Max</v>
          </cell>
        </row>
        <row r="262">
          <cell r="B262" t="str">
            <v>Programmable Thermostats - Retail – Department Store</v>
          </cell>
          <cell r="C262" t="str">
            <v>Thermostats</v>
          </cell>
          <cell r="D262" t="str">
            <v>Thermostats</v>
          </cell>
          <cell r="E262" t="str">
            <v>Thermostats_Max</v>
          </cell>
        </row>
        <row r="263">
          <cell r="B263" t="str">
            <v>Programmable Thermostats - Retail – Strip Mall</v>
          </cell>
          <cell r="C263" t="str">
            <v>Thermostats</v>
          </cell>
          <cell r="D263" t="str">
            <v>Thermostats</v>
          </cell>
          <cell r="E263" t="str">
            <v>Thermostats_Max</v>
          </cell>
        </row>
        <row r="264">
          <cell r="B264" t="str">
            <v>DCV - Office Building</v>
          </cell>
          <cell r="C264" t="str">
            <v>DCV</v>
          </cell>
          <cell r="D264" t="str">
            <v>Small Custom</v>
          </cell>
          <cell r="E264" t="str">
            <v>Small Custom_Max</v>
          </cell>
        </row>
        <row r="265">
          <cell r="B265" t="str">
            <v>DCV - Restaurant</v>
          </cell>
          <cell r="C265" t="str">
            <v>DCV</v>
          </cell>
          <cell r="D265" t="str">
            <v>Small Custom</v>
          </cell>
          <cell r="E265" t="str">
            <v>Small Custom_Max</v>
          </cell>
        </row>
        <row r="266">
          <cell r="B266" t="str">
            <v>DCV - Default</v>
          </cell>
          <cell r="C266" t="str">
            <v>DCV</v>
          </cell>
          <cell r="D266" t="str">
            <v>Small Custom</v>
          </cell>
          <cell r="E266" t="str">
            <v>Small Custom_Max</v>
          </cell>
        </row>
        <row r="267">
          <cell r="B267" t="str">
            <v>DCV - Religions Building</v>
          </cell>
          <cell r="C267" t="str">
            <v>DCV</v>
          </cell>
          <cell r="D267" t="str">
            <v>Small Custom</v>
          </cell>
          <cell r="E267" t="str">
            <v>Small Custom_Max</v>
          </cell>
        </row>
        <row r="268">
          <cell r="B268" t="str">
            <v>DCV - Retail</v>
          </cell>
          <cell r="C268" t="str">
            <v>DCV</v>
          </cell>
          <cell r="D268" t="str">
            <v>Small Custom</v>
          </cell>
          <cell r="E268" t="str">
            <v>Small Custom_Max</v>
          </cell>
        </row>
        <row r="269">
          <cell r="B269" t="str">
            <v>DCV - Convenience Store</v>
          </cell>
          <cell r="C269" t="str">
            <v>DCV</v>
          </cell>
          <cell r="D269" t="str">
            <v>Small Custom</v>
          </cell>
          <cell r="E269" t="str">
            <v>Small Custom_Max</v>
          </cell>
        </row>
        <row r="270">
          <cell r="B270" t="str">
            <v>DCV - Elementary and High School</v>
          </cell>
          <cell r="C270" t="str">
            <v>DCV</v>
          </cell>
          <cell r="D270" t="str">
            <v>Small Custom</v>
          </cell>
          <cell r="E270" t="str">
            <v>Small Custom_Max</v>
          </cell>
        </row>
        <row r="271">
          <cell r="B271" t="str">
            <v>DCV - College/University</v>
          </cell>
          <cell r="C271" t="str">
            <v>DCV</v>
          </cell>
          <cell r="D271" t="str">
            <v>Small Custom</v>
          </cell>
          <cell r="E271" t="str">
            <v>Small Custom_Max</v>
          </cell>
        </row>
        <row r="272">
          <cell r="B272" t="str">
            <v>DCV - Healthcare Clinic</v>
          </cell>
          <cell r="C272" t="str">
            <v>DCV</v>
          </cell>
          <cell r="D272" t="str">
            <v>Small Custom</v>
          </cell>
          <cell r="E272" t="str">
            <v>Small Custom_Max</v>
          </cell>
        </row>
        <row r="273">
          <cell r="B273" t="str">
            <v>DCV - lodging</v>
          </cell>
          <cell r="C273" t="str">
            <v>DCV</v>
          </cell>
          <cell r="D273" t="str">
            <v>Small Custom</v>
          </cell>
          <cell r="E273" t="str">
            <v>Small Custom_Max</v>
          </cell>
        </row>
        <row r="274">
          <cell r="B274" t="str">
            <v>DCV - Special Assembly Auditorium</v>
          </cell>
          <cell r="C274" t="str">
            <v>DCV</v>
          </cell>
          <cell r="D274" t="str">
            <v>Small Custom</v>
          </cell>
          <cell r="E274" t="str">
            <v>Small Custom_Max</v>
          </cell>
        </row>
        <row r="275">
          <cell r="B275" t="str">
            <v>DCV - Office Low Rise</v>
          </cell>
          <cell r="C275" t="str">
            <v>DCV</v>
          </cell>
          <cell r="D275" t="str">
            <v>Small Custom</v>
          </cell>
          <cell r="E275" t="str">
            <v>Small Custom_Max</v>
          </cell>
        </row>
        <row r="276">
          <cell r="B276" t="str">
            <v>DCV - Small Building (custom)</v>
          </cell>
          <cell r="C276" t="str">
            <v>DCV</v>
          </cell>
          <cell r="D276" t="str">
            <v>Small Custom</v>
          </cell>
          <cell r="E276" t="str">
            <v>Small Custom_Max</v>
          </cell>
        </row>
        <row r="277">
          <cell r="B277" t="str">
            <v>DCV - Small College (custom)</v>
          </cell>
          <cell r="C277" t="str">
            <v>DCV</v>
          </cell>
          <cell r="D277" t="str">
            <v>Small Custom</v>
          </cell>
          <cell r="E277" t="str">
            <v>Small Custom_Max</v>
          </cell>
        </row>
        <row r="278">
          <cell r="B278" t="str">
            <v>DCV - Small Elementary and High School (custom)</v>
          </cell>
          <cell r="C278" t="str">
            <v>DCV</v>
          </cell>
          <cell r="D278" t="str">
            <v>Small Custom</v>
          </cell>
          <cell r="E278" t="str">
            <v>Small Custom_Max</v>
          </cell>
        </row>
        <row r="279">
          <cell r="B279" t="str">
            <v>Indoor Pool Covers</v>
          </cell>
          <cell r="C279" t="str">
            <v>Pool Covers</v>
          </cell>
          <cell r="D279" t="str">
            <v>Pool Covers</v>
          </cell>
          <cell r="E279" t="str">
            <v>Pool Covers_Max</v>
          </cell>
        </row>
        <row r="280">
          <cell r="B280" t="str">
            <v>Outdoor Pool Covers</v>
          </cell>
          <cell r="C280" t="str">
            <v>Pool Covers</v>
          </cell>
          <cell r="D280" t="str">
            <v>Pool Covers</v>
          </cell>
          <cell r="E280" t="str">
            <v>Pool Covers_Max</v>
          </cell>
        </row>
        <row r="281">
          <cell r="B281" t="str">
            <v>Heat Recovery Grease Trap Filter - All Buildings</v>
          </cell>
          <cell r="C281" t="str">
            <v>Heat Recovery Grease Trap Filter</v>
          </cell>
          <cell r="D281" t="str">
            <v>Small Custom</v>
          </cell>
          <cell r="E281" t="str">
            <v>Small Custom_Max</v>
          </cell>
        </row>
        <row r="282">
          <cell r="B282" t="str">
            <v>Heat Recovery Grease Trap Filter - School</v>
          </cell>
          <cell r="C282" t="str">
            <v>Heat Recovery Grease Trap Filter</v>
          </cell>
          <cell r="D282" t="str">
            <v>Small Custom</v>
          </cell>
          <cell r="E282" t="str">
            <v>Small Custom_Max</v>
          </cell>
        </row>
        <row r="283">
          <cell r="B283" t="str">
            <v>Heat Recovery Grease Trap Filter - Food/Hotel/Hospital - excluding School</v>
          </cell>
          <cell r="C283" t="str">
            <v>Heat Recovery Grease Trap Filter</v>
          </cell>
          <cell r="D283" t="str">
            <v>Small Custom</v>
          </cell>
          <cell r="E283" t="str">
            <v>Small Custom_Max</v>
          </cell>
        </row>
        <row r="284">
          <cell r="B284" t="str">
            <v>Heat Recovery Grease Trap Filter - Small School</v>
          </cell>
          <cell r="C284" t="str">
            <v>Heat Recovery Grease Trap Filter</v>
          </cell>
          <cell r="D284" t="str">
            <v>Small Custom</v>
          </cell>
          <cell r="E284" t="str">
            <v>Small Custom_Max</v>
          </cell>
        </row>
        <row r="285">
          <cell r="B285" t="str">
            <v>Heat Recovery Grease Trap Filter - Custom Small</v>
          </cell>
          <cell r="C285" t="str">
            <v>Heat Recovery Grease Trap Filter</v>
          </cell>
          <cell r="D285" t="str">
            <v>Small Custom</v>
          </cell>
          <cell r="E285" t="str">
            <v>Small Custom_Max</v>
          </cell>
        </row>
        <row r="286">
          <cell r="B286" t="str">
            <v>CDHW Controls - MF Buildings</v>
          </cell>
          <cell r="C286" t="str">
            <v>CDHW</v>
          </cell>
          <cell r="D286" t="str">
            <v>Small Custom</v>
          </cell>
          <cell r="E286" t="str">
            <v>Small Custom_Max</v>
          </cell>
        </row>
        <row r="287">
          <cell r="B287" t="str">
            <v>CDHW Controls - Dormitories - Teapot Small</v>
          </cell>
          <cell r="C287" t="str">
            <v>CDHW</v>
          </cell>
          <cell r="D287" t="str">
            <v>Small Custom</v>
          </cell>
          <cell r="E287" t="str">
            <v>Small Custom_Max</v>
          </cell>
        </row>
        <row r="288">
          <cell r="B288" t="str">
            <v>Modulating Commercial Gas Clothes Dryer - Coin Operaed Laundromat</v>
          </cell>
          <cell r="C288" t="str">
            <v>Steam traps</v>
          </cell>
          <cell r="D288" t="str">
            <v>Steam traps</v>
          </cell>
          <cell r="E288" t="str">
            <v>Steam traps_Max</v>
          </cell>
        </row>
        <row r="289">
          <cell r="B289" t="str">
            <v>Modulating Commercial Gas Clothes Dryer - Multi-family Dryers</v>
          </cell>
          <cell r="C289" t="str">
            <v>Steam traps</v>
          </cell>
          <cell r="D289" t="str">
            <v>Steam traps</v>
          </cell>
          <cell r="E289" t="str">
            <v>Steam traps_Max</v>
          </cell>
        </row>
        <row r="290">
          <cell r="B290" t="str">
            <v>Modulating Commercial Gas Clothes Dryer - On Premise Laundromat</v>
          </cell>
          <cell r="C290" t="str">
            <v>Steam traps</v>
          </cell>
          <cell r="D290" t="str">
            <v>Steam traps</v>
          </cell>
          <cell r="E290" t="str">
            <v>Steam traps_Max</v>
          </cell>
        </row>
        <row r="291">
          <cell r="B291" t="str">
            <v>Energy Assessment SB</v>
          </cell>
          <cell r="C291" t="str">
            <v>Commercial Assessments</v>
          </cell>
          <cell r="D291" t="str">
            <v>Commercial Assessments</v>
          </cell>
          <cell r="E291" t="str">
            <v>Commercial Assessments_Max</v>
          </cell>
        </row>
        <row r="292">
          <cell r="B292" t="str">
            <v>Building Assessment MF</v>
          </cell>
          <cell r="C292" t="str">
            <v>MF Assessment</v>
          </cell>
          <cell r="D292" t="str">
            <v>MF Assessment</v>
          </cell>
          <cell r="E292" t="str">
            <v>MF Assessment_Max</v>
          </cell>
        </row>
        <row r="293">
          <cell r="B293" t="str">
            <v>Building Assessment MF - joint</v>
          </cell>
          <cell r="C293" t="str">
            <v>Commercial Assessments</v>
          </cell>
          <cell r="D293" t="str">
            <v>Commercial Assessments</v>
          </cell>
          <cell r="E293" t="str">
            <v>Commercial Assessments_Max</v>
          </cell>
        </row>
        <row r="294">
          <cell r="B294" t="str">
            <v>Building Assessment MF - Teapot</v>
          </cell>
          <cell r="C294" t="str">
            <v>Commercial Assessments</v>
          </cell>
          <cell r="D294" t="str">
            <v>Commercial Assessments</v>
          </cell>
          <cell r="E294" t="str">
            <v>Commercial Assessments_Max</v>
          </cell>
        </row>
        <row r="295">
          <cell r="B295" t="str">
            <v>MF Custom 2,500-7,500 therms</v>
          </cell>
          <cell r="C295" t="str">
            <v>MF Custom</v>
          </cell>
          <cell r="D295" t="str">
            <v>Small Custom</v>
          </cell>
          <cell r="E295" t="str">
            <v>Small Custom_Max</v>
          </cell>
        </row>
        <row r="296">
          <cell r="B296" t="str">
            <v>MF Custom &gt;7500 therms</v>
          </cell>
          <cell r="C296" t="str">
            <v>MF Custom</v>
          </cell>
          <cell r="D296" t="str">
            <v>Small Custom</v>
          </cell>
          <cell r="E296" t="str">
            <v>Small Custom_Max</v>
          </cell>
        </row>
        <row r="297">
          <cell r="B297" t="str">
            <v xml:space="preserve">Large Building Trade Ally Bonus </v>
          </cell>
          <cell r="C297" t="str">
            <v>Commercial Assessments</v>
          </cell>
          <cell r="D297" t="str">
            <v>Commercial Assessments</v>
          </cell>
          <cell r="E297" t="str">
            <v>Commercial Assessments_Max</v>
          </cell>
        </row>
        <row r="298">
          <cell r="B298" t="str">
            <v>Bonus Incentives - BEER</v>
          </cell>
          <cell r="C298"/>
          <cell r="D298">
            <v>0</v>
          </cell>
          <cell r="E298">
            <v>0</v>
          </cell>
        </row>
        <row r="299">
          <cell r="B299" t="str">
            <v>Custom Bonus Incentives</v>
          </cell>
          <cell r="C299" t="str">
            <v>Business Custom</v>
          </cell>
          <cell r="D299" t="str">
            <v>Business Custom</v>
          </cell>
          <cell r="E299" t="str">
            <v>Business Custom_Max</v>
          </cell>
        </row>
        <row r="300">
          <cell r="B300" t="str">
            <v>Custom 2,500-7,500 therms</v>
          </cell>
          <cell r="C300" t="str">
            <v>Business Custom</v>
          </cell>
          <cell r="D300" t="str">
            <v>Business Custom</v>
          </cell>
          <cell r="E300" t="str">
            <v>Business Custom_Max</v>
          </cell>
        </row>
        <row r="301">
          <cell r="B301" t="str">
            <v>Custom &gt; 7,500 therms</v>
          </cell>
          <cell r="C301" t="str">
            <v>Business Custom</v>
          </cell>
          <cell r="D301" t="str">
            <v>Business Custom</v>
          </cell>
          <cell r="E301" t="str">
            <v>Business Custom_Max</v>
          </cell>
        </row>
        <row r="302">
          <cell r="B302" t="str">
            <v>RCx MF</v>
          </cell>
          <cell r="C302" t="str">
            <v>RCx Project</v>
          </cell>
          <cell r="D302" t="str">
            <v>Small Custom</v>
          </cell>
          <cell r="E302" t="str">
            <v>Small Custom_Max</v>
          </cell>
        </row>
        <row r="303">
          <cell r="B303" t="str">
            <v>Opportunity Assessments-Custom</v>
          </cell>
          <cell r="C303" t="str">
            <v>Custom Assessments</v>
          </cell>
          <cell r="D303" t="str">
            <v>Custom Assessments</v>
          </cell>
          <cell r="E303" t="str">
            <v>Custom Assessments_Max</v>
          </cell>
        </row>
        <row r="304">
          <cell r="B304" t="str">
            <v>Facility Assessments-Custom</v>
          </cell>
          <cell r="C304" t="str">
            <v>Custom Assessments</v>
          </cell>
          <cell r="D304" t="str">
            <v>Custom Assessments</v>
          </cell>
          <cell r="E304" t="str">
            <v>Custom Assessments_Max</v>
          </cell>
        </row>
        <row r="305">
          <cell r="B305" t="str">
            <v>RCx Assessments</v>
          </cell>
          <cell r="C305" t="str">
            <v>RCx Assessments</v>
          </cell>
          <cell r="D305" t="str">
            <v>Small Custom</v>
          </cell>
          <cell r="E305" t="str">
            <v>Small Custom_Max</v>
          </cell>
        </row>
        <row r="306">
          <cell r="B306" t="str">
            <v>RCx Project</v>
          </cell>
          <cell r="C306" t="str">
            <v>RCx Project</v>
          </cell>
          <cell r="D306" t="str">
            <v>Small Custom</v>
          </cell>
          <cell r="E306" t="str">
            <v>Small Custom_Max</v>
          </cell>
        </row>
        <row r="307">
          <cell r="B307" t="str">
            <v>RCx Project -  Hotel</v>
          </cell>
          <cell r="C307" t="str">
            <v>RCx Project</v>
          </cell>
          <cell r="D307" t="str">
            <v>Small Custom</v>
          </cell>
          <cell r="E307" t="str">
            <v>Small Custom_Max</v>
          </cell>
        </row>
        <row r="308">
          <cell r="B308" t="str">
            <v>RCx Project - University</v>
          </cell>
          <cell r="C308" t="str">
            <v>RCx Project</v>
          </cell>
          <cell r="D308" t="str">
            <v>Small Custom</v>
          </cell>
          <cell r="E308" t="str">
            <v>Small Custom_Max</v>
          </cell>
        </row>
        <row r="309">
          <cell r="B309" t="str">
            <v>RCx Project - Office</v>
          </cell>
          <cell r="C309" t="str">
            <v>RCx Project</v>
          </cell>
          <cell r="D309" t="str">
            <v>Small Custom</v>
          </cell>
          <cell r="E309" t="str">
            <v>Small Custom_Max</v>
          </cell>
        </row>
        <row r="310">
          <cell r="B310" t="str">
            <v>RCx Project - Secondary School</v>
          </cell>
          <cell r="C310" t="str">
            <v>RCx Project</v>
          </cell>
          <cell r="D310" t="str">
            <v>Small Custom</v>
          </cell>
          <cell r="E310" t="str">
            <v>Small Custom_Max</v>
          </cell>
        </row>
        <row r="311">
          <cell r="B311" t="str">
            <v>RCx Project - Hospital</v>
          </cell>
          <cell r="C311" t="str">
            <v>RCx Project</v>
          </cell>
          <cell r="D311" t="str">
            <v>Small Custom</v>
          </cell>
          <cell r="E311" t="str">
            <v>Small Custom_Max</v>
          </cell>
        </row>
        <row r="312">
          <cell r="B312" t="str">
            <v>Express Building Tune Up</v>
          </cell>
          <cell r="C312" t="str">
            <v>Commercial Assessments</v>
          </cell>
          <cell r="D312" t="str">
            <v>Commercial Assessments</v>
          </cell>
          <cell r="E312" t="str">
            <v>Commercial Assessments_Max</v>
          </cell>
        </row>
        <row r="313">
          <cell r="B313" t="str">
            <v>Small to Mid New Construction</v>
          </cell>
          <cell r="C313" t="str">
            <v>New Construction</v>
          </cell>
          <cell r="D313" t="str">
            <v>New Construction</v>
          </cell>
          <cell r="E313" t="str">
            <v>New Construction_Max</v>
          </cell>
        </row>
        <row r="314">
          <cell r="B314" t="str">
            <v>Small to Mid New Construction - Public Sector</v>
          </cell>
          <cell r="C314" t="str">
            <v>New Construction</v>
          </cell>
          <cell r="D314" t="str">
            <v>New Construction</v>
          </cell>
          <cell r="E314" t="str">
            <v>New Construction_Max</v>
          </cell>
        </row>
        <row r="315">
          <cell r="B315" t="str">
            <v>Large Commercial New Construction</v>
          </cell>
          <cell r="C315" t="str">
            <v>New Construction</v>
          </cell>
          <cell r="D315" t="str">
            <v>New Construction</v>
          </cell>
          <cell r="E315" t="str">
            <v>New Construction_Max</v>
          </cell>
        </row>
        <row r="316">
          <cell r="B316" t="str">
            <v>Technical Assistance (BNC)</v>
          </cell>
          <cell r="C316" t="str">
            <v>N</v>
          </cell>
          <cell r="D316" t="str">
            <v>N</v>
          </cell>
          <cell r="E316" t="str">
            <v>N</v>
          </cell>
        </row>
        <row r="317">
          <cell r="B317" t="str">
            <v>Bonus Incentives - MF</v>
          </cell>
          <cell r="C317" t="str">
            <v>N</v>
          </cell>
          <cell r="D317" t="str">
            <v>N</v>
          </cell>
          <cell r="E317" t="str">
            <v>N</v>
          </cell>
        </row>
        <row r="318">
          <cell r="B318" t="str">
            <v>Bonus Incentives - BNC</v>
          </cell>
          <cell r="C318" t="str">
            <v>N</v>
          </cell>
          <cell r="D318" t="str">
            <v>N</v>
          </cell>
          <cell r="E318" t="str">
            <v>N</v>
          </cell>
        </row>
        <row r="319">
          <cell r="B319" t="str">
            <v>Bonus Incentives - SB</v>
          </cell>
          <cell r="C319" t="str">
            <v>N</v>
          </cell>
          <cell r="D319" t="str">
            <v>N</v>
          </cell>
          <cell r="E319" t="str">
            <v>N</v>
          </cell>
        </row>
        <row r="320">
          <cell r="B320" t="str">
            <v>SEM Industrial/Mfg</v>
          </cell>
          <cell r="C320" t="str">
            <v>SEM Industrial/Mfg</v>
          </cell>
          <cell r="D320" t="str">
            <v>Business Custom</v>
          </cell>
          <cell r="E320" t="str">
            <v>Business Custom_Max</v>
          </cell>
        </row>
        <row r="321">
          <cell r="B321" t="str">
            <v>Mid Business Assessment</v>
          </cell>
          <cell r="C321" t="str">
            <v>Commercial Assessments</v>
          </cell>
          <cell r="D321" t="str">
            <v>Commercial Assessments</v>
          </cell>
          <cell r="E321" t="str">
            <v>Commercial Assessments_Max</v>
          </cell>
        </row>
        <row r="322">
          <cell r="B322" t="str">
            <v>Mid Business  - Drop In</v>
          </cell>
          <cell r="C322" t="str">
            <v>Commercial Assessments</v>
          </cell>
          <cell r="D322" t="str">
            <v>Commercial Assessments</v>
          </cell>
          <cell r="E322" t="str">
            <v>Commercial Assessments_Max</v>
          </cell>
        </row>
        <row r="323">
          <cell r="B323" t="str">
            <v>Salon Sprayer</v>
          </cell>
          <cell r="C323" t="str">
            <v>Low-flow fixtures</v>
          </cell>
          <cell r="D323" t="str">
            <v>Low-flow fixtures</v>
          </cell>
          <cell r="E323" t="str">
            <v>Low-flow fixtures_Max</v>
          </cell>
        </row>
        <row r="324">
          <cell r="B324" t="str">
            <v>Custom Project - Commercial</v>
          </cell>
          <cell r="C324" t="str">
            <v>Business Custom</v>
          </cell>
          <cell r="D324" t="str">
            <v>Business Custom</v>
          </cell>
          <cell r="E324" t="str">
            <v>Business Custom_Max</v>
          </cell>
        </row>
        <row r="325">
          <cell r="B325" t="str">
            <v>Custom Project - Education</v>
          </cell>
          <cell r="C325" t="str">
            <v>Business Custom</v>
          </cell>
          <cell r="D325" t="str">
            <v>Business Custom</v>
          </cell>
          <cell r="E325" t="str">
            <v>Business Custom_Max</v>
          </cell>
        </row>
        <row r="326">
          <cell r="B326" t="str">
            <v>Custom Project - Hospitality</v>
          </cell>
          <cell r="C326" t="str">
            <v>Business Custom</v>
          </cell>
          <cell r="D326" t="str">
            <v>Business Custom</v>
          </cell>
          <cell r="E326" t="str">
            <v>Business Custom_Max</v>
          </cell>
        </row>
        <row r="327">
          <cell r="B327" t="str">
            <v>Custom Project - Healthcare</v>
          </cell>
          <cell r="C327" t="str">
            <v>Business Custom</v>
          </cell>
          <cell r="D327" t="str">
            <v>Business Custom</v>
          </cell>
          <cell r="E327" t="str">
            <v>Business Custom_Max</v>
          </cell>
        </row>
        <row r="328">
          <cell r="B328" t="str">
            <v>Custom Project - Trade Ally</v>
          </cell>
          <cell r="C328" t="str">
            <v>Business Custom</v>
          </cell>
          <cell r="D328" t="str">
            <v>Business Custom</v>
          </cell>
          <cell r="E328" t="str">
            <v>Business Custom_Max</v>
          </cell>
        </row>
        <row r="329">
          <cell r="B329" t="str">
            <v>SEM Service</v>
          </cell>
          <cell r="C329" t="str">
            <v>SEM Service</v>
          </cell>
          <cell r="D329" t="str">
            <v>SEM Service</v>
          </cell>
          <cell r="E329" t="str">
            <v>SEM Service_Max</v>
          </cell>
        </row>
        <row r="330">
          <cell r="B330" t="str">
            <v>SEM Education</v>
          </cell>
          <cell r="C330" t="str">
            <v>SEM Service</v>
          </cell>
          <cell r="D330" t="str">
            <v>SEM Service</v>
          </cell>
          <cell r="E330" t="str">
            <v>SEM Service_Max</v>
          </cell>
        </row>
        <row r="331">
          <cell r="B331" t="str">
            <v>DCV - Manufacturing</v>
          </cell>
          <cell r="C331" t="str">
            <v>DCV</v>
          </cell>
          <cell r="D331" t="str">
            <v>Small Custom</v>
          </cell>
          <cell r="E331" t="str">
            <v>Small Custom_Max</v>
          </cell>
        </row>
        <row r="332">
          <cell r="B332" t="str">
            <v>Custom Project - Industrial &amp; Manufacturing</v>
          </cell>
          <cell r="C332" t="str">
            <v>Business Custom</v>
          </cell>
          <cell r="D332" t="str">
            <v>Business Custom</v>
          </cell>
          <cell r="E332" t="str">
            <v>Business Custom_Max</v>
          </cell>
        </row>
        <row r="333">
          <cell r="B333" t="str">
            <v>Showerhead (DI) MF-IU</v>
          </cell>
          <cell r="C333" t="str">
            <v>Energy Kits</v>
          </cell>
          <cell r="D333" t="str">
            <v>Energy Kits</v>
          </cell>
          <cell r="E333" t="str">
            <v>Energy Kits_Max</v>
          </cell>
        </row>
        <row r="334">
          <cell r="B334" t="str">
            <v>DHW Boiler Tune-up - Multi-Family, Multi-Family, 1000 Mbh</v>
          </cell>
          <cell r="C334" t="str">
            <v>Water Heater</v>
          </cell>
          <cell r="D334" t="str">
            <v>Water Heater</v>
          </cell>
          <cell r="E334" t="str">
            <v>Water Heater_Max</v>
          </cell>
        </row>
        <row r="335">
          <cell r="B335" t="str">
            <v>DHW Boiler Tune-up - Other Commercial, Other Commercial, 1000 Mbh</v>
          </cell>
          <cell r="C335" t="str">
            <v>Water Heater</v>
          </cell>
          <cell r="D335" t="str">
            <v>Water Heater</v>
          </cell>
          <cell r="E335" t="str">
            <v>Water Heater_Max</v>
          </cell>
        </row>
        <row r="336">
          <cell r="B336" t="str">
            <v>Covers and Gap Sealers for Room Air Conditioners, MF - Mid Rise, 5 Stories</v>
          </cell>
          <cell r="C336" t="str">
            <v>Water Heater</v>
          </cell>
          <cell r="D336" t="str">
            <v>Water Heater</v>
          </cell>
          <cell r="E336" t="str">
            <v>Water Heater_Max</v>
          </cell>
        </row>
        <row r="337">
          <cell r="B337" t="str">
            <v>Furnace, &gt;95% AFUE HVAC Save</v>
          </cell>
          <cell r="C337" t="str">
            <v>SF Assessments</v>
          </cell>
          <cell r="D337" t="str">
            <v>SF Assessments</v>
          </cell>
          <cell r="E337" t="str">
            <v>SF Assessments_Max</v>
          </cell>
        </row>
        <row r="338">
          <cell r="B338" t="str">
            <v>Furnace, &gt;97% AFUE HVAC Save</v>
          </cell>
          <cell r="C338" t="str">
            <v>SF Assessments</v>
          </cell>
          <cell r="D338" t="str">
            <v>SF Assessments</v>
          </cell>
          <cell r="E338" t="str">
            <v>SF Assessments_Max</v>
          </cell>
        </row>
        <row r="339">
          <cell r="B339" t="str">
            <v xml:space="preserve">Furnace, &gt;92% AFUE - HVAC Save MF IU </v>
          </cell>
          <cell r="C339" t="str">
            <v>SF Assessments</v>
          </cell>
          <cell r="D339" t="str">
            <v>SF Assessments</v>
          </cell>
          <cell r="E339" t="str">
            <v>SF Assessments_Max</v>
          </cell>
        </row>
        <row r="340">
          <cell r="B340" t="str">
            <v>Furnace, &gt;95% AFUE - HVAC Save MF IU</v>
          </cell>
          <cell r="C340" t="str">
            <v>SF Assessments</v>
          </cell>
          <cell r="D340" t="str">
            <v>SF Assessments</v>
          </cell>
          <cell r="E340" t="str">
            <v>SF Assessments_Max</v>
          </cell>
        </row>
        <row r="341">
          <cell r="B341" t="str">
            <v>Furnace, &gt;97% AFUE - MF IU</v>
          </cell>
          <cell r="C341" t="str">
            <v>Furnace</v>
          </cell>
          <cell r="D341" t="str">
            <v>Furnace</v>
          </cell>
          <cell r="E341" t="str">
            <v>Furnace_Max</v>
          </cell>
        </row>
        <row r="342">
          <cell r="B342" t="str">
            <v>Verified Quality Maintenance SF</v>
          </cell>
          <cell r="C342" t="str">
            <v>SF Assessments</v>
          </cell>
          <cell r="D342" t="str">
            <v>SF Assessments</v>
          </cell>
          <cell r="E342" t="str">
            <v>SF Assessments_Max</v>
          </cell>
        </row>
        <row r="343">
          <cell r="B343" t="str">
            <v>Verified Quality Maintenance MF</v>
          </cell>
          <cell r="C343" t="str">
            <v>SF Assessments</v>
          </cell>
          <cell r="D343" t="str">
            <v>SF Assessments</v>
          </cell>
          <cell r="E343" t="str">
            <v>SF Assessments_Max</v>
          </cell>
        </row>
        <row r="344">
          <cell r="B344" t="str">
            <v>Shower Timer, SF</v>
          </cell>
          <cell r="C344" t="str">
            <v>Education Kits</v>
          </cell>
          <cell r="D344" t="str">
            <v>Education Kits</v>
          </cell>
          <cell r="E344" t="str">
            <v>Education Kits_Max</v>
          </cell>
        </row>
        <row r="345">
          <cell r="B345" t="str">
            <v>Shower Timer, MF</v>
          </cell>
          <cell r="C345" t="str">
            <v>Education Kits</v>
          </cell>
          <cell r="D345" t="str">
            <v>Education Kits</v>
          </cell>
          <cell r="E345" t="str">
            <v>Education Kits_Max</v>
          </cell>
        </row>
        <row r="346">
          <cell r="B346" t="str">
            <v>CDHW Controls - Dormitories</v>
          </cell>
          <cell r="C346" t="str">
            <v>CDHW</v>
          </cell>
          <cell r="D346" t="str">
            <v>Small Custom</v>
          </cell>
          <cell r="E346" t="str">
            <v>Small Custom_Max</v>
          </cell>
        </row>
        <row r="347">
          <cell r="B347" t="str">
            <v>High Speed Clothes Washer - Coin Operated Laundromats</v>
          </cell>
          <cell r="C347" t="str">
            <v>Water Heater</v>
          </cell>
          <cell r="D347" t="str">
            <v>Water Heater</v>
          </cell>
          <cell r="E347" t="str">
            <v>Water Heater_Max</v>
          </cell>
        </row>
        <row r="348">
          <cell r="B348" t="str">
            <v>High Speed Clothes Washer - Multi-family</v>
          </cell>
          <cell r="C348" t="str">
            <v>Water Heater</v>
          </cell>
          <cell r="D348" t="str">
            <v>Water Heater</v>
          </cell>
          <cell r="E348" t="str">
            <v>Water Heater_Max</v>
          </cell>
        </row>
        <row r="349">
          <cell r="B349" t="str">
            <v>High Speed Clothes Washer - Multi-family</v>
          </cell>
          <cell r="C349" t="str">
            <v>Water Heater</v>
          </cell>
          <cell r="D349" t="str">
            <v>Water Heater</v>
          </cell>
          <cell r="E349" t="str">
            <v>Water Heater_Max</v>
          </cell>
        </row>
        <row r="350">
          <cell r="B350" t="str">
            <v>High Speed Clothes Washer - Hotel/Motel/Hospital</v>
          </cell>
          <cell r="C350" t="str">
            <v>Water Heater</v>
          </cell>
          <cell r="D350" t="str">
            <v>Water Heater</v>
          </cell>
          <cell r="E350" t="str">
            <v>Water Heater_Max</v>
          </cell>
        </row>
        <row r="351">
          <cell r="B351" t="str">
            <v>Large Commercial New Construction</v>
          </cell>
          <cell r="C351"/>
          <cell r="D351"/>
          <cell r="E351">
            <v>0</v>
          </cell>
        </row>
        <row r="352">
          <cell r="B352" t="str">
            <v>Small to Mid New Construction</v>
          </cell>
          <cell r="C352"/>
          <cell r="D352"/>
          <cell r="E352">
            <v>0</v>
          </cell>
        </row>
        <row r="353">
          <cell r="B353" t="str">
            <v>Large BNC Project</v>
          </cell>
          <cell r="C353"/>
          <cell r="D353"/>
          <cell r="E353">
            <v>0</v>
          </cell>
        </row>
        <row r="354">
          <cell r="B354" t="str">
            <v>Small to Mid BNC Project</v>
          </cell>
          <cell r="C354"/>
          <cell r="D354"/>
          <cell r="E354">
            <v>0</v>
          </cell>
        </row>
        <row r="355">
          <cell r="B355" t="str">
            <v>Kit 1 MF</v>
          </cell>
          <cell r="C355" t="str">
            <v>Energy Kits</v>
          </cell>
          <cell r="D355" t="str">
            <v>Energy Kits</v>
          </cell>
          <cell r="E355" t="str">
            <v>Energy Kits_Max</v>
          </cell>
        </row>
        <row r="356">
          <cell r="B356" t="str">
            <v>Kit 2 MF</v>
          </cell>
          <cell r="C356" t="str">
            <v>Energy Kits</v>
          </cell>
          <cell r="D356" t="str">
            <v>Energy Kits</v>
          </cell>
          <cell r="E356" t="str">
            <v>Energy Kits_Max</v>
          </cell>
        </row>
        <row r="357">
          <cell r="B357" t="str">
            <v>Kit 3</v>
          </cell>
          <cell r="C357" t="str">
            <v>Energy Kits</v>
          </cell>
          <cell r="D357" t="str">
            <v>Energy Kits</v>
          </cell>
          <cell r="E357" t="str">
            <v>Energy Kits_Max</v>
          </cell>
        </row>
        <row r="358">
          <cell r="B358" t="str">
            <v>Kit 3 MF</v>
          </cell>
          <cell r="C358" t="str">
            <v>Energy Kits</v>
          </cell>
          <cell r="D358" t="str">
            <v>Energy Kits</v>
          </cell>
          <cell r="E358" t="str">
            <v>Energy Kits_Max</v>
          </cell>
        </row>
        <row r="359">
          <cell r="B359" t="str">
            <v>Public Sector Custom</v>
          </cell>
          <cell r="C359"/>
          <cell r="D359"/>
          <cell r="E359">
            <v>0</v>
          </cell>
        </row>
        <row r="360">
          <cell r="B360" t="str">
            <v>RCx Project - Therm buy</v>
          </cell>
          <cell r="C360"/>
          <cell r="D360"/>
          <cell r="E360">
            <v>0</v>
          </cell>
        </row>
      </sheetData>
      <sheetData sheetId="1"/>
      <sheetData sheetId="2"/>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Validation"/>
      <sheetName val="Program BCRs"/>
      <sheetName val="Data Validation"/>
      <sheetName val="Tool Set-Up"/>
      <sheetName val="MMD Y1"/>
      <sheetName val="Load Shap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4.1.1"/>
      <sheetName val="4.1.2"/>
      <sheetName val="4.1.3"/>
      <sheetName val="4.1.4"/>
      <sheetName val="4.2.1"/>
      <sheetName val="4.2.2"/>
      <sheetName val="4.2.4"/>
      <sheetName val="4.2.5"/>
      <sheetName val="4.2.6"/>
      <sheetName val="4.2.7"/>
      <sheetName val="4.2.8"/>
      <sheetName val="4.2.9"/>
      <sheetName val="4.2.10"/>
      <sheetName val="4.2.12"/>
      <sheetName val="4.2.13"/>
      <sheetName val="4.2.14"/>
      <sheetName val="4.2.15"/>
      <sheetName val="4.2.16"/>
      <sheetName val="4.2.17"/>
      <sheetName val="4.2.18"/>
      <sheetName val="4.3.1"/>
      <sheetName val="4.3.2"/>
      <sheetName val="4.3.3"/>
      <sheetName val="4.3.4"/>
      <sheetName val="4.3.6"/>
      <sheetName val="4.3.7"/>
      <sheetName val="4.3.8"/>
      <sheetName val="4.3.9"/>
      <sheetName val="4.4.1"/>
      <sheetName val="4.4.3"/>
      <sheetName val="4.4.5"/>
      <sheetName val="4.4.6"/>
      <sheetName val="4.4.7"/>
      <sheetName val="4.4.8"/>
      <sheetName val="4.4.9"/>
      <sheetName val="4.4.12"/>
      <sheetName val="4.4.13"/>
      <sheetName val="4.4.15"/>
      <sheetName val="4.4.18"/>
      <sheetName val="4.4.19"/>
      <sheetName val="4.4.20"/>
      <sheetName val="4.4.21"/>
      <sheetName val="4.4.22"/>
      <sheetName val="4.4.23"/>
      <sheetName val="4.4.25"/>
      <sheetName val="4.4.27"/>
      <sheetName val="4.4.28"/>
      <sheetName val="4.4.29"/>
      <sheetName val="4.4.31"/>
      <sheetName val="4.4.36"/>
      <sheetName val="4.4.37"/>
      <sheetName val="4.6.1"/>
      <sheetName val="4.6.2"/>
      <sheetName val="4.6.3"/>
      <sheetName val="4.6.4"/>
      <sheetName val="4.6.5"/>
      <sheetName val="4.6.7"/>
      <sheetName val="4.7.1"/>
      <sheetName val="4.6.6"/>
      <sheetName val="4.8.2"/>
      <sheetName val="4.8.4"/>
      <sheetName val="Lists"/>
      <sheetName val="Input_Data"/>
    </sheetNames>
    <sheetDataSet>
      <sheetData sheetId="0"/>
      <sheetData sheetId="1"/>
      <sheetData sheetId="2"/>
      <sheetData sheetId="3"/>
      <sheetData sheetId="4">
        <row r="11">
          <cell r="B11">
            <v>20</v>
          </cell>
        </row>
        <row r="12">
          <cell r="B12">
            <v>22</v>
          </cell>
        </row>
        <row r="13">
          <cell r="B13">
            <v>24</v>
          </cell>
        </row>
      </sheetData>
      <sheetData sheetId="5">
        <row r="11">
          <cell r="B11" t="str">
            <v>24 through 35</v>
          </cell>
        </row>
        <row r="12">
          <cell r="B12" t="str">
            <v>36 through 47</v>
          </cell>
        </row>
        <row r="13">
          <cell r="B13" t="str">
            <v>48 through 71</v>
          </cell>
        </row>
      </sheetData>
      <sheetData sheetId="6"/>
      <sheetData sheetId="7"/>
      <sheetData sheetId="8">
        <row r="7">
          <cell r="I7" t="str">
            <v>TOS</v>
          </cell>
        </row>
        <row r="8">
          <cell r="I8" t="str">
            <v>NC</v>
          </cell>
        </row>
        <row r="20">
          <cell r="C20" t="str">
            <v>Solid Door Refrigerator</v>
          </cell>
        </row>
        <row r="21">
          <cell r="C21" t="str">
            <v>Glass Door Refrigerator</v>
          </cell>
        </row>
        <row r="22">
          <cell r="C22" t="str">
            <v>Solid Door Freezer</v>
          </cell>
        </row>
        <row r="23">
          <cell r="C23" t="str">
            <v>Glass Door Freezer</v>
          </cell>
        </row>
      </sheetData>
      <sheetData sheetId="9"/>
      <sheetData sheetId="10"/>
      <sheetData sheetId="11"/>
      <sheetData sheetId="12"/>
      <sheetData sheetId="13">
        <row r="70">
          <cell r="B70" t="str">
            <v>Fast Food Limited Menu</v>
          </cell>
        </row>
      </sheetData>
      <sheetData sheetId="14">
        <row r="27">
          <cell r="B27" t="str">
            <v>Fast Food Limited Menu</v>
          </cell>
          <cell r="E27" t="str">
            <v>Full Size (20 cubic ft)</v>
          </cell>
        </row>
        <row r="28">
          <cell r="B28" t="str">
            <v>Fast Food Expanded Menu</v>
          </cell>
          <cell r="E28" t="str">
            <v>¾ Size (12 cubic ft)</v>
          </cell>
        </row>
        <row r="29">
          <cell r="B29" t="str">
            <v>Pizza</v>
          </cell>
          <cell r="E29" t="str">
            <v>½ Size (8 cubic ft)</v>
          </cell>
        </row>
        <row r="30">
          <cell r="B30" t="str">
            <v>Full Service Limited Menu</v>
          </cell>
        </row>
        <row r="31">
          <cell r="B31" t="str">
            <v>Full Service Expanded Menu</v>
          </cell>
        </row>
        <row r="32">
          <cell r="B32" t="str">
            <v>Cafeteria</v>
          </cell>
        </row>
      </sheetData>
      <sheetData sheetId="15">
        <row r="22">
          <cell r="F22" t="str">
            <v xml:space="preserve">Ice Making Head </v>
          </cell>
        </row>
        <row r="23">
          <cell r="F23"/>
        </row>
        <row r="24">
          <cell r="F24" t="str">
            <v xml:space="preserve">Remote Condensing Unit, without remote compressor </v>
          </cell>
        </row>
        <row r="25">
          <cell r="F25"/>
        </row>
        <row r="26">
          <cell r="F26" t="str">
            <v xml:space="preserve">Remote Condensing Unit, with remote compressor </v>
          </cell>
        </row>
        <row r="27">
          <cell r="F27"/>
        </row>
        <row r="28">
          <cell r="F28" t="str">
            <v xml:space="preserve">Self Contained Unit </v>
          </cell>
        </row>
        <row r="29">
          <cell r="F29"/>
        </row>
      </sheetData>
      <sheetData sheetId="16"/>
      <sheetData sheetId="17"/>
      <sheetData sheetId="18"/>
      <sheetData sheetId="19"/>
      <sheetData sheetId="20">
        <row r="11">
          <cell r="B11" t="str">
            <v>DVC Control Retrofit</v>
          </cell>
        </row>
        <row r="12">
          <cell r="B12" t="str">
            <v>DVC Control New</v>
          </cell>
        </row>
      </sheetData>
      <sheetData sheetId="21"/>
      <sheetData sheetId="22"/>
      <sheetData sheetId="23">
        <row r="59">
          <cell r="A59" t="str">
            <v>TOS</v>
          </cell>
        </row>
      </sheetData>
      <sheetData sheetId="24"/>
      <sheetData sheetId="25"/>
      <sheetData sheetId="26">
        <row r="40">
          <cell r="B40" t="str">
            <v>Indoor</v>
          </cell>
        </row>
      </sheetData>
      <sheetData sheetId="27"/>
      <sheetData sheetId="28"/>
      <sheetData sheetId="29"/>
      <sheetData sheetId="30"/>
      <sheetData sheetId="31"/>
      <sheetData sheetId="32"/>
      <sheetData sheetId="33"/>
      <sheetData sheetId="34">
        <row r="7">
          <cell r="I7" t="str">
            <v>PATH A</v>
          </cell>
        </row>
        <row r="8">
          <cell r="I8" t="str">
            <v>PATH B</v>
          </cell>
        </row>
        <row r="11">
          <cell r="H11" t="str">
            <v>1 (Rockford)</v>
          </cell>
        </row>
        <row r="12">
          <cell r="H12" t="str">
            <v>2 (Chicago)</v>
          </cell>
        </row>
        <row r="13">
          <cell r="H13" t="str">
            <v>3 (Springfield)</v>
          </cell>
        </row>
        <row r="14">
          <cell r="H14" t="str">
            <v>4 (Belleville)</v>
          </cell>
        </row>
        <row r="15">
          <cell r="H15" t="str">
            <v>5 (Marion)</v>
          </cell>
        </row>
        <row r="21">
          <cell r="E21" t="str">
            <v>Before 1/1/2010</v>
          </cell>
          <cell r="F21"/>
          <cell r="G21" t="str">
            <v>As of 1/1/2010</v>
          </cell>
        </row>
        <row r="26">
          <cell r="O26" t="str">
            <v>CV reheat, no economizer</v>
          </cell>
        </row>
        <row r="27">
          <cell r="O27" t="str">
            <v>CV reheat, economizer</v>
          </cell>
        </row>
        <row r="28">
          <cell r="L28" t="str">
            <v>Air Cooled Chillers</v>
          </cell>
          <cell r="O28" t="str">
            <v>VAV reheat, economizer</v>
          </cell>
        </row>
        <row r="29">
          <cell r="L29" t="str">
            <v>Air cooled without condenser, elec operated</v>
          </cell>
        </row>
        <row r="30">
          <cell r="L30" t="str">
            <v>Water cooled, elec. operated, reciprocating</v>
          </cell>
        </row>
        <row r="31">
          <cell r="L31" t="str">
            <v>Water cooled, elec. operated, +ve displacement</v>
          </cell>
        </row>
        <row r="32">
          <cell r="L32" t="str">
            <v>Water cooled, elec. operated, centrifugal</v>
          </cell>
        </row>
        <row r="33">
          <cell r="L33" t="str">
            <v>Air cooled, absorption single effect</v>
          </cell>
        </row>
        <row r="34">
          <cell r="L34" t="str">
            <v>Water cooled, absorption single effect</v>
          </cell>
        </row>
        <row r="35">
          <cell r="L35" t="str">
            <v>Absorption double effect,indirect-fired</v>
          </cell>
        </row>
        <row r="36">
          <cell r="L36" t="str">
            <v>Absorption double effect,direct-fired</v>
          </cell>
        </row>
      </sheetData>
      <sheetData sheetId="35">
        <row r="11">
          <cell r="J11" t="str">
            <v>Energy Star</v>
          </cell>
        </row>
        <row r="12">
          <cell r="J12" t="str">
            <v>CEE Tier 1</v>
          </cell>
        </row>
        <row r="13">
          <cell r="J13" t="b">
            <v>1</v>
          </cell>
        </row>
        <row r="14">
          <cell r="J14" t="b">
            <v>0</v>
          </cell>
        </row>
      </sheetData>
      <sheetData sheetId="36"/>
      <sheetData sheetId="37">
        <row r="10">
          <cell r="L10" t="str">
            <v xml:space="preserve">Air Cooled Split system </v>
          </cell>
        </row>
        <row r="11">
          <cell r="L11" t="str">
            <v>Air Cooled Single package</v>
          </cell>
        </row>
        <row r="12">
          <cell r="L12" t="str">
            <v>Through the Wall, Air cooled, Split system</v>
          </cell>
        </row>
        <row r="13">
          <cell r="L13" t="str">
            <v>Through the Wall, Air cooled, Single package</v>
          </cell>
        </row>
        <row r="14">
          <cell r="L14" t="str">
            <v xml:space="preserve">Water source </v>
          </cell>
        </row>
        <row r="15">
          <cell r="L15" t="str">
            <v xml:space="preserve">Ground water Source </v>
          </cell>
        </row>
        <row r="16">
          <cell r="L16" t="str">
            <v xml:space="preserve">Ground source Heat pump </v>
          </cell>
        </row>
        <row r="36">
          <cell r="G36" t="str">
            <v>Before Jan 1, 2010</v>
          </cell>
          <cell r="H36" t="str">
            <v>As of Jan 1,2010</v>
          </cell>
        </row>
      </sheetData>
      <sheetData sheetId="38"/>
      <sheetData sheetId="39">
        <row r="32">
          <cell r="J32" t="str">
            <v>PTAC (cooling mode)</v>
          </cell>
        </row>
        <row r="33">
          <cell r="J33" t="str">
            <v>PTHP (cooling mode)</v>
          </cell>
        </row>
        <row r="34">
          <cell r="J34" t="str">
            <v>PTHP (Heating mode)</v>
          </cell>
        </row>
      </sheetData>
      <sheetData sheetId="40">
        <row r="7">
          <cell r="K7" t="str">
            <v>Before Jan 2010</v>
          </cell>
        </row>
        <row r="8">
          <cell r="K8" t="str">
            <v>In or After Jan 2010</v>
          </cell>
        </row>
        <row r="21">
          <cell r="L21" t="str">
            <v>Split System</v>
          </cell>
        </row>
        <row r="22">
          <cell r="L22" t="str">
            <v>Single Package</v>
          </cell>
        </row>
        <row r="25">
          <cell r="B25" t="str">
            <v>Air conditioners, Air cooled</v>
          </cell>
        </row>
        <row r="26">
          <cell r="B26" t="str">
            <v>Through-the-wall, Air cooled</v>
          </cell>
        </row>
        <row r="27">
          <cell r="B27" t="str">
            <v>Air conditioners, Water &amp; evaporatively cooled</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1">
          <cell r="B11" t="str">
            <v>Walk in Cooler</v>
          </cell>
        </row>
        <row r="12">
          <cell r="B12" t="str">
            <v>Walk in Freezer</v>
          </cell>
        </row>
      </sheetData>
      <sheetData sheetId="55">
        <row r="18">
          <cell r="B18" t="str">
            <v>Refrigerated Beverage Vending Machines</v>
          </cell>
        </row>
        <row r="19">
          <cell r="B19" t="str">
            <v>Non-Refrigerated Snack Vending Machines</v>
          </cell>
        </row>
        <row r="20">
          <cell r="B20" t="str">
            <v>Glass Front Refrigerated Coolers</v>
          </cell>
        </row>
      </sheetData>
      <sheetData sheetId="56">
        <row r="19">
          <cell r="G19" t="str">
            <v>Humidity-based controls</v>
          </cell>
        </row>
        <row r="20">
          <cell r="G20" t="str">
            <v>Conductivity-based controls</v>
          </cell>
        </row>
        <row r="23">
          <cell r="G23" t="str">
            <v>Freezer</v>
          </cell>
        </row>
        <row r="24">
          <cell r="G24" t="str">
            <v>Cooler</v>
          </cell>
        </row>
        <row r="28">
          <cell r="F28" t="str">
            <v>-35 to 0</v>
          </cell>
        </row>
        <row r="29">
          <cell r="F29" t="str">
            <v>0 – 20</v>
          </cell>
        </row>
        <row r="30">
          <cell r="F30" t="str">
            <v>20 – 45</v>
          </cell>
        </row>
      </sheetData>
      <sheetData sheetId="57">
        <row r="11">
          <cell r="F11" t="str">
            <v>Restaurant</v>
          </cell>
        </row>
        <row r="12">
          <cell r="F12" t="str">
            <v>Grocery</v>
          </cell>
        </row>
        <row r="13">
          <cell r="F13" t="str">
            <v>Average</v>
          </cell>
        </row>
      </sheetData>
      <sheetData sheetId="58">
        <row r="14">
          <cell r="F14" t="str">
            <v>&lt;500</v>
          </cell>
        </row>
        <row r="15">
          <cell r="F15">
            <v>500</v>
          </cell>
        </row>
        <row r="16">
          <cell r="F16">
            <v>699</v>
          </cell>
        </row>
        <row r="17">
          <cell r="F17">
            <v>799</v>
          </cell>
        </row>
        <row r="18">
          <cell r="F18" t="str">
            <v>800+</v>
          </cell>
        </row>
        <row r="19">
          <cell r="F19" t="str">
            <v>Average</v>
          </cell>
        </row>
      </sheetData>
      <sheetData sheetId="59">
        <row r="8">
          <cell r="F8" t="str">
            <v>Freezer</v>
          </cell>
        </row>
        <row r="9">
          <cell r="F9" t="str">
            <v>Cooler</v>
          </cell>
        </row>
      </sheetData>
      <sheetData sheetId="60">
        <row r="20">
          <cell r="E20" t="str">
            <v>Single shift (8/5)</v>
          </cell>
        </row>
        <row r="21">
          <cell r="E21" t="str">
            <v>2-shift (16/5)</v>
          </cell>
        </row>
        <row r="22">
          <cell r="E22" t="str">
            <v>3-shift (24/5)</v>
          </cell>
        </row>
        <row r="23">
          <cell r="E23" t="str">
            <v>4-shift (24/7)</v>
          </cell>
        </row>
      </sheetData>
      <sheetData sheetId="61"/>
      <sheetData sheetId="62"/>
      <sheetData sheetId="63"/>
      <sheetData sheetId="64"/>
      <sheetData sheetId="6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5.1.1"/>
      <sheetName val="5.1.3"/>
      <sheetName val="5.1.4"/>
      <sheetName val="5.1.5"/>
      <sheetName val="5.1.6"/>
      <sheetName val="5.1.7"/>
      <sheetName val="5.1.9"/>
      <sheetName val="5.2.1"/>
      <sheetName val="5.3.2"/>
      <sheetName val="5.3.4"/>
      <sheetName val="5.3.6"/>
      <sheetName val="5.3.7"/>
      <sheetName val="5.3.8"/>
      <sheetName val="5.4.1"/>
      <sheetName val="5.4.6"/>
      <sheetName val="5.4.7"/>
      <sheetName val="5.5.3"/>
      <sheetName val="5.5.4"/>
      <sheetName val="5.5.5"/>
      <sheetName val="5.5.7"/>
      <sheetName val="5.6.3"/>
      <sheetName val="5.4.1 (2)"/>
    </sheetNames>
    <sheetDataSet>
      <sheetData sheetId="0"/>
      <sheetData sheetId="1">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2">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3"/>
      <sheetData sheetId="4">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5">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6">
        <row r="7">
          <cell r="G7" t="str">
            <v>Energy Star</v>
          </cell>
          <cell r="K7" t="b">
            <v>1</v>
          </cell>
        </row>
        <row r="8">
          <cell r="G8" t="str">
            <v>CEE Tier 1</v>
          </cell>
          <cell r="K8" t="b">
            <v>0</v>
          </cell>
        </row>
      </sheetData>
      <sheetData sheetId="7"/>
      <sheetData sheetId="8">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9"/>
      <sheetData sheetId="10"/>
      <sheetData sheetId="11"/>
      <sheetData sheetId="12">
        <row r="7">
          <cell r="J7" t="str">
            <v>TOS</v>
          </cell>
        </row>
        <row r="8">
          <cell r="J8" t="str">
            <v>NC</v>
          </cell>
        </row>
        <row r="9">
          <cell r="J9" t="str">
            <v>RF</v>
          </cell>
        </row>
      </sheetData>
      <sheetData sheetId="13">
        <row r="7">
          <cell r="M7" t="str">
            <v>Central AC</v>
          </cell>
        </row>
        <row r="8">
          <cell r="M8" t="str">
            <v>Air Source HP</v>
          </cell>
        </row>
      </sheetData>
      <sheetData sheetId="14"/>
      <sheetData sheetId="15"/>
      <sheetData sheetId="16">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17">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18">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19">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0">
        <row r="19">
          <cell r="J19" t="str">
            <v>Incandacent</v>
          </cell>
        </row>
        <row r="20">
          <cell r="J20" t="str">
            <v>Fluorescent</v>
          </cell>
        </row>
        <row r="21">
          <cell r="J21" t="str">
            <v>Unknown</v>
          </cell>
        </row>
      </sheetData>
      <sheetData sheetId="2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5.1.1"/>
      <sheetName val="5.1.3"/>
      <sheetName val="5.1.4"/>
      <sheetName val="5.1.5"/>
      <sheetName val="5.1.6"/>
      <sheetName val="5.1.7"/>
      <sheetName val="5.1.9"/>
      <sheetName val="5.2.1"/>
      <sheetName val="5.3.2"/>
      <sheetName val="5.3.4"/>
      <sheetName val="5.3.8"/>
      <sheetName val="5.3.9"/>
      <sheetName val="5.3.10"/>
      <sheetName val="5.3.13"/>
      <sheetName val="5.3.14"/>
      <sheetName val="5.4.1"/>
      <sheetName val="5.4.6"/>
      <sheetName val="5.4.7"/>
      <sheetName val="5.4.8"/>
      <sheetName val="5.5.3"/>
      <sheetName val="5.5.4"/>
      <sheetName val="5.5.5"/>
      <sheetName val="5.5.7"/>
      <sheetName val="5.6.3"/>
      <sheetName val="Lists"/>
      <sheetName val="Input_Data"/>
    </sheetNames>
    <sheetDataSet>
      <sheetData sheetId="0"/>
      <sheetData sheetId="1"/>
      <sheetData sheetId="2"/>
      <sheetData sheetId="3">
        <row r="7">
          <cell r="I7" t="str">
            <v>TOS</v>
          </cell>
        </row>
        <row r="8">
          <cell r="I8" t="str">
            <v>NC</v>
          </cell>
        </row>
        <row r="21">
          <cell r="G21" t="str">
            <v>CADR 51-100</v>
          </cell>
        </row>
        <row r="22">
          <cell r="G22" t="str">
            <v>CADR 101-150</v>
          </cell>
        </row>
        <row r="23">
          <cell r="G23" t="str">
            <v>CADR 151-200</v>
          </cell>
        </row>
        <row r="24">
          <cell r="G24" t="str">
            <v>CADR 201-250</v>
          </cell>
        </row>
        <row r="25">
          <cell r="G25" t="str">
            <v>CADR Over 250</v>
          </cell>
        </row>
      </sheetData>
      <sheetData sheetId="4">
        <row r="7">
          <cell r="D7" t="str">
            <v>Until 9/30/2012</v>
          </cell>
        </row>
        <row r="8">
          <cell r="D8" t="str">
            <v>Post 10/1/2012</v>
          </cell>
        </row>
        <row r="19">
          <cell r="B19" t="str">
            <v>≤25</v>
          </cell>
        </row>
        <row r="20">
          <cell r="B20" t="str">
            <v>&gt; 25 to ≤35</v>
          </cell>
        </row>
        <row r="21">
          <cell r="B21" t="str">
            <v>&gt; 35 to ≤45</v>
          </cell>
        </row>
        <row r="22">
          <cell r="B22" t="str">
            <v>&gt; 45 to ≤ 54</v>
          </cell>
        </row>
        <row r="23">
          <cell r="B23" t="str">
            <v>&gt; 54 to ≤ 75</v>
          </cell>
        </row>
        <row r="24">
          <cell r="B24" t="str">
            <v>&gt; 75 to ≤ 185</v>
          </cell>
        </row>
        <row r="25">
          <cell r="B25" t="str">
            <v>Average</v>
          </cell>
        </row>
      </sheetData>
      <sheetData sheetId="5"/>
      <sheetData sheetId="6">
        <row r="19">
          <cell r="G19" t="str">
            <v>Upright Freezers with Manual Defrost</v>
          </cell>
        </row>
        <row r="20">
          <cell r="G20" t="str">
            <v>Upright Freezers with Automatic Defrost</v>
          </cell>
        </row>
        <row r="21">
          <cell r="G21" t="str">
            <v>Chest Freezers &amp; all other Freezers except Compact Freezers</v>
          </cell>
        </row>
        <row r="22">
          <cell r="G22" t="str">
            <v>Compact Upright Freezers with Manual Defrost</v>
          </cell>
        </row>
        <row r="23">
          <cell r="G23" t="str">
            <v>Compact Upright Freezers with Automatic Defrost</v>
          </cell>
        </row>
        <row r="24">
          <cell r="G24" t="str">
            <v>Compact Chest Freezers</v>
          </cell>
        </row>
      </sheetData>
      <sheetData sheetId="7">
        <row r="7">
          <cell r="G7" t="str">
            <v>Energy Star</v>
          </cell>
        </row>
        <row r="8">
          <cell r="G8" t="str">
            <v>CEE Tier 2</v>
          </cell>
        </row>
        <row r="16">
          <cell r="H16" t="str">
            <v>Refrigerators and Refrigerator-freezers w/ manual defrost</v>
          </cell>
        </row>
        <row r="17">
          <cell r="H17" t="str">
            <v>Refrigerator-Freezer--partial automatic defrost</v>
          </cell>
        </row>
        <row r="18">
          <cell r="H18" t="str">
            <v>Refrigerator-Freezers--automatic defrost w/ top-mounted freezer w/o through-the-door ice service &amp; all-refrigerators--automatic defrost</v>
          </cell>
        </row>
        <row r="19">
          <cell r="H19" t="str">
            <v>Refrigerator-Freezers--automatic defrost w/ side-mounted freezer w/o through-the-door ice service</v>
          </cell>
        </row>
        <row r="20">
          <cell r="H20" t="str">
            <v>Refrigerator-Freezers--automatic defrost w/ bottom-mounted freezer w/o through-the-door ice service</v>
          </cell>
        </row>
        <row r="21">
          <cell r="H21" t="str">
            <v>Refrigerator-Freezers--automatic defrost w/ top-mounted freezer w/ through-the-door ice service</v>
          </cell>
        </row>
        <row r="22">
          <cell r="H22" t="str">
            <v>Refrigerator-Freezers--automatic defrost w/ side-mounted freezer w/ through-the-door ice service</v>
          </cell>
        </row>
      </sheetData>
      <sheetData sheetId="8">
        <row r="7">
          <cell r="G7" t="str">
            <v>Energy Star</v>
          </cell>
          <cell r="K7" t="b">
            <v>1</v>
          </cell>
        </row>
        <row r="8">
          <cell r="G8" t="str">
            <v>CEE Tier 1</v>
          </cell>
          <cell r="K8" t="b">
            <v>0</v>
          </cell>
        </row>
      </sheetData>
      <sheetData sheetId="9"/>
      <sheetData sheetId="10">
        <row r="7">
          <cell r="F7" t="str">
            <v>TOS</v>
          </cell>
          <cell r="H7" t="str">
            <v>5-plug</v>
          </cell>
          <cell r="J7" t="str">
            <v>R13 - Res Standby Losses - Entertainment</v>
          </cell>
        </row>
        <row r="8">
          <cell r="F8" t="str">
            <v>NC</v>
          </cell>
          <cell r="H8" t="str">
            <v>7-plug</v>
          </cell>
          <cell r="J8" t="str">
            <v>R14 - Res Standby Losses - Home Office</v>
          </cell>
        </row>
        <row r="9">
          <cell r="F9" t="str">
            <v>DI</v>
          </cell>
        </row>
      </sheetData>
      <sheetData sheetId="11"/>
      <sheetData sheetId="12"/>
      <sheetData sheetId="13"/>
      <sheetData sheetId="14">
        <row r="7">
          <cell r="J7" t="str">
            <v>TOS</v>
          </cell>
        </row>
        <row r="8">
          <cell r="J8" t="str">
            <v>NC</v>
          </cell>
        </row>
        <row r="9">
          <cell r="J9" t="str">
            <v>RF</v>
          </cell>
        </row>
      </sheetData>
      <sheetData sheetId="15">
        <row r="7">
          <cell r="M7" t="str">
            <v>Central AC</v>
          </cell>
        </row>
        <row r="8">
          <cell r="M8" t="str">
            <v>Air Source HP</v>
          </cell>
        </row>
      </sheetData>
      <sheetData sheetId="16"/>
      <sheetData sheetId="17"/>
      <sheetData sheetId="18"/>
      <sheetData sheetId="19"/>
      <sheetData sheetId="20">
        <row r="7">
          <cell r="F7" t="str">
            <v>RF</v>
          </cell>
        </row>
        <row r="8">
          <cell r="F8" t="str">
            <v>DI</v>
          </cell>
        </row>
        <row r="14">
          <cell r="B14">
            <v>30</v>
          </cell>
          <cell r="C14">
            <v>8</v>
          </cell>
          <cell r="D14">
            <v>16</v>
          </cell>
        </row>
        <row r="15">
          <cell r="B15">
            <v>40</v>
          </cell>
          <cell r="C15">
            <v>10</v>
          </cell>
          <cell r="D15">
            <v>18</v>
          </cell>
        </row>
        <row r="16">
          <cell r="B16">
            <v>50</v>
          </cell>
          <cell r="C16">
            <v>12</v>
          </cell>
          <cell r="D16">
            <v>20</v>
          </cell>
        </row>
        <row r="17">
          <cell r="B17">
            <v>80</v>
          </cell>
          <cell r="D17">
            <v>22</v>
          </cell>
        </row>
      </sheetData>
      <sheetData sheetId="21"/>
      <sheetData sheetId="22">
        <row r="7">
          <cell r="L7" t="str">
            <v>R06 - Residential Indoor Lighting</v>
          </cell>
        </row>
        <row r="8">
          <cell r="L8" t="str">
            <v>R07 - Residential Outdoor Lighting</v>
          </cell>
        </row>
        <row r="9">
          <cell r="L9" t="str">
            <v>C06 - Commercial Indoor Lighting</v>
          </cell>
        </row>
        <row r="29">
          <cell r="G29" t="str">
            <v>Single Family or Unknown location</v>
          </cell>
        </row>
        <row r="30">
          <cell r="G30" t="str">
            <v>Multi Family-in unit</v>
          </cell>
        </row>
        <row r="31">
          <cell r="G31" t="str">
            <v>Multi Family-common area</v>
          </cell>
        </row>
        <row r="32">
          <cell r="G32" t="str">
            <v>Exterior or uncooled</v>
          </cell>
        </row>
      </sheetData>
      <sheetData sheetId="23">
        <row r="22">
          <cell r="C22" t="str">
            <v>June 2012-May 2013</v>
          </cell>
        </row>
        <row r="23">
          <cell r="C23" t="str">
            <v>June 2013-May 2014</v>
          </cell>
        </row>
        <row r="24">
          <cell r="C24" t="str">
            <v>June 2014-May 2015</v>
          </cell>
          <cell r="K24" t="str">
            <v>1490-2600</v>
          </cell>
        </row>
        <row r="25">
          <cell r="C25" t="str">
            <v>June 2015-May 2016</v>
          </cell>
          <cell r="K25" t="str">
            <v>1050-1489</v>
          </cell>
        </row>
        <row r="26">
          <cell r="C26" t="str">
            <v>June 2016-May 2017</v>
          </cell>
          <cell r="K26" t="str">
            <v>750-1049</v>
          </cell>
        </row>
        <row r="27">
          <cell r="C27" t="str">
            <v>June 2017-May 2018</v>
          </cell>
          <cell r="K27" t="str">
            <v>310-749</v>
          </cell>
        </row>
        <row r="28">
          <cell r="C28" t="str">
            <v>June 2018-May 2019</v>
          </cell>
        </row>
        <row r="29">
          <cell r="C29" t="str">
            <v>June 2019-May 2020</v>
          </cell>
        </row>
      </sheetData>
      <sheetData sheetId="24">
        <row r="11">
          <cell r="J11" t="str">
            <v>R06 - Residential Indoor Lighting</v>
          </cell>
        </row>
        <row r="12">
          <cell r="J12" t="str">
            <v>C06 - Commercial Indoor Lighting</v>
          </cell>
        </row>
        <row r="30">
          <cell r="C30" t="str">
            <v>June 2012-May 2013</v>
          </cell>
        </row>
        <row r="31">
          <cell r="C31" t="str">
            <v>June 2013-May 2014</v>
          </cell>
          <cell r="K31" t="str">
            <v>1490-2600</v>
          </cell>
        </row>
        <row r="32">
          <cell r="C32" t="str">
            <v>June 2014-May 2015</v>
          </cell>
          <cell r="K32" t="str">
            <v>1050-1489</v>
          </cell>
        </row>
        <row r="33">
          <cell r="C33" t="str">
            <v>June 2015-May 2016</v>
          </cell>
          <cell r="K33" t="str">
            <v>750-1049</v>
          </cell>
        </row>
        <row r="34">
          <cell r="C34" t="str">
            <v>June 2016-May 2017</v>
          </cell>
          <cell r="K34" t="str">
            <v>310-749</v>
          </cell>
        </row>
        <row r="35">
          <cell r="C35" t="str">
            <v>June 2017-May 2018</v>
          </cell>
        </row>
        <row r="36">
          <cell r="C36" t="str">
            <v>June 2018-May 2019</v>
          </cell>
        </row>
        <row r="37">
          <cell r="C37" t="str">
            <v>June 2019-May 2020</v>
          </cell>
        </row>
        <row r="42">
          <cell r="I42" t="str">
            <v>Single Family or Unknown location</v>
          </cell>
        </row>
        <row r="43">
          <cell r="I43" t="str">
            <v>Multi Family-in unit</v>
          </cell>
        </row>
        <row r="44">
          <cell r="I44" t="str">
            <v>Multi Family-common area</v>
          </cell>
        </row>
        <row r="45">
          <cell r="I45" t="str">
            <v>Exterior or uncooled</v>
          </cell>
        </row>
      </sheetData>
      <sheetData sheetId="25">
        <row r="19">
          <cell r="J19" t="str">
            <v>Incandacent</v>
          </cell>
        </row>
        <row r="20">
          <cell r="J20" t="str">
            <v>Fluorescent</v>
          </cell>
        </row>
        <row r="21">
          <cell r="J21" t="str">
            <v>Unknown</v>
          </cell>
        </row>
      </sheetData>
      <sheetData sheetId="26"/>
      <sheetData sheetId="27">
        <row r="3">
          <cell r="B3" t="str">
            <v>Agriculture</v>
          </cell>
        </row>
      </sheetData>
      <sheetData sheetId="28">
        <row r="8">
          <cell r="D8">
            <v>7.4399999999999994E-2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row r="5">
          <cell r="V5">
            <v>14</v>
          </cell>
        </row>
      </sheetData>
      <sheetData sheetId="4">
        <row r="2">
          <cell r="F2" t="str">
            <v>Short Measure Name</v>
          </cell>
        </row>
      </sheetData>
      <sheetData sheetId="5"/>
      <sheetData sheetId="6"/>
      <sheetData sheetId="7">
        <row r="61">
          <cell r="C61" t="str">
            <v>NC</v>
          </cell>
        </row>
        <row r="108">
          <cell r="A108" t="str">
            <v>Natural Gas</v>
          </cell>
        </row>
        <row r="109">
          <cell r="A109">
            <v>0</v>
          </cell>
        </row>
      </sheetData>
      <sheetData sheetId="8">
        <row r="16">
          <cell r="I16" t="b">
            <v>1</v>
          </cell>
        </row>
      </sheetData>
      <sheetData sheetId="9">
        <row r="22">
          <cell r="I22" t="str">
            <v>TOS</v>
          </cell>
        </row>
      </sheetData>
      <sheetData sheetId="10">
        <row r="7">
          <cell r="L7" t="str">
            <v>TOS</v>
          </cell>
        </row>
      </sheetData>
      <sheetData sheetId="11">
        <row r="7">
          <cell r="J7" t="str">
            <v>TOS</v>
          </cell>
        </row>
      </sheetData>
      <sheetData sheetId="12">
        <row r="38">
          <cell r="A38">
            <v>0</v>
          </cell>
        </row>
      </sheetData>
      <sheetData sheetId="13"/>
      <sheetData sheetId="14">
        <row r="27">
          <cell r="L27" t="str">
            <v>None - TRM Deemed</v>
          </cell>
        </row>
      </sheetData>
      <sheetData sheetId="15"/>
      <sheetData sheetId="16">
        <row r="39">
          <cell r="B39">
            <v>0</v>
          </cell>
        </row>
      </sheetData>
      <sheetData sheetId="17">
        <row r="16">
          <cell r="K16" t="str">
            <v>Conditioned</v>
          </cell>
        </row>
      </sheetData>
      <sheetData sheetId="18"/>
      <sheetData sheetId="19"/>
      <sheetData sheetId="20"/>
      <sheetData sheetId="21">
        <row r="17">
          <cell r="L17" t="str">
            <v>Residential Single family</v>
          </cell>
        </row>
      </sheetData>
      <sheetData sheetId="22">
        <row r="7">
          <cell r="K7" t="str">
            <v>Electric</v>
          </cell>
        </row>
      </sheetData>
      <sheetData sheetId="23">
        <row r="6">
          <cell r="I6" t="str">
            <v>TOS</v>
          </cell>
        </row>
      </sheetData>
      <sheetData sheetId="24">
        <row r="109">
          <cell r="I109">
            <v>5</v>
          </cell>
        </row>
      </sheetData>
      <sheetData sheetId="25"/>
      <sheetData sheetId="26"/>
      <sheetData sheetId="27">
        <row r="3">
          <cell r="B3" t="str">
            <v>Agriculture</v>
          </cell>
        </row>
      </sheetData>
      <sheetData sheetId="28">
        <row r="8">
          <cell r="D8">
            <v>2.2185999999999987E-2</v>
          </cell>
        </row>
      </sheetData>
      <sheetData sheetId="2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Custom_Table TEAPOt"/>
      <sheetName val="Custom_Table"/>
      <sheetName val="Notes for Update"/>
      <sheetName val="New measures"/>
      <sheetName val="Direct Fired"/>
      <sheetName val="Residential Wx"/>
      <sheetName val="Custom Projects"/>
      <sheetName val="Assessments"/>
      <sheetName val="Bonuses"/>
      <sheetName val="Behavior"/>
      <sheetName val="Kit"/>
      <sheetName val="Bundle"/>
      <sheetName val="Old"/>
      <sheetName val="RNC"/>
      <sheetName val="Furnace background"/>
      <sheetName val="Column Headings"/>
      <sheetName val="Sheet1"/>
      <sheetName val="Biz - Salon Sprayer"/>
      <sheetName val="5.4.5"/>
      <sheetName val="BEER"/>
      <sheetName val="SBES_Furnace"/>
      <sheetName val="SBES_furnace_ER"/>
      <sheetName val="SBES_Traps"/>
      <sheetName val="MF_Boiler Pipe Ins"/>
      <sheetName val="Boilers"/>
      <sheetName val="Tstats"/>
      <sheetName val="Dry Cleaner Pipe Insulation"/>
      <sheetName val="BEER Assessment"/>
      <sheetName val="SEM"/>
      <sheetName val="OtherMF"/>
      <sheetName val="Sheet3"/>
      <sheetName val="BNC"/>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3">
          <cell r="F33">
            <v>2</v>
          </cell>
          <cell r="I33" t="str">
            <v>Single-Family</v>
          </cell>
        </row>
        <row r="34">
          <cell r="F34">
            <v>1.75</v>
          </cell>
          <cell r="I34" t="str">
            <v>Multi-Family</v>
          </cell>
        </row>
        <row r="35">
          <cell r="F35">
            <v>1.5</v>
          </cell>
          <cell r="I35" t="str">
            <v>Custom</v>
          </cell>
        </row>
      </sheetData>
      <sheetData sheetId="22"/>
      <sheetData sheetId="23"/>
      <sheetData sheetId="24"/>
      <sheetData sheetId="25"/>
      <sheetData sheetId="26"/>
      <sheetData sheetId="27">
        <row r="17">
          <cell r="H17" t="str">
            <v>TOS</v>
          </cell>
        </row>
        <row r="18">
          <cell r="H18" t="str">
            <v>RF</v>
          </cell>
        </row>
        <row r="28">
          <cell r="J28" t="str">
            <v>Hot Water &lt;300,000 Btu/h &lt; June 1, 2013</v>
          </cell>
        </row>
        <row r="29">
          <cell r="B29" t="str">
            <v>Office - High Rise</v>
          </cell>
          <cell r="J29" t="str">
            <v>Hot Water &lt;300,000 Btu/h  ≥ June 1, 2013</v>
          </cell>
          <cell r="N29" t="str">
            <v>ENERGY STAR® Minimum</v>
          </cell>
        </row>
        <row r="30">
          <cell r="B30" t="str">
            <v>Office - Mid Rise</v>
          </cell>
          <cell r="J30" t="str">
            <v>Hot Water  ≥300,000 &amp; ≤2,500,000 Btu/h</v>
          </cell>
          <cell r="N30" t="str">
            <v>AFUE 90%</v>
          </cell>
        </row>
        <row r="31">
          <cell r="B31" t="str">
            <v>Office - Low Rise</v>
          </cell>
          <cell r="J31" t="str">
            <v>Hot Water  &gt;2,500,000 Btu/h</v>
          </cell>
          <cell r="N31" t="str">
            <v>AFUE 95%</v>
          </cell>
        </row>
        <row r="32">
          <cell r="B32" t="str">
            <v>Convenience</v>
          </cell>
          <cell r="J32" t="str">
            <v>Steam &lt;300,000 Btu/h &lt; June 1, 2013</v>
          </cell>
          <cell r="N32" t="str">
            <v>AFUE ≥ 96%</v>
          </cell>
        </row>
        <row r="33">
          <cell r="B33" t="str">
            <v>Healthcare Clinic</v>
          </cell>
          <cell r="J33" t="str">
            <v>Steam &lt;300,000 Btu/h ≥June 1, 2013</v>
          </cell>
          <cell r="N33" t="str">
            <v>Custom</v>
          </cell>
        </row>
        <row r="34">
          <cell r="B34" t="str">
            <v>Manufacturing Facility</v>
          </cell>
          <cell r="J34" t="str">
            <v>Steam - all except natural draft ≥300,000 &amp; ≤2,500,000 Btu/h</v>
          </cell>
        </row>
        <row r="35">
          <cell r="B35" t="str">
            <v>Lodging Hotel/Motel/ Multifamily</v>
          </cell>
          <cell r="J35" t="str">
            <v>Steam - natural draft ≥300,000 &amp; ≤2,500,000 Btu/h</v>
          </cell>
        </row>
        <row r="36">
          <cell r="B36" t="str">
            <v>High School</v>
          </cell>
          <cell r="J36" t="str">
            <v>Steam - all except natural draft &gt;2,500,000 Btu/h</v>
          </cell>
        </row>
        <row r="37">
          <cell r="B37" t="str">
            <v>Hospital</v>
          </cell>
          <cell r="J37" t="str">
            <v>Steam - natural draft &gt;2,500,000 Btu/h</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8"/>
      <sheetData sheetId="29"/>
      <sheetData sheetId="30"/>
      <sheetData sheetId="31"/>
      <sheetData sheetId="32"/>
      <sheetData sheetId="33"/>
      <sheetData sheetId="34"/>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for Update"/>
      <sheetName val="New measures"/>
      <sheetName val="Custom_Table"/>
      <sheetName val="Residential Wx"/>
      <sheetName val="Direct Fired"/>
      <sheetName val="Custom Projects"/>
      <sheetName val="Assessments"/>
      <sheetName val="Bonuses"/>
      <sheetName val="Behavior"/>
      <sheetName val="Kit"/>
      <sheetName val="Bundle"/>
      <sheetName val="Old"/>
      <sheetName val="Custom"/>
      <sheetName val="SBEEP"/>
      <sheetName val="RNC"/>
      <sheetName val="Furnace background"/>
      <sheetName val="Column Headings"/>
      <sheetName val="Sheet1"/>
      <sheetName val="Biz - Salon Sprayer"/>
      <sheetName val="5.4.5"/>
      <sheetName val="MF"/>
      <sheetName val="BEER"/>
      <sheetName val="SBES_Furnace"/>
      <sheetName val="SBES_furnace_ER"/>
      <sheetName val="SBES_Traps"/>
      <sheetName val="MF_Boiler Pipe Ins"/>
      <sheetName val="Boilers"/>
      <sheetName val="Tstats"/>
      <sheetName val="Dry Cleaner Pipe Insulation"/>
      <sheetName val="BEER Assessment"/>
      <sheetName val="SEM"/>
      <sheetName val="Sheet2"/>
      <sheetName val="Sheet3"/>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
          <cell r="F33">
            <v>2</v>
          </cell>
          <cell r="I33" t="str">
            <v>Single-Family</v>
          </cell>
        </row>
        <row r="34">
          <cell r="F34">
            <v>1.75</v>
          </cell>
          <cell r="I34" t="str">
            <v>Multi-Family</v>
          </cell>
        </row>
        <row r="35">
          <cell r="F35">
            <v>1.5</v>
          </cell>
          <cell r="I35" t="str">
            <v>Custom</v>
          </cell>
        </row>
      </sheetData>
      <sheetData sheetId="20"/>
      <sheetData sheetId="21"/>
      <sheetData sheetId="22"/>
      <sheetData sheetId="23"/>
      <sheetData sheetId="24"/>
      <sheetData sheetId="25"/>
      <sheetData sheetId="26">
        <row r="17">
          <cell r="H17" t="str">
            <v>TOS</v>
          </cell>
        </row>
        <row r="29">
          <cell r="B29" t="str">
            <v>Office - High Rise</v>
          </cell>
        </row>
        <row r="30">
          <cell r="B30" t="str">
            <v>Office - Mid Rise</v>
          </cell>
        </row>
        <row r="31">
          <cell r="B31" t="str">
            <v>Office - Low Rise</v>
          </cell>
        </row>
        <row r="32">
          <cell r="B32" t="str">
            <v>Convenience</v>
          </cell>
        </row>
        <row r="33">
          <cell r="B33" t="str">
            <v>Healthcare Clinic</v>
          </cell>
        </row>
        <row r="34">
          <cell r="B34" t="str">
            <v>Manufacturing Facility</v>
          </cell>
        </row>
        <row r="35">
          <cell r="B35" t="str">
            <v>Lodging Hotel/Motel/ Multifamily</v>
          </cell>
        </row>
        <row r="36">
          <cell r="B36" t="str">
            <v>High School</v>
          </cell>
        </row>
        <row r="37">
          <cell r="B37" t="str">
            <v>Hospital</v>
          </cell>
        </row>
        <row r="38">
          <cell r="B38" t="str">
            <v>Elementary</v>
          </cell>
        </row>
        <row r="39">
          <cell r="B39" t="str">
            <v>Religious Facility</v>
          </cell>
        </row>
        <row r="40">
          <cell r="B40" t="str">
            <v>Restaurant</v>
          </cell>
        </row>
        <row r="41">
          <cell r="B41" t="str">
            <v>Retail - Strip Mall</v>
          </cell>
        </row>
        <row r="42">
          <cell r="B42" t="str">
            <v>Retail - Department Store</v>
          </cell>
        </row>
        <row r="43">
          <cell r="B43" t="str">
            <v>College/University</v>
          </cell>
        </row>
        <row r="44">
          <cell r="B44" t="str">
            <v>Warehouse</v>
          </cell>
        </row>
        <row r="45">
          <cell r="B45" t="str">
            <v>Unknown</v>
          </cell>
        </row>
      </sheetData>
      <sheetData sheetId="27"/>
      <sheetData sheetId="28"/>
      <sheetData sheetId="29"/>
      <sheetData sheetId="30"/>
      <sheetData sheetId="31"/>
      <sheetData sheetId="32"/>
      <sheetData sheetId="3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in Input"/>
      <sheetName val="Forecast Input"/>
      <sheetName val="Energy Intensity Input"/>
      <sheetName val="Adoption Input"/>
      <sheetName val="Load Profile Input"/>
      <sheetName val="Avoided Energy Cost Input"/>
      <sheetName val="Avoided Capacity Cost Input"/>
      <sheetName val="Equipment Measures"/>
      <sheetName val="Non Equipment Measures"/>
      <sheetName val="Stock Forecast"/>
      <sheetName val="Equipment Forecast"/>
      <sheetName val="Baseline Energy Forecast"/>
      <sheetName val="Output"/>
      <sheetName val="Summary Tables"/>
      <sheetName val="Measure Counts"/>
      <sheetName val="Supply Curves"/>
      <sheetName val="Pivots"/>
      <sheetName val="Master"/>
      <sheetName val="MasterTemp"/>
      <sheetName val="Lookups"/>
      <sheetName val="Status"/>
      <sheetName val="MasterTransfer"/>
    </sheetNames>
    <sheetDataSet>
      <sheetData sheetId="0"/>
      <sheetData sheetId="1">
        <row r="6">
          <cell r="K6" t="str">
            <v>Single Family</v>
          </cell>
          <cell r="M6" t="str">
            <v>Central Heating</v>
          </cell>
        </row>
        <row r="7">
          <cell r="K7" t="str">
            <v>Multifamily</v>
          </cell>
          <cell r="M7" t="str">
            <v>Cooking</v>
          </cell>
        </row>
        <row r="8">
          <cell r="K8" t="str">
            <v>Other</v>
          </cell>
          <cell r="M8" t="str">
            <v>Cooling</v>
          </cell>
        </row>
        <row r="9">
          <cell r="M9" t="str">
            <v>Dishwasher</v>
          </cell>
        </row>
        <row r="10">
          <cell r="M10" t="str">
            <v>Dryer</v>
          </cell>
        </row>
        <row r="11">
          <cell r="M11" t="str">
            <v>Freezer</v>
          </cell>
        </row>
        <row r="12">
          <cell r="M12" t="str">
            <v>HVAC Aux</v>
          </cell>
        </row>
        <row r="13">
          <cell r="M13" t="str">
            <v>Lighting</v>
          </cell>
        </row>
        <row r="14">
          <cell r="M14" t="str">
            <v>Plug Load</v>
          </cell>
        </row>
        <row r="15">
          <cell r="M15" t="str">
            <v>Refrigerator</v>
          </cell>
        </row>
        <row r="16">
          <cell r="M16" t="str">
            <v>Clothes washer</v>
          </cell>
        </row>
        <row r="17">
          <cell r="M17" t="str">
            <v>Water Heating</v>
          </cell>
        </row>
      </sheetData>
      <sheetData sheetId="2"/>
      <sheetData sheetId="3"/>
      <sheetData sheetId="4"/>
      <sheetData sheetId="5">
        <row r="6">
          <cell r="C6" t="str">
            <v>Residential Single Family Cooling</v>
          </cell>
          <cell r="D6" t="str">
            <v>Residential Single Family Heat Pump</v>
          </cell>
          <cell r="E6" t="str">
            <v>Residential Single Family Heating</v>
          </cell>
          <cell r="F6" t="str">
            <v>Residential Single Family Lighting</v>
          </cell>
          <cell r="G6" t="str">
            <v>Residential Single Family Miscellaneous</v>
          </cell>
          <cell r="H6" t="str">
            <v>Residential Single Family Refrigerator</v>
          </cell>
          <cell r="I6" t="str">
            <v>Residential Single Family Water Heat</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0">
          <cell r="C20" t="str">
            <v>Water Heating</v>
          </cell>
        </row>
        <row r="21">
          <cell r="C21" t="str">
            <v>Refrigerator</v>
          </cell>
        </row>
        <row r="22">
          <cell r="C22" t="str">
            <v>Plug Load</v>
          </cell>
        </row>
        <row r="23">
          <cell r="C23" t="str">
            <v>Lighting</v>
          </cell>
        </row>
        <row r="24">
          <cell r="C24" t="str">
            <v>HVAC Aux</v>
          </cell>
        </row>
        <row r="25">
          <cell r="C25" t="str">
            <v>Freezer</v>
          </cell>
          <cell r="H25" t="str">
            <v>Tech/Econ</v>
          </cell>
        </row>
        <row r="26">
          <cell r="C26" t="str">
            <v>Dryer</v>
          </cell>
          <cell r="H26" t="str">
            <v>Retrofit in 21</v>
          </cell>
        </row>
        <row r="27">
          <cell r="C27" t="str">
            <v>Dishwasher</v>
          </cell>
          <cell r="H27" t="str">
            <v>Retrofit in 30</v>
          </cell>
        </row>
        <row r="28">
          <cell r="C28" t="str">
            <v>Cooling</v>
          </cell>
          <cell r="H28" t="str">
            <v>Retrofit in 40</v>
          </cell>
        </row>
        <row r="29">
          <cell r="C29" t="str">
            <v>Cooking</v>
          </cell>
          <cell r="H29" t="str">
            <v>Ach low</v>
          </cell>
        </row>
        <row r="30">
          <cell r="C30" t="str">
            <v>Clothes washer</v>
          </cell>
          <cell r="H30" t="str">
            <v>Ach low - lighting_plug load_appl</v>
          </cell>
        </row>
        <row r="31">
          <cell r="C31" t="str">
            <v>Central Heating</v>
          </cell>
          <cell r="H31" t="str">
            <v>Ach mod</v>
          </cell>
        </row>
        <row r="32">
          <cell r="C32"/>
          <cell r="H32" t="str">
            <v>Ach mod - lighting_plug load_appl</v>
          </cell>
        </row>
        <row r="33">
          <cell r="C33"/>
          <cell r="H33" t="str">
            <v>Ach high</v>
          </cell>
        </row>
        <row r="34">
          <cell r="C34"/>
          <cell r="H34" t="str">
            <v>Ach high - lighting_plug load_appl</v>
          </cell>
        </row>
        <row r="35">
          <cell r="C35"/>
          <cell r="H35">
            <v>0</v>
          </cell>
        </row>
        <row r="36">
          <cell r="C36"/>
          <cell r="H36">
            <v>0</v>
          </cell>
        </row>
        <row r="37">
          <cell r="C37"/>
          <cell r="H37">
            <v>0</v>
          </cell>
        </row>
        <row r="38">
          <cell r="C38"/>
          <cell r="H38">
            <v>0</v>
          </cell>
        </row>
        <row r="39">
          <cell r="C39"/>
          <cell r="H39">
            <v>0</v>
          </cell>
        </row>
        <row r="40">
          <cell r="C40"/>
          <cell r="H40">
            <v>0</v>
          </cell>
        </row>
        <row r="41">
          <cell r="C41"/>
          <cell r="H41">
            <v>0</v>
          </cell>
        </row>
        <row r="42">
          <cell r="C42"/>
          <cell r="H42">
            <v>0</v>
          </cell>
        </row>
        <row r="43">
          <cell r="C43"/>
          <cell r="H43">
            <v>0</v>
          </cell>
        </row>
        <row r="44">
          <cell r="C44"/>
          <cell r="H44">
            <v>0</v>
          </cell>
        </row>
        <row r="45">
          <cell r="C45"/>
        </row>
        <row r="46">
          <cell r="C46"/>
        </row>
        <row r="47">
          <cell r="C47"/>
        </row>
        <row r="48">
          <cell r="C48"/>
        </row>
        <row r="49">
          <cell r="C49"/>
        </row>
        <row r="50">
          <cell r="C50"/>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sheetData>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ool Set-Up"/>
      <sheetName val="Program Budgets"/>
      <sheetName val="Measure Build"/>
      <sheetName val="Data Validation"/>
      <sheetName val="Economic Inputs"/>
      <sheetName val="Program Summary Work"/>
      <sheetName val="Sheet1"/>
      <sheetName val="BRD Table"/>
    </sheetNames>
    <sheetDataSet>
      <sheetData sheetId="0"/>
      <sheetData sheetId="1"/>
      <sheetData sheetId="2"/>
      <sheetData sheetId="3"/>
      <sheetData sheetId="4"/>
      <sheetData sheetId="5">
        <row r="2">
          <cell r="Q2" t="str">
            <v>Program Year Reference</v>
          </cell>
          <cell r="R2" t="str">
            <v>kWh factor</v>
          </cell>
          <cell r="S2" t="str">
            <v>kW factor</v>
          </cell>
          <cell r="T2" t="str">
            <v>N. Gas factor</v>
          </cell>
          <cell r="U2" t="str">
            <v>kWh Bill Savings</v>
          </cell>
          <cell r="V2" t="str">
            <v>N. Gas Bill Savings</v>
          </cell>
          <cell r="W2" t="str">
            <v>kWh factor</v>
          </cell>
          <cell r="X2" t="str">
            <v>kW factor</v>
          </cell>
          <cell r="Y2" t="str">
            <v>N. Gas factor</v>
          </cell>
          <cell r="Z2" t="str">
            <v>kWh Bill Savings</v>
          </cell>
          <cell r="AA2" t="str">
            <v>N. Gas Bill Savings</v>
          </cell>
          <cell r="AD2" t="str">
            <v>Program Year Reference</v>
          </cell>
          <cell r="AE2" t="str">
            <v>kWh factor</v>
          </cell>
          <cell r="AF2" t="str">
            <v>kW factor</v>
          </cell>
          <cell r="AG2" t="str">
            <v>N. Gas factor</v>
          </cell>
          <cell r="AH2" t="str">
            <v>kWh Bill Savings</v>
          </cell>
          <cell r="AI2" t="str">
            <v>N. Gas Bill Savings</v>
          </cell>
          <cell r="AJ2" t="str">
            <v>kWh factor</v>
          </cell>
          <cell r="AK2" t="str">
            <v>kW factor</v>
          </cell>
          <cell r="AL2" t="str">
            <v>N. Gas factor</v>
          </cell>
          <cell r="AM2" t="str">
            <v>kWh Bill Savings</v>
          </cell>
          <cell r="AN2" t="str">
            <v>N. Gas Bill Savings</v>
          </cell>
          <cell r="AQ2" t="str">
            <v>Program Year Reference</v>
          </cell>
          <cell r="AR2" t="str">
            <v>kWh factor</v>
          </cell>
          <cell r="AS2" t="str">
            <v>kW factor</v>
          </cell>
          <cell r="AT2" t="str">
            <v>N. Gas factor</v>
          </cell>
          <cell r="AU2" t="str">
            <v>kWh Bill Savings</v>
          </cell>
          <cell r="AV2" t="str">
            <v>N. Gas Bill Savings</v>
          </cell>
          <cell r="AW2" t="str">
            <v>kWh factor</v>
          </cell>
          <cell r="AX2" t="str">
            <v>kW factor</v>
          </cell>
          <cell r="AY2" t="str">
            <v>N. Gas factor</v>
          </cell>
          <cell r="AZ2" t="str">
            <v>kWh Bill Savings</v>
          </cell>
          <cell r="BA2" t="str">
            <v>N. Gas Bill Savings</v>
          </cell>
        </row>
        <row r="3">
          <cell r="A3">
            <v>5.8650000000000001E-2</v>
          </cell>
          <cell r="Q3" t="str">
            <v>20151</v>
          </cell>
          <cell r="R3">
            <v>3.2899999999999999E-2</v>
          </cell>
          <cell r="S3">
            <v>136.11000000000001</v>
          </cell>
          <cell r="T3">
            <v>0.40115548867119999</v>
          </cell>
          <cell r="U3">
            <v>9.6000000000000002E-2</v>
          </cell>
          <cell r="V3">
            <v>0.45</v>
          </cell>
          <cell r="W3">
            <v>3.1077315448920798E-2</v>
          </cell>
          <cell r="X3">
            <v>128.56940443017049</v>
          </cell>
          <cell r="Y3">
            <v>0.37854565261106121</v>
          </cell>
          <cell r="Z3">
            <v>9.1626127615359182E-2</v>
          </cell>
          <cell r="AA3">
            <v>0.44490624852406363</v>
          </cell>
          <cell r="AD3" t="str">
            <v>20151</v>
          </cell>
          <cell r="AE3">
            <v>3.2899999999999999E-2</v>
          </cell>
          <cell r="AF3">
            <v>136.11000000000001</v>
          </cell>
          <cell r="AG3">
            <v>0.40115548867119999</v>
          </cell>
          <cell r="AH3">
            <v>9.6000000000000002E-2</v>
          </cell>
          <cell r="AI3">
            <v>0.45</v>
          </cell>
          <cell r="AJ3">
            <v>3.1077315448920798E-2</v>
          </cell>
          <cell r="AK3">
            <v>128.56940443017049</v>
          </cell>
          <cell r="AL3">
            <v>0.37854565261106121</v>
          </cell>
          <cell r="AM3">
            <v>9.1626127615359182E-2</v>
          </cell>
          <cell r="AN3">
            <v>0.44490624852406363</v>
          </cell>
          <cell r="AQ3" t="str">
            <v>20151</v>
          </cell>
          <cell r="AR3">
            <v>3.2899999999999999E-2</v>
          </cell>
          <cell r="AS3">
            <v>136.11000000000001</v>
          </cell>
          <cell r="AT3">
            <v>0.40115548867119999</v>
          </cell>
          <cell r="AU3">
            <v>9.6000000000000002E-2</v>
          </cell>
          <cell r="AV3">
            <v>0.45</v>
          </cell>
          <cell r="AW3">
            <v>3.1077315448920798E-2</v>
          </cell>
          <cell r="AX3">
            <v>128.56940443017049</v>
          </cell>
          <cell r="AY3">
            <v>0.37854565261106121</v>
          </cell>
          <cell r="AZ3">
            <v>9.1626127615359182E-2</v>
          </cell>
          <cell r="BA3">
            <v>0.44490624852406363</v>
          </cell>
        </row>
        <row r="4">
          <cell r="A4">
            <v>5.8650000000000001E-2</v>
          </cell>
          <cell r="Q4" t="str">
            <v>20152</v>
          </cell>
          <cell r="R4">
            <v>6.3977315448920796E-2</v>
          </cell>
          <cell r="S4">
            <v>264.67940443017051</v>
          </cell>
          <cell r="T4">
            <v>0.7797011412822612</v>
          </cell>
          <cell r="U4">
            <v>0.18762612761535918</v>
          </cell>
          <cell r="V4">
            <v>0.89490624852406364</v>
          </cell>
          <cell r="W4">
            <v>2.9355608982119474E-2</v>
          </cell>
          <cell r="X4">
            <v>121.44723268276653</v>
          </cell>
          <cell r="Y4">
            <v>0.40120210247539401</v>
          </cell>
          <cell r="Z4">
            <v>8.6549971770990552E-2</v>
          </cell>
          <cell r="AA4">
            <v>0.42471944910300519</v>
          </cell>
          <cell r="AD4" t="str">
            <v>20152</v>
          </cell>
          <cell r="AE4">
            <v>6.3977315448920796E-2</v>
          </cell>
          <cell r="AF4">
            <v>264.67940443017051</v>
          </cell>
          <cell r="AG4">
            <v>0.7797011412822612</v>
          </cell>
          <cell r="AH4">
            <v>0.18762612761535918</v>
          </cell>
          <cell r="AI4">
            <v>0.89490624852406364</v>
          </cell>
          <cell r="AJ4">
            <v>2.9355608982119474E-2</v>
          </cell>
          <cell r="AK4">
            <v>121.44723268276653</v>
          </cell>
          <cell r="AL4">
            <v>0.40120210247539401</v>
          </cell>
          <cell r="AM4">
            <v>8.6549971770990552E-2</v>
          </cell>
          <cell r="AN4">
            <v>0.42471944910300519</v>
          </cell>
          <cell r="AQ4" t="str">
            <v>20152</v>
          </cell>
          <cell r="AR4">
            <v>6.3977315448920796E-2</v>
          </cell>
          <cell r="AS4">
            <v>264.67940443017051</v>
          </cell>
          <cell r="AT4">
            <v>0.7797011412822612</v>
          </cell>
          <cell r="AU4">
            <v>0.18762612761535918</v>
          </cell>
          <cell r="AV4">
            <v>0.89490624852406364</v>
          </cell>
          <cell r="AW4">
            <v>2.9355608982119474E-2</v>
          </cell>
          <cell r="AX4">
            <v>121.44723268276653</v>
          </cell>
          <cell r="AY4">
            <v>0.40120210247539401</v>
          </cell>
          <cell r="AZ4">
            <v>8.6549971770990552E-2</v>
          </cell>
          <cell r="BA4">
            <v>0.42471944910300519</v>
          </cell>
        </row>
        <row r="5">
          <cell r="A5">
            <v>5.8650000000000001E-2</v>
          </cell>
          <cell r="Q5" t="str">
            <v>20153</v>
          </cell>
          <cell r="R5">
            <v>9.3332924431040271E-2</v>
          </cell>
          <cell r="S5">
            <v>386.12663711293703</v>
          </cell>
          <cell r="T5">
            <v>1.1809032437576552</v>
          </cell>
          <cell r="U5">
            <v>0.27417609938634974</v>
          </cell>
          <cell r="V5">
            <v>1.3196256976270688</v>
          </cell>
          <cell r="W5">
            <v>2.7729286338373849E-2</v>
          </cell>
          <cell r="X5">
            <v>114.71896536415863</v>
          </cell>
          <cell r="Y5">
            <v>0.39107120054479583</v>
          </cell>
          <cell r="Z5">
            <v>8.091220329738269E-2</v>
          </cell>
          <cell r="AA5">
            <v>0.41130370009502859</v>
          </cell>
          <cell r="AD5" t="str">
            <v>20153</v>
          </cell>
          <cell r="AE5">
            <v>9.3332924431040271E-2</v>
          </cell>
          <cell r="AF5">
            <v>386.12663711293703</v>
          </cell>
          <cell r="AG5">
            <v>1.1809032437576552</v>
          </cell>
          <cell r="AH5">
            <v>0.27417609938634974</v>
          </cell>
          <cell r="AI5">
            <v>1.3196256976270688</v>
          </cell>
          <cell r="AJ5">
            <v>2.7729286338373849E-2</v>
          </cell>
          <cell r="AK5">
            <v>114.71896536415863</v>
          </cell>
          <cell r="AL5">
            <v>0.39107120054479583</v>
          </cell>
          <cell r="AM5">
            <v>8.091220329738269E-2</v>
          </cell>
          <cell r="AN5">
            <v>0.41130370009502859</v>
          </cell>
          <cell r="AQ5" t="str">
            <v>20153</v>
          </cell>
          <cell r="AR5">
            <v>9.3332924431040271E-2</v>
          </cell>
          <cell r="AS5">
            <v>386.12663711293703</v>
          </cell>
          <cell r="AT5">
            <v>1.1809032437576552</v>
          </cell>
          <cell r="AU5">
            <v>0.27417609938634974</v>
          </cell>
          <cell r="AV5">
            <v>1.3196256976270688</v>
          </cell>
          <cell r="AW5">
            <v>2.7729286338373849E-2</v>
          </cell>
          <cell r="AX5">
            <v>114.71896536415863</v>
          </cell>
          <cell r="AY5">
            <v>0.39107120054479583</v>
          </cell>
          <cell r="AZ5">
            <v>8.091220329738269E-2</v>
          </cell>
          <cell r="BA5">
            <v>0.41130370009502859</v>
          </cell>
        </row>
        <row r="6">
          <cell r="A6">
            <v>2.9700000000000001E-2</v>
          </cell>
          <cell r="Q6" t="str">
            <v>20154</v>
          </cell>
          <cell r="R6">
            <v>0.12106221076941412</v>
          </cell>
          <cell r="S6">
            <v>500.84560247709567</v>
          </cell>
          <cell r="T6">
            <v>1.571974444302451</v>
          </cell>
          <cell r="U6">
            <v>0.35508830268373243</v>
          </cell>
          <cell r="V6">
            <v>1.7309293977220974</v>
          </cell>
          <cell r="W6">
            <v>2.6193063182708004E-2</v>
          </cell>
          <cell r="X6">
            <v>108.36344907585942</v>
          </cell>
          <cell r="Y6">
            <v>0.39208278280308972</v>
          </cell>
          <cell r="Z6">
            <v>7.6429606855318244E-2</v>
          </cell>
          <cell r="AA6">
            <v>0.39966315251426843</v>
          </cell>
          <cell r="AD6" t="str">
            <v>20154</v>
          </cell>
          <cell r="AE6">
            <v>0.12106221076941412</v>
          </cell>
          <cell r="AF6">
            <v>500.84560247709567</v>
          </cell>
          <cell r="AG6">
            <v>1.571974444302451</v>
          </cell>
          <cell r="AH6">
            <v>0.35508830268373243</v>
          </cell>
          <cell r="AI6">
            <v>1.7309293977220974</v>
          </cell>
          <cell r="AJ6">
            <v>2.6193063182708004E-2</v>
          </cell>
          <cell r="AK6">
            <v>108.36344907585942</v>
          </cell>
          <cell r="AL6">
            <v>0.39208278280308972</v>
          </cell>
          <cell r="AM6">
            <v>7.6429606855318244E-2</v>
          </cell>
          <cell r="AN6">
            <v>0.39966315251426843</v>
          </cell>
          <cell r="AQ6" t="str">
            <v>20154</v>
          </cell>
          <cell r="AR6">
            <v>0.12106221076941412</v>
          </cell>
          <cell r="AS6">
            <v>500.84560247709567</v>
          </cell>
          <cell r="AT6">
            <v>1.571974444302451</v>
          </cell>
          <cell r="AU6">
            <v>0.35508830268373243</v>
          </cell>
          <cell r="AV6">
            <v>1.7309293977220974</v>
          </cell>
          <cell r="AW6">
            <v>2.6193063182708004E-2</v>
          </cell>
          <cell r="AX6">
            <v>108.36344907585942</v>
          </cell>
          <cell r="AY6">
            <v>0.39208278280308972</v>
          </cell>
          <cell r="AZ6">
            <v>7.6429606855318244E-2</v>
          </cell>
          <cell r="BA6">
            <v>0.39966315251426843</v>
          </cell>
        </row>
        <row r="7">
          <cell r="Q7" t="str">
            <v>20155</v>
          </cell>
          <cell r="R7">
            <v>0.14725527395212212</v>
          </cell>
          <cell r="S7">
            <v>609.20905155295509</v>
          </cell>
          <cell r="T7">
            <v>1.9640572271055408</v>
          </cell>
          <cell r="U7">
            <v>0.43151790953905067</v>
          </cell>
          <cell r="V7">
            <v>2.1305925502363658</v>
          </cell>
          <cell r="W7">
            <v>2.4741947936247122E-2</v>
          </cell>
          <cell r="X7">
            <v>102.36003313263063</v>
          </cell>
          <cell r="Y7">
            <v>0.37765479548765968</v>
          </cell>
          <cell r="Z7">
            <v>7.2195349601207437E-2</v>
          </cell>
          <cell r="AA7">
            <v>0.39481831813160317</v>
          </cell>
          <cell r="AD7" t="str">
            <v>20155</v>
          </cell>
          <cell r="AE7">
            <v>0.14725527395212212</v>
          </cell>
          <cell r="AF7">
            <v>609.20905155295509</v>
          </cell>
          <cell r="AG7">
            <v>1.9640572271055408</v>
          </cell>
          <cell r="AH7">
            <v>0.43151790953905067</v>
          </cell>
          <cell r="AI7">
            <v>2.1305925502363658</v>
          </cell>
          <cell r="AJ7">
            <v>2.4741947936247122E-2</v>
          </cell>
          <cell r="AK7">
            <v>102.36003313263063</v>
          </cell>
          <cell r="AL7">
            <v>0.37765479548765968</v>
          </cell>
          <cell r="AM7">
            <v>7.2195349601207437E-2</v>
          </cell>
          <cell r="AN7">
            <v>0.39481831813160317</v>
          </cell>
          <cell r="AQ7" t="str">
            <v>20155</v>
          </cell>
          <cell r="AR7">
            <v>0.14725527395212212</v>
          </cell>
          <cell r="AS7">
            <v>609.20905155295509</v>
          </cell>
          <cell r="AT7">
            <v>1.9640572271055408</v>
          </cell>
          <cell r="AU7">
            <v>0.43151790953905067</v>
          </cell>
          <cell r="AV7">
            <v>2.1305925502363658</v>
          </cell>
          <cell r="AW7">
            <v>2.4741947936247122E-2</v>
          </cell>
          <cell r="AX7">
            <v>102.36003313263063</v>
          </cell>
          <cell r="AY7">
            <v>0.37765479548765968</v>
          </cell>
          <cell r="AZ7">
            <v>7.2195349601207437E-2</v>
          </cell>
          <cell r="BA7">
            <v>0.39481831813160317</v>
          </cell>
        </row>
        <row r="8">
          <cell r="Q8" t="str">
            <v>20156</v>
          </cell>
          <cell r="R8">
            <v>0.17199722188836924</v>
          </cell>
          <cell r="S8">
            <v>711.56908468558572</v>
          </cell>
          <cell r="T8">
            <v>2.3417120225932004</v>
          </cell>
          <cell r="U8">
            <v>0.50371325914025811</v>
          </cell>
          <cell r="V8">
            <v>2.525410868367969</v>
          </cell>
          <cell r="W8">
            <v>2.3371225557310832E-2</v>
          </cell>
          <cell r="X8">
            <v>96.689210912606313</v>
          </cell>
          <cell r="Y8">
            <v>0.36351089560117389</v>
          </cell>
          <cell r="Z8">
            <v>6.8195673358718567E-2</v>
          </cell>
          <cell r="AA8">
            <v>0.38928363542268496</v>
          </cell>
          <cell r="AD8" t="str">
            <v>20156</v>
          </cell>
          <cell r="AE8">
            <v>0.17199722188836924</v>
          </cell>
          <cell r="AF8">
            <v>711.56908468558572</v>
          </cell>
          <cell r="AG8">
            <v>2.3417120225932004</v>
          </cell>
          <cell r="AH8">
            <v>0.50371325914025811</v>
          </cell>
          <cell r="AI8">
            <v>2.525410868367969</v>
          </cell>
          <cell r="AJ8">
            <v>2.3371225557310832E-2</v>
          </cell>
          <cell r="AK8">
            <v>96.689210912606313</v>
          </cell>
          <cell r="AL8">
            <v>0.36351089560117389</v>
          </cell>
          <cell r="AM8">
            <v>6.8195673358718567E-2</v>
          </cell>
          <cell r="AN8">
            <v>0.38928363542268496</v>
          </cell>
          <cell r="AQ8" t="str">
            <v>20156</v>
          </cell>
          <cell r="AR8">
            <v>0.17199722188836924</v>
          </cell>
          <cell r="AS8">
            <v>711.56908468558572</v>
          </cell>
          <cell r="AT8">
            <v>2.3417120225932004</v>
          </cell>
          <cell r="AU8">
            <v>0.50371325914025811</v>
          </cell>
          <cell r="AV8">
            <v>2.525410868367969</v>
          </cell>
          <cell r="AW8">
            <v>2.3371225557310832E-2</v>
          </cell>
          <cell r="AX8">
            <v>96.689210912606313</v>
          </cell>
          <cell r="AY8">
            <v>0.36351089560117389</v>
          </cell>
          <cell r="AZ8">
            <v>6.8195673358718567E-2</v>
          </cell>
          <cell r="BA8">
            <v>0.38928363542268496</v>
          </cell>
        </row>
        <row r="9">
          <cell r="Q9" t="str">
            <v>20157</v>
          </cell>
          <cell r="R9">
            <v>0.19536844744568008</v>
          </cell>
          <cell r="S9">
            <v>808.25829559819203</v>
          </cell>
          <cell r="T9">
            <v>2.7052229181943743</v>
          </cell>
          <cell r="U9">
            <v>0.57190893249897667</v>
          </cell>
          <cell r="V9">
            <v>2.914694503790654</v>
          </cell>
          <cell r="W9">
            <v>2.2076442221046461E-2</v>
          </cell>
          <cell r="X9">
            <v>91.332556475328261</v>
          </cell>
          <cell r="Y9">
            <v>0.35248179414864778</v>
          </cell>
          <cell r="Z9">
            <v>6.4417582164755682E-2</v>
          </cell>
          <cell r="AA9">
            <v>0.39321565779736245</v>
          </cell>
          <cell r="AD9" t="str">
            <v>20157</v>
          </cell>
          <cell r="AE9">
            <v>0.19536844744568008</v>
          </cell>
          <cell r="AF9">
            <v>808.25829559819203</v>
          </cell>
          <cell r="AG9">
            <v>2.7052229181943743</v>
          </cell>
          <cell r="AH9">
            <v>0.57190893249897667</v>
          </cell>
          <cell r="AI9">
            <v>2.914694503790654</v>
          </cell>
          <cell r="AJ9">
            <v>2.2076442221046461E-2</v>
          </cell>
          <cell r="AK9">
            <v>91.332556475328261</v>
          </cell>
          <cell r="AL9">
            <v>0.35248179414864778</v>
          </cell>
          <cell r="AM9">
            <v>6.4417582164755682E-2</v>
          </cell>
          <cell r="AN9">
            <v>0.39321565779736245</v>
          </cell>
          <cell r="AQ9" t="str">
            <v>20157</v>
          </cell>
          <cell r="AR9">
            <v>0.19536844744568008</v>
          </cell>
          <cell r="AS9">
            <v>808.25829559819203</v>
          </cell>
          <cell r="AT9">
            <v>2.7052229181943743</v>
          </cell>
          <cell r="AU9">
            <v>0.57190893249897667</v>
          </cell>
          <cell r="AV9">
            <v>2.914694503790654</v>
          </cell>
          <cell r="AW9">
            <v>2.2076442221046461E-2</v>
          </cell>
          <cell r="AX9">
            <v>91.332556475328261</v>
          </cell>
          <cell r="AY9">
            <v>0.35248179414864778</v>
          </cell>
          <cell r="AZ9">
            <v>6.4417582164755682E-2</v>
          </cell>
          <cell r="BA9">
            <v>0.39321565779736245</v>
          </cell>
        </row>
        <row r="10">
          <cell r="Q10" t="str">
            <v>20158</v>
          </cell>
          <cell r="R10">
            <v>0.21744488966672654</v>
          </cell>
          <cell r="S10">
            <v>899.5908520735203</v>
          </cell>
          <cell r="T10">
            <v>3.0577047123430221</v>
          </cell>
          <cell r="U10">
            <v>0.63632651466373236</v>
          </cell>
          <cell r="V10">
            <v>3.3079101615880164</v>
          </cell>
          <cell r="W10">
            <v>2.0853390847821701E-2</v>
          </cell>
          <cell r="X10">
            <v>86.272664691189902</v>
          </cell>
          <cell r="Y10">
            <v>0.34809192216482909</v>
          </cell>
          <cell r="Z10">
            <v>6.0848800042276108E-2</v>
          </cell>
          <cell r="AA10">
            <v>0.39995409194454412</v>
          </cell>
          <cell r="AD10" t="str">
            <v>20158</v>
          </cell>
          <cell r="AE10">
            <v>0.21744488966672654</v>
          </cell>
          <cell r="AF10">
            <v>899.5908520735203</v>
          </cell>
          <cell r="AG10">
            <v>3.0577047123430221</v>
          </cell>
          <cell r="AH10">
            <v>0.63632651466373236</v>
          </cell>
          <cell r="AI10">
            <v>3.3079101615880164</v>
          </cell>
          <cell r="AJ10">
            <v>2.0853390847821701E-2</v>
          </cell>
          <cell r="AK10">
            <v>86.272664691189902</v>
          </cell>
          <cell r="AL10">
            <v>0.34809192216482909</v>
          </cell>
          <cell r="AM10">
            <v>6.0848800042276108E-2</v>
          </cell>
          <cell r="AN10">
            <v>0.39995409194454412</v>
          </cell>
          <cell r="AQ10" t="str">
            <v>20158</v>
          </cell>
          <cell r="AR10">
            <v>0.21744488966672654</v>
          </cell>
          <cell r="AS10">
            <v>899.5908520735203</v>
          </cell>
          <cell r="AT10">
            <v>3.0577047123430221</v>
          </cell>
          <cell r="AU10">
            <v>0.63632651466373236</v>
          </cell>
          <cell r="AV10">
            <v>3.3079101615880164</v>
          </cell>
          <cell r="AW10">
            <v>2.0853390847821701E-2</v>
          </cell>
          <cell r="AX10">
            <v>86.272664691189902</v>
          </cell>
          <cell r="AY10">
            <v>0.34809192216482909</v>
          </cell>
          <cell r="AZ10">
            <v>6.0848800042276108E-2</v>
          </cell>
          <cell r="BA10">
            <v>0.39995409194454412</v>
          </cell>
        </row>
        <row r="11">
          <cell r="Q11" t="str">
            <v>20159</v>
          </cell>
          <cell r="R11">
            <v>0.23829828051454824</v>
          </cell>
          <cell r="S11">
            <v>985.8635167647102</v>
          </cell>
          <cell r="T11">
            <v>3.4057966345078512</v>
          </cell>
          <cell r="U11">
            <v>0.69717531470600846</v>
          </cell>
          <cell r="V11">
            <v>3.7078642535325606</v>
          </cell>
          <cell r="W11">
            <v>1.9698097433355405E-2</v>
          </cell>
          <cell r="X11">
            <v>81.493094687753114</v>
          </cell>
          <cell r="Y11">
            <v>0.34172830556548561</v>
          </cell>
          <cell r="Z11">
            <v>5.807645747828194E-2</v>
          </cell>
          <cell r="AA11">
            <v>0.39935048595890743</v>
          </cell>
          <cell r="AD11" t="str">
            <v>20159</v>
          </cell>
          <cell r="AE11">
            <v>0.23829828051454824</v>
          </cell>
          <cell r="AF11">
            <v>985.8635167647102</v>
          </cell>
          <cell r="AG11">
            <v>3.4057966345078512</v>
          </cell>
          <cell r="AH11">
            <v>0.69717531470600846</v>
          </cell>
          <cell r="AI11">
            <v>3.7078642535325606</v>
          </cell>
          <cell r="AJ11">
            <v>1.9698097433355405E-2</v>
          </cell>
          <cell r="AK11">
            <v>81.493094687753114</v>
          </cell>
          <cell r="AL11">
            <v>0.34172830556548561</v>
          </cell>
          <cell r="AM11">
            <v>5.807645747828194E-2</v>
          </cell>
          <cell r="AN11">
            <v>0.39935048595890743</v>
          </cell>
          <cell r="AQ11" t="str">
            <v>20159</v>
          </cell>
          <cell r="AR11">
            <v>0.23829828051454824</v>
          </cell>
          <cell r="AS11">
            <v>985.8635167647102</v>
          </cell>
          <cell r="AT11">
            <v>3.4057966345078512</v>
          </cell>
          <cell r="AU11">
            <v>0.69717531470600846</v>
          </cell>
          <cell r="AV11">
            <v>3.7078642535325606</v>
          </cell>
          <cell r="AW11">
            <v>1.9698097433355405E-2</v>
          </cell>
          <cell r="AX11">
            <v>81.493094687753114</v>
          </cell>
          <cell r="AY11">
            <v>0.34172830556548561</v>
          </cell>
          <cell r="AZ11">
            <v>5.807645747828194E-2</v>
          </cell>
          <cell r="BA11">
            <v>0.39935048595890743</v>
          </cell>
        </row>
        <row r="12">
          <cell r="Q12" t="str">
            <v>201510</v>
          </cell>
          <cell r="R12">
            <v>0.25799637794790364</v>
          </cell>
          <cell r="S12">
            <v>1067.3566114524633</v>
          </cell>
          <cell r="T12">
            <v>3.7475249400733368</v>
          </cell>
          <cell r="U12">
            <v>0.7552517721842904</v>
          </cell>
          <cell r="V12">
            <v>4.107214739491468</v>
          </cell>
          <cell r="W12">
            <v>1.8606808136169106E-2</v>
          </cell>
          <cell r="X12">
            <v>76.978316429181632</v>
          </cell>
          <cell r="Y12">
            <v>0.32976918327059579</v>
          </cell>
          <cell r="Z12">
            <v>5.4858978395392111E-2</v>
          </cell>
          <cell r="AA12">
            <v>0.39419286537719955</v>
          </cell>
          <cell r="AD12" t="str">
            <v>201510</v>
          </cell>
          <cell r="AE12">
            <v>0.25799637794790364</v>
          </cell>
          <cell r="AF12">
            <v>1067.3566114524633</v>
          </cell>
          <cell r="AG12">
            <v>3.7475249400733368</v>
          </cell>
          <cell r="AH12">
            <v>0.7552517721842904</v>
          </cell>
          <cell r="AI12">
            <v>4.107214739491468</v>
          </cell>
          <cell r="AJ12">
            <v>1.8606808136169106E-2</v>
          </cell>
          <cell r="AK12">
            <v>76.978316429181632</v>
          </cell>
          <cell r="AL12">
            <v>0.32976918327059579</v>
          </cell>
          <cell r="AM12">
            <v>5.4858978395392111E-2</v>
          </cell>
          <cell r="AN12">
            <v>0.39419286537719955</v>
          </cell>
          <cell r="AQ12" t="str">
            <v>201510</v>
          </cell>
          <cell r="AR12">
            <v>0.25799637794790364</v>
          </cell>
          <cell r="AS12">
            <v>1067.3566114524633</v>
          </cell>
          <cell r="AT12">
            <v>3.7475249400733368</v>
          </cell>
          <cell r="AU12">
            <v>0.7552517721842904</v>
          </cell>
          <cell r="AV12">
            <v>4.107214739491468</v>
          </cell>
          <cell r="AW12">
            <v>1.8606808136169106E-2</v>
          </cell>
          <cell r="AX12">
            <v>76.978316429181632</v>
          </cell>
          <cell r="AY12">
            <v>0.32976918327059579</v>
          </cell>
          <cell r="AZ12">
            <v>5.4858978395392111E-2</v>
          </cell>
          <cell r="BA12">
            <v>0.39419286537719955</v>
          </cell>
        </row>
        <row r="13">
          <cell r="Q13" t="str">
            <v>201511</v>
          </cell>
          <cell r="R13">
            <v>0.27660318608407275</v>
          </cell>
          <cell r="S13">
            <v>1144.3349278816449</v>
          </cell>
          <cell r="T13">
            <v>4.0772941233439326</v>
          </cell>
          <cell r="U13">
            <v>0.81011075057968251</v>
          </cell>
          <cell r="V13">
            <v>4.5014076048686675</v>
          </cell>
          <cell r="W13">
            <v>1.7575977080403427E-2</v>
          </cell>
          <cell r="X13">
            <v>72.713660255213426</v>
          </cell>
          <cell r="Y13">
            <v>0.31637979324807119</v>
          </cell>
          <cell r="Z13">
            <v>5.1819750054684866E-2</v>
          </cell>
          <cell r="AA13">
            <v>0.39105213443329223</v>
          </cell>
          <cell r="AD13" t="str">
            <v>201511</v>
          </cell>
          <cell r="AE13">
            <v>0.27660318608407275</v>
          </cell>
          <cell r="AF13">
            <v>1144.3349278816449</v>
          </cell>
          <cell r="AG13">
            <v>4.0772941233439326</v>
          </cell>
          <cell r="AH13">
            <v>0.81011075057968251</v>
          </cell>
          <cell r="AI13">
            <v>4.5014076048686675</v>
          </cell>
          <cell r="AJ13">
            <v>1.7575977080403427E-2</v>
          </cell>
          <cell r="AK13">
            <v>72.713660255213426</v>
          </cell>
          <cell r="AL13">
            <v>0.31637979324807119</v>
          </cell>
          <cell r="AM13">
            <v>5.1819750054684866E-2</v>
          </cell>
          <cell r="AN13">
            <v>0.39105213443329223</v>
          </cell>
          <cell r="AQ13" t="str">
            <v>201511</v>
          </cell>
          <cell r="AR13">
            <v>0.27660318608407275</v>
          </cell>
          <cell r="AS13">
            <v>1144.3349278816449</v>
          </cell>
          <cell r="AT13">
            <v>4.0772941233439326</v>
          </cell>
          <cell r="AU13">
            <v>0.81011075057968251</v>
          </cell>
          <cell r="AV13">
            <v>4.5014076048686675</v>
          </cell>
          <cell r="AW13">
            <v>1.7575977080403427E-2</v>
          </cell>
          <cell r="AX13">
            <v>72.713660255213426</v>
          </cell>
          <cell r="AY13">
            <v>0.31637979324807119</v>
          </cell>
          <cell r="AZ13">
            <v>5.1819750054684866E-2</v>
          </cell>
          <cell r="BA13">
            <v>0.39105213443329223</v>
          </cell>
        </row>
        <row r="14">
          <cell r="Q14" t="str">
            <v>201512</v>
          </cell>
          <cell r="R14">
            <v>0.29417916316447618</v>
          </cell>
          <cell r="S14">
            <v>1217.0485881368584</v>
          </cell>
          <cell r="T14">
            <v>4.3936739165920038</v>
          </cell>
          <cell r="U14">
            <v>0.86193050063436738</v>
          </cell>
          <cell r="V14">
            <v>4.8924597393019598</v>
          </cell>
          <cell r="W14">
            <v>1.660225483436778E-2</v>
          </cell>
          <cell r="X14">
            <v>68.685269215711969</v>
          </cell>
          <cell r="Y14">
            <v>0.30709833341638859</v>
          </cell>
          <cell r="Z14">
            <v>4.8948897232026556E-2</v>
          </cell>
          <cell r="AA14">
            <v>0.38604027198453927</v>
          </cell>
          <cell r="AD14" t="str">
            <v>201512</v>
          </cell>
          <cell r="AE14">
            <v>0.29417916316447618</v>
          </cell>
          <cell r="AF14">
            <v>1217.0485881368584</v>
          </cell>
          <cell r="AG14">
            <v>4.3936739165920038</v>
          </cell>
          <cell r="AH14">
            <v>0.86193050063436738</v>
          </cell>
          <cell r="AI14">
            <v>4.8924597393019598</v>
          </cell>
          <cell r="AJ14">
            <v>1.660225483436778E-2</v>
          </cell>
          <cell r="AK14">
            <v>68.685269215711969</v>
          </cell>
          <cell r="AL14">
            <v>0.30709833341638859</v>
          </cell>
          <cell r="AM14">
            <v>4.8948897232026556E-2</v>
          </cell>
          <cell r="AN14">
            <v>0.38604027198453927</v>
          </cell>
          <cell r="AQ14" t="str">
            <v>201512</v>
          </cell>
          <cell r="AR14">
            <v>0.29417916316447618</v>
          </cell>
          <cell r="AS14">
            <v>1217.0485881368584</v>
          </cell>
          <cell r="AT14">
            <v>4.3936739165920038</v>
          </cell>
          <cell r="AU14">
            <v>0.86193050063436738</v>
          </cell>
          <cell r="AV14">
            <v>4.8924597393019598</v>
          </cell>
          <cell r="AW14">
            <v>1.660225483436778E-2</v>
          </cell>
          <cell r="AX14">
            <v>68.685269215711969</v>
          </cell>
          <cell r="AY14">
            <v>0.30709833341638859</v>
          </cell>
          <cell r="AZ14">
            <v>4.8948897232026556E-2</v>
          </cell>
          <cell r="BA14">
            <v>0.38604027198453927</v>
          </cell>
        </row>
        <row r="15">
          <cell r="Q15" t="str">
            <v>201513</v>
          </cell>
          <cell r="R15">
            <v>0.31078141799884396</v>
          </cell>
          <cell r="S15">
            <v>1285.7338573525703</v>
          </cell>
          <cell r="T15">
            <v>4.7007722500083924</v>
          </cell>
          <cell r="U15">
            <v>0.91087939786639394</v>
          </cell>
          <cell r="V15">
            <v>5.278500011286499</v>
          </cell>
          <cell r="W15">
            <v>1.5682477527386551E-2</v>
          </cell>
          <cell r="X15">
            <v>64.880054045918769</v>
          </cell>
          <cell r="Y15">
            <v>0.29393175175528441</v>
          </cell>
          <cell r="Z15">
            <v>4.6237091798069785E-2</v>
          </cell>
          <cell r="AA15">
            <v>0.38229018167063877</v>
          </cell>
          <cell r="AD15" t="str">
            <v>201513</v>
          </cell>
          <cell r="AE15">
            <v>0.31078141799884396</v>
          </cell>
          <cell r="AF15">
            <v>1285.7338573525703</v>
          </cell>
          <cell r="AG15">
            <v>4.7007722500083924</v>
          </cell>
          <cell r="AH15">
            <v>0.91087939786639394</v>
          </cell>
          <cell r="AI15">
            <v>5.278500011286499</v>
          </cell>
          <cell r="AJ15">
            <v>1.5682477527386551E-2</v>
          </cell>
          <cell r="AK15">
            <v>64.880054045918769</v>
          </cell>
          <cell r="AL15">
            <v>0.29393175175528441</v>
          </cell>
          <cell r="AM15">
            <v>4.6237091798069785E-2</v>
          </cell>
          <cell r="AN15">
            <v>0.38229018167063877</v>
          </cell>
          <cell r="AQ15" t="str">
            <v>201513</v>
          </cell>
          <cell r="AR15">
            <v>0.31078141799884396</v>
          </cell>
          <cell r="AS15">
            <v>1285.7338573525703</v>
          </cell>
          <cell r="AT15">
            <v>4.7007722500083924</v>
          </cell>
          <cell r="AU15">
            <v>0.91087939786639394</v>
          </cell>
          <cell r="AV15">
            <v>5.278500011286499</v>
          </cell>
          <cell r="AW15">
            <v>1.5682477527386551E-2</v>
          </cell>
          <cell r="AX15">
            <v>64.880054045918769</v>
          </cell>
          <cell r="AY15">
            <v>0.29393175175528441</v>
          </cell>
          <cell r="AZ15">
            <v>4.6237091798069785E-2</v>
          </cell>
          <cell r="BA15">
            <v>0.38229018167063877</v>
          </cell>
        </row>
        <row r="16">
          <cell r="Q16" t="str">
            <v>201514</v>
          </cell>
          <cell r="R16">
            <v>0.32646389552623051</v>
          </cell>
          <cell r="S16">
            <v>1350.6139113984891</v>
          </cell>
          <cell r="T16">
            <v>4.9947040017636768</v>
          </cell>
          <cell r="U16">
            <v>0.95711648966446372</v>
          </cell>
          <cell r="V16">
            <v>5.6607901929571378</v>
          </cell>
          <cell r="W16">
            <v>1.4813656569580613E-2</v>
          </cell>
          <cell r="X16">
            <v>61.285650636110859</v>
          </cell>
          <cell r="Y16">
            <v>0.28381408397039554</v>
          </cell>
          <cell r="Z16">
            <v>4.367552240879391E-2</v>
          </cell>
          <cell r="AA16">
            <v>0.37416865073925543</v>
          </cell>
          <cell r="AD16" t="str">
            <v>201514</v>
          </cell>
          <cell r="AE16">
            <v>0.32646389552623051</v>
          </cell>
          <cell r="AF16">
            <v>1350.6139113984891</v>
          </cell>
          <cell r="AG16">
            <v>4.9947040017636768</v>
          </cell>
          <cell r="AH16">
            <v>0.95711648966446372</v>
          </cell>
          <cell r="AI16">
            <v>5.6607901929571378</v>
          </cell>
          <cell r="AJ16">
            <v>1.4813656569580613E-2</v>
          </cell>
          <cell r="AK16">
            <v>61.285650636110859</v>
          </cell>
          <cell r="AL16">
            <v>0.28381408397039554</v>
          </cell>
          <cell r="AM16">
            <v>4.367552240879391E-2</v>
          </cell>
          <cell r="AN16">
            <v>0.37416865073925543</v>
          </cell>
          <cell r="AQ16" t="str">
            <v>201514</v>
          </cell>
          <cell r="AR16">
            <v>0.32646389552623051</v>
          </cell>
          <cell r="AS16">
            <v>1350.6139113984891</v>
          </cell>
          <cell r="AT16">
            <v>4.9947040017636768</v>
          </cell>
          <cell r="AU16">
            <v>0.95711648966446372</v>
          </cell>
          <cell r="AV16">
            <v>5.6607901929571378</v>
          </cell>
          <cell r="AW16">
            <v>1.4813656569580613E-2</v>
          </cell>
          <cell r="AX16">
            <v>61.285650636110859</v>
          </cell>
          <cell r="AY16">
            <v>0.28381408397039554</v>
          </cell>
          <cell r="AZ16">
            <v>4.367552240879391E-2</v>
          </cell>
          <cell r="BA16">
            <v>0.37416865073925543</v>
          </cell>
        </row>
        <row r="17">
          <cell r="Q17" t="str">
            <v>201515</v>
          </cell>
          <cell r="R17">
            <v>0.34127755209581112</v>
          </cell>
          <cell r="S17">
            <v>1411.8995620346</v>
          </cell>
          <cell r="T17">
            <v>5.2785180857340723</v>
          </cell>
          <cell r="U17">
            <v>1.0007920120732576</v>
          </cell>
          <cell r="V17">
            <v>6.0349588436963932</v>
          </cell>
          <cell r="W17">
            <v>1.3992968941180406E-2</v>
          </cell>
          <cell r="X17">
            <v>57.89037985747018</v>
          </cell>
          <cell r="Y17">
            <v>0.27178394683553098</v>
          </cell>
          <cell r="Z17">
            <v>4.1681184080111899E-2</v>
          </cell>
          <cell r="AA17">
            <v>0.36832556544262118</v>
          </cell>
          <cell r="AD17" t="str">
            <v>201515</v>
          </cell>
          <cell r="AE17">
            <v>0.34127755209581112</v>
          </cell>
          <cell r="AF17">
            <v>1411.8995620346</v>
          </cell>
          <cell r="AG17">
            <v>5.2785180857340723</v>
          </cell>
          <cell r="AH17">
            <v>1.0007920120732576</v>
          </cell>
          <cell r="AI17">
            <v>6.0349588436963932</v>
          </cell>
          <cell r="AJ17">
            <v>1.3992968941180406E-2</v>
          </cell>
          <cell r="AK17">
            <v>57.89037985747018</v>
          </cell>
          <cell r="AL17">
            <v>0.27178394683553098</v>
          </cell>
          <cell r="AM17">
            <v>4.1681184080111899E-2</v>
          </cell>
          <cell r="AN17">
            <v>0.36832556544262118</v>
          </cell>
          <cell r="AQ17" t="str">
            <v>201515</v>
          </cell>
          <cell r="AR17">
            <v>0.34127755209581112</v>
          </cell>
          <cell r="AS17">
            <v>1411.8995620346</v>
          </cell>
          <cell r="AT17">
            <v>5.2785180857340723</v>
          </cell>
          <cell r="AU17">
            <v>1.0007920120732576</v>
          </cell>
          <cell r="AV17">
            <v>6.0349588436963932</v>
          </cell>
          <cell r="AW17">
            <v>1.3992968941180406E-2</v>
          </cell>
          <cell r="AX17">
            <v>57.89037985747018</v>
          </cell>
          <cell r="AY17">
            <v>0.27178394683553098</v>
          </cell>
          <cell r="AZ17">
            <v>4.1681184080111899E-2</v>
          </cell>
          <cell r="BA17">
            <v>0.36832556544262118</v>
          </cell>
        </row>
        <row r="18">
          <cell r="Q18" t="str">
            <v>201516</v>
          </cell>
          <cell r="R18">
            <v>0.35527052103699153</v>
          </cell>
          <cell r="S18">
            <v>1469.7899418920701</v>
          </cell>
          <cell r="T18">
            <v>5.5503020325696033</v>
          </cell>
          <cell r="U18">
            <v>1.0424731961533695</v>
          </cell>
          <cell r="V18">
            <v>6.4032844091390144</v>
          </cell>
          <cell r="W18">
            <v>1.3217748019818065E-2</v>
          </cell>
          <cell r="X18">
            <v>54.683209613630652</v>
          </cell>
          <cell r="Y18">
            <v>0.26106778866657443</v>
          </cell>
          <cell r="Z18">
            <v>3.937201537818158E-2</v>
          </cell>
          <cell r="AA18">
            <v>0.36318675410077628</v>
          </cell>
          <cell r="AD18" t="str">
            <v>201516</v>
          </cell>
          <cell r="AE18">
            <v>0.35527052103699153</v>
          </cell>
          <cell r="AF18">
            <v>1469.7899418920701</v>
          </cell>
          <cell r="AG18">
            <v>5.5503020325696033</v>
          </cell>
          <cell r="AH18">
            <v>1.0424731961533695</v>
          </cell>
          <cell r="AI18">
            <v>6.4032844091390144</v>
          </cell>
          <cell r="AJ18">
            <v>1.3217748019818065E-2</v>
          </cell>
          <cell r="AK18">
            <v>54.683209613630652</v>
          </cell>
          <cell r="AL18">
            <v>0.26106778866657443</v>
          </cell>
          <cell r="AM18">
            <v>3.937201537818158E-2</v>
          </cell>
          <cell r="AN18">
            <v>0.36318675410077628</v>
          </cell>
          <cell r="AQ18" t="str">
            <v>201516</v>
          </cell>
          <cell r="AR18">
            <v>0.35527052103699153</v>
          </cell>
          <cell r="AS18">
            <v>1469.7899418920701</v>
          </cell>
          <cell r="AT18">
            <v>5.5503020325696033</v>
          </cell>
          <cell r="AU18">
            <v>1.0424731961533695</v>
          </cell>
          <cell r="AV18">
            <v>6.4032844091390144</v>
          </cell>
          <cell r="AW18">
            <v>1.3217748019818065E-2</v>
          </cell>
          <cell r="AX18">
            <v>54.683209613630652</v>
          </cell>
          <cell r="AY18">
            <v>0.26106778866657443</v>
          </cell>
          <cell r="AZ18">
            <v>3.937201537818158E-2</v>
          </cell>
          <cell r="BA18">
            <v>0.36318675410077628</v>
          </cell>
        </row>
        <row r="19">
          <cell r="Q19" t="str">
            <v>201517</v>
          </cell>
          <cell r="R19">
            <v>0.36848826905680959</v>
          </cell>
          <cell r="S19">
            <v>1524.4731515057008</v>
          </cell>
          <cell r="T19">
            <v>5.8113698212361777</v>
          </cell>
          <cell r="U19">
            <v>1.0818452115315511</v>
          </cell>
          <cell r="V19">
            <v>6.7664711632397907</v>
          </cell>
          <cell r="W19">
            <v>1.2485474915994943E-2</v>
          </cell>
          <cell r="X19">
            <v>51.653718994597511</v>
          </cell>
          <cell r="Y19">
            <v>0.25229714261485991</v>
          </cell>
          <cell r="Z19">
            <v>3.7190776345516818E-2</v>
          </cell>
          <cell r="AA19">
            <v>0.35824584561395856</v>
          </cell>
          <cell r="AD19" t="str">
            <v>201517</v>
          </cell>
          <cell r="AE19">
            <v>0.36848826905680959</v>
          </cell>
          <cell r="AF19">
            <v>1524.4731515057008</v>
          </cell>
          <cell r="AG19">
            <v>5.8113698212361777</v>
          </cell>
          <cell r="AH19">
            <v>1.0818452115315511</v>
          </cell>
          <cell r="AI19">
            <v>6.7664711632397907</v>
          </cell>
          <cell r="AJ19">
            <v>1.2485474915994943E-2</v>
          </cell>
          <cell r="AK19">
            <v>51.653718994597511</v>
          </cell>
          <cell r="AL19">
            <v>0.25229714261485991</v>
          </cell>
          <cell r="AM19">
            <v>3.7190776345516818E-2</v>
          </cell>
          <cell r="AN19">
            <v>0.35824584561395856</v>
          </cell>
          <cell r="AQ19" t="str">
            <v>201517</v>
          </cell>
          <cell r="AR19">
            <v>0.36848826905680959</v>
          </cell>
          <cell r="AS19">
            <v>1524.4731515057008</v>
          </cell>
          <cell r="AT19">
            <v>5.8113698212361777</v>
          </cell>
          <cell r="AU19">
            <v>1.0818452115315511</v>
          </cell>
          <cell r="AV19">
            <v>6.7664711632397907</v>
          </cell>
          <cell r="AW19">
            <v>1.2485474915994943E-2</v>
          </cell>
          <cell r="AX19">
            <v>51.653718994597511</v>
          </cell>
          <cell r="AY19">
            <v>0.25229714261485991</v>
          </cell>
          <cell r="AZ19">
            <v>3.7190776345516818E-2</v>
          </cell>
          <cell r="BA19">
            <v>0.35824584561395856</v>
          </cell>
        </row>
        <row r="20">
          <cell r="Q20" t="str">
            <v>201518</v>
          </cell>
          <cell r="R20">
            <v>0.38097374397280453</v>
          </cell>
          <cell r="S20">
            <v>1576.1268705002983</v>
          </cell>
          <cell r="T20">
            <v>6.0636669638510377</v>
          </cell>
          <cell r="U20">
            <v>1.1190359878770679</v>
          </cell>
          <cell r="V20">
            <v>7.1247170088537493</v>
          </cell>
          <cell r="W20">
            <v>1.1793770288570316E-2</v>
          </cell>
          <cell r="X20">
            <v>48.792064416566063</v>
          </cell>
          <cell r="Y20">
            <v>0.24206380693902574</v>
          </cell>
          <cell r="Z20">
            <v>3.513037958297538E-2</v>
          </cell>
          <cell r="AA20">
            <v>0.35488852844026209</v>
          </cell>
          <cell r="AD20" t="str">
            <v>201518</v>
          </cell>
          <cell r="AE20">
            <v>0.38097374397280453</v>
          </cell>
          <cell r="AF20">
            <v>1576.1268705002983</v>
          </cell>
          <cell r="AG20">
            <v>6.0636669638510377</v>
          </cell>
          <cell r="AH20">
            <v>1.1190359878770679</v>
          </cell>
          <cell r="AI20">
            <v>7.1247170088537493</v>
          </cell>
          <cell r="AJ20">
            <v>1.1793770288570316E-2</v>
          </cell>
          <cell r="AK20">
            <v>48.792064416566063</v>
          </cell>
          <cell r="AL20">
            <v>0.24206380693902574</v>
          </cell>
          <cell r="AM20">
            <v>3.513037958297538E-2</v>
          </cell>
          <cell r="AN20">
            <v>0.35488852844026209</v>
          </cell>
          <cell r="AQ20" t="str">
            <v>201518</v>
          </cell>
          <cell r="AR20">
            <v>0.38097374397280453</v>
          </cell>
          <cell r="AS20">
            <v>1576.1268705002983</v>
          </cell>
          <cell r="AT20">
            <v>6.0636669638510377</v>
          </cell>
          <cell r="AU20">
            <v>1.1190359878770679</v>
          </cell>
          <cell r="AV20">
            <v>7.1247170088537493</v>
          </cell>
          <cell r="AW20">
            <v>1.1793770288570316E-2</v>
          </cell>
          <cell r="AX20">
            <v>48.792064416566063</v>
          </cell>
          <cell r="AY20">
            <v>0.24206380693902574</v>
          </cell>
          <cell r="AZ20">
            <v>3.513037958297538E-2</v>
          </cell>
          <cell r="BA20">
            <v>0.35488852844026209</v>
          </cell>
        </row>
        <row r="21">
          <cell r="Q21" t="str">
            <v>201519</v>
          </cell>
          <cell r="R21">
            <v>0.39276751426137485</v>
          </cell>
          <cell r="S21">
            <v>1624.9189349168644</v>
          </cell>
          <cell r="T21">
            <v>6.3057307707900634</v>
          </cell>
          <cell r="U21">
            <v>1.1541663674600433</v>
          </cell>
          <cell r="V21">
            <v>7.4796055372940113</v>
          </cell>
          <cell r="W21">
            <v>1.114038661367811E-2</v>
          </cell>
          <cell r="X21">
            <v>46.08894763761964</v>
          </cell>
          <cell r="Y21">
            <v>0.23389828827700487</v>
          </cell>
          <cell r="Z21">
            <v>3.352274391349952E-2</v>
          </cell>
          <cell r="AA21">
            <v>0.34809475498057996</v>
          </cell>
          <cell r="AD21" t="str">
            <v>201519</v>
          </cell>
          <cell r="AE21">
            <v>0.39276751426137485</v>
          </cell>
          <cell r="AF21">
            <v>1624.9189349168644</v>
          </cell>
          <cell r="AG21">
            <v>6.3057307707900634</v>
          </cell>
          <cell r="AH21">
            <v>1.1541663674600433</v>
          </cell>
          <cell r="AI21">
            <v>7.4796055372940113</v>
          </cell>
          <cell r="AJ21">
            <v>1.114038661367811E-2</v>
          </cell>
          <cell r="AK21">
            <v>46.08894763761964</v>
          </cell>
          <cell r="AL21">
            <v>0.23389828827700487</v>
          </cell>
          <cell r="AM21">
            <v>3.352274391349952E-2</v>
          </cell>
          <cell r="AN21">
            <v>0.34809475498057996</v>
          </cell>
          <cell r="AQ21" t="str">
            <v>201519</v>
          </cell>
          <cell r="AR21">
            <v>0.39276751426137485</v>
          </cell>
          <cell r="AS21">
            <v>1624.9189349168644</v>
          </cell>
          <cell r="AT21">
            <v>6.3057307707900634</v>
          </cell>
          <cell r="AU21">
            <v>1.1541663674600433</v>
          </cell>
          <cell r="AV21">
            <v>7.4796055372940113</v>
          </cell>
          <cell r="AW21">
            <v>1.114038661367811E-2</v>
          </cell>
          <cell r="AX21">
            <v>46.08894763761964</v>
          </cell>
          <cell r="AY21">
            <v>0.23389828827700487</v>
          </cell>
          <cell r="AZ21">
            <v>3.352274391349952E-2</v>
          </cell>
          <cell r="BA21">
            <v>0.34809475498057996</v>
          </cell>
        </row>
        <row r="22">
          <cell r="Q22" t="str">
            <v>201520</v>
          </cell>
          <cell r="R22">
            <v>0.40390790087505296</v>
          </cell>
          <cell r="S22">
            <v>1671.007882554484</v>
          </cell>
          <cell r="T22">
            <v>6.5396290590670683</v>
          </cell>
          <cell r="U22">
            <v>1.1876891113735428</v>
          </cell>
          <cell r="V22">
            <v>7.8277002922745913</v>
          </cell>
          <cell r="W22">
            <v>1.0523200881951633E-2</v>
          </cell>
          <cell r="X22">
            <v>43.535585545382901</v>
          </cell>
          <cell r="Y22">
            <v>0.23016320890241726</v>
          </cell>
          <cell r="Z22">
            <v>3.1985413015050534E-2</v>
          </cell>
          <cell r="AA22">
            <v>0.35279910555600669</v>
          </cell>
          <cell r="AD22" t="str">
            <v>201520</v>
          </cell>
          <cell r="AE22">
            <v>0.40390790087505296</v>
          </cell>
          <cell r="AF22">
            <v>1671.007882554484</v>
          </cell>
          <cell r="AG22">
            <v>6.5396290590670683</v>
          </cell>
          <cell r="AH22">
            <v>1.1876891113735428</v>
          </cell>
          <cell r="AI22">
            <v>7.8277002922745913</v>
          </cell>
          <cell r="AJ22">
            <v>1.0523200881951633E-2</v>
          </cell>
          <cell r="AK22">
            <v>43.535585545382901</v>
          </cell>
          <cell r="AL22">
            <v>0.23016320890241726</v>
          </cell>
          <cell r="AM22">
            <v>3.1985413015050534E-2</v>
          </cell>
          <cell r="AN22">
            <v>0.35279910555600669</v>
          </cell>
          <cell r="AQ22" t="str">
            <v>201520</v>
          </cell>
          <cell r="AR22">
            <v>0.40390790087505296</v>
          </cell>
          <cell r="AS22">
            <v>1671.007882554484</v>
          </cell>
          <cell r="AT22">
            <v>6.5396290590670683</v>
          </cell>
          <cell r="AU22">
            <v>1.1876891113735428</v>
          </cell>
          <cell r="AV22">
            <v>7.8277002922745913</v>
          </cell>
          <cell r="AW22">
            <v>1.0523200881951633E-2</v>
          </cell>
          <cell r="AX22">
            <v>43.535585545382901</v>
          </cell>
          <cell r="AY22">
            <v>0.23016320890241726</v>
          </cell>
          <cell r="AZ22">
            <v>3.1985413015050534E-2</v>
          </cell>
          <cell r="BA22">
            <v>0.35279910555600669</v>
          </cell>
        </row>
        <row r="23">
          <cell r="Q23" t="str">
            <v>201521</v>
          </cell>
          <cell r="R23">
            <v>0.41443110175700459</v>
          </cell>
          <cell r="S23">
            <v>1714.5434680998669</v>
          </cell>
          <cell r="T23">
            <v>6.7697922679694855</v>
          </cell>
          <cell r="U23">
            <v>1.2196745243885934</v>
          </cell>
          <cell r="V23">
            <v>8.180499397830598</v>
          </cell>
          <cell r="W23">
            <v>9.9402077003274414E-3</v>
          </cell>
          <cell r="X23">
            <v>41.123681618460296</v>
          </cell>
          <cell r="Y23">
            <v>0.22684603018175675</v>
          </cell>
          <cell r="Z23">
            <v>3.0515531238087146E-2</v>
          </cell>
          <cell r="AA23">
            <v>0.35530955184148993</v>
          </cell>
          <cell r="AD23" t="str">
            <v>201521</v>
          </cell>
          <cell r="AE23">
            <v>0.41443110175700459</v>
          </cell>
          <cell r="AF23">
            <v>1714.5434680998669</v>
          </cell>
          <cell r="AG23">
            <v>6.7697922679694855</v>
          </cell>
          <cell r="AH23">
            <v>1.2196745243885934</v>
          </cell>
          <cell r="AI23">
            <v>8.180499397830598</v>
          </cell>
          <cell r="AJ23">
            <v>9.9402077003274414E-3</v>
          </cell>
          <cell r="AK23">
            <v>41.123681618460296</v>
          </cell>
          <cell r="AL23">
            <v>0.22684603018175675</v>
          </cell>
          <cell r="AM23">
            <v>3.0515531238087146E-2</v>
          </cell>
          <cell r="AN23">
            <v>0.35530955184148993</v>
          </cell>
          <cell r="AQ23" t="str">
            <v>201521</v>
          </cell>
          <cell r="AR23">
            <v>0.41443110175700459</v>
          </cell>
          <cell r="AS23">
            <v>1714.5434680998669</v>
          </cell>
          <cell r="AT23">
            <v>6.7697922679694855</v>
          </cell>
          <cell r="AU23">
            <v>1.2196745243885934</v>
          </cell>
          <cell r="AV23">
            <v>8.180499397830598</v>
          </cell>
          <cell r="AW23">
            <v>9.9402077003274414E-3</v>
          </cell>
          <cell r="AX23">
            <v>41.123681618460296</v>
          </cell>
          <cell r="AY23">
            <v>0.22684603018175675</v>
          </cell>
          <cell r="AZ23">
            <v>3.0515531238087146E-2</v>
          </cell>
          <cell r="BA23">
            <v>0.35530955184148993</v>
          </cell>
        </row>
        <row r="24">
          <cell r="Q24" t="str">
            <v>201522</v>
          </cell>
          <cell r="R24">
            <v>0.42437130945733204</v>
          </cell>
          <cell r="S24">
            <v>1755.6671497183272</v>
          </cell>
          <cell r="T24">
            <v>6.9966382981512423</v>
          </cell>
          <cell r="U24">
            <v>1.2501900556266805</v>
          </cell>
          <cell r="V24">
            <v>8.5358089496720879</v>
          </cell>
          <cell r="W24">
            <v>9.3895127760141861E-3</v>
          </cell>
          <cell r="X24">
            <v>38.845398968932386</v>
          </cell>
          <cell r="Y24">
            <v>0.22588484366759332</v>
          </cell>
          <cell r="Z24">
            <v>2.8824948035788278E-2</v>
          </cell>
          <cell r="AA24">
            <v>0.34247463012817647</v>
          </cell>
          <cell r="AD24" t="str">
            <v>201522</v>
          </cell>
          <cell r="AE24">
            <v>0.42437130945733204</v>
          </cell>
          <cell r="AF24">
            <v>1755.6671497183272</v>
          </cell>
          <cell r="AG24">
            <v>6.9966382981512423</v>
          </cell>
          <cell r="AH24">
            <v>1.2501900556266805</v>
          </cell>
          <cell r="AI24">
            <v>8.5358089496720879</v>
          </cell>
          <cell r="AJ24">
            <v>9.3895127760141861E-3</v>
          </cell>
          <cell r="AK24">
            <v>38.845398968932386</v>
          </cell>
          <cell r="AL24">
            <v>0.22588484366759332</v>
          </cell>
          <cell r="AM24">
            <v>2.8824948035788278E-2</v>
          </cell>
          <cell r="AN24">
            <v>0.34247463012817647</v>
          </cell>
          <cell r="AQ24" t="str">
            <v>201522</v>
          </cell>
          <cell r="AR24">
            <v>0.42437130945733204</v>
          </cell>
          <cell r="AS24">
            <v>1755.6671497183272</v>
          </cell>
          <cell r="AT24">
            <v>6.9966382981512423</v>
          </cell>
          <cell r="AU24">
            <v>1.2501900556266805</v>
          </cell>
          <cell r="AV24">
            <v>8.5358089496720879</v>
          </cell>
          <cell r="AW24">
            <v>9.3895127760141861E-3</v>
          </cell>
          <cell r="AX24">
            <v>38.845398968932386</v>
          </cell>
          <cell r="AY24">
            <v>0.22588484366759332</v>
          </cell>
          <cell r="AZ24">
            <v>2.8824948035788278E-2</v>
          </cell>
          <cell r="BA24">
            <v>0.34247463012817647</v>
          </cell>
        </row>
        <row r="25">
          <cell r="Q25" t="str">
            <v>201523</v>
          </cell>
          <cell r="R25">
            <v>0.43376082223334622</v>
          </cell>
          <cell r="S25">
            <v>1794.5125486872596</v>
          </cell>
          <cell r="T25">
            <v>7.2225231418188356</v>
          </cell>
          <cell r="U25">
            <v>1.2790150036624688</v>
          </cell>
          <cell r="V25">
            <v>8.8782835798002644</v>
          </cell>
          <cell r="W25">
            <v>8.8693267614548543E-3</v>
          </cell>
          <cell r="X25">
            <v>36.693334878318865</v>
          </cell>
          <cell r="Y25">
            <v>0.22352934975991179</v>
          </cell>
          <cell r="Z25">
            <v>2.7228024404466256E-2</v>
          </cell>
          <cell r="AA25">
            <v>0.33024089005417068</v>
          </cell>
          <cell r="AD25" t="str">
            <v>201523</v>
          </cell>
          <cell r="AE25">
            <v>0.43376082223334622</v>
          </cell>
          <cell r="AF25">
            <v>1794.5125486872596</v>
          </cell>
          <cell r="AG25">
            <v>7.2225231418188356</v>
          </cell>
          <cell r="AH25">
            <v>1.2790150036624688</v>
          </cell>
          <cell r="AI25">
            <v>8.8782835798002644</v>
          </cell>
          <cell r="AJ25">
            <v>8.8693267614548543E-3</v>
          </cell>
          <cell r="AK25">
            <v>36.693334878318865</v>
          </cell>
          <cell r="AL25">
            <v>0.22352934975991179</v>
          </cell>
          <cell r="AM25">
            <v>2.7228024404466256E-2</v>
          </cell>
          <cell r="AN25">
            <v>0.33024089005417068</v>
          </cell>
          <cell r="AQ25" t="str">
            <v>201523</v>
          </cell>
          <cell r="AR25">
            <v>0.43376082223334622</v>
          </cell>
          <cell r="AS25">
            <v>1794.5125486872596</v>
          </cell>
          <cell r="AT25">
            <v>7.2225231418188356</v>
          </cell>
          <cell r="AU25">
            <v>1.2790150036624688</v>
          </cell>
          <cell r="AV25">
            <v>8.8782835798002644</v>
          </cell>
          <cell r="AW25">
            <v>8.8693267614548543E-3</v>
          </cell>
          <cell r="AX25">
            <v>36.693334878318865</v>
          </cell>
          <cell r="AY25">
            <v>0.22352934975991179</v>
          </cell>
          <cell r="AZ25">
            <v>2.7228024404466256E-2</v>
          </cell>
          <cell r="BA25">
            <v>0.33024089005417068</v>
          </cell>
        </row>
        <row r="26">
          <cell r="Q26" t="str">
            <v>201524</v>
          </cell>
          <cell r="R26">
            <v>0.44263014899480108</v>
          </cell>
          <cell r="S26">
            <v>1831.2058835655785</v>
          </cell>
          <cell r="T26">
            <v>7.4460524915787474</v>
          </cell>
          <cell r="U26">
            <v>1.306243028066935</v>
          </cell>
          <cell r="V26">
            <v>9.2085244698544351</v>
          </cell>
          <cell r="W26">
            <v>8.377959440282301E-3</v>
          </cell>
          <cell r="X26">
            <v>34.660496744267675</v>
          </cell>
          <cell r="Y26">
            <v>0.22177663198023101</v>
          </cell>
          <cell r="Z26">
            <v>2.5719571533997287E-2</v>
          </cell>
          <cell r="AA26">
            <v>0.31856617810921506</v>
          </cell>
          <cell r="AD26" t="str">
            <v>201524</v>
          </cell>
          <cell r="AE26">
            <v>0.44263014899480108</v>
          </cell>
          <cell r="AF26">
            <v>1831.2058835655785</v>
          </cell>
          <cell r="AG26">
            <v>7.4460524915787474</v>
          </cell>
          <cell r="AH26">
            <v>1.306243028066935</v>
          </cell>
          <cell r="AI26">
            <v>9.2085244698544351</v>
          </cell>
          <cell r="AJ26">
            <v>8.377959440282301E-3</v>
          </cell>
          <cell r="AK26">
            <v>34.660496744267675</v>
          </cell>
          <cell r="AL26">
            <v>0.22177663198023101</v>
          </cell>
          <cell r="AM26">
            <v>2.5719571533997287E-2</v>
          </cell>
          <cell r="AN26">
            <v>0.31856617810921506</v>
          </cell>
          <cell r="AQ26" t="str">
            <v>201524</v>
          </cell>
          <cell r="AR26">
            <v>0.44263014899480108</v>
          </cell>
          <cell r="AS26">
            <v>1831.2058835655785</v>
          </cell>
          <cell r="AT26">
            <v>7.4460524915787474</v>
          </cell>
          <cell r="AU26">
            <v>1.306243028066935</v>
          </cell>
          <cell r="AV26">
            <v>9.2085244698544351</v>
          </cell>
          <cell r="AW26">
            <v>8.377959440282301E-3</v>
          </cell>
          <cell r="AX26">
            <v>34.660496744267675</v>
          </cell>
          <cell r="AY26">
            <v>0.22177663198023101</v>
          </cell>
          <cell r="AZ26">
            <v>2.5719571533997287E-2</v>
          </cell>
          <cell r="BA26">
            <v>0.31856617810921506</v>
          </cell>
        </row>
        <row r="27">
          <cell r="Q27" t="str">
            <v>201525</v>
          </cell>
          <cell r="R27">
            <v>0.45100810843508338</v>
          </cell>
          <cell r="S27">
            <v>1865.8663803098461</v>
          </cell>
          <cell r="T27">
            <v>7.6678291235589784</v>
          </cell>
          <cell r="U27">
            <v>1.3319625996009323</v>
          </cell>
          <cell r="V27">
            <v>9.5270906479636501</v>
          </cell>
          <cell r="W27">
            <v>7.9138142353774033E-3</v>
          </cell>
          <cell r="X27">
            <v>32.740279359814394</v>
          </cell>
          <cell r="Y27">
            <v>0.21390745983105575</v>
          </cell>
          <cell r="Z27">
            <v>2.4294688078210225E-2</v>
          </cell>
          <cell r="AA27">
            <v>0.30717145223638198</v>
          </cell>
          <cell r="AD27" t="str">
            <v>201525</v>
          </cell>
          <cell r="AE27">
            <v>0.45100810843508338</v>
          </cell>
          <cell r="AF27">
            <v>1865.8663803098461</v>
          </cell>
          <cell r="AG27">
            <v>7.6678291235589784</v>
          </cell>
          <cell r="AH27">
            <v>1.3319625996009323</v>
          </cell>
          <cell r="AI27">
            <v>9.5270906479636501</v>
          </cell>
          <cell r="AJ27">
            <v>7.9138142353774033E-3</v>
          </cell>
          <cell r="AK27">
            <v>32.740279359814394</v>
          </cell>
          <cell r="AL27">
            <v>0.21390745983105575</v>
          </cell>
          <cell r="AM27">
            <v>2.4294688078210225E-2</v>
          </cell>
          <cell r="AN27">
            <v>0.30717145223638198</v>
          </cell>
          <cell r="AQ27" t="str">
            <v>201525</v>
          </cell>
          <cell r="AR27">
            <v>0.45100810843508338</v>
          </cell>
          <cell r="AS27">
            <v>1865.8663803098461</v>
          </cell>
          <cell r="AT27">
            <v>7.6678291235589784</v>
          </cell>
          <cell r="AU27">
            <v>1.3319625996009323</v>
          </cell>
          <cell r="AV27">
            <v>9.5270906479636501</v>
          </cell>
          <cell r="AW27">
            <v>7.9138142353774033E-3</v>
          </cell>
          <cell r="AX27">
            <v>32.740279359814394</v>
          </cell>
          <cell r="AY27">
            <v>0.21390745983105575</v>
          </cell>
          <cell r="AZ27">
            <v>2.4294688078210225E-2</v>
          </cell>
          <cell r="BA27">
            <v>0.30717145223638198</v>
          </cell>
        </row>
        <row r="28">
          <cell r="Q28" t="str">
            <v>201526</v>
          </cell>
          <cell r="R28">
            <v>0.45892192267046078</v>
          </cell>
          <cell r="S28">
            <v>1898.6066596696605</v>
          </cell>
          <cell r="T28">
            <v>7.8817365833900341</v>
          </cell>
          <cell r="U28">
            <v>1.3562572876791426</v>
          </cell>
          <cell r="V28">
            <v>9.8342621002000321</v>
          </cell>
          <cell r="W28">
            <v>7.4753830211849448E-3</v>
          </cell>
          <cell r="X28">
            <v>30.926443451390469</v>
          </cell>
          <cell r="Y28">
            <v>0.20800556934659564</v>
          </cell>
          <cell r="Z28">
            <v>2.3175959518567213E-2</v>
          </cell>
          <cell r="AA28">
            <v>0.29606152208522651</v>
          </cell>
          <cell r="AD28" t="str">
            <v>201526</v>
          </cell>
          <cell r="AE28">
            <v>0.45892192267046078</v>
          </cell>
          <cell r="AF28">
            <v>1898.6066596696605</v>
          </cell>
          <cell r="AG28">
            <v>7.8817365833900341</v>
          </cell>
          <cell r="AH28">
            <v>1.3562572876791426</v>
          </cell>
          <cell r="AI28">
            <v>9.8342621002000321</v>
          </cell>
          <cell r="AJ28">
            <v>7.4753830211849448E-3</v>
          </cell>
          <cell r="AK28">
            <v>30.926443451390469</v>
          </cell>
          <cell r="AL28">
            <v>0.20800556934659564</v>
          </cell>
          <cell r="AM28">
            <v>2.3175959518567213E-2</v>
          </cell>
          <cell r="AN28">
            <v>0.29606152208522651</v>
          </cell>
          <cell r="AQ28" t="str">
            <v>201526</v>
          </cell>
          <cell r="AR28">
            <v>0.45892192267046078</v>
          </cell>
          <cell r="AS28">
            <v>1898.6066596696605</v>
          </cell>
          <cell r="AT28">
            <v>7.8817365833900341</v>
          </cell>
          <cell r="AU28">
            <v>1.3562572876791426</v>
          </cell>
          <cell r="AV28">
            <v>9.8342621002000321</v>
          </cell>
          <cell r="AW28">
            <v>7.4753830211849448E-3</v>
          </cell>
          <cell r="AX28">
            <v>30.926443451390469</v>
          </cell>
          <cell r="AY28">
            <v>0.20800556934659564</v>
          </cell>
          <cell r="AZ28">
            <v>2.3175959518567213E-2</v>
          </cell>
          <cell r="BA28">
            <v>0.29606152208522651</v>
          </cell>
        </row>
        <row r="29">
          <cell r="Q29" t="str">
            <v>201527</v>
          </cell>
          <cell r="R29">
            <v>0.46639730569164572</v>
          </cell>
          <cell r="S29">
            <v>1929.533103121051</v>
          </cell>
          <cell r="T29">
            <v>8.0897421527366298</v>
          </cell>
          <cell r="U29">
            <v>1.3794332471977098</v>
          </cell>
          <cell r="V29">
            <v>10.130323622285259</v>
          </cell>
          <cell r="W29">
            <v>7.0612412234307143E-3</v>
          </cell>
          <cell r="X29">
            <v>29.213095405837976</v>
          </cell>
          <cell r="Y29">
            <v>0.19648190558408984</v>
          </cell>
          <cell r="Z29">
            <v>2.189199406656317E-2</v>
          </cell>
          <cell r="AA29">
            <v>0.27965949283070479</v>
          </cell>
          <cell r="AD29" t="str">
            <v>201527</v>
          </cell>
          <cell r="AE29">
            <v>0.46639730569164572</v>
          </cell>
          <cell r="AF29">
            <v>1929.533103121051</v>
          </cell>
          <cell r="AG29">
            <v>8.0897421527366298</v>
          </cell>
          <cell r="AH29">
            <v>1.3794332471977098</v>
          </cell>
          <cell r="AI29">
            <v>10.130323622285259</v>
          </cell>
          <cell r="AJ29">
            <v>7.0612412234307143E-3</v>
          </cell>
          <cell r="AK29">
            <v>29.213095405837976</v>
          </cell>
          <cell r="AL29">
            <v>0.19648190558408984</v>
          </cell>
          <cell r="AM29">
            <v>2.189199406656317E-2</v>
          </cell>
          <cell r="AN29">
            <v>0.27965949283070479</v>
          </cell>
          <cell r="AQ29" t="str">
            <v>201527</v>
          </cell>
          <cell r="AR29">
            <v>0.46639730569164572</v>
          </cell>
          <cell r="AS29">
            <v>1929.533103121051</v>
          </cell>
          <cell r="AT29">
            <v>8.0897421527366298</v>
          </cell>
          <cell r="AU29">
            <v>1.3794332471977098</v>
          </cell>
          <cell r="AV29">
            <v>10.130323622285259</v>
          </cell>
          <cell r="AW29">
            <v>7.0612412234307143E-3</v>
          </cell>
          <cell r="AX29">
            <v>29.213095405837976</v>
          </cell>
          <cell r="AY29">
            <v>0.19648190558408984</v>
          </cell>
          <cell r="AZ29">
            <v>2.189199406656317E-2</v>
          </cell>
          <cell r="BA29">
            <v>0.27965949283070479</v>
          </cell>
        </row>
        <row r="30">
          <cell r="Q30" t="str">
            <v>201528</v>
          </cell>
          <cell r="R30">
            <v>0.47345854691507644</v>
          </cell>
          <cell r="S30">
            <v>1958.746198526889</v>
          </cell>
          <cell r="T30">
            <v>8.2862240583207196</v>
          </cell>
          <cell r="U30">
            <v>1.4013252412642729</v>
          </cell>
          <cell r="V30">
            <v>10.409983115115963</v>
          </cell>
          <cell r="W30">
            <v>6.6700431903184976E-3</v>
          </cell>
          <cell r="X30">
            <v>27.594668120566666</v>
          </cell>
          <cell r="Y30">
            <v>0.18559666139336883</v>
          </cell>
          <cell r="Z30">
            <v>2.0679161258738255E-2</v>
          </cell>
          <cell r="AA30">
            <v>0.26416614823662776</v>
          </cell>
          <cell r="AD30" t="str">
            <v>201528</v>
          </cell>
          <cell r="AE30">
            <v>0.47345854691507644</v>
          </cell>
          <cell r="AF30">
            <v>1958.746198526889</v>
          </cell>
          <cell r="AG30">
            <v>8.2862240583207196</v>
          </cell>
          <cell r="AH30">
            <v>1.4013252412642729</v>
          </cell>
          <cell r="AI30">
            <v>10.409983115115963</v>
          </cell>
          <cell r="AJ30">
            <v>6.6700431903184976E-3</v>
          </cell>
          <cell r="AK30">
            <v>27.594668120566666</v>
          </cell>
          <cell r="AL30">
            <v>0.18559666139336883</v>
          </cell>
          <cell r="AM30">
            <v>2.0679161258738255E-2</v>
          </cell>
          <cell r="AN30">
            <v>0.26416614823662776</v>
          </cell>
          <cell r="AQ30" t="str">
            <v>201528</v>
          </cell>
          <cell r="AR30">
            <v>0.47345854691507644</v>
          </cell>
          <cell r="AS30">
            <v>1958.746198526889</v>
          </cell>
          <cell r="AT30">
            <v>8.2862240583207196</v>
          </cell>
          <cell r="AU30">
            <v>1.4013252412642729</v>
          </cell>
          <cell r="AV30">
            <v>10.409983115115963</v>
          </cell>
          <cell r="AW30">
            <v>6.6700431903184976E-3</v>
          </cell>
          <cell r="AX30">
            <v>27.594668120566666</v>
          </cell>
          <cell r="AY30">
            <v>0.18559666139336883</v>
          </cell>
          <cell r="AZ30">
            <v>2.0679161258738255E-2</v>
          </cell>
          <cell r="BA30">
            <v>0.26416614823662776</v>
          </cell>
        </row>
        <row r="31">
          <cell r="Q31" t="str">
            <v>201529</v>
          </cell>
          <cell r="R31">
            <v>0.48012859010539494</v>
          </cell>
          <cell r="S31">
            <v>1986.3408666474556</v>
          </cell>
          <cell r="T31">
            <v>8.4718207197140885</v>
          </cell>
          <cell r="U31">
            <v>1.4220044025230112</v>
          </cell>
          <cell r="V31">
            <v>10.674149263352591</v>
          </cell>
          <cell r="W31">
            <v>6.3005178201657741E-3</v>
          </cell>
          <cell r="X31">
            <v>26.065902914624075</v>
          </cell>
          <cell r="Y31">
            <v>0.17531446785374527</v>
          </cell>
          <cell r="Z31">
            <v>1.9533520293523177E-2</v>
          </cell>
          <cell r="AA31">
            <v>0.24953114649471253</v>
          </cell>
          <cell r="AD31" t="str">
            <v>201529</v>
          </cell>
          <cell r="AE31">
            <v>0.48012859010539494</v>
          </cell>
          <cell r="AF31">
            <v>1986.3408666474556</v>
          </cell>
          <cell r="AG31">
            <v>8.4718207197140885</v>
          </cell>
          <cell r="AH31">
            <v>1.4220044025230112</v>
          </cell>
          <cell r="AI31">
            <v>10.674149263352591</v>
          </cell>
          <cell r="AJ31">
            <v>6.3005178201657741E-3</v>
          </cell>
          <cell r="AK31">
            <v>26.065902914624075</v>
          </cell>
          <cell r="AL31">
            <v>0.17531446785374527</v>
          </cell>
          <cell r="AM31">
            <v>1.9533520293523177E-2</v>
          </cell>
          <cell r="AN31">
            <v>0.24953114649471253</v>
          </cell>
          <cell r="AQ31" t="str">
            <v>201529</v>
          </cell>
          <cell r="AR31">
            <v>0.48012859010539494</v>
          </cell>
          <cell r="AS31">
            <v>1986.3408666474556</v>
          </cell>
          <cell r="AT31">
            <v>8.4718207197140885</v>
          </cell>
          <cell r="AU31">
            <v>1.4220044025230112</v>
          </cell>
          <cell r="AV31">
            <v>10.674149263352591</v>
          </cell>
          <cell r="AW31">
            <v>6.3005178201657741E-3</v>
          </cell>
          <cell r="AX31">
            <v>26.065902914624075</v>
          </cell>
          <cell r="AY31">
            <v>0.17531446785374527</v>
          </cell>
          <cell r="AZ31">
            <v>1.9533520293523177E-2</v>
          </cell>
          <cell r="BA31">
            <v>0.24953114649471253</v>
          </cell>
        </row>
        <row r="32">
          <cell r="Q32" t="str">
            <v>201530</v>
          </cell>
          <cell r="R32">
            <v>0.48642910792556071</v>
          </cell>
          <cell r="S32">
            <v>2012.4067695620797</v>
          </cell>
          <cell r="T32">
            <v>8.6471351875678337</v>
          </cell>
          <cell r="U32">
            <v>1.4415379228165344</v>
          </cell>
          <cell r="V32">
            <v>10.923680409847304</v>
          </cell>
          <cell r="W32">
            <v>5.9514644312717024E-3</v>
          </cell>
          <cell r="X32">
            <v>24.621832441906236</v>
          </cell>
          <cell r="Y32">
            <v>0.16560191550913572</v>
          </cell>
          <cell r="Z32">
            <v>1.845134869269649E-2</v>
          </cell>
          <cell r="AA32">
            <v>0.23570693477042681</v>
          </cell>
          <cell r="AD32" t="str">
            <v>201530</v>
          </cell>
          <cell r="AE32">
            <v>0.48642910792556071</v>
          </cell>
          <cell r="AF32">
            <v>2012.4067695620797</v>
          </cell>
          <cell r="AG32">
            <v>8.6471351875678337</v>
          </cell>
          <cell r="AH32">
            <v>1.4415379228165344</v>
          </cell>
          <cell r="AI32">
            <v>10.923680409847304</v>
          </cell>
          <cell r="AJ32">
            <v>5.9514644312717024E-3</v>
          </cell>
          <cell r="AK32">
            <v>24.621832441906236</v>
          </cell>
          <cell r="AL32">
            <v>0.16560191550913572</v>
          </cell>
          <cell r="AM32">
            <v>1.845134869269649E-2</v>
          </cell>
          <cell r="AN32">
            <v>0.23570693477042681</v>
          </cell>
          <cell r="AQ32" t="str">
            <v>201530</v>
          </cell>
          <cell r="AR32">
            <v>0.48642910792556071</v>
          </cell>
          <cell r="AS32">
            <v>2012.4067695620797</v>
          </cell>
          <cell r="AT32">
            <v>8.6471351875678337</v>
          </cell>
          <cell r="AU32">
            <v>1.4415379228165344</v>
          </cell>
          <cell r="AV32">
            <v>10.923680409847304</v>
          </cell>
          <cell r="AW32">
            <v>5.9514644312717024E-3</v>
          </cell>
          <cell r="AX32">
            <v>24.621832441906236</v>
          </cell>
          <cell r="AY32">
            <v>0.16560191550913572</v>
          </cell>
          <cell r="AZ32">
            <v>1.845134869269649E-2</v>
          </cell>
          <cell r="BA32">
            <v>0.23570693477042681</v>
          </cell>
        </row>
        <row r="33">
          <cell r="Q33" t="str">
            <v>201531</v>
          </cell>
          <cell r="R33">
            <v>0.49238057235683241</v>
          </cell>
          <cell r="S33">
            <v>2037.028602003986</v>
          </cell>
          <cell r="T33">
            <v>8.8127371030769694</v>
          </cell>
          <cell r="U33">
            <v>1.4599892715092309</v>
          </cell>
          <cell r="V33">
            <v>11.159387344617731</v>
          </cell>
          <cell r="W33">
            <v>5.6217488605976307E-3</v>
          </cell>
          <cell r="X33">
            <v>23.257764550990714</v>
          </cell>
          <cell r="Y33">
            <v>0.15642744581224655</v>
          </cell>
          <cell r="Z33">
            <v>1.7429130206108256E-2</v>
          </cell>
          <cell r="AA33">
            <v>0.22264859469175491</v>
          </cell>
          <cell r="AD33" t="str">
            <v>201531</v>
          </cell>
          <cell r="AE33">
            <v>0.49238057235683241</v>
          </cell>
          <cell r="AF33">
            <v>2037.028602003986</v>
          </cell>
          <cell r="AG33">
            <v>8.8127371030769694</v>
          </cell>
          <cell r="AH33">
            <v>1.4599892715092309</v>
          </cell>
          <cell r="AI33">
            <v>11.159387344617731</v>
          </cell>
          <cell r="AJ33">
            <v>5.6217488605976307E-3</v>
          </cell>
          <cell r="AK33">
            <v>23.257764550990714</v>
          </cell>
          <cell r="AL33">
            <v>0.15642744581224655</v>
          </cell>
          <cell r="AM33">
            <v>1.7429130206108256E-2</v>
          </cell>
          <cell r="AN33">
            <v>0.22264859469175491</v>
          </cell>
          <cell r="AQ33" t="str">
            <v>201531</v>
          </cell>
          <cell r="AR33">
            <v>0.49238057235683241</v>
          </cell>
          <cell r="AS33">
            <v>2037.028602003986</v>
          </cell>
          <cell r="AT33">
            <v>8.8127371030769694</v>
          </cell>
          <cell r="AU33">
            <v>1.4599892715092309</v>
          </cell>
          <cell r="AV33">
            <v>11.159387344617731</v>
          </cell>
          <cell r="AW33">
            <v>5.6217488605976307E-3</v>
          </cell>
          <cell r="AX33">
            <v>23.257764550990714</v>
          </cell>
          <cell r="AY33">
            <v>0.15642744581224655</v>
          </cell>
          <cell r="AZ33">
            <v>1.7429130206108256E-2</v>
          </cell>
          <cell r="BA33">
            <v>0.22264859469175491</v>
          </cell>
        </row>
        <row r="34">
          <cell r="Q34" t="str">
            <v>201532</v>
          </cell>
          <cell r="R34">
            <v>0.49800232121743004</v>
          </cell>
          <cell r="S34">
            <v>2060.2863665549767</v>
          </cell>
          <cell r="T34">
            <v>8.969164548889216</v>
          </cell>
          <cell r="U34">
            <v>1.4774184017153391</v>
          </cell>
          <cell r="V34">
            <v>11.382035939309485</v>
          </cell>
          <cell r="W34">
            <v>5.3102997785837713E-3</v>
          </cell>
          <cell r="X34">
            <v>21.969267039144597</v>
          </cell>
          <cell r="Y34">
            <v>0.14776124858286188</v>
          </cell>
          <cell r="Z34">
            <v>1.6463543386490587E-2</v>
          </cell>
          <cell r="AA34">
            <v>0.21031369639801234</v>
          </cell>
          <cell r="AD34" t="str">
            <v>201532</v>
          </cell>
          <cell r="AE34">
            <v>0.49800232121743004</v>
          </cell>
          <cell r="AF34">
            <v>2060.2863665549767</v>
          </cell>
          <cell r="AG34">
            <v>8.969164548889216</v>
          </cell>
          <cell r="AH34">
            <v>1.4774184017153391</v>
          </cell>
          <cell r="AI34">
            <v>11.382035939309485</v>
          </cell>
          <cell r="AJ34">
            <v>5.3102997785837713E-3</v>
          </cell>
          <cell r="AK34">
            <v>21.969267039144597</v>
          </cell>
          <cell r="AL34">
            <v>0.14776124858286188</v>
          </cell>
          <cell r="AM34">
            <v>1.6463543386490587E-2</v>
          </cell>
          <cell r="AN34">
            <v>0.21031369639801234</v>
          </cell>
          <cell r="AQ34" t="str">
            <v>201532</v>
          </cell>
          <cell r="AR34">
            <v>0.49800232121743004</v>
          </cell>
          <cell r="AS34">
            <v>2060.2863665549767</v>
          </cell>
          <cell r="AT34">
            <v>8.969164548889216</v>
          </cell>
          <cell r="AU34">
            <v>1.4774184017153391</v>
          </cell>
          <cell r="AV34">
            <v>11.382035939309485</v>
          </cell>
          <cell r="AW34">
            <v>5.3102997785837713E-3</v>
          </cell>
          <cell r="AX34">
            <v>21.969267039144597</v>
          </cell>
          <cell r="AY34">
            <v>0.14776124858286188</v>
          </cell>
          <cell r="AZ34">
            <v>1.6463543386490587E-2</v>
          </cell>
          <cell r="BA34">
            <v>0.21031369639801234</v>
          </cell>
        </row>
        <row r="35">
          <cell r="Q35" t="str">
            <v>201533</v>
          </cell>
          <cell r="R35">
            <v>0.50331262099601382</v>
          </cell>
          <cell r="S35">
            <v>2082.2556335941213</v>
          </cell>
          <cell r="T35">
            <v>9.1169257974720779</v>
          </cell>
          <cell r="U35">
            <v>1.4938819451018297</v>
          </cell>
          <cell r="V35">
            <v>11.592349635707498</v>
          </cell>
          <cell r="W35">
            <v>5.0161052081271196E-3</v>
          </cell>
          <cell r="X35">
            <v>20.75215325097497</v>
          </cell>
          <cell r="Y35">
            <v>0.13957516514699009</v>
          </cell>
          <cell r="Z35">
            <v>1.5551450797232746E-2</v>
          </cell>
          <cell r="AA35">
            <v>0.19866216067445563</v>
          </cell>
          <cell r="AD35" t="str">
            <v>201533</v>
          </cell>
          <cell r="AE35">
            <v>0.50331262099601382</v>
          </cell>
          <cell r="AF35">
            <v>2082.2556335941213</v>
          </cell>
          <cell r="AG35">
            <v>9.1169257974720779</v>
          </cell>
          <cell r="AH35">
            <v>1.4938819451018297</v>
          </cell>
          <cell r="AI35">
            <v>11.592349635707498</v>
          </cell>
          <cell r="AJ35">
            <v>5.0161052081271196E-3</v>
          </cell>
          <cell r="AK35">
            <v>20.75215325097497</v>
          </cell>
          <cell r="AL35">
            <v>0.13957516514699009</v>
          </cell>
          <cell r="AM35">
            <v>1.5551450797232746E-2</v>
          </cell>
          <cell r="AN35">
            <v>0.19866216067445563</v>
          </cell>
          <cell r="AQ35" t="str">
            <v>201533</v>
          </cell>
          <cell r="AR35">
            <v>0.50331262099601382</v>
          </cell>
          <cell r="AS35">
            <v>2082.2556335941213</v>
          </cell>
          <cell r="AT35">
            <v>9.1169257974720779</v>
          </cell>
          <cell r="AU35">
            <v>1.4938819451018297</v>
          </cell>
          <cell r="AV35">
            <v>11.592349635707498</v>
          </cell>
          <cell r="AW35">
            <v>5.0161052081271196E-3</v>
          </cell>
          <cell r="AX35">
            <v>20.75215325097497</v>
          </cell>
          <cell r="AY35">
            <v>0.13957516514699009</v>
          </cell>
          <cell r="AZ35">
            <v>1.5551450797232746E-2</v>
          </cell>
          <cell r="BA35">
            <v>0.19866216067445563</v>
          </cell>
        </row>
        <row r="36">
          <cell r="Q36" t="str">
            <v>201534</v>
          </cell>
          <cell r="R36">
            <v>0.50832872620414093</v>
          </cell>
          <cell r="S36">
            <v>2103.0077868450962</v>
          </cell>
          <cell r="T36">
            <v>9.256500962619068</v>
          </cell>
          <cell r="U36">
            <v>1.5094333958990624</v>
          </cell>
          <cell r="V36">
            <v>11.791011796381953</v>
          </cell>
          <cell r="W36">
            <v>4.7382092364115502E-3</v>
          </cell>
          <cell r="X36">
            <v>19.602468474920897</v>
          </cell>
          <cell r="Y36">
            <v>0.1318425968421959</v>
          </cell>
          <cell r="Z36">
            <v>1.4689888818053998E-2</v>
          </cell>
          <cell r="AA36">
            <v>0.18765612872474868</v>
          </cell>
          <cell r="AD36" t="str">
            <v>201534</v>
          </cell>
          <cell r="AE36">
            <v>0.50832872620414093</v>
          </cell>
          <cell r="AF36">
            <v>2103.0077868450962</v>
          </cell>
          <cell r="AG36">
            <v>9.256500962619068</v>
          </cell>
          <cell r="AH36">
            <v>1.5094333958990624</v>
          </cell>
          <cell r="AI36">
            <v>11.791011796381953</v>
          </cell>
          <cell r="AJ36">
            <v>4.7382092364115502E-3</v>
          </cell>
          <cell r="AK36">
            <v>19.602468474920897</v>
          </cell>
          <cell r="AL36">
            <v>0.1318425968421959</v>
          </cell>
          <cell r="AM36">
            <v>1.4689888818053998E-2</v>
          </cell>
          <cell r="AN36">
            <v>0.18765612872474868</v>
          </cell>
          <cell r="AQ36" t="str">
            <v>201534</v>
          </cell>
          <cell r="AR36">
            <v>0.50832872620414093</v>
          </cell>
          <cell r="AS36">
            <v>2103.0077868450962</v>
          </cell>
          <cell r="AT36">
            <v>9.256500962619068</v>
          </cell>
          <cell r="AU36">
            <v>1.5094333958990624</v>
          </cell>
          <cell r="AV36">
            <v>11.791011796381953</v>
          </cell>
          <cell r="AW36">
            <v>4.7382092364115502E-3</v>
          </cell>
          <cell r="AX36">
            <v>19.602468474920897</v>
          </cell>
          <cell r="AY36">
            <v>0.1318425968421959</v>
          </cell>
          <cell r="AZ36">
            <v>1.4689888818053998E-2</v>
          </cell>
          <cell r="BA36">
            <v>0.18765612872474868</v>
          </cell>
        </row>
        <row r="37">
          <cell r="Q37" t="str">
            <v>201535</v>
          </cell>
          <cell r="R37">
            <v>0.51306693544055249</v>
          </cell>
          <cell r="S37">
            <v>2122.6102553200171</v>
          </cell>
          <cell r="T37">
            <v>9.3883435594612639</v>
          </cell>
          <cell r="U37">
            <v>1.5241232847171164</v>
          </cell>
          <cell r="V37">
            <v>11.978667925106702</v>
          </cell>
          <cell r="W37">
            <v>4.4757089089042523E-3</v>
          </cell>
          <cell r="X37">
            <v>18.516477093393405</v>
          </cell>
          <cell r="Y37">
            <v>0.12453841859178816</v>
          </cell>
          <cell r="Z37">
            <v>1.3876058015448001E-2</v>
          </cell>
          <cell r="AA37">
            <v>0.17725983915812371</v>
          </cell>
          <cell r="AD37" t="str">
            <v>201535</v>
          </cell>
          <cell r="AE37">
            <v>0.51306693544055249</v>
          </cell>
          <cell r="AF37">
            <v>2122.6102553200171</v>
          </cell>
          <cell r="AG37">
            <v>9.3883435594612639</v>
          </cell>
          <cell r="AH37">
            <v>1.5241232847171164</v>
          </cell>
          <cell r="AI37">
            <v>11.978667925106702</v>
          </cell>
          <cell r="AJ37">
            <v>4.4757089089042523E-3</v>
          </cell>
          <cell r="AK37">
            <v>18.516477093393405</v>
          </cell>
          <cell r="AL37">
            <v>0.12453841859178816</v>
          </cell>
          <cell r="AM37">
            <v>1.3876058015448001E-2</v>
          </cell>
          <cell r="AN37">
            <v>0.17725983915812371</v>
          </cell>
          <cell r="AQ37" t="str">
            <v>201535</v>
          </cell>
          <cell r="AR37">
            <v>0.51306693544055249</v>
          </cell>
          <cell r="AS37">
            <v>2122.6102553200171</v>
          </cell>
          <cell r="AT37">
            <v>9.3883435594612639</v>
          </cell>
          <cell r="AU37">
            <v>1.5241232847171164</v>
          </cell>
          <cell r="AV37">
            <v>11.978667925106702</v>
          </cell>
          <cell r="AW37">
            <v>4.4757089089042523E-3</v>
          </cell>
          <cell r="AX37">
            <v>18.516477093393405</v>
          </cell>
          <cell r="AY37">
            <v>0.12453841859178816</v>
          </cell>
          <cell r="AZ37">
            <v>1.3876058015448001E-2</v>
          </cell>
          <cell r="BA37">
            <v>0.17725983915812371</v>
          </cell>
        </row>
        <row r="38">
          <cell r="Q38" t="str">
            <v>201536</v>
          </cell>
          <cell r="R38">
            <v>0.51754264434945674</v>
          </cell>
          <cell r="S38">
            <v>2141.1267324134105</v>
          </cell>
          <cell r="T38">
            <v>9.512881978053052</v>
          </cell>
          <cell r="U38">
            <v>1.5379993427325644</v>
          </cell>
          <cell r="V38">
            <v>12.155927764264826</v>
          </cell>
          <cell r="W38">
            <v>4.2277512954275176E-3</v>
          </cell>
          <cell r="X38">
            <v>17.490650444805397</v>
          </cell>
          <cell r="Y38">
            <v>0.11763889726707433</v>
          </cell>
          <cell r="Z38">
            <v>1.3107314046614027E-2</v>
          </cell>
          <cell r="AA38">
            <v>0.16743951179154948</v>
          </cell>
          <cell r="AD38" t="str">
            <v>201536</v>
          </cell>
          <cell r="AE38">
            <v>0.51754264434945674</v>
          </cell>
          <cell r="AF38">
            <v>2141.1267324134105</v>
          </cell>
          <cell r="AG38">
            <v>9.512881978053052</v>
          </cell>
          <cell r="AH38">
            <v>1.5379993427325644</v>
          </cell>
          <cell r="AI38">
            <v>12.155927764264826</v>
          </cell>
          <cell r="AJ38">
            <v>4.2277512954275176E-3</v>
          </cell>
          <cell r="AK38">
            <v>17.490650444805397</v>
          </cell>
          <cell r="AL38">
            <v>0.11763889726707433</v>
          </cell>
          <cell r="AM38">
            <v>1.3107314046614027E-2</v>
          </cell>
          <cell r="AN38">
            <v>0.16743951179154948</v>
          </cell>
          <cell r="AQ38" t="str">
            <v>201536</v>
          </cell>
          <cell r="AR38">
            <v>0.51754264434945674</v>
          </cell>
          <cell r="AS38">
            <v>2141.1267324134105</v>
          </cell>
          <cell r="AT38">
            <v>9.512881978053052</v>
          </cell>
          <cell r="AU38">
            <v>1.5379993427325644</v>
          </cell>
          <cell r="AV38">
            <v>12.155927764264826</v>
          </cell>
          <cell r="AW38">
            <v>4.2277512954275176E-3</v>
          </cell>
          <cell r="AX38">
            <v>17.490650444805397</v>
          </cell>
          <cell r="AY38">
            <v>0.11763889726707433</v>
          </cell>
          <cell r="AZ38">
            <v>1.3107314046614027E-2</v>
          </cell>
          <cell r="BA38">
            <v>0.16743951179154948</v>
          </cell>
        </row>
        <row r="39">
          <cell r="Q39" t="str">
            <v>201537</v>
          </cell>
          <cell r="R39">
            <v>0.52177039564488426</v>
          </cell>
          <cell r="S39">
            <v>2158.6173828582159</v>
          </cell>
          <cell r="T39">
            <v>9.6305208753201264</v>
          </cell>
          <cell r="U39">
            <v>1.5511066567791785</v>
          </cell>
          <cell r="V39">
            <v>12.323367276056375</v>
          </cell>
          <cell r="W39">
            <v>3.9935307187715097E-3</v>
          </cell>
          <cell r="X39">
            <v>16.521655358055796</v>
          </cell>
          <cell r="Y39">
            <v>0.11112161457240255</v>
          </cell>
          <cell r="Z39">
            <v>1.2381159067315961E-2</v>
          </cell>
          <cell r="AA39">
            <v>0.15816323788934028</v>
          </cell>
          <cell r="AD39" t="str">
            <v>201537</v>
          </cell>
          <cell r="AE39">
            <v>0.52177039564488426</v>
          </cell>
          <cell r="AF39">
            <v>2158.6173828582159</v>
          </cell>
          <cell r="AG39">
            <v>9.6305208753201264</v>
          </cell>
          <cell r="AH39">
            <v>1.5511066567791785</v>
          </cell>
          <cell r="AI39">
            <v>12.323367276056375</v>
          </cell>
          <cell r="AJ39">
            <v>3.9935307187715097E-3</v>
          </cell>
          <cell r="AK39">
            <v>16.521655358055796</v>
          </cell>
          <cell r="AL39">
            <v>0.11112161457240255</v>
          </cell>
          <cell r="AM39">
            <v>1.2381159067315961E-2</v>
          </cell>
          <cell r="AN39">
            <v>0.15816323788934028</v>
          </cell>
          <cell r="AQ39" t="str">
            <v>201537</v>
          </cell>
          <cell r="AR39">
            <v>0.52177039564488426</v>
          </cell>
          <cell r="AS39">
            <v>2158.6173828582159</v>
          </cell>
          <cell r="AT39">
            <v>9.6305208753201264</v>
          </cell>
          <cell r="AU39">
            <v>1.5511066567791785</v>
          </cell>
          <cell r="AV39">
            <v>12.323367276056375</v>
          </cell>
          <cell r="AW39">
            <v>3.9935307187715097E-3</v>
          </cell>
          <cell r="AX39">
            <v>16.521655358055796</v>
          </cell>
          <cell r="AY39">
            <v>0.11112161457240255</v>
          </cell>
          <cell r="AZ39">
            <v>1.2381159067315961E-2</v>
          </cell>
          <cell r="BA39">
            <v>0.15816323788934028</v>
          </cell>
        </row>
        <row r="40">
          <cell r="Q40" t="str">
            <v>201538</v>
          </cell>
          <cell r="R40">
            <v>0.52576392636365576</v>
          </cell>
          <cell r="S40">
            <v>2175.1390382162717</v>
          </cell>
          <cell r="T40">
            <v>9.7416424898925289</v>
          </cell>
          <cell r="U40">
            <v>1.5634878158464944</v>
          </cell>
          <cell r="V40">
            <v>12.481530513945716</v>
          </cell>
          <cell r="W40">
            <v>3.7722861368455485E-3</v>
          </cell>
          <cell r="X40">
            <v>15.606343322207977</v>
          </cell>
          <cell r="Y40">
            <v>0.10496539420243067</v>
          </cell>
          <cell r="Z40">
            <v>1.1695233615752088E-2</v>
          </cell>
          <cell r="AA40">
            <v>0.14940087648357903</v>
          </cell>
          <cell r="AD40" t="str">
            <v>201538</v>
          </cell>
          <cell r="AE40">
            <v>0.52576392636365576</v>
          </cell>
          <cell r="AF40">
            <v>2175.1390382162717</v>
          </cell>
          <cell r="AG40">
            <v>9.7416424898925289</v>
          </cell>
          <cell r="AH40">
            <v>1.5634878158464944</v>
          </cell>
          <cell r="AI40">
            <v>12.481530513945716</v>
          </cell>
          <cell r="AJ40">
            <v>3.7722861368455485E-3</v>
          </cell>
          <cell r="AK40">
            <v>15.606343322207977</v>
          </cell>
          <cell r="AL40">
            <v>0.10496539420243067</v>
          </cell>
          <cell r="AM40">
            <v>1.1695233615752088E-2</v>
          </cell>
          <cell r="AN40">
            <v>0.14940087648357903</v>
          </cell>
          <cell r="AQ40" t="str">
            <v>201538</v>
          </cell>
          <cell r="AR40">
            <v>0.52576392636365576</v>
          </cell>
          <cell r="AS40">
            <v>2175.1390382162717</v>
          </cell>
          <cell r="AT40">
            <v>9.7416424898925289</v>
          </cell>
          <cell r="AU40">
            <v>1.5634878158464944</v>
          </cell>
          <cell r="AV40">
            <v>12.481530513945716</v>
          </cell>
          <cell r="AW40">
            <v>3.7722861368455485E-3</v>
          </cell>
          <cell r="AX40">
            <v>15.606343322207977</v>
          </cell>
          <cell r="AY40">
            <v>0.10496539420243067</v>
          </cell>
          <cell r="AZ40">
            <v>1.1695233615752088E-2</v>
          </cell>
          <cell r="BA40">
            <v>0.14940087648357903</v>
          </cell>
        </row>
        <row r="41">
          <cell r="Q41" t="str">
            <v>201539</v>
          </cell>
          <cell r="R41">
            <v>0.52953621250050131</v>
          </cell>
          <cell r="S41">
            <v>2190.7453815384797</v>
          </cell>
          <cell r="T41">
            <v>9.8466078840949596</v>
          </cell>
          <cell r="U41">
            <v>1.5751830494622465</v>
          </cell>
          <cell r="V41">
            <v>12.630931390429295</v>
          </cell>
          <cell r="W41">
            <v>3.5632986698583835E-3</v>
          </cell>
          <cell r="X41">
            <v>14.74174025618322</v>
          </cell>
          <cell r="Y41">
            <v>9.9150233034931645E-2</v>
          </cell>
          <cell r="Z41">
            <v>1.1047308946065426E-2</v>
          </cell>
          <cell r="AA41">
            <v>0.14112395643846298</v>
          </cell>
          <cell r="AD41" t="str">
            <v>201539</v>
          </cell>
          <cell r="AE41">
            <v>0.52953621250050131</v>
          </cell>
          <cell r="AF41">
            <v>2190.7453815384797</v>
          </cell>
          <cell r="AG41">
            <v>9.8466078840949596</v>
          </cell>
          <cell r="AH41">
            <v>1.5751830494622465</v>
          </cell>
          <cell r="AI41">
            <v>12.630931390429295</v>
          </cell>
          <cell r="AJ41">
            <v>3.5632986698583835E-3</v>
          </cell>
          <cell r="AK41">
            <v>14.74174025618322</v>
          </cell>
          <cell r="AL41">
            <v>9.9150233034931645E-2</v>
          </cell>
          <cell r="AM41">
            <v>1.1047308946065426E-2</v>
          </cell>
          <cell r="AN41">
            <v>0.14112395643846298</v>
          </cell>
          <cell r="AQ41" t="str">
            <v>201539</v>
          </cell>
          <cell r="AR41">
            <v>0.52953621250050131</v>
          </cell>
          <cell r="AS41">
            <v>2190.7453815384797</v>
          </cell>
          <cell r="AT41">
            <v>9.8466078840949596</v>
          </cell>
          <cell r="AU41">
            <v>1.5751830494622465</v>
          </cell>
          <cell r="AV41">
            <v>12.630931390429295</v>
          </cell>
          <cell r="AW41">
            <v>3.5632986698583835E-3</v>
          </cell>
          <cell r="AX41">
            <v>14.74174025618322</v>
          </cell>
          <cell r="AY41">
            <v>9.9150233034931645E-2</v>
          </cell>
          <cell r="AZ41">
            <v>1.1047308946065426E-2</v>
          </cell>
          <cell r="BA41">
            <v>0.14112395643846298</v>
          </cell>
        </row>
        <row r="42">
          <cell r="Q42" t="str">
            <v>201540</v>
          </cell>
          <cell r="R42">
            <v>0.5330995111703597</v>
          </cell>
          <cell r="S42">
            <v>2205.4871217946629</v>
          </cell>
          <cell r="T42">
            <v>9.9457581171298912</v>
          </cell>
          <cell r="U42">
            <v>1.5862303584083119</v>
          </cell>
          <cell r="V42">
            <v>12.772055346867758</v>
          </cell>
          <cell r="W42">
            <v>0</v>
          </cell>
          <cell r="X42">
            <v>0</v>
          </cell>
          <cell r="Y42">
            <v>0</v>
          </cell>
          <cell r="Z42">
            <v>0</v>
          </cell>
          <cell r="AA42">
            <v>0</v>
          </cell>
          <cell r="AD42" t="str">
            <v>201540</v>
          </cell>
          <cell r="AE42">
            <v>0.5330995111703597</v>
          </cell>
          <cell r="AF42">
            <v>2205.4871217946629</v>
          </cell>
          <cell r="AG42">
            <v>9.9457581171298912</v>
          </cell>
          <cell r="AH42">
            <v>1.5862303584083119</v>
          </cell>
          <cell r="AI42">
            <v>12.772055346867758</v>
          </cell>
          <cell r="AJ42">
            <v>0</v>
          </cell>
          <cell r="AK42">
            <v>0</v>
          </cell>
          <cell r="AL42">
            <v>0</v>
          </cell>
          <cell r="AM42">
            <v>0</v>
          </cell>
          <cell r="AN42">
            <v>0</v>
          </cell>
          <cell r="AQ42" t="str">
            <v>201540</v>
          </cell>
          <cell r="AR42">
            <v>0.5330995111703597</v>
          </cell>
          <cell r="AS42">
            <v>2205.4871217946629</v>
          </cell>
          <cell r="AT42">
            <v>9.9457581171298912</v>
          </cell>
          <cell r="AU42">
            <v>1.5862303584083119</v>
          </cell>
          <cell r="AV42">
            <v>12.772055346867758</v>
          </cell>
          <cell r="AW42">
            <v>0</v>
          </cell>
          <cell r="AX42">
            <v>0</v>
          </cell>
          <cell r="AY42">
            <v>0</v>
          </cell>
          <cell r="AZ42">
            <v>0</v>
          </cell>
          <cell r="BA42">
            <v>0</v>
          </cell>
        </row>
        <row r="43">
          <cell r="Q43" t="str">
            <v>20161</v>
          </cell>
          <cell r="R43">
            <v>3.1077315448920794E-2</v>
          </cell>
          <cell r="S43">
            <v>128.56940443017052</v>
          </cell>
          <cell r="T43">
            <v>0.37854565261106127</v>
          </cell>
          <cell r="U43">
            <v>9.1626127615359182E-2</v>
          </cell>
          <cell r="V43">
            <v>0.44490624852406363</v>
          </cell>
          <cell r="W43">
            <v>2.9355608982119478E-2</v>
          </cell>
          <cell r="X43">
            <v>121.44723268276655</v>
          </cell>
          <cell r="Y43">
            <v>0.40120210247539406</v>
          </cell>
          <cell r="Z43">
            <v>8.654997177099058E-2</v>
          </cell>
          <cell r="AA43">
            <v>0.42471944910300524</v>
          </cell>
          <cell r="AD43" t="str">
            <v>20161</v>
          </cell>
          <cell r="AE43">
            <v>3.1077315448920794E-2</v>
          </cell>
          <cell r="AF43">
            <v>128.56940443017052</v>
          </cell>
          <cell r="AG43">
            <v>0.37854565261106127</v>
          </cell>
          <cell r="AH43">
            <v>9.1626127615359182E-2</v>
          </cell>
          <cell r="AI43">
            <v>0.44490624852406363</v>
          </cell>
          <cell r="AJ43">
            <v>2.9355608982119478E-2</v>
          </cell>
          <cell r="AK43">
            <v>121.44723268276655</v>
          </cell>
          <cell r="AL43">
            <v>0.40120210247539406</v>
          </cell>
          <cell r="AM43">
            <v>8.654997177099058E-2</v>
          </cell>
          <cell r="AN43">
            <v>0.42471944910300524</v>
          </cell>
          <cell r="AQ43" t="str">
            <v>20161</v>
          </cell>
          <cell r="AR43">
            <v>3.1077315448920794E-2</v>
          </cell>
          <cell r="AS43">
            <v>128.56940443017052</v>
          </cell>
          <cell r="AT43">
            <v>0.37854565261106127</v>
          </cell>
          <cell r="AU43">
            <v>9.1626127615359182E-2</v>
          </cell>
          <cell r="AV43">
            <v>0.44490624852406363</v>
          </cell>
          <cell r="AW43">
            <v>2.9355608982119478E-2</v>
          </cell>
          <cell r="AX43">
            <v>121.44723268276655</v>
          </cell>
          <cell r="AY43">
            <v>0.40120210247539406</v>
          </cell>
          <cell r="AZ43">
            <v>8.654997177099058E-2</v>
          </cell>
          <cell r="BA43">
            <v>0.42471944910300524</v>
          </cell>
        </row>
        <row r="44">
          <cell r="Q44" t="str">
            <v>20162</v>
          </cell>
          <cell r="R44">
            <v>6.0432924431040272E-2</v>
          </cell>
          <cell r="S44">
            <v>250.01663711293708</v>
          </cell>
          <cell r="T44">
            <v>0.77974775508645533</v>
          </cell>
          <cell r="U44">
            <v>0.17817609938634976</v>
          </cell>
          <cell r="V44">
            <v>0.86962569762706887</v>
          </cell>
          <cell r="W44">
            <v>2.7729286338373849E-2</v>
          </cell>
          <cell r="X44">
            <v>114.71896536415863</v>
          </cell>
          <cell r="Y44">
            <v>0.39107120054479583</v>
          </cell>
          <cell r="Z44">
            <v>8.091220329738269E-2</v>
          </cell>
          <cell r="AA44">
            <v>0.41130370009502859</v>
          </cell>
          <cell r="AD44" t="str">
            <v>20162</v>
          </cell>
          <cell r="AE44">
            <v>6.0432924431040272E-2</v>
          </cell>
          <cell r="AF44">
            <v>250.01663711293708</v>
          </cell>
          <cell r="AG44">
            <v>0.77974775508645533</v>
          </cell>
          <cell r="AH44">
            <v>0.17817609938634976</v>
          </cell>
          <cell r="AI44">
            <v>0.86962569762706887</v>
          </cell>
          <cell r="AJ44">
            <v>2.7729286338373849E-2</v>
          </cell>
          <cell r="AK44">
            <v>114.71896536415863</v>
          </cell>
          <cell r="AL44">
            <v>0.39107120054479583</v>
          </cell>
          <cell r="AM44">
            <v>8.091220329738269E-2</v>
          </cell>
          <cell r="AN44">
            <v>0.41130370009502859</v>
          </cell>
          <cell r="AQ44" t="str">
            <v>20162</v>
          </cell>
          <cell r="AR44">
            <v>6.0432924431040272E-2</v>
          </cell>
          <cell r="AS44">
            <v>250.01663711293708</v>
          </cell>
          <cell r="AT44">
            <v>0.77974775508645533</v>
          </cell>
          <cell r="AU44">
            <v>0.17817609938634976</v>
          </cell>
          <cell r="AV44">
            <v>0.86962569762706887</v>
          </cell>
          <cell r="AW44">
            <v>2.7729286338373849E-2</v>
          </cell>
          <cell r="AX44">
            <v>114.71896536415863</v>
          </cell>
          <cell r="AY44">
            <v>0.39107120054479583</v>
          </cell>
          <cell r="AZ44">
            <v>8.091220329738269E-2</v>
          </cell>
          <cell r="BA44">
            <v>0.41130370009502859</v>
          </cell>
        </row>
        <row r="45">
          <cell r="Q45" t="str">
            <v>20163</v>
          </cell>
          <cell r="R45">
            <v>8.816221076941412E-2</v>
          </cell>
          <cell r="S45">
            <v>364.73560247709571</v>
          </cell>
          <cell r="T45">
            <v>1.1708189556312512</v>
          </cell>
          <cell r="U45">
            <v>0.25908830268373245</v>
          </cell>
          <cell r="V45">
            <v>1.2809293977220975</v>
          </cell>
          <cell r="W45">
            <v>2.6193063182708018E-2</v>
          </cell>
          <cell r="X45">
            <v>108.36344907585942</v>
          </cell>
          <cell r="Y45">
            <v>0.39208278280308972</v>
          </cell>
          <cell r="Z45">
            <v>7.6429606855318244E-2</v>
          </cell>
          <cell r="AA45">
            <v>0.39966315251426821</v>
          </cell>
          <cell r="AD45" t="str">
            <v>20163</v>
          </cell>
          <cell r="AE45">
            <v>8.816221076941412E-2</v>
          </cell>
          <cell r="AF45">
            <v>364.73560247709571</v>
          </cell>
          <cell r="AG45">
            <v>1.1708189556312512</v>
          </cell>
          <cell r="AH45">
            <v>0.25908830268373245</v>
          </cell>
          <cell r="AI45">
            <v>1.2809293977220975</v>
          </cell>
          <cell r="AJ45">
            <v>2.6193063182708018E-2</v>
          </cell>
          <cell r="AK45">
            <v>108.36344907585942</v>
          </cell>
          <cell r="AL45">
            <v>0.39208278280308972</v>
          </cell>
          <cell r="AM45">
            <v>7.6429606855318244E-2</v>
          </cell>
          <cell r="AN45">
            <v>0.39966315251426821</v>
          </cell>
          <cell r="AQ45" t="str">
            <v>20163</v>
          </cell>
          <cell r="AR45">
            <v>8.816221076941412E-2</v>
          </cell>
          <cell r="AS45">
            <v>364.73560247709571</v>
          </cell>
          <cell r="AT45">
            <v>1.1708189556312512</v>
          </cell>
          <cell r="AU45">
            <v>0.25908830268373245</v>
          </cell>
          <cell r="AV45">
            <v>1.2809293977220975</v>
          </cell>
          <cell r="AW45">
            <v>2.6193063182708018E-2</v>
          </cell>
          <cell r="AX45">
            <v>108.36344907585942</v>
          </cell>
          <cell r="AY45">
            <v>0.39208278280308972</v>
          </cell>
          <cell r="AZ45">
            <v>7.6429606855318244E-2</v>
          </cell>
          <cell r="BA45">
            <v>0.39966315251426821</v>
          </cell>
        </row>
        <row r="46">
          <cell r="Q46" t="str">
            <v>20164</v>
          </cell>
          <cell r="R46">
            <v>0.11435527395212214</v>
          </cell>
          <cell r="S46">
            <v>473.09905155295513</v>
          </cell>
          <cell r="T46">
            <v>1.5629017384343409</v>
          </cell>
          <cell r="U46">
            <v>0.3355179095390507</v>
          </cell>
          <cell r="V46">
            <v>1.6805925502363657</v>
          </cell>
          <cell r="W46">
            <v>2.4741947936247122E-2</v>
          </cell>
          <cell r="X46">
            <v>102.36003313263069</v>
          </cell>
          <cell r="Y46">
            <v>0.3776547954876599</v>
          </cell>
          <cell r="Z46">
            <v>7.2195349601207437E-2</v>
          </cell>
          <cell r="AA46">
            <v>0.39481831813160317</v>
          </cell>
          <cell r="AD46" t="str">
            <v>20164</v>
          </cell>
          <cell r="AE46">
            <v>0.11435527395212214</v>
          </cell>
          <cell r="AF46">
            <v>473.09905155295513</v>
          </cell>
          <cell r="AG46">
            <v>1.5629017384343409</v>
          </cell>
          <cell r="AH46">
            <v>0.3355179095390507</v>
          </cell>
          <cell r="AI46">
            <v>1.6805925502363657</v>
          </cell>
          <cell r="AJ46">
            <v>2.4741947936247122E-2</v>
          </cell>
          <cell r="AK46">
            <v>102.36003313263069</v>
          </cell>
          <cell r="AL46">
            <v>0.3776547954876599</v>
          </cell>
          <cell r="AM46">
            <v>7.2195349601207437E-2</v>
          </cell>
          <cell r="AN46">
            <v>0.39481831813160317</v>
          </cell>
          <cell r="AQ46" t="str">
            <v>20164</v>
          </cell>
          <cell r="AR46">
            <v>0.11435527395212214</v>
          </cell>
          <cell r="AS46">
            <v>473.09905155295513</v>
          </cell>
          <cell r="AT46">
            <v>1.5629017384343409</v>
          </cell>
          <cell r="AU46">
            <v>0.3355179095390507</v>
          </cell>
          <cell r="AV46">
            <v>1.6805925502363657</v>
          </cell>
          <cell r="AW46">
            <v>2.4741947936247122E-2</v>
          </cell>
          <cell r="AX46">
            <v>102.36003313263069</v>
          </cell>
          <cell r="AY46">
            <v>0.3776547954876599</v>
          </cell>
          <cell r="AZ46">
            <v>7.2195349601207437E-2</v>
          </cell>
          <cell r="BA46">
            <v>0.39481831813160317</v>
          </cell>
        </row>
        <row r="47">
          <cell r="Q47" t="str">
            <v>20165</v>
          </cell>
          <cell r="R47">
            <v>0.13909722188836926</v>
          </cell>
          <cell r="S47">
            <v>575.45908468558582</v>
          </cell>
          <cell r="T47">
            <v>1.9405565339220008</v>
          </cell>
          <cell r="U47">
            <v>0.40771325914025813</v>
          </cell>
          <cell r="V47">
            <v>2.0754108683679688</v>
          </cell>
          <cell r="W47">
            <v>2.3371225557310832E-2</v>
          </cell>
          <cell r="X47">
            <v>96.689210912606313</v>
          </cell>
          <cell r="Y47">
            <v>0.36351089560117389</v>
          </cell>
          <cell r="Z47">
            <v>6.8195673358718567E-2</v>
          </cell>
          <cell r="AA47">
            <v>0.38928363542268496</v>
          </cell>
          <cell r="AD47" t="str">
            <v>20165</v>
          </cell>
          <cell r="AE47">
            <v>0.13909722188836926</v>
          </cell>
          <cell r="AF47">
            <v>575.45908468558582</v>
          </cell>
          <cell r="AG47">
            <v>1.9405565339220008</v>
          </cell>
          <cell r="AH47">
            <v>0.40771325914025813</v>
          </cell>
          <cell r="AI47">
            <v>2.0754108683679688</v>
          </cell>
          <cell r="AJ47">
            <v>2.3371225557310832E-2</v>
          </cell>
          <cell r="AK47">
            <v>96.689210912606313</v>
          </cell>
          <cell r="AL47">
            <v>0.36351089560117389</v>
          </cell>
          <cell r="AM47">
            <v>6.8195673358718567E-2</v>
          </cell>
          <cell r="AN47">
            <v>0.38928363542268496</v>
          </cell>
          <cell r="AQ47" t="str">
            <v>20165</v>
          </cell>
          <cell r="AR47">
            <v>0.13909722188836926</v>
          </cell>
          <cell r="AS47">
            <v>575.45908468558582</v>
          </cell>
          <cell r="AT47">
            <v>1.9405565339220008</v>
          </cell>
          <cell r="AU47">
            <v>0.40771325914025813</v>
          </cell>
          <cell r="AV47">
            <v>2.0754108683679688</v>
          </cell>
          <cell r="AW47">
            <v>2.3371225557310832E-2</v>
          </cell>
          <cell r="AX47">
            <v>96.689210912606313</v>
          </cell>
          <cell r="AY47">
            <v>0.36351089560117389</v>
          </cell>
          <cell r="AZ47">
            <v>6.8195673358718567E-2</v>
          </cell>
          <cell r="BA47">
            <v>0.38928363542268496</v>
          </cell>
        </row>
        <row r="48">
          <cell r="Q48" t="str">
            <v>20166</v>
          </cell>
          <cell r="R48">
            <v>0.16246844744568009</v>
          </cell>
          <cell r="S48">
            <v>672.14829559819214</v>
          </cell>
          <cell r="T48">
            <v>2.3040674295231747</v>
          </cell>
          <cell r="U48">
            <v>0.4759089324989767</v>
          </cell>
          <cell r="V48">
            <v>2.4646945037906538</v>
          </cell>
          <cell r="W48">
            <v>2.2076442221046461E-2</v>
          </cell>
          <cell r="X48">
            <v>91.332556475328261</v>
          </cell>
          <cell r="Y48">
            <v>0.35248179414864778</v>
          </cell>
          <cell r="Z48">
            <v>6.4417582164755682E-2</v>
          </cell>
          <cell r="AA48">
            <v>0.39321565779736245</v>
          </cell>
          <cell r="AD48" t="str">
            <v>20166</v>
          </cell>
          <cell r="AE48">
            <v>0.16246844744568009</v>
          </cell>
          <cell r="AF48">
            <v>672.14829559819214</v>
          </cell>
          <cell r="AG48">
            <v>2.3040674295231747</v>
          </cell>
          <cell r="AH48">
            <v>0.4759089324989767</v>
          </cell>
          <cell r="AI48">
            <v>2.4646945037906538</v>
          </cell>
          <cell r="AJ48">
            <v>2.2076442221046461E-2</v>
          </cell>
          <cell r="AK48">
            <v>91.332556475328261</v>
          </cell>
          <cell r="AL48">
            <v>0.35248179414864778</v>
          </cell>
          <cell r="AM48">
            <v>6.4417582164755682E-2</v>
          </cell>
          <cell r="AN48">
            <v>0.39321565779736245</v>
          </cell>
          <cell r="AQ48" t="str">
            <v>20166</v>
          </cell>
          <cell r="AR48">
            <v>0.16246844744568009</v>
          </cell>
          <cell r="AS48">
            <v>672.14829559819214</v>
          </cell>
          <cell r="AT48">
            <v>2.3040674295231747</v>
          </cell>
          <cell r="AU48">
            <v>0.4759089324989767</v>
          </cell>
          <cell r="AV48">
            <v>2.4646945037906538</v>
          </cell>
          <cell r="AW48">
            <v>2.2076442221046461E-2</v>
          </cell>
          <cell r="AX48">
            <v>91.332556475328261</v>
          </cell>
          <cell r="AY48">
            <v>0.35248179414864778</v>
          </cell>
          <cell r="AZ48">
            <v>6.4417582164755682E-2</v>
          </cell>
          <cell r="BA48">
            <v>0.39321565779736245</v>
          </cell>
        </row>
        <row r="49">
          <cell r="Q49" t="str">
            <v>20167</v>
          </cell>
          <cell r="R49">
            <v>0.18454488966672655</v>
          </cell>
          <cell r="S49">
            <v>763.4808520735204</v>
          </cell>
          <cell r="T49">
            <v>2.6565492236718224</v>
          </cell>
          <cell r="U49">
            <v>0.54032651466373238</v>
          </cell>
          <cell r="V49">
            <v>2.8579101615880163</v>
          </cell>
          <cell r="W49">
            <v>2.0853390847821701E-2</v>
          </cell>
          <cell r="X49">
            <v>86.272664691189902</v>
          </cell>
          <cell r="Y49">
            <v>0.34809192216482909</v>
          </cell>
          <cell r="Z49">
            <v>6.0848800042276108E-2</v>
          </cell>
          <cell r="AA49">
            <v>0.39995409194454412</v>
          </cell>
          <cell r="AD49" t="str">
            <v>20167</v>
          </cell>
          <cell r="AE49">
            <v>0.18454488966672655</v>
          </cell>
          <cell r="AF49">
            <v>763.4808520735204</v>
          </cell>
          <cell r="AG49">
            <v>2.6565492236718224</v>
          </cell>
          <cell r="AH49">
            <v>0.54032651466373238</v>
          </cell>
          <cell r="AI49">
            <v>2.8579101615880163</v>
          </cell>
          <cell r="AJ49">
            <v>2.0853390847821701E-2</v>
          </cell>
          <cell r="AK49">
            <v>86.272664691189902</v>
          </cell>
          <cell r="AL49">
            <v>0.34809192216482909</v>
          </cell>
          <cell r="AM49">
            <v>6.0848800042276108E-2</v>
          </cell>
          <cell r="AN49">
            <v>0.39995409194454412</v>
          </cell>
          <cell r="AQ49" t="str">
            <v>20167</v>
          </cell>
          <cell r="AR49">
            <v>0.18454488966672655</v>
          </cell>
          <cell r="AS49">
            <v>763.4808520735204</v>
          </cell>
          <cell r="AT49">
            <v>2.6565492236718224</v>
          </cell>
          <cell r="AU49">
            <v>0.54032651466373238</v>
          </cell>
          <cell r="AV49">
            <v>2.8579101615880163</v>
          </cell>
          <cell r="AW49">
            <v>2.0853390847821701E-2</v>
          </cell>
          <cell r="AX49">
            <v>86.272664691189902</v>
          </cell>
          <cell r="AY49">
            <v>0.34809192216482909</v>
          </cell>
          <cell r="AZ49">
            <v>6.0848800042276108E-2</v>
          </cell>
          <cell r="BA49">
            <v>0.39995409194454412</v>
          </cell>
        </row>
        <row r="50">
          <cell r="Q50" t="str">
            <v>20168</v>
          </cell>
          <cell r="R50">
            <v>0.20539828051454825</v>
          </cell>
          <cell r="S50">
            <v>849.7535167647103</v>
          </cell>
          <cell r="T50">
            <v>3.0046411458366515</v>
          </cell>
          <cell r="U50">
            <v>0.60117531470600849</v>
          </cell>
          <cell r="V50">
            <v>3.2578642535325604</v>
          </cell>
          <cell r="W50">
            <v>1.9698097433355405E-2</v>
          </cell>
          <cell r="X50">
            <v>81.493094687753228</v>
          </cell>
          <cell r="Y50">
            <v>0.34172830556548561</v>
          </cell>
          <cell r="Z50">
            <v>5.807645747828194E-2</v>
          </cell>
          <cell r="AA50">
            <v>0.39935048595890787</v>
          </cell>
          <cell r="AD50" t="str">
            <v>20168</v>
          </cell>
          <cell r="AE50">
            <v>0.20539828051454825</v>
          </cell>
          <cell r="AF50">
            <v>849.7535167647103</v>
          </cell>
          <cell r="AG50">
            <v>3.0046411458366515</v>
          </cell>
          <cell r="AH50">
            <v>0.60117531470600849</v>
          </cell>
          <cell r="AI50">
            <v>3.2578642535325604</v>
          </cell>
          <cell r="AJ50">
            <v>1.9698097433355405E-2</v>
          </cell>
          <cell r="AK50">
            <v>81.493094687753228</v>
          </cell>
          <cell r="AL50">
            <v>0.34172830556548561</v>
          </cell>
          <cell r="AM50">
            <v>5.807645747828194E-2</v>
          </cell>
          <cell r="AN50">
            <v>0.39935048595890787</v>
          </cell>
          <cell r="AQ50" t="str">
            <v>20168</v>
          </cell>
          <cell r="AR50">
            <v>0.20539828051454825</v>
          </cell>
          <cell r="AS50">
            <v>849.7535167647103</v>
          </cell>
          <cell r="AT50">
            <v>3.0046411458366515</v>
          </cell>
          <cell r="AU50">
            <v>0.60117531470600849</v>
          </cell>
          <cell r="AV50">
            <v>3.2578642535325604</v>
          </cell>
          <cell r="AW50">
            <v>1.9698097433355405E-2</v>
          </cell>
          <cell r="AX50">
            <v>81.493094687753228</v>
          </cell>
          <cell r="AY50">
            <v>0.34172830556548561</v>
          </cell>
          <cell r="AZ50">
            <v>5.807645747828194E-2</v>
          </cell>
          <cell r="BA50">
            <v>0.39935048595890787</v>
          </cell>
        </row>
        <row r="51">
          <cell r="Q51" t="str">
            <v>20169</v>
          </cell>
          <cell r="R51">
            <v>0.22509637794790366</v>
          </cell>
          <cell r="S51">
            <v>931.24661145246353</v>
          </cell>
          <cell r="T51">
            <v>3.3463694514021372</v>
          </cell>
          <cell r="U51">
            <v>0.65925177218429043</v>
          </cell>
          <cell r="V51">
            <v>3.6572147394914682</v>
          </cell>
          <cell r="W51">
            <v>1.8606808136169106E-2</v>
          </cell>
          <cell r="X51">
            <v>76.978316429181746</v>
          </cell>
          <cell r="Y51">
            <v>0.32976918327059579</v>
          </cell>
          <cell r="Z51">
            <v>5.4858978395392222E-2</v>
          </cell>
          <cell r="AA51">
            <v>0.39419286537719911</v>
          </cell>
          <cell r="AD51" t="str">
            <v>20169</v>
          </cell>
          <cell r="AE51">
            <v>0.22509637794790366</v>
          </cell>
          <cell r="AF51">
            <v>931.24661145246353</v>
          </cell>
          <cell r="AG51">
            <v>3.3463694514021372</v>
          </cell>
          <cell r="AH51">
            <v>0.65925177218429043</v>
          </cell>
          <cell r="AI51">
            <v>3.6572147394914682</v>
          </cell>
          <cell r="AJ51">
            <v>1.8606808136169106E-2</v>
          </cell>
          <cell r="AK51">
            <v>76.978316429181746</v>
          </cell>
          <cell r="AL51">
            <v>0.32976918327059579</v>
          </cell>
          <cell r="AM51">
            <v>5.4858978395392222E-2</v>
          </cell>
          <cell r="AN51">
            <v>0.39419286537719911</v>
          </cell>
          <cell r="AQ51" t="str">
            <v>20169</v>
          </cell>
          <cell r="AR51">
            <v>0.22509637794790366</v>
          </cell>
          <cell r="AS51">
            <v>931.24661145246353</v>
          </cell>
          <cell r="AT51">
            <v>3.3463694514021372</v>
          </cell>
          <cell r="AU51">
            <v>0.65925177218429043</v>
          </cell>
          <cell r="AV51">
            <v>3.6572147394914682</v>
          </cell>
          <cell r="AW51">
            <v>1.8606808136169106E-2</v>
          </cell>
          <cell r="AX51">
            <v>76.978316429181746</v>
          </cell>
          <cell r="AY51">
            <v>0.32976918327059579</v>
          </cell>
          <cell r="AZ51">
            <v>5.4858978395392222E-2</v>
          </cell>
          <cell r="BA51">
            <v>0.39419286537719911</v>
          </cell>
        </row>
        <row r="52">
          <cell r="Q52" t="str">
            <v>201610</v>
          </cell>
          <cell r="R52">
            <v>0.24370318608407276</v>
          </cell>
          <cell r="S52">
            <v>1008.2249278816453</v>
          </cell>
          <cell r="T52">
            <v>3.6761386346727329</v>
          </cell>
          <cell r="U52">
            <v>0.71411075057968265</v>
          </cell>
          <cell r="V52">
            <v>4.0514076048686674</v>
          </cell>
          <cell r="W52">
            <v>1.7575977080403427E-2</v>
          </cell>
          <cell r="X52">
            <v>72.713660255213426</v>
          </cell>
          <cell r="Y52">
            <v>0.31637979324807119</v>
          </cell>
          <cell r="Z52">
            <v>5.1819750054684866E-2</v>
          </cell>
          <cell r="AA52">
            <v>0.39105213443329223</v>
          </cell>
          <cell r="AD52" t="str">
            <v>201610</v>
          </cell>
          <cell r="AE52">
            <v>0.24370318608407276</v>
          </cell>
          <cell r="AF52">
            <v>1008.2249278816453</v>
          </cell>
          <cell r="AG52">
            <v>3.6761386346727329</v>
          </cell>
          <cell r="AH52">
            <v>0.71411075057968265</v>
          </cell>
          <cell r="AI52">
            <v>4.0514076048686674</v>
          </cell>
          <cell r="AJ52">
            <v>1.7575977080403427E-2</v>
          </cell>
          <cell r="AK52">
            <v>72.713660255213426</v>
          </cell>
          <cell r="AL52">
            <v>0.31637979324807119</v>
          </cell>
          <cell r="AM52">
            <v>5.1819750054684866E-2</v>
          </cell>
          <cell r="AN52">
            <v>0.39105213443329223</v>
          </cell>
          <cell r="AQ52" t="str">
            <v>201610</v>
          </cell>
          <cell r="AR52">
            <v>0.24370318608407276</v>
          </cell>
          <cell r="AS52">
            <v>1008.2249278816453</v>
          </cell>
          <cell r="AT52">
            <v>3.6761386346727329</v>
          </cell>
          <cell r="AU52">
            <v>0.71411075057968265</v>
          </cell>
          <cell r="AV52">
            <v>4.0514076048686674</v>
          </cell>
          <cell r="AW52">
            <v>1.7575977080403427E-2</v>
          </cell>
          <cell r="AX52">
            <v>72.713660255213426</v>
          </cell>
          <cell r="AY52">
            <v>0.31637979324807119</v>
          </cell>
          <cell r="AZ52">
            <v>5.1819750054684866E-2</v>
          </cell>
          <cell r="BA52">
            <v>0.39105213443329223</v>
          </cell>
        </row>
        <row r="53">
          <cell r="Q53" t="str">
            <v>201611</v>
          </cell>
          <cell r="R53">
            <v>0.26127916316447619</v>
          </cell>
          <cell r="S53">
            <v>1080.9385881368587</v>
          </cell>
          <cell r="T53">
            <v>3.9925184279208041</v>
          </cell>
          <cell r="U53">
            <v>0.76593050063436752</v>
          </cell>
          <cell r="V53">
            <v>4.4424597393019596</v>
          </cell>
          <cell r="W53">
            <v>1.660225483436778E-2</v>
          </cell>
          <cell r="X53">
            <v>68.685269215711969</v>
          </cell>
          <cell r="Y53">
            <v>0.30709833341638859</v>
          </cell>
          <cell r="Z53">
            <v>4.8948897232026556E-2</v>
          </cell>
          <cell r="AA53">
            <v>0.38604027198453927</v>
          </cell>
          <cell r="AD53" t="str">
            <v>201611</v>
          </cell>
          <cell r="AE53">
            <v>0.26127916316447619</v>
          </cell>
          <cell r="AF53">
            <v>1080.9385881368587</v>
          </cell>
          <cell r="AG53">
            <v>3.9925184279208041</v>
          </cell>
          <cell r="AH53">
            <v>0.76593050063436752</v>
          </cell>
          <cell r="AI53">
            <v>4.4424597393019596</v>
          </cell>
          <cell r="AJ53">
            <v>1.660225483436778E-2</v>
          </cell>
          <cell r="AK53">
            <v>68.685269215711969</v>
          </cell>
          <cell r="AL53">
            <v>0.30709833341638859</v>
          </cell>
          <cell r="AM53">
            <v>4.8948897232026556E-2</v>
          </cell>
          <cell r="AN53">
            <v>0.38604027198453927</v>
          </cell>
          <cell r="AQ53" t="str">
            <v>201611</v>
          </cell>
          <cell r="AR53">
            <v>0.26127916316447619</v>
          </cell>
          <cell r="AS53">
            <v>1080.9385881368587</v>
          </cell>
          <cell r="AT53">
            <v>3.9925184279208041</v>
          </cell>
          <cell r="AU53">
            <v>0.76593050063436752</v>
          </cell>
          <cell r="AV53">
            <v>4.4424597393019596</v>
          </cell>
          <cell r="AW53">
            <v>1.660225483436778E-2</v>
          </cell>
          <cell r="AX53">
            <v>68.685269215711969</v>
          </cell>
          <cell r="AY53">
            <v>0.30709833341638859</v>
          </cell>
          <cell r="AZ53">
            <v>4.8948897232026556E-2</v>
          </cell>
          <cell r="BA53">
            <v>0.38604027198453927</v>
          </cell>
        </row>
        <row r="54">
          <cell r="Q54" t="str">
            <v>201612</v>
          </cell>
          <cell r="R54">
            <v>0.27788141799884397</v>
          </cell>
          <cell r="S54">
            <v>1149.6238573525707</v>
          </cell>
          <cell r="T54">
            <v>4.2996167613371927</v>
          </cell>
          <cell r="U54">
            <v>0.81487939786639407</v>
          </cell>
          <cell r="V54">
            <v>4.8285000112864989</v>
          </cell>
          <cell r="W54">
            <v>1.5682477527386551E-2</v>
          </cell>
          <cell r="X54">
            <v>64.880054045918769</v>
          </cell>
          <cell r="Y54">
            <v>0.29393175175528441</v>
          </cell>
          <cell r="Z54">
            <v>4.6237091798069785E-2</v>
          </cell>
          <cell r="AA54">
            <v>0.38229018167063877</v>
          </cell>
          <cell r="AD54" t="str">
            <v>201612</v>
          </cell>
          <cell r="AE54">
            <v>0.27788141799884397</v>
          </cell>
          <cell r="AF54">
            <v>1149.6238573525707</v>
          </cell>
          <cell r="AG54">
            <v>4.2996167613371927</v>
          </cell>
          <cell r="AH54">
            <v>0.81487939786639407</v>
          </cell>
          <cell r="AI54">
            <v>4.8285000112864989</v>
          </cell>
          <cell r="AJ54">
            <v>1.5682477527386551E-2</v>
          </cell>
          <cell r="AK54">
            <v>64.880054045918769</v>
          </cell>
          <cell r="AL54">
            <v>0.29393175175528441</v>
          </cell>
          <cell r="AM54">
            <v>4.6237091798069785E-2</v>
          </cell>
          <cell r="AN54">
            <v>0.38229018167063877</v>
          </cell>
          <cell r="AQ54" t="str">
            <v>201612</v>
          </cell>
          <cell r="AR54">
            <v>0.27788141799884397</v>
          </cell>
          <cell r="AS54">
            <v>1149.6238573525707</v>
          </cell>
          <cell r="AT54">
            <v>4.2996167613371927</v>
          </cell>
          <cell r="AU54">
            <v>0.81487939786639407</v>
          </cell>
          <cell r="AV54">
            <v>4.8285000112864989</v>
          </cell>
          <cell r="AW54">
            <v>1.5682477527386551E-2</v>
          </cell>
          <cell r="AX54">
            <v>64.880054045918769</v>
          </cell>
          <cell r="AY54">
            <v>0.29393175175528441</v>
          </cell>
          <cell r="AZ54">
            <v>4.6237091798069785E-2</v>
          </cell>
          <cell r="BA54">
            <v>0.38229018167063877</v>
          </cell>
        </row>
        <row r="55">
          <cell r="Q55" t="str">
            <v>201613</v>
          </cell>
          <cell r="R55">
            <v>0.29356389552623052</v>
          </cell>
          <cell r="S55">
            <v>1214.5039113984894</v>
          </cell>
          <cell r="T55">
            <v>4.5935485130924771</v>
          </cell>
          <cell r="U55">
            <v>0.86111648966446386</v>
          </cell>
          <cell r="V55">
            <v>5.2107901929571376</v>
          </cell>
          <cell r="W55">
            <v>1.4813656569580613E-2</v>
          </cell>
          <cell r="X55">
            <v>61.285650636110859</v>
          </cell>
          <cell r="Y55">
            <v>0.28381408397039554</v>
          </cell>
          <cell r="Z55">
            <v>4.367552240879391E-2</v>
          </cell>
          <cell r="AA55">
            <v>0.37416865073925543</v>
          </cell>
          <cell r="AD55" t="str">
            <v>201613</v>
          </cell>
          <cell r="AE55">
            <v>0.29356389552623052</v>
          </cell>
          <cell r="AF55">
            <v>1214.5039113984894</v>
          </cell>
          <cell r="AG55">
            <v>4.5935485130924771</v>
          </cell>
          <cell r="AH55">
            <v>0.86111648966446386</v>
          </cell>
          <cell r="AI55">
            <v>5.2107901929571376</v>
          </cell>
          <cell r="AJ55">
            <v>1.4813656569580613E-2</v>
          </cell>
          <cell r="AK55">
            <v>61.285650636110859</v>
          </cell>
          <cell r="AL55">
            <v>0.28381408397039554</v>
          </cell>
          <cell r="AM55">
            <v>4.367552240879391E-2</v>
          </cell>
          <cell r="AN55">
            <v>0.37416865073925543</v>
          </cell>
          <cell r="AQ55" t="str">
            <v>201613</v>
          </cell>
          <cell r="AR55">
            <v>0.29356389552623052</v>
          </cell>
          <cell r="AS55">
            <v>1214.5039113984894</v>
          </cell>
          <cell r="AT55">
            <v>4.5935485130924771</v>
          </cell>
          <cell r="AU55">
            <v>0.86111648966446386</v>
          </cell>
          <cell r="AV55">
            <v>5.2107901929571376</v>
          </cell>
          <cell r="AW55">
            <v>1.4813656569580613E-2</v>
          </cell>
          <cell r="AX55">
            <v>61.285650636110859</v>
          </cell>
          <cell r="AY55">
            <v>0.28381408397039554</v>
          </cell>
          <cell r="AZ55">
            <v>4.367552240879391E-2</v>
          </cell>
          <cell r="BA55">
            <v>0.37416865073925543</v>
          </cell>
        </row>
        <row r="56">
          <cell r="Q56" t="str">
            <v>201614</v>
          </cell>
          <cell r="R56">
            <v>0.30837755209581114</v>
          </cell>
          <cell r="S56">
            <v>1275.7895620346003</v>
          </cell>
          <cell r="T56">
            <v>4.8773625970628727</v>
          </cell>
          <cell r="U56">
            <v>0.90479201207325777</v>
          </cell>
          <cell r="V56">
            <v>5.5849588436963931</v>
          </cell>
          <cell r="W56">
            <v>1.3992968941180406E-2</v>
          </cell>
          <cell r="X56">
            <v>57.89037985747018</v>
          </cell>
          <cell r="Y56">
            <v>0.27178394683553098</v>
          </cell>
          <cell r="Z56">
            <v>4.1681184080111788E-2</v>
          </cell>
          <cell r="AA56">
            <v>0.36832556544262118</v>
          </cell>
          <cell r="AD56" t="str">
            <v>201614</v>
          </cell>
          <cell r="AE56">
            <v>0.30837755209581114</v>
          </cell>
          <cell r="AF56">
            <v>1275.7895620346003</v>
          </cell>
          <cell r="AG56">
            <v>4.8773625970628727</v>
          </cell>
          <cell r="AH56">
            <v>0.90479201207325777</v>
          </cell>
          <cell r="AI56">
            <v>5.5849588436963931</v>
          </cell>
          <cell r="AJ56">
            <v>1.3992968941180406E-2</v>
          </cell>
          <cell r="AK56">
            <v>57.89037985747018</v>
          </cell>
          <cell r="AL56">
            <v>0.27178394683553098</v>
          </cell>
          <cell r="AM56">
            <v>4.1681184080111788E-2</v>
          </cell>
          <cell r="AN56">
            <v>0.36832556544262118</v>
          </cell>
          <cell r="AQ56" t="str">
            <v>201614</v>
          </cell>
          <cell r="AR56">
            <v>0.30837755209581114</v>
          </cell>
          <cell r="AS56">
            <v>1275.7895620346003</v>
          </cell>
          <cell r="AT56">
            <v>4.8773625970628727</v>
          </cell>
          <cell r="AU56">
            <v>0.90479201207325777</v>
          </cell>
          <cell r="AV56">
            <v>5.5849588436963931</v>
          </cell>
          <cell r="AW56">
            <v>1.3992968941180406E-2</v>
          </cell>
          <cell r="AX56">
            <v>57.89037985747018</v>
          </cell>
          <cell r="AY56">
            <v>0.27178394683553098</v>
          </cell>
          <cell r="AZ56">
            <v>4.1681184080111788E-2</v>
          </cell>
          <cell r="BA56">
            <v>0.36832556544262118</v>
          </cell>
        </row>
        <row r="57">
          <cell r="Q57" t="str">
            <v>201615</v>
          </cell>
          <cell r="R57">
            <v>0.32237052103699154</v>
          </cell>
          <cell r="S57">
            <v>1333.6799418920705</v>
          </cell>
          <cell r="T57">
            <v>5.1491465438984036</v>
          </cell>
          <cell r="U57">
            <v>0.94647319615336956</v>
          </cell>
          <cell r="V57">
            <v>5.9532844091390142</v>
          </cell>
          <cell r="W57">
            <v>1.3217748019818065E-2</v>
          </cell>
          <cell r="X57">
            <v>54.683209613630652</v>
          </cell>
          <cell r="Y57">
            <v>0.26106778866657443</v>
          </cell>
          <cell r="Z57">
            <v>3.9372015378181469E-2</v>
          </cell>
          <cell r="AA57">
            <v>0.36318675410077628</v>
          </cell>
          <cell r="AD57" t="str">
            <v>201615</v>
          </cell>
          <cell r="AE57">
            <v>0.32237052103699154</v>
          </cell>
          <cell r="AF57">
            <v>1333.6799418920705</v>
          </cell>
          <cell r="AG57">
            <v>5.1491465438984036</v>
          </cell>
          <cell r="AH57">
            <v>0.94647319615336956</v>
          </cell>
          <cell r="AI57">
            <v>5.9532844091390142</v>
          </cell>
          <cell r="AJ57">
            <v>1.3217748019818065E-2</v>
          </cell>
          <cell r="AK57">
            <v>54.683209613630652</v>
          </cell>
          <cell r="AL57">
            <v>0.26106778866657443</v>
          </cell>
          <cell r="AM57">
            <v>3.9372015378181469E-2</v>
          </cell>
          <cell r="AN57">
            <v>0.36318675410077628</v>
          </cell>
          <cell r="AQ57" t="str">
            <v>201615</v>
          </cell>
          <cell r="AR57">
            <v>0.32237052103699154</v>
          </cell>
          <cell r="AS57">
            <v>1333.6799418920705</v>
          </cell>
          <cell r="AT57">
            <v>5.1491465438984036</v>
          </cell>
          <cell r="AU57">
            <v>0.94647319615336956</v>
          </cell>
          <cell r="AV57">
            <v>5.9532844091390142</v>
          </cell>
          <cell r="AW57">
            <v>1.3217748019818065E-2</v>
          </cell>
          <cell r="AX57">
            <v>54.683209613630652</v>
          </cell>
          <cell r="AY57">
            <v>0.26106778866657443</v>
          </cell>
          <cell r="AZ57">
            <v>3.9372015378181469E-2</v>
          </cell>
          <cell r="BA57">
            <v>0.36318675410077628</v>
          </cell>
        </row>
        <row r="58">
          <cell r="Q58" t="str">
            <v>201616</v>
          </cell>
          <cell r="R58">
            <v>0.33558826905680961</v>
          </cell>
          <cell r="S58">
            <v>1388.3631515057011</v>
          </cell>
          <cell r="T58">
            <v>5.4102143325649781</v>
          </cell>
          <cell r="U58">
            <v>0.98584521153155102</v>
          </cell>
          <cell r="V58">
            <v>6.3164711632397905</v>
          </cell>
          <cell r="W58">
            <v>1.2485474915994943E-2</v>
          </cell>
          <cell r="X58">
            <v>51.653718994597511</v>
          </cell>
          <cell r="Y58">
            <v>0.25229714261485991</v>
          </cell>
          <cell r="Z58">
            <v>3.7190776345516818E-2</v>
          </cell>
          <cell r="AA58">
            <v>0.35824584561395856</v>
          </cell>
          <cell r="AD58" t="str">
            <v>201616</v>
          </cell>
          <cell r="AE58">
            <v>0.33558826905680961</v>
          </cell>
          <cell r="AF58">
            <v>1388.3631515057011</v>
          </cell>
          <cell r="AG58">
            <v>5.4102143325649781</v>
          </cell>
          <cell r="AH58">
            <v>0.98584521153155102</v>
          </cell>
          <cell r="AI58">
            <v>6.3164711632397905</v>
          </cell>
          <cell r="AJ58">
            <v>1.2485474915994943E-2</v>
          </cell>
          <cell r="AK58">
            <v>51.653718994597511</v>
          </cell>
          <cell r="AL58">
            <v>0.25229714261485991</v>
          </cell>
          <cell r="AM58">
            <v>3.7190776345516818E-2</v>
          </cell>
          <cell r="AN58">
            <v>0.35824584561395856</v>
          </cell>
          <cell r="AQ58" t="str">
            <v>201616</v>
          </cell>
          <cell r="AR58">
            <v>0.33558826905680961</v>
          </cell>
          <cell r="AS58">
            <v>1388.3631515057011</v>
          </cell>
          <cell r="AT58">
            <v>5.4102143325649781</v>
          </cell>
          <cell r="AU58">
            <v>0.98584521153155102</v>
          </cell>
          <cell r="AV58">
            <v>6.3164711632397905</v>
          </cell>
          <cell r="AW58">
            <v>1.2485474915994943E-2</v>
          </cell>
          <cell r="AX58">
            <v>51.653718994597511</v>
          </cell>
          <cell r="AY58">
            <v>0.25229714261485991</v>
          </cell>
          <cell r="AZ58">
            <v>3.7190776345516818E-2</v>
          </cell>
          <cell r="BA58">
            <v>0.35824584561395856</v>
          </cell>
        </row>
        <row r="59">
          <cell r="Q59" t="str">
            <v>201617</v>
          </cell>
          <cell r="R59">
            <v>0.34807374397280455</v>
          </cell>
          <cell r="S59">
            <v>1440.0168705002986</v>
          </cell>
          <cell r="T59">
            <v>5.662511475179838</v>
          </cell>
          <cell r="U59">
            <v>1.0230359878770678</v>
          </cell>
          <cell r="V59">
            <v>6.6747170088537491</v>
          </cell>
          <cell r="W59">
            <v>1.1793770288570316E-2</v>
          </cell>
          <cell r="X59">
            <v>48.792064416566063</v>
          </cell>
          <cell r="Y59">
            <v>0.24206380693902574</v>
          </cell>
          <cell r="Z59">
            <v>3.513037958297538E-2</v>
          </cell>
          <cell r="AA59">
            <v>0.3548885284402612</v>
          </cell>
          <cell r="AD59" t="str">
            <v>201617</v>
          </cell>
          <cell r="AE59">
            <v>0.34807374397280455</v>
          </cell>
          <cell r="AF59">
            <v>1440.0168705002986</v>
          </cell>
          <cell r="AG59">
            <v>5.662511475179838</v>
          </cell>
          <cell r="AH59">
            <v>1.0230359878770678</v>
          </cell>
          <cell r="AI59">
            <v>6.6747170088537491</v>
          </cell>
          <cell r="AJ59">
            <v>1.1793770288570316E-2</v>
          </cell>
          <cell r="AK59">
            <v>48.792064416566063</v>
          </cell>
          <cell r="AL59">
            <v>0.24206380693902574</v>
          </cell>
          <cell r="AM59">
            <v>3.513037958297538E-2</v>
          </cell>
          <cell r="AN59">
            <v>0.3548885284402612</v>
          </cell>
          <cell r="AQ59" t="str">
            <v>201617</v>
          </cell>
          <cell r="AR59">
            <v>0.34807374397280455</v>
          </cell>
          <cell r="AS59">
            <v>1440.0168705002986</v>
          </cell>
          <cell r="AT59">
            <v>5.662511475179838</v>
          </cell>
          <cell r="AU59">
            <v>1.0230359878770678</v>
          </cell>
          <cell r="AV59">
            <v>6.6747170088537491</v>
          </cell>
          <cell r="AW59">
            <v>1.1793770288570316E-2</v>
          </cell>
          <cell r="AX59">
            <v>48.792064416566063</v>
          </cell>
          <cell r="AY59">
            <v>0.24206380693902574</v>
          </cell>
          <cell r="AZ59">
            <v>3.513037958297538E-2</v>
          </cell>
          <cell r="BA59">
            <v>0.3548885284402612</v>
          </cell>
        </row>
        <row r="60">
          <cell r="Q60" t="str">
            <v>201618</v>
          </cell>
          <cell r="R60">
            <v>0.35986751426137487</v>
          </cell>
          <cell r="S60">
            <v>1488.8089349168647</v>
          </cell>
          <cell r="T60">
            <v>5.9045752821188637</v>
          </cell>
          <cell r="U60">
            <v>1.0581663674600432</v>
          </cell>
          <cell r="V60">
            <v>7.0296055372940103</v>
          </cell>
          <cell r="W60">
            <v>1.114038661367811E-2</v>
          </cell>
          <cell r="X60">
            <v>46.08894763761964</v>
          </cell>
          <cell r="Y60">
            <v>0.23389828827700487</v>
          </cell>
          <cell r="Z60">
            <v>3.352274391349952E-2</v>
          </cell>
          <cell r="AA60">
            <v>0.34809475498057996</v>
          </cell>
          <cell r="AD60" t="str">
            <v>201618</v>
          </cell>
          <cell r="AE60">
            <v>0.35986751426137487</v>
          </cell>
          <cell r="AF60">
            <v>1488.8089349168647</v>
          </cell>
          <cell r="AG60">
            <v>5.9045752821188637</v>
          </cell>
          <cell r="AH60">
            <v>1.0581663674600432</v>
          </cell>
          <cell r="AI60">
            <v>7.0296055372940103</v>
          </cell>
          <cell r="AJ60">
            <v>1.114038661367811E-2</v>
          </cell>
          <cell r="AK60">
            <v>46.08894763761964</v>
          </cell>
          <cell r="AL60">
            <v>0.23389828827700487</v>
          </cell>
          <cell r="AM60">
            <v>3.352274391349952E-2</v>
          </cell>
          <cell r="AN60">
            <v>0.34809475498057996</v>
          </cell>
          <cell r="AQ60" t="str">
            <v>201618</v>
          </cell>
          <cell r="AR60">
            <v>0.35986751426137487</v>
          </cell>
          <cell r="AS60">
            <v>1488.8089349168647</v>
          </cell>
          <cell r="AT60">
            <v>5.9045752821188637</v>
          </cell>
          <cell r="AU60">
            <v>1.0581663674600432</v>
          </cell>
          <cell r="AV60">
            <v>7.0296055372940103</v>
          </cell>
          <cell r="AW60">
            <v>1.114038661367811E-2</v>
          </cell>
          <cell r="AX60">
            <v>46.08894763761964</v>
          </cell>
          <cell r="AY60">
            <v>0.23389828827700487</v>
          </cell>
          <cell r="AZ60">
            <v>3.352274391349952E-2</v>
          </cell>
          <cell r="BA60">
            <v>0.34809475498057996</v>
          </cell>
        </row>
        <row r="61">
          <cell r="Q61" t="str">
            <v>201619</v>
          </cell>
          <cell r="R61">
            <v>0.37100790087505298</v>
          </cell>
          <cell r="S61">
            <v>1534.8978825544843</v>
          </cell>
          <cell r="T61">
            <v>6.1384735703958686</v>
          </cell>
          <cell r="U61">
            <v>1.0916891113735427</v>
          </cell>
          <cell r="V61">
            <v>7.3777002922745902</v>
          </cell>
          <cell r="W61">
            <v>1.0523200881951633E-2</v>
          </cell>
          <cell r="X61">
            <v>43.535585545382901</v>
          </cell>
          <cell r="Y61">
            <v>0.23016320890241726</v>
          </cell>
          <cell r="Z61">
            <v>3.1985413015050534E-2</v>
          </cell>
          <cell r="AA61">
            <v>0.35279910555600758</v>
          </cell>
          <cell r="AD61" t="str">
            <v>201619</v>
          </cell>
          <cell r="AE61">
            <v>0.37100790087505298</v>
          </cell>
          <cell r="AF61">
            <v>1534.8978825544843</v>
          </cell>
          <cell r="AG61">
            <v>6.1384735703958686</v>
          </cell>
          <cell r="AH61">
            <v>1.0916891113735427</v>
          </cell>
          <cell r="AI61">
            <v>7.3777002922745902</v>
          </cell>
          <cell r="AJ61">
            <v>1.0523200881951633E-2</v>
          </cell>
          <cell r="AK61">
            <v>43.535585545382901</v>
          </cell>
          <cell r="AL61">
            <v>0.23016320890241726</v>
          </cell>
          <cell r="AM61">
            <v>3.1985413015050534E-2</v>
          </cell>
          <cell r="AN61">
            <v>0.35279910555600758</v>
          </cell>
          <cell r="AQ61" t="str">
            <v>201619</v>
          </cell>
          <cell r="AR61">
            <v>0.37100790087505298</v>
          </cell>
          <cell r="AS61">
            <v>1534.8978825544843</v>
          </cell>
          <cell r="AT61">
            <v>6.1384735703958686</v>
          </cell>
          <cell r="AU61">
            <v>1.0916891113735427</v>
          </cell>
          <cell r="AV61">
            <v>7.3777002922745902</v>
          </cell>
          <cell r="AW61">
            <v>1.0523200881951633E-2</v>
          </cell>
          <cell r="AX61">
            <v>43.535585545382901</v>
          </cell>
          <cell r="AY61">
            <v>0.23016320890241726</v>
          </cell>
          <cell r="AZ61">
            <v>3.1985413015050534E-2</v>
          </cell>
          <cell r="BA61">
            <v>0.35279910555600758</v>
          </cell>
        </row>
        <row r="62">
          <cell r="Q62" t="str">
            <v>201620</v>
          </cell>
          <cell r="R62">
            <v>0.38153110175700461</v>
          </cell>
          <cell r="S62">
            <v>1578.4334680998672</v>
          </cell>
          <cell r="T62">
            <v>6.3686367792982859</v>
          </cell>
          <cell r="U62">
            <v>1.1236745243885933</v>
          </cell>
          <cell r="V62">
            <v>7.7304993978305978</v>
          </cell>
          <cell r="W62">
            <v>9.9402077003274414E-3</v>
          </cell>
          <cell r="X62">
            <v>41.123681618460296</v>
          </cell>
          <cell r="Y62">
            <v>0.22684603018175675</v>
          </cell>
          <cell r="Z62">
            <v>3.0515531238087146E-2</v>
          </cell>
          <cell r="AA62">
            <v>0.35530955184149082</v>
          </cell>
          <cell r="AD62" t="str">
            <v>201620</v>
          </cell>
          <cell r="AE62">
            <v>0.38153110175700461</v>
          </cell>
          <cell r="AF62">
            <v>1578.4334680998672</v>
          </cell>
          <cell r="AG62">
            <v>6.3686367792982859</v>
          </cell>
          <cell r="AH62">
            <v>1.1236745243885933</v>
          </cell>
          <cell r="AI62">
            <v>7.7304993978305978</v>
          </cell>
          <cell r="AJ62">
            <v>9.9402077003274414E-3</v>
          </cell>
          <cell r="AK62">
            <v>41.123681618460296</v>
          </cell>
          <cell r="AL62">
            <v>0.22684603018175675</v>
          </cell>
          <cell r="AM62">
            <v>3.0515531238087146E-2</v>
          </cell>
          <cell r="AN62">
            <v>0.35530955184149082</v>
          </cell>
          <cell r="AQ62" t="str">
            <v>201620</v>
          </cell>
          <cell r="AR62">
            <v>0.38153110175700461</v>
          </cell>
          <cell r="AS62">
            <v>1578.4334680998672</v>
          </cell>
          <cell r="AT62">
            <v>6.3686367792982859</v>
          </cell>
          <cell r="AU62">
            <v>1.1236745243885933</v>
          </cell>
          <cell r="AV62">
            <v>7.7304993978305978</v>
          </cell>
          <cell r="AW62">
            <v>9.9402077003274414E-3</v>
          </cell>
          <cell r="AX62">
            <v>41.123681618460296</v>
          </cell>
          <cell r="AY62">
            <v>0.22684603018175675</v>
          </cell>
          <cell r="AZ62">
            <v>3.0515531238087146E-2</v>
          </cell>
          <cell r="BA62">
            <v>0.35530955184149082</v>
          </cell>
        </row>
        <row r="63">
          <cell r="Q63" t="str">
            <v>201621</v>
          </cell>
          <cell r="R63">
            <v>0.39147130945733205</v>
          </cell>
          <cell r="S63">
            <v>1619.5571497183275</v>
          </cell>
          <cell r="T63">
            <v>6.5954828094800426</v>
          </cell>
          <cell r="U63">
            <v>1.1541900556266804</v>
          </cell>
          <cell r="V63">
            <v>8.0858089496720886</v>
          </cell>
          <cell r="W63">
            <v>9.3895127760141861E-3</v>
          </cell>
          <cell r="X63">
            <v>38.845398968932386</v>
          </cell>
          <cell r="Y63">
            <v>0.22588484366759332</v>
          </cell>
          <cell r="Z63">
            <v>2.8824948035788278E-2</v>
          </cell>
          <cell r="AA63">
            <v>0.34247463012817647</v>
          </cell>
          <cell r="AD63" t="str">
            <v>201621</v>
          </cell>
          <cell r="AE63">
            <v>0.39147130945733205</v>
          </cell>
          <cell r="AF63">
            <v>1619.5571497183275</v>
          </cell>
          <cell r="AG63">
            <v>6.5954828094800426</v>
          </cell>
          <cell r="AH63">
            <v>1.1541900556266804</v>
          </cell>
          <cell r="AI63">
            <v>8.0858089496720886</v>
          </cell>
          <cell r="AJ63">
            <v>9.3895127760141861E-3</v>
          </cell>
          <cell r="AK63">
            <v>38.845398968932386</v>
          </cell>
          <cell r="AL63">
            <v>0.22588484366759332</v>
          </cell>
          <cell r="AM63">
            <v>2.8824948035788278E-2</v>
          </cell>
          <cell r="AN63">
            <v>0.34247463012817647</v>
          </cell>
          <cell r="AQ63" t="str">
            <v>201621</v>
          </cell>
          <cell r="AR63">
            <v>0.39147130945733205</v>
          </cell>
          <cell r="AS63">
            <v>1619.5571497183275</v>
          </cell>
          <cell r="AT63">
            <v>6.5954828094800426</v>
          </cell>
          <cell r="AU63">
            <v>1.1541900556266804</v>
          </cell>
          <cell r="AV63">
            <v>8.0858089496720886</v>
          </cell>
          <cell r="AW63">
            <v>9.3895127760141861E-3</v>
          </cell>
          <cell r="AX63">
            <v>38.845398968932386</v>
          </cell>
          <cell r="AY63">
            <v>0.22588484366759332</v>
          </cell>
          <cell r="AZ63">
            <v>2.8824948035788278E-2</v>
          </cell>
          <cell r="BA63">
            <v>0.34247463012817647</v>
          </cell>
        </row>
        <row r="64">
          <cell r="Q64" t="str">
            <v>201622</v>
          </cell>
          <cell r="R64">
            <v>0.40086082223334624</v>
          </cell>
          <cell r="S64">
            <v>1658.4025486872599</v>
          </cell>
          <cell r="T64">
            <v>6.8213676531476359</v>
          </cell>
          <cell r="U64">
            <v>1.1830150036624687</v>
          </cell>
          <cell r="V64">
            <v>8.4282835798002651</v>
          </cell>
          <cell r="W64">
            <v>8.8693267614548543E-3</v>
          </cell>
          <cell r="X64">
            <v>36.693334878318865</v>
          </cell>
          <cell r="Y64">
            <v>0.22352934975991179</v>
          </cell>
          <cell r="Z64">
            <v>2.7228024404466256E-2</v>
          </cell>
          <cell r="AA64">
            <v>0.33024089005417068</v>
          </cell>
          <cell r="AD64" t="str">
            <v>201622</v>
          </cell>
          <cell r="AE64">
            <v>0.40086082223334624</v>
          </cell>
          <cell r="AF64">
            <v>1658.4025486872599</v>
          </cell>
          <cell r="AG64">
            <v>6.8213676531476359</v>
          </cell>
          <cell r="AH64">
            <v>1.1830150036624687</v>
          </cell>
          <cell r="AI64">
            <v>8.4282835798002651</v>
          </cell>
          <cell r="AJ64">
            <v>8.8693267614548543E-3</v>
          </cell>
          <cell r="AK64">
            <v>36.693334878318865</v>
          </cell>
          <cell r="AL64">
            <v>0.22352934975991179</v>
          </cell>
          <cell r="AM64">
            <v>2.7228024404466256E-2</v>
          </cell>
          <cell r="AN64">
            <v>0.33024089005417068</v>
          </cell>
          <cell r="AQ64" t="str">
            <v>201622</v>
          </cell>
          <cell r="AR64">
            <v>0.40086082223334624</v>
          </cell>
          <cell r="AS64">
            <v>1658.4025486872599</v>
          </cell>
          <cell r="AT64">
            <v>6.8213676531476359</v>
          </cell>
          <cell r="AU64">
            <v>1.1830150036624687</v>
          </cell>
          <cell r="AV64">
            <v>8.4282835798002651</v>
          </cell>
          <cell r="AW64">
            <v>8.8693267614548543E-3</v>
          </cell>
          <cell r="AX64">
            <v>36.693334878318865</v>
          </cell>
          <cell r="AY64">
            <v>0.22352934975991179</v>
          </cell>
          <cell r="AZ64">
            <v>2.7228024404466256E-2</v>
          </cell>
          <cell r="BA64">
            <v>0.33024089005417068</v>
          </cell>
        </row>
        <row r="65">
          <cell r="Q65" t="str">
            <v>201623</v>
          </cell>
          <cell r="R65">
            <v>0.40973014899480109</v>
          </cell>
          <cell r="S65">
            <v>1695.0958835655788</v>
          </cell>
          <cell r="T65">
            <v>7.0448970029075477</v>
          </cell>
          <cell r="U65">
            <v>1.210243028066935</v>
          </cell>
          <cell r="V65">
            <v>8.7585244698544358</v>
          </cell>
          <cell r="W65">
            <v>8.377959440282301E-3</v>
          </cell>
          <cell r="X65">
            <v>34.660496744267675</v>
          </cell>
          <cell r="Y65">
            <v>0.22177663198023101</v>
          </cell>
          <cell r="Z65">
            <v>2.5719571533997287E-2</v>
          </cell>
          <cell r="AA65">
            <v>0.31856617810921506</v>
          </cell>
          <cell r="AD65" t="str">
            <v>201623</v>
          </cell>
          <cell r="AE65">
            <v>0.40973014899480109</v>
          </cell>
          <cell r="AF65">
            <v>1695.0958835655788</v>
          </cell>
          <cell r="AG65">
            <v>7.0448970029075477</v>
          </cell>
          <cell r="AH65">
            <v>1.210243028066935</v>
          </cell>
          <cell r="AI65">
            <v>8.7585244698544358</v>
          </cell>
          <cell r="AJ65">
            <v>8.377959440282301E-3</v>
          </cell>
          <cell r="AK65">
            <v>34.660496744267675</v>
          </cell>
          <cell r="AL65">
            <v>0.22177663198023101</v>
          </cell>
          <cell r="AM65">
            <v>2.5719571533997287E-2</v>
          </cell>
          <cell r="AN65">
            <v>0.31856617810921506</v>
          </cell>
          <cell r="AQ65" t="str">
            <v>201623</v>
          </cell>
          <cell r="AR65">
            <v>0.40973014899480109</v>
          </cell>
          <cell r="AS65">
            <v>1695.0958835655788</v>
          </cell>
          <cell r="AT65">
            <v>7.0448970029075477</v>
          </cell>
          <cell r="AU65">
            <v>1.210243028066935</v>
          </cell>
          <cell r="AV65">
            <v>8.7585244698544358</v>
          </cell>
          <cell r="AW65">
            <v>8.377959440282301E-3</v>
          </cell>
          <cell r="AX65">
            <v>34.660496744267675</v>
          </cell>
          <cell r="AY65">
            <v>0.22177663198023101</v>
          </cell>
          <cell r="AZ65">
            <v>2.5719571533997287E-2</v>
          </cell>
          <cell r="BA65">
            <v>0.31856617810921506</v>
          </cell>
        </row>
        <row r="66">
          <cell r="Q66" t="str">
            <v>201624</v>
          </cell>
          <cell r="R66">
            <v>0.41810810843508339</v>
          </cell>
          <cell r="S66">
            <v>1729.7563803098465</v>
          </cell>
          <cell r="T66">
            <v>7.2666736348877787</v>
          </cell>
          <cell r="U66">
            <v>1.2359625996009322</v>
          </cell>
          <cell r="V66">
            <v>9.0770906479636508</v>
          </cell>
          <cell r="W66">
            <v>7.9138142353774033E-3</v>
          </cell>
          <cell r="X66">
            <v>32.740279359814394</v>
          </cell>
          <cell r="Y66">
            <v>0.21390745983105575</v>
          </cell>
          <cell r="Z66">
            <v>2.4294688078210225E-2</v>
          </cell>
          <cell r="AA66">
            <v>0.30717145223638198</v>
          </cell>
          <cell r="AD66" t="str">
            <v>201624</v>
          </cell>
          <cell r="AE66">
            <v>0.41810810843508339</v>
          </cell>
          <cell r="AF66">
            <v>1729.7563803098465</v>
          </cell>
          <cell r="AG66">
            <v>7.2666736348877787</v>
          </cell>
          <cell r="AH66">
            <v>1.2359625996009322</v>
          </cell>
          <cell r="AI66">
            <v>9.0770906479636508</v>
          </cell>
          <cell r="AJ66">
            <v>7.9138142353774033E-3</v>
          </cell>
          <cell r="AK66">
            <v>32.740279359814394</v>
          </cell>
          <cell r="AL66">
            <v>0.21390745983105575</v>
          </cell>
          <cell r="AM66">
            <v>2.4294688078210225E-2</v>
          </cell>
          <cell r="AN66">
            <v>0.30717145223638198</v>
          </cell>
          <cell r="AQ66" t="str">
            <v>201624</v>
          </cell>
          <cell r="AR66">
            <v>0.41810810843508339</v>
          </cell>
          <cell r="AS66">
            <v>1729.7563803098465</v>
          </cell>
          <cell r="AT66">
            <v>7.2666736348877787</v>
          </cell>
          <cell r="AU66">
            <v>1.2359625996009322</v>
          </cell>
          <cell r="AV66">
            <v>9.0770906479636508</v>
          </cell>
          <cell r="AW66">
            <v>7.9138142353774033E-3</v>
          </cell>
          <cell r="AX66">
            <v>32.740279359814394</v>
          </cell>
          <cell r="AY66">
            <v>0.21390745983105575</v>
          </cell>
          <cell r="AZ66">
            <v>2.4294688078210225E-2</v>
          </cell>
          <cell r="BA66">
            <v>0.30717145223638198</v>
          </cell>
        </row>
        <row r="67">
          <cell r="Q67" t="str">
            <v>201625</v>
          </cell>
          <cell r="R67">
            <v>0.4260219226704608</v>
          </cell>
          <cell r="S67">
            <v>1762.4966596696609</v>
          </cell>
          <cell r="T67">
            <v>7.4805810947188345</v>
          </cell>
          <cell r="U67">
            <v>1.2602572876791425</v>
          </cell>
          <cell r="V67">
            <v>9.3842621002000328</v>
          </cell>
          <cell r="W67">
            <v>7.4753830211848893E-3</v>
          </cell>
          <cell r="X67">
            <v>30.926443451390469</v>
          </cell>
          <cell r="Y67">
            <v>0.20800556934659564</v>
          </cell>
          <cell r="Z67">
            <v>2.3175959518567213E-2</v>
          </cell>
          <cell r="AA67">
            <v>0.29606152208522651</v>
          </cell>
          <cell r="AD67" t="str">
            <v>201625</v>
          </cell>
          <cell r="AE67">
            <v>0.4260219226704608</v>
          </cell>
          <cell r="AF67">
            <v>1762.4966596696609</v>
          </cell>
          <cell r="AG67">
            <v>7.4805810947188345</v>
          </cell>
          <cell r="AH67">
            <v>1.2602572876791425</v>
          </cell>
          <cell r="AI67">
            <v>9.3842621002000328</v>
          </cell>
          <cell r="AJ67">
            <v>7.4753830211848893E-3</v>
          </cell>
          <cell r="AK67">
            <v>30.926443451390469</v>
          </cell>
          <cell r="AL67">
            <v>0.20800556934659564</v>
          </cell>
          <cell r="AM67">
            <v>2.3175959518567213E-2</v>
          </cell>
          <cell r="AN67">
            <v>0.29606152208522651</v>
          </cell>
          <cell r="AQ67" t="str">
            <v>201625</v>
          </cell>
          <cell r="AR67">
            <v>0.4260219226704608</v>
          </cell>
          <cell r="AS67">
            <v>1762.4966596696609</v>
          </cell>
          <cell r="AT67">
            <v>7.4805810947188345</v>
          </cell>
          <cell r="AU67">
            <v>1.2602572876791425</v>
          </cell>
          <cell r="AV67">
            <v>9.3842621002000328</v>
          </cell>
          <cell r="AW67">
            <v>7.4753830211848893E-3</v>
          </cell>
          <cell r="AX67">
            <v>30.926443451390469</v>
          </cell>
          <cell r="AY67">
            <v>0.20800556934659564</v>
          </cell>
          <cell r="AZ67">
            <v>2.3175959518567213E-2</v>
          </cell>
          <cell r="BA67">
            <v>0.29606152208522651</v>
          </cell>
        </row>
        <row r="68">
          <cell r="Q68" t="str">
            <v>201626</v>
          </cell>
          <cell r="R68">
            <v>0.43349730569164568</v>
          </cell>
          <cell r="S68">
            <v>1793.4231031210513</v>
          </cell>
          <cell r="T68">
            <v>7.6885866640654301</v>
          </cell>
          <cell r="U68">
            <v>1.2834332471977097</v>
          </cell>
          <cell r="V68">
            <v>9.6803236222852593</v>
          </cell>
          <cell r="W68">
            <v>7.0612412234307143E-3</v>
          </cell>
          <cell r="X68">
            <v>29.213095405837976</v>
          </cell>
          <cell r="Y68">
            <v>0.19648190558408896</v>
          </cell>
          <cell r="Z68">
            <v>2.189199406656317E-2</v>
          </cell>
          <cell r="AA68">
            <v>0.27965949283070479</v>
          </cell>
          <cell r="AD68" t="str">
            <v>201626</v>
          </cell>
          <cell r="AE68">
            <v>0.43349730569164568</v>
          </cell>
          <cell r="AF68">
            <v>1793.4231031210513</v>
          </cell>
          <cell r="AG68">
            <v>7.6885866640654301</v>
          </cell>
          <cell r="AH68">
            <v>1.2834332471977097</v>
          </cell>
          <cell r="AI68">
            <v>9.6803236222852593</v>
          </cell>
          <cell r="AJ68">
            <v>7.0612412234307143E-3</v>
          </cell>
          <cell r="AK68">
            <v>29.213095405837976</v>
          </cell>
          <cell r="AL68">
            <v>0.19648190558408896</v>
          </cell>
          <cell r="AM68">
            <v>2.189199406656317E-2</v>
          </cell>
          <cell r="AN68">
            <v>0.27965949283070479</v>
          </cell>
          <cell r="AQ68" t="str">
            <v>201626</v>
          </cell>
          <cell r="AR68">
            <v>0.43349730569164568</v>
          </cell>
          <cell r="AS68">
            <v>1793.4231031210513</v>
          </cell>
          <cell r="AT68">
            <v>7.6885866640654301</v>
          </cell>
          <cell r="AU68">
            <v>1.2834332471977097</v>
          </cell>
          <cell r="AV68">
            <v>9.6803236222852593</v>
          </cell>
          <cell r="AW68">
            <v>7.0612412234307143E-3</v>
          </cell>
          <cell r="AX68">
            <v>29.213095405837976</v>
          </cell>
          <cell r="AY68">
            <v>0.19648190558408896</v>
          </cell>
          <cell r="AZ68">
            <v>2.189199406656317E-2</v>
          </cell>
          <cell r="BA68">
            <v>0.27965949283070479</v>
          </cell>
        </row>
        <row r="69">
          <cell r="Q69" t="str">
            <v>201627</v>
          </cell>
          <cell r="R69">
            <v>0.4405585469150764</v>
          </cell>
          <cell r="S69">
            <v>1822.6361985268893</v>
          </cell>
          <cell r="T69">
            <v>7.8850685696495191</v>
          </cell>
          <cell r="U69">
            <v>1.3053252412642729</v>
          </cell>
          <cell r="V69">
            <v>9.9599831151159641</v>
          </cell>
          <cell r="W69">
            <v>6.6700431903184976E-3</v>
          </cell>
          <cell r="X69">
            <v>27.594668120566666</v>
          </cell>
          <cell r="Y69">
            <v>0.18559666139336883</v>
          </cell>
          <cell r="Z69">
            <v>2.0679161258738255E-2</v>
          </cell>
          <cell r="AA69">
            <v>0.26416614823662776</v>
          </cell>
          <cell r="AD69" t="str">
            <v>201627</v>
          </cell>
          <cell r="AE69">
            <v>0.4405585469150764</v>
          </cell>
          <cell r="AF69">
            <v>1822.6361985268893</v>
          </cell>
          <cell r="AG69">
            <v>7.8850685696495191</v>
          </cell>
          <cell r="AH69">
            <v>1.3053252412642729</v>
          </cell>
          <cell r="AI69">
            <v>9.9599831151159641</v>
          </cell>
          <cell r="AJ69">
            <v>6.6700431903184976E-3</v>
          </cell>
          <cell r="AK69">
            <v>27.594668120566666</v>
          </cell>
          <cell r="AL69">
            <v>0.18559666139336883</v>
          </cell>
          <cell r="AM69">
            <v>2.0679161258738255E-2</v>
          </cell>
          <cell r="AN69">
            <v>0.26416614823662776</v>
          </cell>
          <cell r="AQ69" t="str">
            <v>201627</v>
          </cell>
          <cell r="AR69">
            <v>0.4405585469150764</v>
          </cell>
          <cell r="AS69">
            <v>1822.6361985268893</v>
          </cell>
          <cell r="AT69">
            <v>7.8850685696495191</v>
          </cell>
          <cell r="AU69">
            <v>1.3053252412642729</v>
          </cell>
          <cell r="AV69">
            <v>9.9599831151159641</v>
          </cell>
          <cell r="AW69">
            <v>6.6700431903184976E-3</v>
          </cell>
          <cell r="AX69">
            <v>27.594668120566666</v>
          </cell>
          <cell r="AY69">
            <v>0.18559666139336883</v>
          </cell>
          <cell r="AZ69">
            <v>2.0679161258738255E-2</v>
          </cell>
          <cell r="BA69">
            <v>0.26416614823662776</v>
          </cell>
        </row>
        <row r="70">
          <cell r="Q70" t="str">
            <v>201628</v>
          </cell>
          <cell r="R70">
            <v>0.4472285901053949</v>
          </cell>
          <cell r="S70">
            <v>1850.230866647456</v>
          </cell>
          <cell r="T70">
            <v>8.0706652310428879</v>
          </cell>
          <cell r="U70">
            <v>1.3260044025230111</v>
          </cell>
          <cell r="V70">
            <v>10.224149263352592</v>
          </cell>
          <cell r="W70">
            <v>6.3005178201657741E-3</v>
          </cell>
          <cell r="X70">
            <v>26.065902914624075</v>
          </cell>
          <cell r="Y70">
            <v>0.17531446785374527</v>
          </cell>
          <cell r="Z70">
            <v>1.9533520293523177E-2</v>
          </cell>
          <cell r="AA70">
            <v>0.24953114649471253</v>
          </cell>
          <cell r="AD70" t="str">
            <v>201628</v>
          </cell>
          <cell r="AE70">
            <v>0.4472285901053949</v>
          </cell>
          <cell r="AF70">
            <v>1850.230866647456</v>
          </cell>
          <cell r="AG70">
            <v>8.0706652310428879</v>
          </cell>
          <cell r="AH70">
            <v>1.3260044025230111</v>
          </cell>
          <cell r="AI70">
            <v>10.224149263352592</v>
          </cell>
          <cell r="AJ70">
            <v>6.3005178201657741E-3</v>
          </cell>
          <cell r="AK70">
            <v>26.065902914624075</v>
          </cell>
          <cell r="AL70">
            <v>0.17531446785374527</v>
          </cell>
          <cell r="AM70">
            <v>1.9533520293523177E-2</v>
          </cell>
          <cell r="AN70">
            <v>0.24953114649471253</v>
          </cell>
          <cell r="AQ70" t="str">
            <v>201628</v>
          </cell>
          <cell r="AR70">
            <v>0.4472285901053949</v>
          </cell>
          <cell r="AS70">
            <v>1850.230866647456</v>
          </cell>
          <cell r="AT70">
            <v>8.0706652310428879</v>
          </cell>
          <cell r="AU70">
            <v>1.3260044025230111</v>
          </cell>
          <cell r="AV70">
            <v>10.224149263352592</v>
          </cell>
          <cell r="AW70">
            <v>6.3005178201657741E-3</v>
          </cell>
          <cell r="AX70">
            <v>26.065902914624075</v>
          </cell>
          <cell r="AY70">
            <v>0.17531446785374527</v>
          </cell>
          <cell r="AZ70">
            <v>1.9533520293523177E-2</v>
          </cell>
          <cell r="BA70">
            <v>0.24953114649471253</v>
          </cell>
        </row>
        <row r="71">
          <cell r="Q71" t="str">
            <v>201629</v>
          </cell>
          <cell r="R71">
            <v>0.45352910792556067</v>
          </cell>
          <cell r="S71">
            <v>1876.29676956208</v>
          </cell>
          <cell r="T71">
            <v>8.2459796988966332</v>
          </cell>
          <cell r="U71">
            <v>1.3455379228165343</v>
          </cell>
          <cell r="V71">
            <v>10.473680409847304</v>
          </cell>
          <cell r="W71">
            <v>5.9514644312717024E-3</v>
          </cell>
          <cell r="X71">
            <v>24.621832441906236</v>
          </cell>
          <cell r="Y71">
            <v>0.16560191550913572</v>
          </cell>
          <cell r="Z71">
            <v>1.845134869269649E-2</v>
          </cell>
          <cell r="AA71">
            <v>0.23570693477042681</v>
          </cell>
          <cell r="AD71" t="str">
            <v>201629</v>
          </cell>
          <cell r="AE71">
            <v>0.45352910792556067</v>
          </cell>
          <cell r="AF71">
            <v>1876.29676956208</v>
          </cell>
          <cell r="AG71">
            <v>8.2459796988966332</v>
          </cell>
          <cell r="AH71">
            <v>1.3455379228165343</v>
          </cell>
          <cell r="AI71">
            <v>10.473680409847304</v>
          </cell>
          <cell r="AJ71">
            <v>5.9514644312717024E-3</v>
          </cell>
          <cell r="AK71">
            <v>24.621832441906236</v>
          </cell>
          <cell r="AL71">
            <v>0.16560191550913572</v>
          </cell>
          <cell r="AM71">
            <v>1.845134869269649E-2</v>
          </cell>
          <cell r="AN71">
            <v>0.23570693477042681</v>
          </cell>
          <cell r="AQ71" t="str">
            <v>201629</v>
          </cell>
          <cell r="AR71">
            <v>0.45352910792556067</v>
          </cell>
          <cell r="AS71">
            <v>1876.29676956208</v>
          </cell>
          <cell r="AT71">
            <v>8.2459796988966332</v>
          </cell>
          <cell r="AU71">
            <v>1.3455379228165343</v>
          </cell>
          <cell r="AV71">
            <v>10.473680409847304</v>
          </cell>
          <cell r="AW71">
            <v>5.9514644312717024E-3</v>
          </cell>
          <cell r="AX71">
            <v>24.621832441906236</v>
          </cell>
          <cell r="AY71">
            <v>0.16560191550913572</v>
          </cell>
          <cell r="AZ71">
            <v>1.845134869269649E-2</v>
          </cell>
          <cell r="BA71">
            <v>0.23570693477042681</v>
          </cell>
        </row>
        <row r="72">
          <cell r="Q72" t="str">
            <v>201630</v>
          </cell>
          <cell r="R72">
            <v>0.45948057235683237</v>
          </cell>
          <cell r="S72">
            <v>1900.9186020039863</v>
          </cell>
          <cell r="T72">
            <v>8.4115816144057689</v>
          </cell>
          <cell r="U72">
            <v>1.3639892715092308</v>
          </cell>
          <cell r="V72">
            <v>10.709387344617731</v>
          </cell>
          <cell r="W72">
            <v>5.6217488605976307E-3</v>
          </cell>
          <cell r="X72">
            <v>23.257764550990714</v>
          </cell>
          <cell r="Y72">
            <v>0.15642744581224655</v>
          </cell>
          <cell r="Z72">
            <v>1.7429130206108256E-2</v>
          </cell>
          <cell r="AA72">
            <v>0.22264859469175491</v>
          </cell>
          <cell r="AD72" t="str">
            <v>201630</v>
          </cell>
          <cell r="AE72">
            <v>0.45948057235683237</v>
          </cell>
          <cell r="AF72">
            <v>1900.9186020039863</v>
          </cell>
          <cell r="AG72">
            <v>8.4115816144057689</v>
          </cell>
          <cell r="AH72">
            <v>1.3639892715092308</v>
          </cell>
          <cell r="AI72">
            <v>10.709387344617731</v>
          </cell>
          <cell r="AJ72">
            <v>5.6217488605976307E-3</v>
          </cell>
          <cell r="AK72">
            <v>23.257764550990714</v>
          </cell>
          <cell r="AL72">
            <v>0.15642744581224655</v>
          </cell>
          <cell r="AM72">
            <v>1.7429130206108256E-2</v>
          </cell>
          <cell r="AN72">
            <v>0.22264859469175491</v>
          </cell>
          <cell r="AQ72" t="str">
            <v>201630</v>
          </cell>
          <cell r="AR72">
            <v>0.45948057235683237</v>
          </cell>
          <cell r="AS72">
            <v>1900.9186020039863</v>
          </cell>
          <cell r="AT72">
            <v>8.4115816144057689</v>
          </cell>
          <cell r="AU72">
            <v>1.3639892715092308</v>
          </cell>
          <cell r="AV72">
            <v>10.709387344617731</v>
          </cell>
          <cell r="AW72">
            <v>5.6217488605976307E-3</v>
          </cell>
          <cell r="AX72">
            <v>23.257764550990714</v>
          </cell>
          <cell r="AY72">
            <v>0.15642744581224655</v>
          </cell>
          <cell r="AZ72">
            <v>1.7429130206108256E-2</v>
          </cell>
          <cell r="BA72">
            <v>0.22264859469175491</v>
          </cell>
        </row>
        <row r="73">
          <cell r="Q73" t="str">
            <v>201631</v>
          </cell>
          <cell r="R73">
            <v>0.46510232121743</v>
          </cell>
          <cell r="S73">
            <v>1924.176366554977</v>
          </cell>
          <cell r="T73">
            <v>8.5680090602180154</v>
          </cell>
          <cell r="U73">
            <v>1.381418401715339</v>
          </cell>
          <cell r="V73">
            <v>10.932035939309486</v>
          </cell>
          <cell r="W73">
            <v>5.3102997785837158E-3</v>
          </cell>
          <cell r="X73">
            <v>21.969267039144825</v>
          </cell>
          <cell r="Y73">
            <v>0.14776124858286188</v>
          </cell>
          <cell r="Z73">
            <v>1.6463543386490587E-2</v>
          </cell>
          <cell r="AA73">
            <v>0.21031369639801234</v>
          </cell>
          <cell r="AD73" t="str">
            <v>201631</v>
          </cell>
          <cell r="AE73">
            <v>0.46510232121743</v>
          </cell>
          <cell r="AF73">
            <v>1924.176366554977</v>
          </cell>
          <cell r="AG73">
            <v>8.5680090602180154</v>
          </cell>
          <cell r="AH73">
            <v>1.381418401715339</v>
          </cell>
          <cell r="AI73">
            <v>10.932035939309486</v>
          </cell>
          <cell r="AJ73">
            <v>5.3102997785837158E-3</v>
          </cell>
          <cell r="AK73">
            <v>21.969267039144825</v>
          </cell>
          <cell r="AL73">
            <v>0.14776124858286188</v>
          </cell>
          <cell r="AM73">
            <v>1.6463543386490587E-2</v>
          </cell>
          <cell r="AN73">
            <v>0.21031369639801234</v>
          </cell>
          <cell r="AQ73" t="str">
            <v>201631</v>
          </cell>
          <cell r="AR73">
            <v>0.46510232121743</v>
          </cell>
          <cell r="AS73">
            <v>1924.176366554977</v>
          </cell>
          <cell r="AT73">
            <v>8.5680090602180154</v>
          </cell>
          <cell r="AU73">
            <v>1.381418401715339</v>
          </cell>
          <cell r="AV73">
            <v>10.932035939309486</v>
          </cell>
          <cell r="AW73">
            <v>5.3102997785837158E-3</v>
          </cell>
          <cell r="AX73">
            <v>21.969267039144825</v>
          </cell>
          <cell r="AY73">
            <v>0.14776124858286188</v>
          </cell>
          <cell r="AZ73">
            <v>1.6463543386490587E-2</v>
          </cell>
          <cell r="BA73">
            <v>0.21031369639801234</v>
          </cell>
        </row>
        <row r="74">
          <cell r="Q74" t="str">
            <v>201632</v>
          </cell>
          <cell r="R74">
            <v>0.47041262099601372</v>
          </cell>
          <cell r="S74">
            <v>1946.1456335941218</v>
          </cell>
          <cell r="T74">
            <v>8.7157703088008773</v>
          </cell>
          <cell r="U74">
            <v>1.3978819451018296</v>
          </cell>
          <cell r="V74">
            <v>11.142349635707498</v>
          </cell>
          <cell r="W74">
            <v>5.0161052081270641E-3</v>
          </cell>
          <cell r="X74">
            <v>20.752153250975198</v>
          </cell>
          <cell r="Y74">
            <v>0.13957516514699009</v>
          </cell>
          <cell r="Z74">
            <v>1.5551450797232746E-2</v>
          </cell>
          <cell r="AA74">
            <v>0.19866216067445563</v>
          </cell>
          <cell r="AD74" t="str">
            <v>201632</v>
          </cell>
          <cell r="AE74">
            <v>0.47041262099601372</v>
          </cell>
          <cell r="AF74">
            <v>1946.1456335941218</v>
          </cell>
          <cell r="AG74">
            <v>8.7157703088008773</v>
          </cell>
          <cell r="AH74">
            <v>1.3978819451018296</v>
          </cell>
          <cell r="AI74">
            <v>11.142349635707498</v>
          </cell>
          <cell r="AJ74">
            <v>5.0161052081270641E-3</v>
          </cell>
          <cell r="AK74">
            <v>20.752153250975198</v>
          </cell>
          <cell r="AL74">
            <v>0.13957516514699009</v>
          </cell>
          <cell r="AM74">
            <v>1.5551450797232746E-2</v>
          </cell>
          <cell r="AN74">
            <v>0.19866216067445563</v>
          </cell>
          <cell r="AQ74" t="str">
            <v>201632</v>
          </cell>
          <cell r="AR74">
            <v>0.47041262099601372</v>
          </cell>
          <cell r="AS74">
            <v>1946.1456335941218</v>
          </cell>
          <cell r="AT74">
            <v>8.7157703088008773</v>
          </cell>
          <cell r="AU74">
            <v>1.3978819451018296</v>
          </cell>
          <cell r="AV74">
            <v>11.142349635707498</v>
          </cell>
          <cell r="AW74">
            <v>5.0161052081270641E-3</v>
          </cell>
          <cell r="AX74">
            <v>20.752153250975198</v>
          </cell>
          <cell r="AY74">
            <v>0.13957516514699009</v>
          </cell>
          <cell r="AZ74">
            <v>1.5551450797232746E-2</v>
          </cell>
          <cell r="BA74">
            <v>0.19866216067445563</v>
          </cell>
        </row>
        <row r="75">
          <cell r="Q75" t="str">
            <v>201633</v>
          </cell>
          <cell r="R75">
            <v>0.47542872620414078</v>
          </cell>
          <cell r="S75">
            <v>1966.897786845097</v>
          </cell>
          <cell r="T75">
            <v>8.8553454739478674</v>
          </cell>
          <cell r="U75">
            <v>1.4134333958990624</v>
          </cell>
          <cell r="V75">
            <v>11.341011796381954</v>
          </cell>
          <cell r="W75">
            <v>4.7382092364115502E-3</v>
          </cell>
          <cell r="X75">
            <v>19.602468474920897</v>
          </cell>
          <cell r="Y75">
            <v>0.1318425968421959</v>
          </cell>
          <cell r="Z75">
            <v>1.4689888818053998E-2</v>
          </cell>
          <cell r="AA75">
            <v>0.18765612872474868</v>
          </cell>
          <cell r="AD75" t="str">
            <v>201633</v>
          </cell>
          <cell r="AE75">
            <v>0.47542872620414078</v>
          </cell>
          <cell r="AF75">
            <v>1966.897786845097</v>
          </cell>
          <cell r="AG75">
            <v>8.8553454739478674</v>
          </cell>
          <cell r="AH75">
            <v>1.4134333958990624</v>
          </cell>
          <cell r="AI75">
            <v>11.341011796381954</v>
          </cell>
          <cell r="AJ75">
            <v>4.7382092364115502E-3</v>
          </cell>
          <cell r="AK75">
            <v>19.602468474920897</v>
          </cell>
          <cell r="AL75">
            <v>0.1318425968421959</v>
          </cell>
          <cell r="AM75">
            <v>1.4689888818053998E-2</v>
          </cell>
          <cell r="AN75">
            <v>0.18765612872474868</v>
          </cell>
          <cell r="AQ75" t="str">
            <v>201633</v>
          </cell>
          <cell r="AR75">
            <v>0.47542872620414078</v>
          </cell>
          <cell r="AS75">
            <v>1966.897786845097</v>
          </cell>
          <cell r="AT75">
            <v>8.8553454739478674</v>
          </cell>
          <cell r="AU75">
            <v>1.4134333958990624</v>
          </cell>
          <cell r="AV75">
            <v>11.341011796381954</v>
          </cell>
          <cell r="AW75">
            <v>4.7382092364115502E-3</v>
          </cell>
          <cell r="AX75">
            <v>19.602468474920897</v>
          </cell>
          <cell r="AY75">
            <v>0.1318425968421959</v>
          </cell>
          <cell r="AZ75">
            <v>1.4689888818053998E-2</v>
          </cell>
          <cell r="BA75">
            <v>0.18765612872474868</v>
          </cell>
        </row>
        <row r="76">
          <cell r="Q76" t="str">
            <v>201634</v>
          </cell>
          <cell r="R76">
            <v>0.48016693544055233</v>
          </cell>
          <cell r="S76">
            <v>1986.5002553200179</v>
          </cell>
          <cell r="T76">
            <v>8.9871880707900633</v>
          </cell>
          <cell r="U76">
            <v>1.4281232847171164</v>
          </cell>
          <cell r="V76">
            <v>11.528667925106703</v>
          </cell>
          <cell r="W76">
            <v>4.4757089089043078E-3</v>
          </cell>
          <cell r="X76">
            <v>18.516477093393405</v>
          </cell>
          <cell r="Y76">
            <v>0.12453841859178816</v>
          </cell>
          <cell r="Z76">
            <v>1.3876058015448001E-2</v>
          </cell>
          <cell r="AA76">
            <v>0.17725983915812371</v>
          </cell>
          <cell r="AD76" t="str">
            <v>201634</v>
          </cell>
          <cell r="AE76">
            <v>0.48016693544055233</v>
          </cell>
          <cell r="AF76">
            <v>1986.5002553200179</v>
          </cell>
          <cell r="AG76">
            <v>8.9871880707900633</v>
          </cell>
          <cell r="AH76">
            <v>1.4281232847171164</v>
          </cell>
          <cell r="AI76">
            <v>11.528667925106703</v>
          </cell>
          <cell r="AJ76">
            <v>4.4757089089043078E-3</v>
          </cell>
          <cell r="AK76">
            <v>18.516477093393405</v>
          </cell>
          <cell r="AL76">
            <v>0.12453841859178816</v>
          </cell>
          <cell r="AM76">
            <v>1.3876058015448001E-2</v>
          </cell>
          <cell r="AN76">
            <v>0.17725983915812371</v>
          </cell>
          <cell r="AQ76" t="str">
            <v>201634</v>
          </cell>
          <cell r="AR76">
            <v>0.48016693544055233</v>
          </cell>
          <cell r="AS76">
            <v>1986.5002553200179</v>
          </cell>
          <cell r="AT76">
            <v>8.9871880707900633</v>
          </cell>
          <cell r="AU76">
            <v>1.4281232847171164</v>
          </cell>
          <cell r="AV76">
            <v>11.528667925106703</v>
          </cell>
          <cell r="AW76">
            <v>4.4757089089043078E-3</v>
          </cell>
          <cell r="AX76">
            <v>18.516477093393405</v>
          </cell>
          <cell r="AY76">
            <v>0.12453841859178816</v>
          </cell>
          <cell r="AZ76">
            <v>1.3876058015448001E-2</v>
          </cell>
          <cell r="BA76">
            <v>0.17725983915812371</v>
          </cell>
        </row>
        <row r="77">
          <cell r="Q77" t="str">
            <v>201635</v>
          </cell>
          <cell r="R77">
            <v>0.48464264434945664</v>
          </cell>
          <cell r="S77">
            <v>2005.0167324134113</v>
          </cell>
          <cell r="T77">
            <v>9.1117264893818515</v>
          </cell>
          <cell r="U77">
            <v>1.4419993427325644</v>
          </cell>
          <cell r="V77">
            <v>11.705927764264827</v>
          </cell>
          <cell r="W77">
            <v>4.2277512954274621E-3</v>
          </cell>
          <cell r="X77">
            <v>17.490650444805624</v>
          </cell>
          <cell r="Y77">
            <v>0.11763889726707433</v>
          </cell>
          <cell r="Z77">
            <v>1.3107314046614027E-2</v>
          </cell>
          <cell r="AA77">
            <v>0.16743951179154948</v>
          </cell>
          <cell r="AD77" t="str">
            <v>201635</v>
          </cell>
          <cell r="AE77">
            <v>0.48464264434945664</v>
          </cell>
          <cell r="AF77">
            <v>2005.0167324134113</v>
          </cell>
          <cell r="AG77">
            <v>9.1117264893818515</v>
          </cell>
          <cell r="AH77">
            <v>1.4419993427325644</v>
          </cell>
          <cell r="AI77">
            <v>11.705927764264827</v>
          </cell>
          <cell r="AJ77">
            <v>4.2277512954274621E-3</v>
          </cell>
          <cell r="AK77">
            <v>17.490650444805624</v>
          </cell>
          <cell r="AL77">
            <v>0.11763889726707433</v>
          </cell>
          <cell r="AM77">
            <v>1.3107314046614027E-2</v>
          </cell>
          <cell r="AN77">
            <v>0.16743951179154948</v>
          </cell>
          <cell r="AQ77" t="str">
            <v>201635</v>
          </cell>
          <cell r="AR77">
            <v>0.48464264434945664</v>
          </cell>
          <cell r="AS77">
            <v>2005.0167324134113</v>
          </cell>
          <cell r="AT77">
            <v>9.1117264893818515</v>
          </cell>
          <cell r="AU77">
            <v>1.4419993427325644</v>
          </cell>
          <cell r="AV77">
            <v>11.705927764264827</v>
          </cell>
          <cell r="AW77">
            <v>4.2277512954274621E-3</v>
          </cell>
          <cell r="AX77">
            <v>17.490650444805624</v>
          </cell>
          <cell r="AY77">
            <v>0.11763889726707433</v>
          </cell>
          <cell r="AZ77">
            <v>1.3107314046614027E-2</v>
          </cell>
          <cell r="BA77">
            <v>0.16743951179154948</v>
          </cell>
        </row>
        <row r="78">
          <cell r="Q78" t="str">
            <v>201636</v>
          </cell>
          <cell r="R78">
            <v>0.4888703956448841</v>
          </cell>
          <cell r="S78">
            <v>2022.5073828582169</v>
          </cell>
          <cell r="T78">
            <v>9.2293653866489258</v>
          </cell>
          <cell r="U78">
            <v>1.4551066567791784</v>
          </cell>
          <cell r="V78">
            <v>11.873367276056376</v>
          </cell>
          <cell r="W78">
            <v>3.9935307187715097E-3</v>
          </cell>
          <cell r="X78">
            <v>16.521655358055568</v>
          </cell>
          <cell r="Y78">
            <v>0.11112161457240255</v>
          </cell>
          <cell r="Z78">
            <v>1.2381159067315961E-2</v>
          </cell>
          <cell r="AA78">
            <v>0.15816323788934028</v>
          </cell>
          <cell r="AD78" t="str">
            <v>201636</v>
          </cell>
          <cell r="AE78">
            <v>0.4888703956448841</v>
          </cell>
          <cell r="AF78">
            <v>2022.5073828582169</v>
          </cell>
          <cell r="AG78">
            <v>9.2293653866489258</v>
          </cell>
          <cell r="AH78">
            <v>1.4551066567791784</v>
          </cell>
          <cell r="AI78">
            <v>11.873367276056376</v>
          </cell>
          <cell r="AJ78">
            <v>3.9935307187715097E-3</v>
          </cell>
          <cell r="AK78">
            <v>16.521655358055568</v>
          </cell>
          <cell r="AL78">
            <v>0.11112161457240255</v>
          </cell>
          <cell r="AM78">
            <v>1.2381159067315961E-2</v>
          </cell>
          <cell r="AN78">
            <v>0.15816323788934028</v>
          </cell>
          <cell r="AQ78" t="str">
            <v>201636</v>
          </cell>
          <cell r="AR78">
            <v>0.4888703956448841</v>
          </cell>
          <cell r="AS78">
            <v>2022.5073828582169</v>
          </cell>
          <cell r="AT78">
            <v>9.2293653866489258</v>
          </cell>
          <cell r="AU78">
            <v>1.4551066567791784</v>
          </cell>
          <cell r="AV78">
            <v>11.873367276056376</v>
          </cell>
          <cell r="AW78">
            <v>3.9935307187715097E-3</v>
          </cell>
          <cell r="AX78">
            <v>16.521655358055568</v>
          </cell>
          <cell r="AY78">
            <v>0.11112161457240255</v>
          </cell>
          <cell r="AZ78">
            <v>1.2381159067315961E-2</v>
          </cell>
          <cell r="BA78">
            <v>0.15816323788934028</v>
          </cell>
        </row>
        <row r="79">
          <cell r="Q79" t="str">
            <v>201637</v>
          </cell>
          <cell r="R79">
            <v>0.49286392636365561</v>
          </cell>
          <cell r="S79">
            <v>2039.0290382162725</v>
          </cell>
          <cell r="T79">
            <v>9.3404870012213284</v>
          </cell>
          <cell r="U79">
            <v>1.4674878158464943</v>
          </cell>
          <cell r="V79">
            <v>12.031530513945716</v>
          </cell>
          <cell r="W79">
            <v>3.7722861368455485E-3</v>
          </cell>
          <cell r="X79">
            <v>15.606343322207977</v>
          </cell>
          <cell r="Y79">
            <v>0.10496539420243067</v>
          </cell>
          <cell r="Z79">
            <v>1.1695233615752088E-2</v>
          </cell>
          <cell r="AA79">
            <v>0.14940087648357903</v>
          </cell>
          <cell r="AD79" t="str">
            <v>201637</v>
          </cell>
          <cell r="AE79">
            <v>0.49286392636365561</v>
          </cell>
          <cell r="AF79">
            <v>2039.0290382162725</v>
          </cell>
          <cell r="AG79">
            <v>9.3404870012213284</v>
          </cell>
          <cell r="AH79">
            <v>1.4674878158464943</v>
          </cell>
          <cell r="AI79">
            <v>12.031530513945716</v>
          </cell>
          <cell r="AJ79">
            <v>3.7722861368455485E-3</v>
          </cell>
          <cell r="AK79">
            <v>15.606343322207977</v>
          </cell>
          <cell r="AL79">
            <v>0.10496539420243067</v>
          </cell>
          <cell r="AM79">
            <v>1.1695233615752088E-2</v>
          </cell>
          <cell r="AN79">
            <v>0.14940087648357903</v>
          </cell>
          <cell r="AQ79" t="str">
            <v>201637</v>
          </cell>
          <cell r="AR79">
            <v>0.49286392636365561</v>
          </cell>
          <cell r="AS79">
            <v>2039.0290382162725</v>
          </cell>
          <cell r="AT79">
            <v>9.3404870012213284</v>
          </cell>
          <cell r="AU79">
            <v>1.4674878158464943</v>
          </cell>
          <cell r="AV79">
            <v>12.031530513945716</v>
          </cell>
          <cell r="AW79">
            <v>3.7722861368455485E-3</v>
          </cell>
          <cell r="AX79">
            <v>15.606343322207977</v>
          </cell>
          <cell r="AY79">
            <v>0.10496539420243067</v>
          </cell>
          <cell r="AZ79">
            <v>1.1695233615752088E-2</v>
          </cell>
          <cell r="BA79">
            <v>0.14940087648357903</v>
          </cell>
        </row>
        <row r="80">
          <cell r="Q80" t="str">
            <v>201638</v>
          </cell>
          <cell r="R80">
            <v>0.49663621250050116</v>
          </cell>
          <cell r="S80">
            <v>2054.6353815384805</v>
          </cell>
          <cell r="T80">
            <v>9.445452395423759</v>
          </cell>
          <cell r="U80">
            <v>1.4791830494622464</v>
          </cell>
          <cell r="V80">
            <v>12.180931390429295</v>
          </cell>
          <cell r="W80">
            <v>3.5632986698583835E-3</v>
          </cell>
          <cell r="X80">
            <v>14.74174025618322</v>
          </cell>
          <cell r="Y80">
            <v>9.9150233034931645E-2</v>
          </cell>
          <cell r="Z80">
            <v>1.1047308946065426E-2</v>
          </cell>
          <cell r="AA80">
            <v>0.14112395643846298</v>
          </cell>
          <cell r="AD80" t="str">
            <v>201638</v>
          </cell>
          <cell r="AE80">
            <v>0.49663621250050116</v>
          </cell>
          <cell r="AF80">
            <v>2054.6353815384805</v>
          </cell>
          <cell r="AG80">
            <v>9.445452395423759</v>
          </cell>
          <cell r="AH80">
            <v>1.4791830494622464</v>
          </cell>
          <cell r="AI80">
            <v>12.180931390429295</v>
          </cell>
          <cell r="AJ80">
            <v>3.5632986698583835E-3</v>
          </cell>
          <cell r="AK80">
            <v>14.74174025618322</v>
          </cell>
          <cell r="AL80">
            <v>9.9150233034931645E-2</v>
          </cell>
          <cell r="AM80">
            <v>1.1047308946065426E-2</v>
          </cell>
          <cell r="AN80">
            <v>0.14112395643846298</v>
          </cell>
          <cell r="AQ80" t="str">
            <v>201638</v>
          </cell>
          <cell r="AR80">
            <v>0.49663621250050116</v>
          </cell>
          <cell r="AS80">
            <v>2054.6353815384805</v>
          </cell>
          <cell r="AT80">
            <v>9.445452395423759</v>
          </cell>
          <cell r="AU80">
            <v>1.4791830494622464</v>
          </cell>
          <cell r="AV80">
            <v>12.180931390429295</v>
          </cell>
          <cell r="AW80">
            <v>3.5632986698583835E-3</v>
          </cell>
          <cell r="AX80">
            <v>14.74174025618322</v>
          </cell>
          <cell r="AY80">
            <v>9.9150233034931645E-2</v>
          </cell>
          <cell r="AZ80">
            <v>1.1047308946065426E-2</v>
          </cell>
          <cell r="BA80">
            <v>0.14112395643846298</v>
          </cell>
        </row>
        <row r="81">
          <cell r="Q81" t="str">
            <v>201639</v>
          </cell>
          <cell r="R81">
            <v>0.50019951117035955</v>
          </cell>
          <cell r="S81">
            <v>2069.3771217946637</v>
          </cell>
          <cell r="T81">
            <v>9.5446026284586907</v>
          </cell>
          <cell r="U81">
            <v>1.4902303584083119</v>
          </cell>
          <cell r="V81">
            <v>12.322055346867758</v>
          </cell>
          <cell r="W81">
            <v>0</v>
          </cell>
          <cell r="X81">
            <v>0</v>
          </cell>
          <cell r="Y81">
            <v>0</v>
          </cell>
          <cell r="Z81">
            <v>0</v>
          </cell>
          <cell r="AA81">
            <v>0</v>
          </cell>
          <cell r="AD81" t="str">
            <v>201639</v>
          </cell>
          <cell r="AE81">
            <v>0.50019951117035955</v>
          </cell>
          <cell r="AF81">
            <v>2069.3771217946637</v>
          </cell>
          <cell r="AG81">
            <v>9.5446026284586907</v>
          </cell>
          <cell r="AH81">
            <v>1.4902303584083119</v>
          </cell>
          <cell r="AI81">
            <v>12.322055346867758</v>
          </cell>
          <cell r="AJ81">
            <v>0</v>
          </cell>
          <cell r="AK81">
            <v>0</v>
          </cell>
          <cell r="AL81">
            <v>0</v>
          </cell>
          <cell r="AM81">
            <v>0</v>
          </cell>
          <cell r="AN81">
            <v>0</v>
          </cell>
          <cell r="AQ81" t="str">
            <v>201639</v>
          </cell>
          <cell r="AR81">
            <v>0.50019951117035955</v>
          </cell>
          <cell r="AS81">
            <v>2069.3771217946637</v>
          </cell>
          <cell r="AT81">
            <v>9.5446026284586907</v>
          </cell>
          <cell r="AU81">
            <v>1.4902303584083119</v>
          </cell>
          <cell r="AV81">
            <v>12.322055346867758</v>
          </cell>
          <cell r="AW81">
            <v>0</v>
          </cell>
          <cell r="AX81">
            <v>0</v>
          </cell>
          <cell r="AY81">
            <v>0</v>
          </cell>
          <cell r="AZ81">
            <v>0</v>
          </cell>
          <cell r="BA81">
            <v>0</v>
          </cell>
        </row>
        <row r="82">
          <cell r="Q82" t="str">
            <v>20171</v>
          </cell>
          <cell r="R82">
            <v>2.9355608982119481E-2</v>
          </cell>
          <cell r="S82">
            <v>121.44723268276654</v>
          </cell>
          <cell r="T82">
            <v>0.40120210247539401</v>
          </cell>
          <cell r="U82">
            <v>8.6549971770990566E-2</v>
          </cell>
          <cell r="V82">
            <v>0.42471944910300524</v>
          </cell>
          <cell r="W82">
            <v>2.7729286338373856E-2</v>
          </cell>
          <cell r="X82">
            <v>114.71896536415862</v>
          </cell>
          <cell r="Y82">
            <v>0.39107120054479583</v>
          </cell>
          <cell r="Z82">
            <v>8.0912203297382676E-2</v>
          </cell>
          <cell r="AA82">
            <v>0.41130370009502865</v>
          </cell>
          <cell r="AD82" t="str">
            <v>20171</v>
          </cell>
          <cell r="AE82">
            <v>2.9355608982119481E-2</v>
          </cell>
          <cell r="AF82">
            <v>121.44723268276654</v>
          </cell>
          <cell r="AG82">
            <v>0.40120210247539401</v>
          </cell>
          <cell r="AH82">
            <v>8.6549971770990566E-2</v>
          </cell>
          <cell r="AI82">
            <v>0.42471944910300524</v>
          </cell>
          <cell r="AJ82">
            <v>2.7729286338373856E-2</v>
          </cell>
          <cell r="AK82">
            <v>114.71896536415862</v>
          </cell>
          <cell r="AL82">
            <v>0.39107120054479583</v>
          </cell>
          <cell r="AM82">
            <v>8.0912203297382676E-2</v>
          </cell>
          <cell r="AN82">
            <v>0.41130370009502865</v>
          </cell>
          <cell r="AQ82" t="str">
            <v>20171</v>
          </cell>
          <cell r="AR82">
            <v>2.9355608982119481E-2</v>
          </cell>
          <cell r="AS82">
            <v>121.44723268276654</v>
          </cell>
          <cell r="AT82">
            <v>0.40120210247539401</v>
          </cell>
          <cell r="AU82">
            <v>8.6549971770990566E-2</v>
          </cell>
          <cell r="AV82">
            <v>0.42471944910300524</v>
          </cell>
          <cell r="AW82">
            <v>2.7729286338373856E-2</v>
          </cell>
          <cell r="AX82">
            <v>114.71896536415862</v>
          </cell>
          <cell r="AY82">
            <v>0.39107120054479583</v>
          </cell>
          <cell r="AZ82">
            <v>8.0912203297382676E-2</v>
          </cell>
          <cell r="BA82">
            <v>0.41130370009502865</v>
          </cell>
        </row>
        <row r="83">
          <cell r="Q83" t="str">
            <v>20172</v>
          </cell>
          <cell r="R83">
            <v>5.7084895320493337E-2</v>
          </cell>
          <cell r="S83">
            <v>236.16619804692516</v>
          </cell>
          <cell r="T83">
            <v>0.79227330302018983</v>
          </cell>
          <cell r="U83">
            <v>0.16746217506837324</v>
          </cell>
          <cell r="V83">
            <v>0.83602314919803389</v>
          </cell>
          <cell r="W83">
            <v>2.6193063182708018E-2</v>
          </cell>
          <cell r="X83">
            <v>108.36344907585942</v>
          </cell>
          <cell r="Y83">
            <v>0.39208278280308972</v>
          </cell>
          <cell r="Z83">
            <v>7.6429606855318244E-2</v>
          </cell>
          <cell r="AA83">
            <v>0.39966315251426821</v>
          </cell>
          <cell r="AD83" t="str">
            <v>20172</v>
          </cell>
          <cell r="AE83">
            <v>5.7084895320493337E-2</v>
          </cell>
          <cell r="AF83">
            <v>236.16619804692516</v>
          </cell>
          <cell r="AG83">
            <v>0.79227330302018983</v>
          </cell>
          <cell r="AH83">
            <v>0.16746217506837324</v>
          </cell>
          <cell r="AI83">
            <v>0.83602314919803389</v>
          </cell>
          <cell r="AJ83">
            <v>2.6193063182708018E-2</v>
          </cell>
          <cell r="AK83">
            <v>108.36344907585942</v>
          </cell>
          <cell r="AL83">
            <v>0.39208278280308972</v>
          </cell>
          <cell r="AM83">
            <v>7.6429606855318244E-2</v>
          </cell>
          <cell r="AN83">
            <v>0.39966315251426821</v>
          </cell>
          <cell r="AQ83" t="str">
            <v>20172</v>
          </cell>
          <cell r="AR83">
            <v>5.7084895320493337E-2</v>
          </cell>
          <cell r="AS83">
            <v>236.16619804692516</v>
          </cell>
          <cell r="AT83">
            <v>0.79227330302018983</v>
          </cell>
          <cell r="AU83">
            <v>0.16746217506837324</v>
          </cell>
          <cell r="AV83">
            <v>0.83602314919803389</v>
          </cell>
          <cell r="AW83">
            <v>2.6193063182708018E-2</v>
          </cell>
          <cell r="AX83">
            <v>108.36344907585942</v>
          </cell>
          <cell r="AY83">
            <v>0.39208278280308972</v>
          </cell>
          <cell r="AZ83">
            <v>7.6429606855318244E-2</v>
          </cell>
          <cell r="BA83">
            <v>0.39966315251426821</v>
          </cell>
        </row>
        <row r="84">
          <cell r="Q84" t="str">
            <v>20173</v>
          </cell>
          <cell r="R84">
            <v>8.3277958503201355E-2</v>
          </cell>
          <cell r="S84">
            <v>344.52964712278458</v>
          </cell>
          <cell r="T84">
            <v>1.1843560858232796</v>
          </cell>
          <cell r="U84">
            <v>0.24389178192369149</v>
          </cell>
          <cell r="V84">
            <v>1.2356863017123021</v>
          </cell>
          <cell r="W84">
            <v>2.4741947936247122E-2</v>
          </cell>
          <cell r="X84">
            <v>102.36003313263063</v>
          </cell>
          <cell r="Y84">
            <v>0.37765479548765968</v>
          </cell>
          <cell r="Z84">
            <v>7.2195349601207381E-2</v>
          </cell>
          <cell r="AA84">
            <v>0.39481831813160317</v>
          </cell>
          <cell r="AD84" t="str">
            <v>20173</v>
          </cell>
          <cell r="AE84">
            <v>8.3277958503201355E-2</v>
          </cell>
          <cell r="AF84">
            <v>344.52964712278458</v>
          </cell>
          <cell r="AG84">
            <v>1.1843560858232796</v>
          </cell>
          <cell r="AH84">
            <v>0.24389178192369149</v>
          </cell>
          <cell r="AI84">
            <v>1.2356863017123021</v>
          </cell>
          <cell r="AJ84">
            <v>2.4741947936247122E-2</v>
          </cell>
          <cell r="AK84">
            <v>102.36003313263063</v>
          </cell>
          <cell r="AL84">
            <v>0.37765479548765968</v>
          </cell>
          <cell r="AM84">
            <v>7.2195349601207381E-2</v>
          </cell>
          <cell r="AN84">
            <v>0.39481831813160317</v>
          </cell>
          <cell r="AQ84" t="str">
            <v>20173</v>
          </cell>
          <cell r="AR84">
            <v>8.3277958503201355E-2</v>
          </cell>
          <cell r="AS84">
            <v>344.52964712278458</v>
          </cell>
          <cell r="AT84">
            <v>1.1843560858232796</v>
          </cell>
          <cell r="AU84">
            <v>0.24389178192369149</v>
          </cell>
          <cell r="AV84">
            <v>1.2356863017123021</v>
          </cell>
          <cell r="AW84">
            <v>2.4741947936247122E-2</v>
          </cell>
          <cell r="AX84">
            <v>102.36003313263063</v>
          </cell>
          <cell r="AY84">
            <v>0.37765479548765968</v>
          </cell>
          <cell r="AZ84">
            <v>7.2195349601207381E-2</v>
          </cell>
          <cell r="BA84">
            <v>0.39481831813160317</v>
          </cell>
        </row>
        <row r="85">
          <cell r="Q85" t="str">
            <v>20174</v>
          </cell>
          <cell r="R85">
            <v>0.10801990643944848</v>
          </cell>
          <cell r="S85">
            <v>446.88968025541521</v>
          </cell>
          <cell r="T85">
            <v>1.5620108813109392</v>
          </cell>
          <cell r="U85">
            <v>0.31608713152489887</v>
          </cell>
          <cell r="V85">
            <v>1.6305046198439053</v>
          </cell>
          <cell r="W85">
            <v>2.3371225557310832E-2</v>
          </cell>
          <cell r="X85">
            <v>96.689210912606313</v>
          </cell>
          <cell r="Y85">
            <v>0.36351089560117367</v>
          </cell>
          <cell r="Z85">
            <v>6.8195673358718567E-2</v>
          </cell>
          <cell r="AA85">
            <v>0.38928363542268496</v>
          </cell>
          <cell r="AD85" t="str">
            <v>20174</v>
          </cell>
          <cell r="AE85">
            <v>0.10801990643944848</v>
          </cell>
          <cell r="AF85">
            <v>446.88968025541521</v>
          </cell>
          <cell r="AG85">
            <v>1.5620108813109392</v>
          </cell>
          <cell r="AH85">
            <v>0.31608713152489887</v>
          </cell>
          <cell r="AI85">
            <v>1.6305046198439053</v>
          </cell>
          <cell r="AJ85">
            <v>2.3371225557310832E-2</v>
          </cell>
          <cell r="AK85">
            <v>96.689210912606313</v>
          </cell>
          <cell r="AL85">
            <v>0.36351089560117367</v>
          </cell>
          <cell r="AM85">
            <v>6.8195673358718567E-2</v>
          </cell>
          <cell r="AN85">
            <v>0.38928363542268496</v>
          </cell>
          <cell r="AQ85" t="str">
            <v>20174</v>
          </cell>
          <cell r="AR85">
            <v>0.10801990643944848</v>
          </cell>
          <cell r="AS85">
            <v>446.88968025541521</v>
          </cell>
          <cell r="AT85">
            <v>1.5620108813109392</v>
          </cell>
          <cell r="AU85">
            <v>0.31608713152489887</v>
          </cell>
          <cell r="AV85">
            <v>1.6305046198439053</v>
          </cell>
          <cell r="AW85">
            <v>2.3371225557310832E-2</v>
          </cell>
          <cell r="AX85">
            <v>96.689210912606313</v>
          </cell>
          <cell r="AY85">
            <v>0.36351089560117367</v>
          </cell>
          <cell r="AZ85">
            <v>6.8195673358718567E-2</v>
          </cell>
          <cell r="BA85">
            <v>0.38928363542268496</v>
          </cell>
        </row>
        <row r="86">
          <cell r="Q86" t="str">
            <v>20175</v>
          </cell>
          <cell r="R86">
            <v>0.13139113199675931</v>
          </cell>
          <cell r="S86">
            <v>543.57889116802153</v>
          </cell>
          <cell r="T86">
            <v>1.9255217769121129</v>
          </cell>
          <cell r="U86">
            <v>0.38428280488361743</v>
          </cell>
          <cell r="V86">
            <v>2.0197882552665902</v>
          </cell>
          <cell r="W86">
            <v>2.2076442221046461E-2</v>
          </cell>
          <cell r="X86">
            <v>91.332556475328261</v>
          </cell>
          <cell r="Y86">
            <v>0.352481794148648</v>
          </cell>
          <cell r="Z86">
            <v>6.4417582164755627E-2</v>
          </cell>
          <cell r="AA86">
            <v>0.39321565779736245</v>
          </cell>
          <cell r="AD86" t="str">
            <v>20175</v>
          </cell>
          <cell r="AE86">
            <v>0.13139113199675931</v>
          </cell>
          <cell r="AF86">
            <v>543.57889116802153</v>
          </cell>
          <cell r="AG86">
            <v>1.9255217769121129</v>
          </cell>
          <cell r="AH86">
            <v>0.38428280488361743</v>
          </cell>
          <cell r="AI86">
            <v>2.0197882552665902</v>
          </cell>
          <cell r="AJ86">
            <v>2.2076442221046461E-2</v>
          </cell>
          <cell r="AK86">
            <v>91.332556475328261</v>
          </cell>
          <cell r="AL86">
            <v>0.352481794148648</v>
          </cell>
          <cell r="AM86">
            <v>6.4417582164755627E-2</v>
          </cell>
          <cell r="AN86">
            <v>0.39321565779736245</v>
          </cell>
          <cell r="AQ86" t="str">
            <v>20175</v>
          </cell>
          <cell r="AR86">
            <v>0.13139113199675931</v>
          </cell>
          <cell r="AS86">
            <v>543.57889116802153</v>
          </cell>
          <cell r="AT86">
            <v>1.9255217769121129</v>
          </cell>
          <cell r="AU86">
            <v>0.38428280488361743</v>
          </cell>
          <cell r="AV86">
            <v>2.0197882552665902</v>
          </cell>
          <cell r="AW86">
            <v>2.2076442221046461E-2</v>
          </cell>
          <cell r="AX86">
            <v>91.332556475328261</v>
          </cell>
          <cell r="AY86">
            <v>0.352481794148648</v>
          </cell>
          <cell r="AZ86">
            <v>6.4417582164755627E-2</v>
          </cell>
          <cell r="BA86">
            <v>0.39321565779736245</v>
          </cell>
        </row>
        <row r="87">
          <cell r="Q87" t="str">
            <v>20176</v>
          </cell>
          <cell r="R87">
            <v>0.15346757421780577</v>
          </cell>
          <cell r="S87">
            <v>634.91144764334979</v>
          </cell>
          <cell r="T87">
            <v>2.2780035710607609</v>
          </cell>
          <cell r="U87">
            <v>0.44870038704837306</v>
          </cell>
          <cell r="V87">
            <v>2.4130039130639527</v>
          </cell>
          <cell r="W87">
            <v>2.0853390847821701E-2</v>
          </cell>
          <cell r="X87">
            <v>86.272664691189902</v>
          </cell>
          <cell r="Y87">
            <v>0.34809192216482954</v>
          </cell>
          <cell r="Z87">
            <v>6.0848800042276163E-2</v>
          </cell>
          <cell r="AA87">
            <v>0.39995409194454412</v>
          </cell>
          <cell r="AD87" t="str">
            <v>20176</v>
          </cell>
          <cell r="AE87">
            <v>0.15346757421780577</v>
          </cell>
          <cell r="AF87">
            <v>634.91144764334979</v>
          </cell>
          <cell r="AG87">
            <v>2.2780035710607609</v>
          </cell>
          <cell r="AH87">
            <v>0.44870038704837306</v>
          </cell>
          <cell r="AI87">
            <v>2.4130039130639527</v>
          </cell>
          <cell r="AJ87">
            <v>2.0853390847821701E-2</v>
          </cell>
          <cell r="AK87">
            <v>86.272664691189902</v>
          </cell>
          <cell r="AL87">
            <v>0.34809192216482954</v>
          </cell>
          <cell r="AM87">
            <v>6.0848800042276163E-2</v>
          </cell>
          <cell r="AN87">
            <v>0.39995409194454412</v>
          </cell>
          <cell r="AQ87" t="str">
            <v>20176</v>
          </cell>
          <cell r="AR87">
            <v>0.15346757421780577</v>
          </cell>
          <cell r="AS87">
            <v>634.91144764334979</v>
          </cell>
          <cell r="AT87">
            <v>2.2780035710607609</v>
          </cell>
          <cell r="AU87">
            <v>0.44870038704837306</v>
          </cell>
          <cell r="AV87">
            <v>2.4130039130639527</v>
          </cell>
          <cell r="AW87">
            <v>2.0853390847821701E-2</v>
          </cell>
          <cell r="AX87">
            <v>86.272664691189902</v>
          </cell>
          <cell r="AY87">
            <v>0.34809192216482954</v>
          </cell>
          <cell r="AZ87">
            <v>6.0848800042276163E-2</v>
          </cell>
          <cell r="BA87">
            <v>0.39995409194454412</v>
          </cell>
        </row>
        <row r="88">
          <cell r="Q88" t="str">
            <v>20177</v>
          </cell>
          <cell r="R88">
            <v>0.17432096506562747</v>
          </cell>
          <cell r="S88">
            <v>721.18411233453969</v>
          </cell>
          <cell r="T88">
            <v>2.6260954932255904</v>
          </cell>
          <cell r="U88">
            <v>0.50954918709064922</v>
          </cell>
          <cell r="V88">
            <v>2.8129580050084968</v>
          </cell>
          <cell r="W88">
            <v>1.9698097433355405E-2</v>
          </cell>
          <cell r="X88">
            <v>81.493094687753228</v>
          </cell>
          <cell r="Y88">
            <v>0.34172830556548561</v>
          </cell>
          <cell r="Z88">
            <v>5.807645747828194E-2</v>
          </cell>
          <cell r="AA88">
            <v>0.39935048595890787</v>
          </cell>
          <cell r="AD88" t="str">
            <v>20177</v>
          </cell>
          <cell r="AE88">
            <v>0.17432096506562747</v>
          </cell>
          <cell r="AF88">
            <v>721.18411233453969</v>
          </cell>
          <cell r="AG88">
            <v>2.6260954932255904</v>
          </cell>
          <cell r="AH88">
            <v>0.50954918709064922</v>
          </cell>
          <cell r="AI88">
            <v>2.8129580050084968</v>
          </cell>
          <cell r="AJ88">
            <v>1.9698097433355405E-2</v>
          </cell>
          <cell r="AK88">
            <v>81.493094687753228</v>
          </cell>
          <cell r="AL88">
            <v>0.34172830556548561</v>
          </cell>
          <cell r="AM88">
            <v>5.807645747828194E-2</v>
          </cell>
          <cell r="AN88">
            <v>0.39935048595890787</v>
          </cell>
          <cell r="AQ88" t="str">
            <v>20177</v>
          </cell>
          <cell r="AR88">
            <v>0.17432096506562747</v>
          </cell>
          <cell r="AS88">
            <v>721.18411233453969</v>
          </cell>
          <cell r="AT88">
            <v>2.6260954932255904</v>
          </cell>
          <cell r="AU88">
            <v>0.50954918709064922</v>
          </cell>
          <cell r="AV88">
            <v>2.8129580050084968</v>
          </cell>
          <cell r="AW88">
            <v>1.9698097433355405E-2</v>
          </cell>
          <cell r="AX88">
            <v>81.493094687753228</v>
          </cell>
          <cell r="AY88">
            <v>0.34172830556548561</v>
          </cell>
          <cell r="AZ88">
            <v>5.807645747828194E-2</v>
          </cell>
          <cell r="BA88">
            <v>0.39935048595890787</v>
          </cell>
        </row>
        <row r="89">
          <cell r="Q89" t="str">
            <v>20178</v>
          </cell>
          <cell r="R89">
            <v>0.19401906249898287</v>
          </cell>
          <cell r="S89">
            <v>802.67720702229292</v>
          </cell>
          <cell r="T89">
            <v>2.9678237987910761</v>
          </cell>
          <cell r="U89">
            <v>0.56762564456893116</v>
          </cell>
          <cell r="V89">
            <v>3.2123084909674047</v>
          </cell>
          <cell r="W89">
            <v>1.8606808136169106E-2</v>
          </cell>
          <cell r="X89">
            <v>76.978316429181746</v>
          </cell>
          <cell r="Y89">
            <v>0.32976918327059579</v>
          </cell>
          <cell r="Z89">
            <v>5.4858978395392111E-2</v>
          </cell>
          <cell r="AA89">
            <v>0.39419286537719955</v>
          </cell>
          <cell r="AD89" t="str">
            <v>20178</v>
          </cell>
          <cell r="AE89">
            <v>0.19401906249898287</v>
          </cell>
          <cell r="AF89">
            <v>802.67720702229292</v>
          </cell>
          <cell r="AG89">
            <v>2.9678237987910761</v>
          </cell>
          <cell r="AH89">
            <v>0.56762564456893116</v>
          </cell>
          <cell r="AI89">
            <v>3.2123084909674047</v>
          </cell>
          <cell r="AJ89">
            <v>1.8606808136169106E-2</v>
          </cell>
          <cell r="AK89">
            <v>76.978316429181746</v>
          </cell>
          <cell r="AL89">
            <v>0.32976918327059579</v>
          </cell>
          <cell r="AM89">
            <v>5.4858978395392111E-2</v>
          </cell>
          <cell r="AN89">
            <v>0.39419286537719955</v>
          </cell>
          <cell r="AQ89" t="str">
            <v>20178</v>
          </cell>
          <cell r="AR89">
            <v>0.19401906249898287</v>
          </cell>
          <cell r="AS89">
            <v>802.67720702229292</v>
          </cell>
          <cell r="AT89">
            <v>2.9678237987910761</v>
          </cell>
          <cell r="AU89">
            <v>0.56762564456893116</v>
          </cell>
          <cell r="AV89">
            <v>3.2123084909674047</v>
          </cell>
          <cell r="AW89">
            <v>1.8606808136169106E-2</v>
          </cell>
          <cell r="AX89">
            <v>76.978316429181746</v>
          </cell>
          <cell r="AY89">
            <v>0.32976918327059579</v>
          </cell>
          <cell r="AZ89">
            <v>5.4858978395392111E-2</v>
          </cell>
          <cell r="BA89">
            <v>0.39419286537719955</v>
          </cell>
        </row>
        <row r="90">
          <cell r="Q90" t="str">
            <v>20179</v>
          </cell>
          <cell r="R90">
            <v>0.21262587063515198</v>
          </cell>
          <cell r="S90">
            <v>879.65552345147466</v>
          </cell>
          <cell r="T90">
            <v>3.2975929820616718</v>
          </cell>
          <cell r="U90">
            <v>0.62248462296432328</v>
          </cell>
          <cell r="V90">
            <v>3.6065013563446042</v>
          </cell>
          <cell r="W90">
            <v>1.7575977080403427E-2</v>
          </cell>
          <cell r="X90">
            <v>72.713660255213426</v>
          </cell>
          <cell r="Y90">
            <v>0.31637979324807119</v>
          </cell>
          <cell r="Z90">
            <v>5.1819750054684866E-2</v>
          </cell>
          <cell r="AA90">
            <v>0.39105213443329223</v>
          </cell>
          <cell r="AD90" t="str">
            <v>20179</v>
          </cell>
          <cell r="AE90">
            <v>0.21262587063515198</v>
          </cell>
          <cell r="AF90">
            <v>879.65552345147466</v>
          </cell>
          <cell r="AG90">
            <v>3.2975929820616718</v>
          </cell>
          <cell r="AH90">
            <v>0.62248462296432328</v>
          </cell>
          <cell r="AI90">
            <v>3.6065013563446042</v>
          </cell>
          <cell r="AJ90">
            <v>1.7575977080403427E-2</v>
          </cell>
          <cell r="AK90">
            <v>72.713660255213426</v>
          </cell>
          <cell r="AL90">
            <v>0.31637979324807119</v>
          </cell>
          <cell r="AM90">
            <v>5.1819750054684866E-2</v>
          </cell>
          <cell r="AN90">
            <v>0.39105213443329223</v>
          </cell>
          <cell r="AQ90" t="str">
            <v>20179</v>
          </cell>
          <cell r="AR90">
            <v>0.21262587063515198</v>
          </cell>
          <cell r="AS90">
            <v>879.65552345147466</v>
          </cell>
          <cell r="AT90">
            <v>3.2975929820616718</v>
          </cell>
          <cell r="AU90">
            <v>0.62248462296432328</v>
          </cell>
          <cell r="AV90">
            <v>3.6065013563446042</v>
          </cell>
          <cell r="AW90">
            <v>1.7575977080403427E-2</v>
          </cell>
          <cell r="AX90">
            <v>72.713660255213426</v>
          </cell>
          <cell r="AY90">
            <v>0.31637979324807119</v>
          </cell>
          <cell r="AZ90">
            <v>5.1819750054684866E-2</v>
          </cell>
          <cell r="BA90">
            <v>0.39105213443329223</v>
          </cell>
        </row>
        <row r="91">
          <cell r="Q91" t="str">
            <v>201710</v>
          </cell>
          <cell r="R91">
            <v>0.23020184771555541</v>
          </cell>
          <cell r="S91">
            <v>952.36918370668809</v>
          </cell>
          <cell r="T91">
            <v>3.613972775309743</v>
          </cell>
          <cell r="U91">
            <v>0.67430437301900814</v>
          </cell>
          <cell r="V91">
            <v>3.9975534907778965</v>
          </cell>
          <cell r="W91">
            <v>1.6602254834367752E-2</v>
          </cell>
          <cell r="X91">
            <v>68.685269215711855</v>
          </cell>
          <cell r="Y91">
            <v>0.30709833341638815</v>
          </cell>
          <cell r="Z91">
            <v>4.8948897232026556E-2</v>
          </cell>
          <cell r="AA91">
            <v>0.38604027198453927</v>
          </cell>
          <cell r="AD91" t="str">
            <v>201710</v>
          </cell>
          <cell r="AE91">
            <v>0.23020184771555541</v>
          </cell>
          <cell r="AF91">
            <v>952.36918370668809</v>
          </cell>
          <cell r="AG91">
            <v>3.613972775309743</v>
          </cell>
          <cell r="AH91">
            <v>0.67430437301900814</v>
          </cell>
          <cell r="AI91">
            <v>3.9975534907778965</v>
          </cell>
          <cell r="AJ91">
            <v>1.6602254834367752E-2</v>
          </cell>
          <cell r="AK91">
            <v>68.685269215711855</v>
          </cell>
          <cell r="AL91">
            <v>0.30709833341638815</v>
          </cell>
          <cell r="AM91">
            <v>4.8948897232026556E-2</v>
          </cell>
          <cell r="AN91">
            <v>0.38604027198453927</v>
          </cell>
          <cell r="AQ91" t="str">
            <v>201710</v>
          </cell>
          <cell r="AR91">
            <v>0.23020184771555541</v>
          </cell>
          <cell r="AS91">
            <v>952.36918370668809</v>
          </cell>
          <cell r="AT91">
            <v>3.613972775309743</v>
          </cell>
          <cell r="AU91">
            <v>0.67430437301900814</v>
          </cell>
          <cell r="AV91">
            <v>3.9975534907778965</v>
          </cell>
          <cell r="AW91">
            <v>1.6602254834367752E-2</v>
          </cell>
          <cell r="AX91">
            <v>68.685269215711855</v>
          </cell>
          <cell r="AY91">
            <v>0.30709833341638815</v>
          </cell>
          <cell r="AZ91">
            <v>4.8948897232026556E-2</v>
          </cell>
          <cell r="BA91">
            <v>0.38604027198453927</v>
          </cell>
        </row>
        <row r="92">
          <cell r="Q92" t="str">
            <v>201711</v>
          </cell>
          <cell r="R92">
            <v>0.24680410254992316</v>
          </cell>
          <cell r="S92">
            <v>1021.0544529223999</v>
          </cell>
          <cell r="T92">
            <v>3.9210711087261312</v>
          </cell>
          <cell r="U92">
            <v>0.7232532702510347</v>
          </cell>
          <cell r="V92">
            <v>4.3835937627624357</v>
          </cell>
          <cell r="W92">
            <v>1.5682477527386524E-2</v>
          </cell>
          <cell r="X92">
            <v>64.880054045918655</v>
          </cell>
          <cell r="Y92">
            <v>0.29393175175528397</v>
          </cell>
          <cell r="Z92">
            <v>4.6237091798069785E-2</v>
          </cell>
          <cell r="AA92">
            <v>0.38229018167063877</v>
          </cell>
          <cell r="AD92" t="str">
            <v>201711</v>
          </cell>
          <cell r="AE92">
            <v>0.24680410254992316</v>
          </cell>
          <cell r="AF92">
            <v>1021.0544529223999</v>
          </cell>
          <cell r="AG92">
            <v>3.9210711087261312</v>
          </cell>
          <cell r="AH92">
            <v>0.7232532702510347</v>
          </cell>
          <cell r="AI92">
            <v>4.3835937627624357</v>
          </cell>
          <cell r="AJ92">
            <v>1.5682477527386524E-2</v>
          </cell>
          <cell r="AK92">
            <v>64.880054045918655</v>
          </cell>
          <cell r="AL92">
            <v>0.29393175175528397</v>
          </cell>
          <cell r="AM92">
            <v>4.6237091798069785E-2</v>
          </cell>
          <cell r="AN92">
            <v>0.38229018167063877</v>
          </cell>
          <cell r="AQ92" t="str">
            <v>201711</v>
          </cell>
          <cell r="AR92">
            <v>0.24680410254992316</v>
          </cell>
          <cell r="AS92">
            <v>1021.0544529223999</v>
          </cell>
          <cell r="AT92">
            <v>3.9210711087261312</v>
          </cell>
          <cell r="AU92">
            <v>0.7232532702510347</v>
          </cell>
          <cell r="AV92">
            <v>4.3835937627624357</v>
          </cell>
          <cell r="AW92">
            <v>1.5682477527386524E-2</v>
          </cell>
          <cell r="AX92">
            <v>64.880054045918655</v>
          </cell>
          <cell r="AY92">
            <v>0.29393175175528397</v>
          </cell>
          <cell r="AZ92">
            <v>4.6237091798069785E-2</v>
          </cell>
          <cell r="BA92">
            <v>0.38229018167063877</v>
          </cell>
        </row>
        <row r="93">
          <cell r="Q93" t="str">
            <v>201712</v>
          </cell>
          <cell r="R93">
            <v>0.26248658007730968</v>
          </cell>
          <cell r="S93">
            <v>1085.9345069683186</v>
          </cell>
          <cell r="T93">
            <v>4.2150028604814151</v>
          </cell>
          <cell r="U93">
            <v>0.76949036204910448</v>
          </cell>
          <cell r="V93">
            <v>4.7658839444330745</v>
          </cell>
          <cell r="W93">
            <v>1.4813656569580613E-2</v>
          </cell>
          <cell r="X93">
            <v>61.285650636110859</v>
          </cell>
          <cell r="Y93">
            <v>0.28381408397039554</v>
          </cell>
          <cell r="Z93">
            <v>4.367552240879391E-2</v>
          </cell>
          <cell r="AA93">
            <v>0.37416865073925543</v>
          </cell>
          <cell r="AD93" t="str">
            <v>201712</v>
          </cell>
          <cell r="AE93">
            <v>0.26248658007730968</v>
          </cell>
          <cell r="AF93">
            <v>1085.9345069683186</v>
          </cell>
          <cell r="AG93">
            <v>4.2150028604814151</v>
          </cell>
          <cell r="AH93">
            <v>0.76949036204910448</v>
          </cell>
          <cell r="AI93">
            <v>4.7658839444330745</v>
          </cell>
          <cell r="AJ93">
            <v>1.4813656569580613E-2</v>
          </cell>
          <cell r="AK93">
            <v>61.285650636110859</v>
          </cell>
          <cell r="AL93">
            <v>0.28381408397039554</v>
          </cell>
          <cell r="AM93">
            <v>4.367552240879391E-2</v>
          </cell>
          <cell r="AN93">
            <v>0.37416865073925543</v>
          </cell>
          <cell r="AQ93" t="str">
            <v>201712</v>
          </cell>
          <cell r="AR93">
            <v>0.26248658007730968</v>
          </cell>
          <cell r="AS93">
            <v>1085.9345069683186</v>
          </cell>
          <cell r="AT93">
            <v>4.2150028604814151</v>
          </cell>
          <cell r="AU93">
            <v>0.76949036204910448</v>
          </cell>
          <cell r="AV93">
            <v>4.7658839444330745</v>
          </cell>
          <cell r="AW93">
            <v>1.4813656569580613E-2</v>
          </cell>
          <cell r="AX93">
            <v>61.285650636110859</v>
          </cell>
          <cell r="AY93">
            <v>0.28381408397039554</v>
          </cell>
          <cell r="AZ93">
            <v>4.367552240879391E-2</v>
          </cell>
          <cell r="BA93">
            <v>0.37416865073925543</v>
          </cell>
        </row>
        <row r="94">
          <cell r="Q94" t="str">
            <v>201713</v>
          </cell>
          <cell r="R94">
            <v>0.2773002366468903</v>
          </cell>
          <cell r="S94">
            <v>1147.2201576044295</v>
          </cell>
          <cell r="T94">
            <v>4.4988169444518107</v>
          </cell>
          <cell r="U94">
            <v>0.81316588445789839</v>
          </cell>
          <cell r="V94">
            <v>5.1400525951723299</v>
          </cell>
          <cell r="W94">
            <v>1.3992968941180406E-2</v>
          </cell>
          <cell r="X94">
            <v>57.89037985747018</v>
          </cell>
          <cell r="Y94">
            <v>0.27178394683553098</v>
          </cell>
          <cell r="Z94">
            <v>4.1681184080111788E-2</v>
          </cell>
          <cell r="AA94">
            <v>0.36832556544262118</v>
          </cell>
          <cell r="AD94" t="str">
            <v>201713</v>
          </cell>
          <cell r="AE94">
            <v>0.2773002366468903</v>
          </cell>
          <cell r="AF94">
            <v>1147.2201576044295</v>
          </cell>
          <cell r="AG94">
            <v>4.4988169444518107</v>
          </cell>
          <cell r="AH94">
            <v>0.81316588445789839</v>
          </cell>
          <cell r="AI94">
            <v>5.1400525951723299</v>
          </cell>
          <cell r="AJ94">
            <v>1.3992968941180406E-2</v>
          </cell>
          <cell r="AK94">
            <v>57.89037985747018</v>
          </cell>
          <cell r="AL94">
            <v>0.27178394683553098</v>
          </cell>
          <cell r="AM94">
            <v>4.1681184080111788E-2</v>
          </cell>
          <cell r="AN94">
            <v>0.36832556544262118</v>
          </cell>
          <cell r="AQ94" t="str">
            <v>201713</v>
          </cell>
          <cell r="AR94">
            <v>0.2773002366468903</v>
          </cell>
          <cell r="AS94">
            <v>1147.2201576044295</v>
          </cell>
          <cell r="AT94">
            <v>4.4988169444518107</v>
          </cell>
          <cell r="AU94">
            <v>0.81316588445789839</v>
          </cell>
          <cell r="AV94">
            <v>5.1400525951723299</v>
          </cell>
          <cell r="AW94">
            <v>1.3992968941180406E-2</v>
          </cell>
          <cell r="AX94">
            <v>57.89037985747018</v>
          </cell>
          <cell r="AY94">
            <v>0.27178394683553098</v>
          </cell>
          <cell r="AZ94">
            <v>4.1681184080111788E-2</v>
          </cell>
          <cell r="BA94">
            <v>0.36832556544262118</v>
          </cell>
        </row>
        <row r="95">
          <cell r="Q95" t="str">
            <v>201714</v>
          </cell>
          <cell r="R95">
            <v>0.2912932055880707</v>
          </cell>
          <cell r="S95">
            <v>1205.1105374618996</v>
          </cell>
          <cell r="T95">
            <v>4.7706008912873417</v>
          </cell>
          <cell r="U95">
            <v>0.85484706853801018</v>
          </cell>
          <cell r="V95">
            <v>5.5083781606149511</v>
          </cell>
          <cell r="W95">
            <v>1.3217748019818065E-2</v>
          </cell>
          <cell r="X95">
            <v>54.683209613630652</v>
          </cell>
          <cell r="Y95">
            <v>0.26106778866657443</v>
          </cell>
          <cell r="Z95">
            <v>3.9372015378181469E-2</v>
          </cell>
          <cell r="AA95">
            <v>0.36318675410077628</v>
          </cell>
          <cell r="AD95" t="str">
            <v>201714</v>
          </cell>
          <cell r="AE95">
            <v>0.2912932055880707</v>
          </cell>
          <cell r="AF95">
            <v>1205.1105374618996</v>
          </cell>
          <cell r="AG95">
            <v>4.7706008912873417</v>
          </cell>
          <cell r="AH95">
            <v>0.85484706853801018</v>
          </cell>
          <cell r="AI95">
            <v>5.5083781606149511</v>
          </cell>
          <cell r="AJ95">
            <v>1.3217748019818065E-2</v>
          </cell>
          <cell r="AK95">
            <v>54.683209613630652</v>
          </cell>
          <cell r="AL95">
            <v>0.26106778866657443</v>
          </cell>
          <cell r="AM95">
            <v>3.9372015378181469E-2</v>
          </cell>
          <cell r="AN95">
            <v>0.36318675410077628</v>
          </cell>
          <cell r="AQ95" t="str">
            <v>201714</v>
          </cell>
          <cell r="AR95">
            <v>0.2912932055880707</v>
          </cell>
          <cell r="AS95">
            <v>1205.1105374618996</v>
          </cell>
          <cell r="AT95">
            <v>4.7706008912873417</v>
          </cell>
          <cell r="AU95">
            <v>0.85484706853801018</v>
          </cell>
          <cell r="AV95">
            <v>5.5083781606149511</v>
          </cell>
          <cell r="AW95">
            <v>1.3217748019818065E-2</v>
          </cell>
          <cell r="AX95">
            <v>54.683209613630652</v>
          </cell>
          <cell r="AY95">
            <v>0.26106778866657443</v>
          </cell>
          <cell r="AZ95">
            <v>3.9372015378181469E-2</v>
          </cell>
          <cell r="BA95">
            <v>0.36318675410077628</v>
          </cell>
        </row>
        <row r="96">
          <cell r="Q96" t="str">
            <v>201715</v>
          </cell>
          <cell r="R96">
            <v>0.30451095360788877</v>
          </cell>
          <cell r="S96">
            <v>1259.7937470755303</v>
          </cell>
          <cell r="T96">
            <v>5.0316686799539161</v>
          </cell>
          <cell r="U96">
            <v>0.89421908391619165</v>
          </cell>
          <cell r="V96">
            <v>5.8715649147157274</v>
          </cell>
          <cell r="W96">
            <v>1.2485474915994943E-2</v>
          </cell>
          <cell r="X96">
            <v>51.653718994597511</v>
          </cell>
          <cell r="Y96">
            <v>0.25229714261485991</v>
          </cell>
          <cell r="Z96">
            <v>3.7190776345516929E-2</v>
          </cell>
          <cell r="AA96">
            <v>0.35824584561395856</v>
          </cell>
          <cell r="AD96" t="str">
            <v>201715</v>
          </cell>
          <cell r="AE96">
            <v>0.30451095360788877</v>
          </cell>
          <cell r="AF96">
            <v>1259.7937470755303</v>
          </cell>
          <cell r="AG96">
            <v>5.0316686799539161</v>
          </cell>
          <cell r="AH96">
            <v>0.89421908391619165</v>
          </cell>
          <cell r="AI96">
            <v>5.8715649147157274</v>
          </cell>
          <cell r="AJ96">
            <v>1.2485474915994943E-2</v>
          </cell>
          <cell r="AK96">
            <v>51.653718994597511</v>
          </cell>
          <cell r="AL96">
            <v>0.25229714261485991</v>
          </cell>
          <cell r="AM96">
            <v>3.7190776345516929E-2</v>
          </cell>
          <cell r="AN96">
            <v>0.35824584561395856</v>
          </cell>
          <cell r="AQ96" t="str">
            <v>201715</v>
          </cell>
          <cell r="AR96">
            <v>0.30451095360788877</v>
          </cell>
          <cell r="AS96">
            <v>1259.7937470755303</v>
          </cell>
          <cell r="AT96">
            <v>5.0316686799539161</v>
          </cell>
          <cell r="AU96">
            <v>0.89421908391619165</v>
          </cell>
          <cell r="AV96">
            <v>5.8715649147157274</v>
          </cell>
          <cell r="AW96">
            <v>1.2485474915994943E-2</v>
          </cell>
          <cell r="AX96">
            <v>51.653718994597511</v>
          </cell>
          <cell r="AY96">
            <v>0.25229714261485991</v>
          </cell>
          <cell r="AZ96">
            <v>3.7190776345516929E-2</v>
          </cell>
          <cell r="BA96">
            <v>0.35824584561395856</v>
          </cell>
        </row>
        <row r="97">
          <cell r="Q97" t="str">
            <v>201716</v>
          </cell>
          <cell r="R97">
            <v>0.31699642852388371</v>
          </cell>
          <cell r="S97">
            <v>1311.4474660701278</v>
          </cell>
          <cell r="T97">
            <v>5.283965822568776</v>
          </cell>
          <cell r="U97">
            <v>0.93140986026170858</v>
          </cell>
          <cell r="V97">
            <v>6.2298107603296859</v>
          </cell>
          <cell r="W97">
            <v>1.1793770288570316E-2</v>
          </cell>
          <cell r="X97">
            <v>48.792064416566063</v>
          </cell>
          <cell r="Y97">
            <v>0.24206380693902574</v>
          </cell>
          <cell r="Z97">
            <v>3.513037958297538E-2</v>
          </cell>
          <cell r="AA97">
            <v>0.3548885284402612</v>
          </cell>
          <cell r="AD97" t="str">
            <v>201716</v>
          </cell>
          <cell r="AE97">
            <v>0.31699642852388371</v>
          </cell>
          <cell r="AF97">
            <v>1311.4474660701278</v>
          </cell>
          <cell r="AG97">
            <v>5.283965822568776</v>
          </cell>
          <cell r="AH97">
            <v>0.93140986026170858</v>
          </cell>
          <cell r="AI97">
            <v>6.2298107603296859</v>
          </cell>
          <cell r="AJ97">
            <v>1.1793770288570316E-2</v>
          </cell>
          <cell r="AK97">
            <v>48.792064416566063</v>
          </cell>
          <cell r="AL97">
            <v>0.24206380693902574</v>
          </cell>
          <cell r="AM97">
            <v>3.513037958297538E-2</v>
          </cell>
          <cell r="AN97">
            <v>0.3548885284402612</v>
          </cell>
          <cell r="AQ97" t="str">
            <v>201716</v>
          </cell>
          <cell r="AR97">
            <v>0.31699642852388371</v>
          </cell>
          <cell r="AS97">
            <v>1311.4474660701278</v>
          </cell>
          <cell r="AT97">
            <v>5.283965822568776</v>
          </cell>
          <cell r="AU97">
            <v>0.93140986026170858</v>
          </cell>
          <cell r="AV97">
            <v>6.2298107603296859</v>
          </cell>
          <cell r="AW97">
            <v>1.1793770288570316E-2</v>
          </cell>
          <cell r="AX97">
            <v>48.792064416566063</v>
          </cell>
          <cell r="AY97">
            <v>0.24206380693902574</v>
          </cell>
          <cell r="AZ97">
            <v>3.513037958297538E-2</v>
          </cell>
          <cell r="BA97">
            <v>0.3548885284402612</v>
          </cell>
        </row>
        <row r="98">
          <cell r="Q98" t="str">
            <v>201717</v>
          </cell>
          <cell r="R98">
            <v>0.32879019881245403</v>
          </cell>
          <cell r="S98">
            <v>1360.2395304866939</v>
          </cell>
          <cell r="T98">
            <v>5.5260296295078017</v>
          </cell>
          <cell r="U98">
            <v>0.96654023984468396</v>
          </cell>
          <cell r="V98">
            <v>6.5846992887699471</v>
          </cell>
          <cell r="W98">
            <v>1.114038661367811E-2</v>
          </cell>
          <cell r="X98">
            <v>46.08894763761964</v>
          </cell>
          <cell r="Y98">
            <v>0.23389828827700487</v>
          </cell>
          <cell r="Z98">
            <v>3.3522743913499409E-2</v>
          </cell>
          <cell r="AA98">
            <v>0.34809475498057996</v>
          </cell>
          <cell r="AD98" t="str">
            <v>201717</v>
          </cell>
          <cell r="AE98">
            <v>0.32879019881245403</v>
          </cell>
          <cell r="AF98">
            <v>1360.2395304866939</v>
          </cell>
          <cell r="AG98">
            <v>5.5260296295078017</v>
          </cell>
          <cell r="AH98">
            <v>0.96654023984468396</v>
          </cell>
          <cell r="AI98">
            <v>6.5846992887699471</v>
          </cell>
          <cell r="AJ98">
            <v>1.114038661367811E-2</v>
          </cell>
          <cell r="AK98">
            <v>46.08894763761964</v>
          </cell>
          <cell r="AL98">
            <v>0.23389828827700487</v>
          </cell>
          <cell r="AM98">
            <v>3.3522743913499409E-2</v>
          </cell>
          <cell r="AN98">
            <v>0.34809475498057996</v>
          </cell>
          <cell r="AQ98" t="str">
            <v>201717</v>
          </cell>
          <cell r="AR98">
            <v>0.32879019881245403</v>
          </cell>
          <cell r="AS98">
            <v>1360.2395304866939</v>
          </cell>
          <cell r="AT98">
            <v>5.5260296295078017</v>
          </cell>
          <cell r="AU98">
            <v>0.96654023984468396</v>
          </cell>
          <cell r="AV98">
            <v>6.5846992887699471</v>
          </cell>
          <cell r="AW98">
            <v>1.114038661367811E-2</v>
          </cell>
          <cell r="AX98">
            <v>46.08894763761964</v>
          </cell>
          <cell r="AY98">
            <v>0.23389828827700487</v>
          </cell>
          <cell r="AZ98">
            <v>3.3522743913499409E-2</v>
          </cell>
          <cell r="BA98">
            <v>0.34809475498057996</v>
          </cell>
        </row>
        <row r="99">
          <cell r="Q99" t="str">
            <v>201718</v>
          </cell>
          <cell r="R99">
            <v>0.33993058542613214</v>
          </cell>
          <cell r="S99">
            <v>1406.3284781243135</v>
          </cell>
          <cell r="T99">
            <v>5.7599279177848066</v>
          </cell>
          <cell r="U99">
            <v>1.0000629837581834</v>
          </cell>
          <cell r="V99">
            <v>6.9327940437505271</v>
          </cell>
          <cell r="W99">
            <v>1.0523200881951633E-2</v>
          </cell>
          <cell r="X99">
            <v>43.535585545382901</v>
          </cell>
          <cell r="Y99">
            <v>0.23016320890241726</v>
          </cell>
          <cell r="Z99">
            <v>3.1985413015050534E-2</v>
          </cell>
          <cell r="AA99">
            <v>0.35279910555600758</v>
          </cell>
          <cell r="AD99" t="str">
            <v>201718</v>
          </cell>
          <cell r="AE99">
            <v>0.33993058542613214</v>
          </cell>
          <cell r="AF99">
            <v>1406.3284781243135</v>
          </cell>
          <cell r="AG99">
            <v>5.7599279177848066</v>
          </cell>
          <cell r="AH99">
            <v>1.0000629837581834</v>
          </cell>
          <cell r="AI99">
            <v>6.9327940437505271</v>
          </cell>
          <cell r="AJ99">
            <v>1.0523200881951633E-2</v>
          </cell>
          <cell r="AK99">
            <v>43.535585545382901</v>
          </cell>
          <cell r="AL99">
            <v>0.23016320890241726</v>
          </cell>
          <cell r="AM99">
            <v>3.1985413015050534E-2</v>
          </cell>
          <cell r="AN99">
            <v>0.35279910555600758</v>
          </cell>
          <cell r="AQ99" t="str">
            <v>201718</v>
          </cell>
          <cell r="AR99">
            <v>0.33993058542613214</v>
          </cell>
          <cell r="AS99">
            <v>1406.3284781243135</v>
          </cell>
          <cell r="AT99">
            <v>5.7599279177848066</v>
          </cell>
          <cell r="AU99">
            <v>1.0000629837581834</v>
          </cell>
          <cell r="AV99">
            <v>6.9327940437505271</v>
          </cell>
          <cell r="AW99">
            <v>1.0523200881951633E-2</v>
          </cell>
          <cell r="AX99">
            <v>43.535585545382901</v>
          </cell>
          <cell r="AY99">
            <v>0.23016320890241726</v>
          </cell>
          <cell r="AZ99">
            <v>3.1985413015050534E-2</v>
          </cell>
          <cell r="BA99">
            <v>0.35279910555600758</v>
          </cell>
        </row>
        <row r="100">
          <cell r="Q100" t="str">
            <v>201719</v>
          </cell>
          <cell r="R100">
            <v>0.35045378630808377</v>
          </cell>
          <cell r="S100">
            <v>1449.8640636696964</v>
          </cell>
          <cell r="T100">
            <v>5.9900911266872239</v>
          </cell>
          <cell r="U100">
            <v>1.0320483967732339</v>
          </cell>
          <cell r="V100">
            <v>7.2855931493065347</v>
          </cell>
          <cell r="W100">
            <v>9.9402077003274414E-3</v>
          </cell>
          <cell r="X100">
            <v>41.123681618460296</v>
          </cell>
          <cell r="Y100">
            <v>0.22684603018175675</v>
          </cell>
          <cell r="Z100">
            <v>3.0515531238087146E-2</v>
          </cell>
          <cell r="AA100">
            <v>0.35530955184149082</v>
          </cell>
          <cell r="AD100" t="str">
            <v>201719</v>
          </cell>
          <cell r="AE100">
            <v>0.35045378630808377</v>
          </cell>
          <cell r="AF100">
            <v>1449.8640636696964</v>
          </cell>
          <cell r="AG100">
            <v>5.9900911266872239</v>
          </cell>
          <cell r="AH100">
            <v>1.0320483967732339</v>
          </cell>
          <cell r="AI100">
            <v>7.2855931493065347</v>
          </cell>
          <cell r="AJ100">
            <v>9.9402077003274414E-3</v>
          </cell>
          <cell r="AK100">
            <v>41.123681618460296</v>
          </cell>
          <cell r="AL100">
            <v>0.22684603018175675</v>
          </cell>
          <cell r="AM100">
            <v>3.0515531238087146E-2</v>
          </cell>
          <cell r="AN100">
            <v>0.35530955184149082</v>
          </cell>
          <cell r="AQ100" t="str">
            <v>201719</v>
          </cell>
          <cell r="AR100">
            <v>0.35045378630808377</v>
          </cell>
          <cell r="AS100">
            <v>1449.8640636696964</v>
          </cell>
          <cell r="AT100">
            <v>5.9900911266872239</v>
          </cell>
          <cell r="AU100">
            <v>1.0320483967732339</v>
          </cell>
          <cell r="AV100">
            <v>7.2855931493065347</v>
          </cell>
          <cell r="AW100">
            <v>9.9402077003274414E-3</v>
          </cell>
          <cell r="AX100">
            <v>41.123681618460296</v>
          </cell>
          <cell r="AY100">
            <v>0.22684603018175675</v>
          </cell>
          <cell r="AZ100">
            <v>3.0515531238087146E-2</v>
          </cell>
          <cell r="BA100">
            <v>0.35530955184149082</v>
          </cell>
        </row>
        <row r="101">
          <cell r="Q101" t="str">
            <v>201720</v>
          </cell>
          <cell r="R101">
            <v>0.36039399400841121</v>
          </cell>
          <cell r="S101">
            <v>1490.9877452881567</v>
          </cell>
          <cell r="T101">
            <v>6.2169371568689806</v>
          </cell>
          <cell r="U101">
            <v>1.062563928011321</v>
          </cell>
          <cell r="V101">
            <v>7.6409027011480255</v>
          </cell>
          <cell r="W101">
            <v>9.3895127760141861E-3</v>
          </cell>
          <cell r="X101">
            <v>38.845398968932386</v>
          </cell>
          <cell r="Y101">
            <v>0.22588484366759332</v>
          </cell>
          <cell r="Z101">
            <v>2.8824948035788278E-2</v>
          </cell>
          <cell r="AA101">
            <v>0.34247463012817736</v>
          </cell>
          <cell r="AD101" t="str">
            <v>201720</v>
          </cell>
          <cell r="AE101">
            <v>0.36039399400841121</v>
          </cell>
          <cell r="AF101">
            <v>1490.9877452881567</v>
          </cell>
          <cell r="AG101">
            <v>6.2169371568689806</v>
          </cell>
          <cell r="AH101">
            <v>1.062563928011321</v>
          </cell>
          <cell r="AI101">
            <v>7.6409027011480255</v>
          </cell>
          <cell r="AJ101">
            <v>9.3895127760141861E-3</v>
          </cell>
          <cell r="AK101">
            <v>38.845398968932386</v>
          </cell>
          <cell r="AL101">
            <v>0.22588484366759332</v>
          </cell>
          <cell r="AM101">
            <v>2.8824948035788278E-2</v>
          </cell>
          <cell r="AN101">
            <v>0.34247463012817736</v>
          </cell>
          <cell r="AQ101" t="str">
            <v>201720</v>
          </cell>
          <cell r="AR101">
            <v>0.36039399400841121</v>
          </cell>
          <cell r="AS101">
            <v>1490.9877452881567</v>
          </cell>
          <cell r="AT101">
            <v>6.2169371568689806</v>
          </cell>
          <cell r="AU101">
            <v>1.062563928011321</v>
          </cell>
          <cell r="AV101">
            <v>7.6409027011480255</v>
          </cell>
          <cell r="AW101">
            <v>9.3895127760141861E-3</v>
          </cell>
          <cell r="AX101">
            <v>38.845398968932386</v>
          </cell>
          <cell r="AY101">
            <v>0.22588484366759332</v>
          </cell>
          <cell r="AZ101">
            <v>2.8824948035788278E-2</v>
          </cell>
          <cell r="BA101">
            <v>0.34247463012817736</v>
          </cell>
        </row>
        <row r="102">
          <cell r="Q102" t="str">
            <v>201721</v>
          </cell>
          <cell r="R102">
            <v>0.3697835067844254</v>
          </cell>
          <cell r="S102">
            <v>1529.8331442570891</v>
          </cell>
          <cell r="T102">
            <v>6.4428220005365739</v>
          </cell>
          <cell r="U102">
            <v>1.0913888760471093</v>
          </cell>
          <cell r="V102">
            <v>7.9833773312762029</v>
          </cell>
          <cell r="W102">
            <v>8.8693267614548543E-3</v>
          </cell>
          <cell r="X102">
            <v>36.693334878318865</v>
          </cell>
          <cell r="Y102">
            <v>0.22352934975991179</v>
          </cell>
          <cell r="Z102">
            <v>2.7228024404466256E-2</v>
          </cell>
          <cell r="AA102">
            <v>0.33024089005416979</v>
          </cell>
          <cell r="AD102" t="str">
            <v>201721</v>
          </cell>
          <cell r="AE102">
            <v>0.3697835067844254</v>
          </cell>
          <cell r="AF102">
            <v>1529.8331442570891</v>
          </cell>
          <cell r="AG102">
            <v>6.4428220005365739</v>
          </cell>
          <cell r="AH102">
            <v>1.0913888760471093</v>
          </cell>
          <cell r="AI102">
            <v>7.9833773312762029</v>
          </cell>
          <cell r="AJ102">
            <v>8.8693267614548543E-3</v>
          </cell>
          <cell r="AK102">
            <v>36.693334878318865</v>
          </cell>
          <cell r="AL102">
            <v>0.22352934975991179</v>
          </cell>
          <cell r="AM102">
            <v>2.7228024404466256E-2</v>
          </cell>
          <cell r="AN102">
            <v>0.33024089005416979</v>
          </cell>
          <cell r="AQ102" t="str">
            <v>201721</v>
          </cell>
          <cell r="AR102">
            <v>0.3697835067844254</v>
          </cell>
          <cell r="AS102">
            <v>1529.8331442570891</v>
          </cell>
          <cell r="AT102">
            <v>6.4428220005365739</v>
          </cell>
          <cell r="AU102">
            <v>1.0913888760471093</v>
          </cell>
          <cell r="AV102">
            <v>7.9833773312762029</v>
          </cell>
          <cell r="AW102">
            <v>8.8693267614548543E-3</v>
          </cell>
          <cell r="AX102">
            <v>36.693334878318865</v>
          </cell>
          <cell r="AY102">
            <v>0.22352934975991179</v>
          </cell>
          <cell r="AZ102">
            <v>2.7228024404466256E-2</v>
          </cell>
          <cell r="BA102">
            <v>0.33024089005416979</v>
          </cell>
        </row>
        <row r="103">
          <cell r="Q103" t="str">
            <v>201722</v>
          </cell>
          <cell r="R103">
            <v>0.37865283354588025</v>
          </cell>
          <cell r="S103">
            <v>1566.526479135408</v>
          </cell>
          <cell r="T103">
            <v>6.6663513502964857</v>
          </cell>
          <cell r="U103">
            <v>1.1186169004515756</v>
          </cell>
          <cell r="V103">
            <v>8.3136182213303726</v>
          </cell>
          <cell r="W103">
            <v>8.377959440282301E-3</v>
          </cell>
          <cell r="X103">
            <v>34.660496744267675</v>
          </cell>
          <cell r="Y103">
            <v>0.22177663198023101</v>
          </cell>
          <cell r="Z103">
            <v>2.5719571533997287E-2</v>
          </cell>
          <cell r="AA103">
            <v>0.31856617810921506</v>
          </cell>
          <cell r="AD103" t="str">
            <v>201722</v>
          </cell>
          <cell r="AE103">
            <v>0.37865283354588025</v>
          </cell>
          <cell r="AF103">
            <v>1566.526479135408</v>
          </cell>
          <cell r="AG103">
            <v>6.6663513502964857</v>
          </cell>
          <cell r="AH103">
            <v>1.1186169004515756</v>
          </cell>
          <cell r="AI103">
            <v>8.3136182213303726</v>
          </cell>
          <cell r="AJ103">
            <v>8.377959440282301E-3</v>
          </cell>
          <cell r="AK103">
            <v>34.660496744267675</v>
          </cell>
          <cell r="AL103">
            <v>0.22177663198023101</v>
          </cell>
          <cell r="AM103">
            <v>2.5719571533997287E-2</v>
          </cell>
          <cell r="AN103">
            <v>0.31856617810921506</v>
          </cell>
          <cell r="AQ103" t="str">
            <v>201722</v>
          </cell>
          <cell r="AR103">
            <v>0.37865283354588025</v>
          </cell>
          <cell r="AS103">
            <v>1566.526479135408</v>
          </cell>
          <cell r="AT103">
            <v>6.6663513502964857</v>
          </cell>
          <cell r="AU103">
            <v>1.1186169004515756</v>
          </cell>
          <cell r="AV103">
            <v>8.3136182213303726</v>
          </cell>
          <cell r="AW103">
            <v>8.377959440282301E-3</v>
          </cell>
          <cell r="AX103">
            <v>34.660496744267675</v>
          </cell>
          <cell r="AY103">
            <v>0.22177663198023101</v>
          </cell>
          <cell r="AZ103">
            <v>2.5719571533997287E-2</v>
          </cell>
          <cell r="BA103">
            <v>0.31856617810921506</v>
          </cell>
        </row>
        <row r="104">
          <cell r="Q104" t="str">
            <v>201723</v>
          </cell>
          <cell r="R104">
            <v>0.38703079298616255</v>
          </cell>
          <cell r="S104">
            <v>1601.1869758796756</v>
          </cell>
          <cell r="T104">
            <v>6.8881279822767167</v>
          </cell>
          <cell r="U104">
            <v>1.1443364719855729</v>
          </cell>
          <cell r="V104">
            <v>8.6321843994395877</v>
          </cell>
          <cell r="W104">
            <v>7.9138142353774033E-3</v>
          </cell>
          <cell r="X104">
            <v>32.740279359814394</v>
          </cell>
          <cell r="Y104">
            <v>0.21390745983105575</v>
          </cell>
          <cell r="Z104">
            <v>2.4294688078210225E-2</v>
          </cell>
          <cell r="AA104">
            <v>0.30717145223638198</v>
          </cell>
          <cell r="AD104" t="str">
            <v>201723</v>
          </cell>
          <cell r="AE104">
            <v>0.38703079298616255</v>
          </cell>
          <cell r="AF104">
            <v>1601.1869758796756</v>
          </cell>
          <cell r="AG104">
            <v>6.8881279822767167</v>
          </cell>
          <cell r="AH104">
            <v>1.1443364719855729</v>
          </cell>
          <cell r="AI104">
            <v>8.6321843994395877</v>
          </cell>
          <cell r="AJ104">
            <v>7.9138142353774033E-3</v>
          </cell>
          <cell r="AK104">
            <v>32.740279359814394</v>
          </cell>
          <cell r="AL104">
            <v>0.21390745983105575</v>
          </cell>
          <cell r="AM104">
            <v>2.4294688078210225E-2</v>
          </cell>
          <cell r="AN104">
            <v>0.30717145223638198</v>
          </cell>
          <cell r="AQ104" t="str">
            <v>201723</v>
          </cell>
          <cell r="AR104">
            <v>0.38703079298616255</v>
          </cell>
          <cell r="AS104">
            <v>1601.1869758796756</v>
          </cell>
          <cell r="AT104">
            <v>6.8881279822767167</v>
          </cell>
          <cell r="AU104">
            <v>1.1443364719855729</v>
          </cell>
          <cell r="AV104">
            <v>8.6321843994395877</v>
          </cell>
          <cell r="AW104">
            <v>7.9138142353774033E-3</v>
          </cell>
          <cell r="AX104">
            <v>32.740279359814394</v>
          </cell>
          <cell r="AY104">
            <v>0.21390745983105575</v>
          </cell>
          <cell r="AZ104">
            <v>2.4294688078210225E-2</v>
          </cell>
          <cell r="BA104">
            <v>0.30717145223638198</v>
          </cell>
        </row>
        <row r="105">
          <cell r="Q105" t="str">
            <v>201724</v>
          </cell>
          <cell r="R105">
            <v>0.39494460722153996</v>
          </cell>
          <cell r="S105">
            <v>1633.92725523949</v>
          </cell>
          <cell r="T105">
            <v>7.1020354421077725</v>
          </cell>
          <cell r="U105">
            <v>1.1686311600637831</v>
          </cell>
          <cell r="V105">
            <v>8.9393558516759697</v>
          </cell>
          <cell r="W105">
            <v>7.4753830211849448E-3</v>
          </cell>
          <cell r="X105">
            <v>30.926443451390469</v>
          </cell>
          <cell r="Y105">
            <v>0.20800556934659564</v>
          </cell>
          <cell r="Z105">
            <v>2.3175959518567213E-2</v>
          </cell>
          <cell r="AA105">
            <v>0.29606152208522651</v>
          </cell>
          <cell r="AD105" t="str">
            <v>201724</v>
          </cell>
          <cell r="AE105">
            <v>0.39494460722153996</v>
          </cell>
          <cell r="AF105">
            <v>1633.92725523949</v>
          </cell>
          <cell r="AG105">
            <v>7.1020354421077725</v>
          </cell>
          <cell r="AH105">
            <v>1.1686311600637831</v>
          </cell>
          <cell r="AI105">
            <v>8.9393558516759697</v>
          </cell>
          <cell r="AJ105">
            <v>7.4753830211849448E-3</v>
          </cell>
          <cell r="AK105">
            <v>30.926443451390469</v>
          </cell>
          <cell r="AL105">
            <v>0.20800556934659564</v>
          </cell>
          <cell r="AM105">
            <v>2.3175959518567213E-2</v>
          </cell>
          <cell r="AN105">
            <v>0.29606152208522651</v>
          </cell>
          <cell r="AQ105" t="str">
            <v>201724</v>
          </cell>
          <cell r="AR105">
            <v>0.39494460722153996</v>
          </cell>
          <cell r="AS105">
            <v>1633.92725523949</v>
          </cell>
          <cell r="AT105">
            <v>7.1020354421077725</v>
          </cell>
          <cell r="AU105">
            <v>1.1686311600637831</v>
          </cell>
          <cell r="AV105">
            <v>8.9393558516759697</v>
          </cell>
          <cell r="AW105">
            <v>7.4753830211849448E-3</v>
          </cell>
          <cell r="AX105">
            <v>30.926443451390469</v>
          </cell>
          <cell r="AY105">
            <v>0.20800556934659564</v>
          </cell>
          <cell r="AZ105">
            <v>2.3175959518567213E-2</v>
          </cell>
          <cell r="BA105">
            <v>0.29606152208522651</v>
          </cell>
        </row>
        <row r="106">
          <cell r="Q106" t="str">
            <v>201725</v>
          </cell>
          <cell r="R106">
            <v>0.4024199902427249</v>
          </cell>
          <cell r="S106">
            <v>1664.8536986908805</v>
          </cell>
          <cell r="T106">
            <v>7.3100410114543681</v>
          </cell>
          <cell r="U106">
            <v>1.1918071195823503</v>
          </cell>
          <cell r="V106">
            <v>9.2354173737611962</v>
          </cell>
          <cell r="W106">
            <v>7.0612412234307143E-3</v>
          </cell>
          <cell r="X106">
            <v>29.213095405837976</v>
          </cell>
          <cell r="Y106">
            <v>0.19648190558408896</v>
          </cell>
          <cell r="Z106">
            <v>2.189199406656317E-2</v>
          </cell>
          <cell r="AA106">
            <v>0.27965949283070479</v>
          </cell>
          <cell r="AD106" t="str">
            <v>201725</v>
          </cell>
          <cell r="AE106">
            <v>0.4024199902427249</v>
          </cell>
          <cell r="AF106">
            <v>1664.8536986908805</v>
          </cell>
          <cell r="AG106">
            <v>7.3100410114543681</v>
          </cell>
          <cell r="AH106">
            <v>1.1918071195823503</v>
          </cell>
          <cell r="AI106">
            <v>9.2354173737611962</v>
          </cell>
          <cell r="AJ106">
            <v>7.0612412234307143E-3</v>
          </cell>
          <cell r="AK106">
            <v>29.213095405837976</v>
          </cell>
          <cell r="AL106">
            <v>0.19648190558408896</v>
          </cell>
          <cell r="AM106">
            <v>2.189199406656317E-2</v>
          </cell>
          <cell r="AN106">
            <v>0.27965949283070479</v>
          </cell>
          <cell r="AQ106" t="str">
            <v>201725</v>
          </cell>
          <cell r="AR106">
            <v>0.4024199902427249</v>
          </cell>
          <cell r="AS106">
            <v>1664.8536986908805</v>
          </cell>
          <cell r="AT106">
            <v>7.3100410114543681</v>
          </cell>
          <cell r="AU106">
            <v>1.1918071195823503</v>
          </cell>
          <cell r="AV106">
            <v>9.2354173737611962</v>
          </cell>
          <cell r="AW106">
            <v>7.0612412234307143E-3</v>
          </cell>
          <cell r="AX106">
            <v>29.213095405837976</v>
          </cell>
          <cell r="AY106">
            <v>0.19648190558408896</v>
          </cell>
          <cell r="AZ106">
            <v>2.189199406656317E-2</v>
          </cell>
          <cell r="BA106">
            <v>0.27965949283070479</v>
          </cell>
        </row>
        <row r="107">
          <cell r="Q107" t="str">
            <v>201726</v>
          </cell>
          <cell r="R107">
            <v>0.40948123146615562</v>
          </cell>
          <cell r="S107">
            <v>1694.0667940967185</v>
          </cell>
          <cell r="T107">
            <v>7.5065229170384571</v>
          </cell>
          <cell r="U107">
            <v>1.2136991136489135</v>
          </cell>
          <cell r="V107">
            <v>9.515076866591901</v>
          </cell>
          <cell r="W107">
            <v>6.6700431903184976E-3</v>
          </cell>
          <cell r="X107">
            <v>27.594668120566666</v>
          </cell>
          <cell r="Y107">
            <v>0.18559666139336795</v>
          </cell>
          <cell r="Z107">
            <v>2.0679161258738255E-2</v>
          </cell>
          <cell r="AA107">
            <v>0.26416614823662776</v>
          </cell>
          <cell r="AD107" t="str">
            <v>201726</v>
          </cell>
          <cell r="AE107">
            <v>0.40948123146615562</v>
          </cell>
          <cell r="AF107">
            <v>1694.0667940967185</v>
          </cell>
          <cell r="AG107">
            <v>7.5065229170384571</v>
          </cell>
          <cell r="AH107">
            <v>1.2136991136489135</v>
          </cell>
          <cell r="AI107">
            <v>9.515076866591901</v>
          </cell>
          <cell r="AJ107">
            <v>6.6700431903184976E-3</v>
          </cell>
          <cell r="AK107">
            <v>27.594668120566666</v>
          </cell>
          <cell r="AL107">
            <v>0.18559666139336795</v>
          </cell>
          <cell r="AM107">
            <v>2.0679161258738255E-2</v>
          </cell>
          <cell r="AN107">
            <v>0.26416614823662776</v>
          </cell>
          <cell r="AQ107" t="str">
            <v>201726</v>
          </cell>
          <cell r="AR107">
            <v>0.40948123146615562</v>
          </cell>
          <cell r="AS107">
            <v>1694.0667940967185</v>
          </cell>
          <cell r="AT107">
            <v>7.5065229170384571</v>
          </cell>
          <cell r="AU107">
            <v>1.2136991136489135</v>
          </cell>
          <cell r="AV107">
            <v>9.515076866591901</v>
          </cell>
          <cell r="AW107">
            <v>6.6700431903184976E-3</v>
          </cell>
          <cell r="AX107">
            <v>27.594668120566666</v>
          </cell>
          <cell r="AY107">
            <v>0.18559666139336795</v>
          </cell>
          <cell r="AZ107">
            <v>2.0679161258738255E-2</v>
          </cell>
          <cell r="BA107">
            <v>0.26416614823662776</v>
          </cell>
        </row>
        <row r="108">
          <cell r="Q108" t="str">
            <v>201727</v>
          </cell>
          <cell r="R108">
            <v>0.41615127465647411</v>
          </cell>
          <cell r="S108">
            <v>1721.6614622172851</v>
          </cell>
          <cell r="T108">
            <v>7.692119578431825</v>
          </cell>
          <cell r="U108">
            <v>1.2343782749076517</v>
          </cell>
          <cell r="V108">
            <v>9.7792430148285288</v>
          </cell>
          <cell r="W108">
            <v>6.3005178201657741E-3</v>
          </cell>
          <cell r="X108">
            <v>26.065902914624075</v>
          </cell>
          <cell r="Y108">
            <v>0.17531446785374616</v>
          </cell>
          <cell r="Z108">
            <v>1.9533520293523177E-2</v>
          </cell>
          <cell r="AA108">
            <v>0.24953114649471253</v>
          </cell>
          <cell r="AD108" t="str">
            <v>201727</v>
          </cell>
          <cell r="AE108">
            <v>0.41615127465647411</v>
          </cell>
          <cell r="AF108">
            <v>1721.6614622172851</v>
          </cell>
          <cell r="AG108">
            <v>7.692119578431825</v>
          </cell>
          <cell r="AH108">
            <v>1.2343782749076517</v>
          </cell>
          <cell r="AI108">
            <v>9.7792430148285288</v>
          </cell>
          <cell r="AJ108">
            <v>6.3005178201657741E-3</v>
          </cell>
          <cell r="AK108">
            <v>26.065902914624075</v>
          </cell>
          <cell r="AL108">
            <v>0.17531446785374616</v>
          </cell>
          <cell r="AM108">
            <v>1.9533520293523177E-2</v>
          </cell>
          <cell r="AN108">
            <v>0.24953114649471253</v>
          </cell>
          <cell r="AQ108" t="str">
            <v>201727</v>
          </cell>
          <cell r="AR108">
            <v>0.41615127465647411</v>
          </cell>
          <cell r="AS108">
            <v>1721.6614622172851</v>
          </cell>
          <cell r="AT108">
            <v>7.692119578431825</v>
          </cell>
          <cell r="AU108">
            <v>1.2343782749076517</v>
          </cell>
          <cell r="AV108">
            <v>9.7792430148285288</v>
          </cell>
          <cell r="AW108">
            <v>6.3005178201657741E-3</v>
          </cell>
          <cell r="AX108">
            <v>26.065902914624075</v>
          </cell>
          <cell r="AY108">
            <v>0.17531446785374616</v>
          </cell>
          <cell r="AZ108">
            <v>1.9533520293523177E-2</v>
          </cell>
          <cell r="BA108">
            <v>0.24953114649471253</v>
          </cell>
        </row>
        <row r="109">
          <cell r="Q109" t="str">
            <v>201728</v>
          </cell>
          <cell r="R109">
            <v>0.42245179247663989</v>
          </cell>
          <cell r="S109">
            <v>1747.7273651319092</v>
          </cell>
          <cell r="T109">
            <v>7.8674340462855712</v>
          </cell>
          <cell r="U109">
            <v>1.2539117952011749</v>
          </cell>
          <cell r="V109">
            <v>10.028774161323241</v>
          </cell>
          <cell r="W109">
            <v>5.9514644312717024E-3</v>
          </cell>
          <cell r="X109">
            <v>24.621832441906236</v>
          </cell>
          <cell r="Y109">
            <v>0.16560191550913483</v>
          </cell>
          <cell r="Z109">
            <v>1.845134869269649E-2</v>
          </cell>
          <cell r="AA109">
            <v>0.23570693477042681</v>
          </cell>
          <cell r="AD109" t="str">
            <v>201728</v>
          </cell>
          <cell r="AE109">
            <v>0.42245179247663989</v>
          </cell>
          <cell r="AF109">
            <v>1747.7273651319092</v>
          </cell>
          <cell r="AG109">
            <v>7.8674340462855712</v>
          </cell>
          <cell r="AH109">
            <v>1.2539117952011749</v>
          </cell>
          <cell r="AI109">
            <v>10.028774161323241</v>
          </cell>
          <cell r="AJ109">
            <v>5.9514644312717024E-3</v>
          </cell>
          <cell r="AK109">
            <v>24.621832441906236</v>
          </cell>
          <cell r="AL109">
            <v>0.16560191550913483</v>
          </cell>
          <cell r="AM109">
            <v>1.845134869269649E-2</v>
          </cell>
          <cell r="AN109">
            <v>0.23570693477042681</v>
          </cell>
          <cell r="AQ109" t="str">
            <v>201728</v>
          </cell>
          <cell r="AR109">
            <v>0.42245179247663989</v>
          </cell>
          <cell r="AS109">
            <v>1747.7273651319092</v>
          </cell>
          <cell r="AT109">
            <v>7.8674340462855712</v>
          </cell>
          <cell r="AU109">
            <v>1.2539117952011749</v>
          </cell>
          <cell r="AV109">
            <v>10.028774161323241</v>
          </cell>
          <cell r="AW109">
            <v>5.9514644312717024E-3</v>
          </cell>
          <cell r="AX109">
            <v>24.621832441906236</v>
          </cell>
          <cell r="AY109">
            <v>0.16560191550913483</v>
          </cell>
          <cell r="AZ109">
            <v>1.845134869269649E-2</v>
          </cell>
          <cell r="BA109">
            <v>0.23570693477042681</v>
          </cell>
        </row>
        <row r="110">
          <cell r="Q110" t="str">
            <v>201729</v>
          </cell>
          <cell r="R110">
            <v>0.42840325690791159</v>
          </cell>
          <cell r="S110">
            <v>1772.3491975738154</v>
          </cell>
          <cell r="T110">
            <v>8.033035961794706</v>
          </cell>
          <cell r="U110">
            <v>1.2723631438938714</v>
          </cell>
          <cell r="V110">
            <v>10.264481096093668</v>
          </cell>
          <cell r="W110">
            <v>5.6217488605976307E-3</v>
          </cell>
          <cell r="X110">
            <v>23.257764550990714</v>
          </cell>
          <cell r="Y110">
            <v>0.15642744581224655</v>
          </cell>
          <cell r="Z110">
            <v>1.7429130206108256E-2</v>
          </cell>
          <cell r="AA110">
            <v>0.22264859469175491</v>
          </cell>
          <cell r="AD110" t="str">
            <v>201729</v>
          </cell>
          <cell r="AE110">
            <v>0.42840325690791159</v>
          </cell>
          <cell r="AF110">
            <v>1772.3491975738154</v>
          </cell>
          <cell r="AG110">
            <v>8.033035961794706</v>
          </cell>
          <cell r="AH110">
            <v>1.2723631438938714</v>
          </cell>
          <cell r="AI110">
            <v>10.264481096093668</v>
          </cell>
          <cell r="AJ110">
            <v>5.6217488605976307E-3</v>
          </cell>
          <cell r="AK110">
            <v>23.257764550990714</v>
          </cell>
          <cell r="AL110">
            <v>0.15642744581224655</v>
          </cell>
          <cell r="AM110">
            <v>1.7429130206108256E-2</v>
          </cell>
          <cell r="AN110">
            <v>0.22264859469175491</v>
          </cell>
          <cell r="AQ110" t="str">
            <v>201729</v>
          </cell>
          <cell r="AR110">
            <v>0.42840325690791159</v>
          </cell>
          <cell r="AS110">
            <v>1772.3491975738154</v>
          </cell>
          <cell r="AT110">
            <v>8.033035961794706</v>
          </cell>
          <cell r="AU110">
            <v>1.2723631438938714</v>
          </cell>
          <cell r="AV110">
            <v>10.264481096093668</v>
          </cell>
          <cell r="AW110">
            <v>5.6217488605976307E-3</v>
          </cell>
          <cell r="AX110">
            <v>23.257764550990714</v>
          </cell>
          <cell r="AY110">
            <v>0.15642744581224655</v>
          </cell>
          <cell r="AZ110">
            <v>1.7429130206108256E-2</v>
          </cell>
          <cell r="BA110">
            <v>0.22264859469175491</v>
          </cell>
        </row>
        <row r="111">
          <cell r="Q111" t="str">
            <v>201730</v>
          </cell>
          <cell r="R111">
            <v>0.43402500576850922</v>
          </cell>
          <cell r="S111">
            <v>1795.6069621248062</v>
          </cell>
          <cell r="T111">
            <v>8.1894634076069526</v>
          </cell>
          <cell r="U111">
            <v>1.2897922740999797</v>
          </cell>
          <cell r="V111">
            <v>10.487129690785423</v>
          </cell>
          <cell r="W111">
            <v>5.3102997785837158E-3</v>
          </cell>
          <cell r="X111">
            <v>21.969267039144825</v>
          </cell>
          <cell r="Y111">
            <v>0.14776124858286188</v>
          </cell>
          <cell r="Z111">
            <v>1.6463543386490587E-2</v>
          </cell>
          <cell r="AA111">
            <v>0.21031369639801234</v>
          </cell>
          <cell r="AD111" t="str">
            <v>201730</v>
          </cell>
          <cell r="AE111">
            <v>0.43402500576850922</v>
          </cell>
          <cell r="AF111">
            <v>1795.6069621248062</v>
          </cell>
          <cell r="AG111">
            <v>8.1894634076069526</v>
          </cell>
          <cell r="AH111">
            <v>1.2897922740999797</v>
          </cell>
          <cell r="AI111">
            <v>10.487129690785423</v>
          </cell>
          <cell r="AJ111">
            <v>5.3102997785837158E-3</v>
          </cell>
          <cell r="AK111">
            <v>21.969267039144825</v>
          </cell>
          <cell r="AL111">
            <v>0.14776124858286188</v>
          </cell>
          <cell r="AM111">
            <v>1.6463543386490587E-2</v>
          </cell>
          <cell r="AN111">
            <v>0.21031369639801234</v>
          </cell>
          <cell r="AQ111" t="str">
            <v>201730</v>
          </cell>
          <cell r="AR111">
            <v>0.43402500576850922</v>
          </cell>
          <cell r="AS111">
            <v>1795.6069621248062</v>
          </cell>
          <cell r="AT111">
            <v>8.1894634076069526</v>
          </cell>
          <cell r="AU111">
            <v>1.2897922740999797</v>
          </cell>
          <cell r="AV111">
            <v>10.487129690785423</v>
          </cell>
          <cell r="AW111">
            <v>5.3102997785837158E-3</v>
          </cell>
          <cell r="AX111">
            <v>21.969267039144825</v>
          </cell>
          <cell r="AY111">
            <v>0.14776124858286188</v>
          </cell>
          <cell r="AZ111">
            <v>1.6463543386490587E-2</v>
          </cell>
          <cell r="BA111">
            <v>0.21031369639801234</v>
          </cell>
        </row>
        <row r="112">
          <cell r="Q112" t="str">
            <v>201731</v>
          </cell>
          <cell r="R112">
            <v>0.43933530554709294</v>
          </cell>
          <cell r="S112">
            <v>1817.576229163951</v>
          </cell>
          <cell r="T112">
            <v>8.3372246561898145</v>
          </cell>
          <cell r="U112">
            <v>1.3062558174864702</v>
          </cell>
          <cell r="V112">
            <v>10.697443387183435</v>
          </cell>
          <cell r="W112">
            <v>5.0161052081270641E-3</v>
          </cell>
          <cell r="X112">
            <v>20.752153250975198</v>
          </cell>
          <cell r="Y112">
            <v>0.13957516514699009</v>
          </cell>
          <cell r="Z112">
            <v>1.5551450797232746E-2</v>
          </cell>
          <cell r="AA112">
            <v>0.19866216067445563</v>
          </cell>
          <cell r="AD112" t="str">
            <v>201731</v>
          </cell>
          <cell r="AE112">
            <v>0.43933530554709294</v>
          </cell>
          <cell r="AF112">
            <v>1817.576229163951</v>
          </cell>
          <cell r="AG112">
            <v>8.3372246561898145</v>
          </cell>
          <cell r="AH112">
            <v>1.3062558174864702</v>
          </cell>
          <cell r="AI112">
            <v>10.697443387183435</v>
          </cell>
          <cell r="AJ112">
            <v>5.0161052081270641E-3</v>
          </cell>
          <cell r="AK112">
            <v>20.752153250975198</v>
          </cell>
          <cell r="AL112">
            <v>0.13957516514699009</v>
          </cell>
          <cell r="AM112">
            <v>1.5551450797232746E-2</v>
          </cell>
          <cell r="AN112">
            <v>0.19866216067445563</v>
          </cell>
          <cell r="AQ112" t="str">
            <v>201731</v>
          </cell>
          <cell r="AR112">
            <v>0.43933530554709294</v>
          </cell>
          <cell r="AS112">
            <v>1817.576229163951</v>
          </cell>
          <cell r="AT112">
            <v>8.3372246561898145</v>
          </cell>
          <cell r="AU112">
            <v>1.3062558174864702</v>
          </cell>
          <cell r="AV112">
            <v>10.697443387183435</v>
          </cell>
          <cell r="AW112">
            <v>5.0161052081270641E-3</v>
          </cell>
          <cell r="AX112">
            <v>20.752153250975198</v>
          </cell>
          <cell r="AY112">
            <v>0.13957516514699009</v>
          </cell>
          <cell r="AZ112">
            <v>1.5551450797232746E-2</v>
          </cell>
          <cell r="BA112">
            <v>0.19866216067445563</v>
          </cell>
        </row>
        <row r="113">
          <cell r="Q113" t="str">
            <v>201732</v>
          </cell>
          <cell r="R113">
            <v>0.44435141075522</v>
          </cell>
          <cell r="S113">
            <v>1838.3283824149262</v>
          </cell>
          <cell r="T113">
            <v>8.4767998213368045</v>
          </cell>
          <cell r="U113">
            <v>1.321807268283703</v>
          </cell>
          <cell r="V113">
            <v>10.896105547857891</v>
          </cell>
          <cell r="W113">
            <v>4.7382092364115502E-3</v>
          </cell>
          <cell r="X113">
            <v>19.602468474920897</v>
          </cell>
          <cell r="Y113">
            <v>0.1318425968421959</v>
          </cell>
          <cell r="Z113">
            <v>1.4689888818053998E-2</v>
          </cell>
          <cell r="AA113">
            <v>0.18765612872474868</v>
          </cell>
          <cell r="AD113" t="str">
            <v>201732</v>
          </cell>
          <cell r="AE113">
            <v>0.44435141075522</v>
          </cell>
          <cell r="AF113">
            <v>1838.3283824149262</v>
          </cell>
          <cell r="AG113">
            <v>8.4767998213368045</v>
          </cell>
          <cell r="AH113">
            <v>1.321807268283703</v>
          </cell>
          <cell r="AI113">
            <v>10.896105547857891</v>
          </cell>
          <cell r="AJ113">
            <v>4.7382092364115502E-3</v>
          </cell>
          <cell r="AK113">
            <v>19.602468474920897</v>
          </cell>
          <cell r="AL113">
            <v>0.1318425968421959</v>
          </cell>
          <cell r="AM113">
            <v>1.4689888818053998E-2</v>
          </cell>
          <cell r="AN113">
            <v>0.18765612872474868</v>
          </cell>
          <cell r="AQ113" t="str">
            <v>201732</v>
          </cell>
          <cell r="AR113">
            <v>0.44435141075522</v>
          </cell>
          <cell r="AS113">
            <v>1838.3283824149262</v>
          </cell>
          <cell r="AT113">
            <v>8.4767998213368045</v>
          </cell>
          <cell r="AU113">
            <v>1.321807268283703</v>
          </cell>
          <cell r="AV113">
            <v>10.896105547857891</v>
          </cell>
          <cell r="AW113">
            <v>4.7382092364115502E-3</v>
          </cell>
          <cell r="AX113">
            <v>19.602468474920897</v>
          </cell>
          <cell r="AY113">
            <v>0.1318425968421959</v>
          </cell>
          <cell r="AZ113">
            <v>1.4689888818053998E-2</v>
          </cell>
          <cell r="BA113">
            <v>0.18765612872474868</v>
          </cell>
        </row>
        <row r="114">
          <cell r="Q114" t="str">
            <v>201733</v>
          </cell>
          <cell r="R114">
            <v>0.44908961999163155</v>
          </cell>
          <cell r="S114">
            <v>1857.9308508898471</v>
          </cell>
          <cell r="T114">
            <v>8.6086424181790004</v>
          </cell>
          <cell r="U114">
            <v>1.336497157101757</v>
          </cell>
          <cell r="V114">
            <v>11.08376167658264</v>
          </cell>
          <cell r="W114">
            <v>4.4757089089043078E-3</v>
          </cell>
          <cell r="X114">
            <v>18.516477093393405</v>
          </cell>
          <cell r="Y114">
            <v>0.12453841859178816</v>
          </cell>
          <cell r="Z114">
            <v>1.3876058015448001E-2</v>
          </cell>
          <cell r="AA114">
            <v>0.17725983915812371</v>
          </cell>
          <cell r="AD114" t="str">
            <v>201733</v>
          </cell>
          <cell r="AE114">
            <v>0.44908961999163155</v>
          </cell>
          <cell r="AF114">
            <v>1857.9308508898471</v>
          </cell>
          <cell r="AG114">
            <v>8.6086424181790004</v>
          </cell>
          <cell r="AH114">
            <v>1.336497157101757</v>
          </cell>
          <cell r="AI114">
            <v>11.08376167658264</v>
          </cell>
          <cell r="AJ114">
            <v>4.4757089089043078E-3</v>
          </cell>
          <cell r="AK114">
            <v>18.516477093393405</v>
          </cell>
          <cell r="AL114">
            <v>0.12453841859178816</v>
          </cell>
          <cell r="AM114">
            <v>1.3876058015448001E-2</v>
          </cell>
          <cell r="AN114">
            <v>0.17725983915812371</v>
          </cell>
          <cell r="AQ114" t="str">
            <v>201733</v>
          </cell>
          <cell r="AR114">
            <v>0.44908961999163155</v>
          </cell>
          <cell r="AS114">
            <v>1857.9308508898471</v>
          </cell>
          <cell r="AT114">
            <v>8.6086424181790004</v>
          </cell>
          <cell r="AU114">
            <v>1.336497157101757</v>
          </cell>
          <cell r="AV114">
            <v>11.08376167658264</v>
          </cell>
          <cell r="AW114">
            <v>4.4757089089043078E-3</v>
          </cell>
          <cell r="AX114">
            <v>18.516477093393405</v>
          </cell>
          <cell r="AY114">
            <v>0.12453841859178816</v>
          </cell>
          <cell r="AZ114">
            <v>1.3876058015448001E-2</v>
          </cell>
          <cell r="BA114">
            <v>0.17725983915812371</v>
          </cell>
        </row>
        <row r="115">
          <cell r="Q115" t="str">
            <v>201734</v>
          </cell>
          <cell r="R115">
            <v>0.45356532890053586</v>
          </cell>
          <cell r="S115">
            <v>1876.4473279832405</v>
          </cell>
          <cell r="T115">
            <v>8.7331808367707886</v>
          </cell>
          <cell r="U115">
            <v>1.350373215117205</v>
          </cell>
          <cell r="V115">
            <v>11.261021515740763</v>
          </cell>
          <cell r="W115">
            <v>4.2277512954274621E-3</v>
          </cell>
          <cell r="X115">
            <v>17.490650444805624</v>
          </cell>
          <cell r="Y115">
            <v>0.11763889726707433</v>
          </cell>
          <cell r="Z115">
            <v>1.3107314046614027E-2</v>
          </cell>
          <cell r="AA115">
            <v>0.16743951179154948</v>
          </cell>
          <cell r="AD115" t="str">
            <v>201734</v>
          </cell>
          <cell r="AE115">
            <v>0.45356532890053586</v>
          </cell>
          <cell r="AF115">
            <v>1876.4473279832405</v>
          </cell>
          <cell r="AG115">
            <v>8.7331808367707886</v>
          </cell>
          <cell r="AH115">
            <v>1.350373215117205</v>
          </cell>
          <cell r="AI115">
            <v>11.261021515740763</v>
          </cell>
          <cell r="AJ115">
            <v>4.2277512954274621E-3</v>
          </cell>
          <cell r="AK115">
            <v>17.490650444805624</v>
          </cell>
          <cell r="AL115">
            <v>0.11763889726707433</v>
          </cell>
          <cell r="AM115">
            <v>1.3107314046614027E-2</v>
          </cell>
          <cell r="AN115">
            <v>0.16743951179154948</v>
          </cell>
          <cell r="AQ115" t="str">
            <v>201734</v>
          </cell>
          <cell r="AR115">
            <v>0.45356532890053586</v>
          </cell>
          <cell r="AS115">
            <v>1876.4473279832405</v>
          </cell>
          <cell r="AT115">
            <v>8.7331808367707886</v>
          </cell>
          <cell r="AU115">
            <v>1.350373215117205</v>
          </cell>
          <cell r="AV115">
            <v>11.261021515740763</v>
          </cell>
          <cell r="AW115">
            <v>4.2277512954274621E-3</v>
          </cell>
          <cell r="AX115">
            <v>17.490650444805624</v>
          </cell>
          <cell r="AY115">
            <v>0.11763889726707433</v>
          </cell>
          <cell r="AZ115">
            <v>1.3107314046614027E-2</v>
          </cell>
          <cell r="BA115">
            <v>0.16743951179154948</v>
          </cell>
        </row>
        <row r="116">
          <cell r="Q116" t="str">
            <v>201735</v>
          </cell>
          <cell r="R116">
            <v>0.45779308019596332</v>
          </cell>
          <cell r="S116">
            <v>1893.9379784280461</v>
          </cell>
          <cell r="T116">
            <v>8.8508197340378629</v>
          </cell>
          <cell r="U116">
            <v>1.363480529163819</v>
          </cell>
          <cell r="V116">
            <v>11.428461027532313</v>
          </cell>
          <cell r="W116">
            <v>3.9935307187715097E-3</v>
          </cell>
          <cell r="X116">
            <v>16.521655358055568</v>
          </cell>
          <cell r="Y116">
            <v>0.11112161457240255</v>
          </cell>
          <cell r="Z116">
            <v>1.2381159067315961E-2</v>
          </cell>
          <cell r="AA116">
            <v>0.15816323788934028</v>
          </cell>
          <cell r="AD116" t="str">
            <v>201735</v>
          </cell>
          <cell r="AE116">
            <v>0.45779308019596332</v>
          </cell>
          <cell r="AF116">
            <v>1893.9379784280461</v>
          </cell>
          <cell r="AG116">
            <v>8.8508197340378629</v>
          </cell>
          <cell r="AH116">
            <v>1.363480529163819</v>
          </cell>
          <cell r="AI116">
            <v>11.428461027532313</v>
          </cell>
          <cell r="AJ116">
            <v>3.9935307187715097E-3</v>
          </cell>
          <cell r="AK116">
            <v>16.521655358055568</v>
          </cell>
          <cell r="AL116">
            <v>0.11112161457240255</v>
          </cell>
          <cell r="AM116">
            <v>1.2381159067315961E-2</v>
          </cell>
          <cell r="AN116">
            <v>0.15816323788934028</v>
          </cell>
          <cell r="AQ116" t="str">
            <v>201735</v>
          </cell>
          <cell r="AR116">
            <v>0.45779308019596332</v>
          </cell>
          <cell r="AS116">
            <v>1893.9379784280461</v>
          </cell>
          <cell r="AT116">
            <v>8.8508197340378629</v>
          </cell>
          <cell r="AU116">
            <v>1.363480529163819</v>
          </cell>
          <cell r="AV116">
            <v>11.428461027532313</v>
          </cell>
          <cell r="AW116">
            <v>3.9935307187715097E-3</v>
          </cell>
          <cell r="AX116">
            <v>16.521655358055568</v>
          </cell>
          <cell r="AY116">
            <v>0.11112161457240255</v>
          </cell>
          <cell r="AZ116">
            <v>1.2381159067315961E-2</v>
          </cell>
          <cell r="BA116">
            <v>0.15816323788934028</v>
          </cell>
        </row>
        <row r="117">
          <cell r="Q117" t="str">
            <v>201736</v>
          </cell>
          <cell r="R117">
            <v>0.46178661091473483</v>
          </cell>
          <cell r="S117">
            <v>1910.4596337861017</v>
          </cell>
          <cell r="T117">
            <v>8.9619413486102655</v>
          </cell>
          <cell r="U117">
            <v>1.375861688231135</v>
          </cell>
          <cell r="V117">
            <v>11.586624265421653</v>
          </cell>
          <cell r="W117">
            <v>3.7722861368455485E-3</v>
          </cell>
          <cell r="X117">
            <v>15.606343322208204</v>
          </cell>
          <cell r="Y117">
            <v>0.10496539420243067</v>
          </cell>
          <cell r="Z117">
            <v>1.1695233615752088E-2</v>
          </cell>
          <cell r="AA117">
            <v>0.14940087648357903</v>
          </cell>
          <cell r="AD117" t="str">
            <v>201736</v>
          </cell>
          <cell r="AE117">
            <v>0.46178661091473483</v>
          </cell>
          <cell r="AF117">
            <v>1910.4596337861017</v>
          </cell>
          <cell r="AG117">
            <v>8.9619413486102655</v>
          </cell>
          <cell r="AH117">
            <v>1.375861688231135</v>
          </cell>
          <cell r="AI117">
            <v>11.586624265421653</v>
          </cell>
          <cell r="AJ117">
            <v>3.7722861368455485E-3</v>
          </cell>
          <cell r="AK117">
            <v>15.606343322208204</v>
          </cell>
          <cell r="AL117">
            <v>0.10496539420243067</v>
          </cell>
          <cell r="AM117">
            <v>1.1695233615752088E-2</v>
          </cell>
          <cell r="AN117">
            <v>0.14940087648357903</v>
          </cell>
          <cell r="AQ117" t="str">
            <v>201736</v>
          </cell>
          <cell r="AR117">
            <v>0.46178661091473483</v>
          </cell>
          <cell r="AS117">
            <v>1910.4596337861017</v>
          </cell>
          <cell r="AT117">
            <v>8.9619413486102655</v>
          </cell>
          <cell r="AU117">
            <v>1.375861688231135</v>
          </cell>
          <cell r="AV117">
            <v>11.586624265421653</v>
          </cell>
          <cell r="AW117">
            <v>3.7722861368455485E-3</v>
          </cell>
          <cell r="AX117">
            <v>15.606343322208204</v>
          </cell>
          <cell r="AY117">
            <v>0.10496539420243067</v>
          </cell>
          <cell r="AZ117">
            <v>1.1695233615752088E-2</v>
          </cell>
          <cell r="BA117">
            <v>0.14940087648357903</v>
          </cell>
        </row>
        <row r="118">
          <cell r="Q118" t="str">
            <v>201737</v>
          </cell>
          <cell r="R118">
            <v>0.46555889705158038</v>
          </cell>
          <cell r="S118">
            <v>1926.0659771083099</v>
          </cell>
          <cell r="T118">
            <v>9.0669067428126962</v>
          </cell>
          <cell r="U118">
            <v>1.3875569218468871</v>
          </cell>
          <cell r="V118">
            <v>11.736025141905232</v>
          </cell>
          <cell r="W118">
            <v>3.563298669858328E-3</v>
          </cell>
          <cell r="X118">
            <v>14.741740256182993</v>
          </cell>
          <cell r="Y118">
            <v>9.9150233034931645E-2</v>
          </cell>
          <cell r="Z118">
            <v>1.1047308946065426E-2</v>
          </cell>
          <cell r="AA118">
            <v>0.14112395643846298</v>
          </cell>
          <cell r="AD118" t="str">
            <v>201737</v>
          </cell>
          <cell r="AE118">
            <v>0.46555889705158038</v>
          </cell>
          <cell r="AF118">
            <v>1926.0659771083099</v>
          </cell>
          <cell r="AG118">
            <v>9.0669067428126962</v>
          </cell>
          <cell r="AH118">
            <v>1.3875569218468871</v>
          </cell>
          <cell r="AI118">
            <v>11.736025141905232</v>
          </cell>
          <cell r="AJ118">
            <v>3.563298669858328E-3</v>
          </cell>
          <cell r="AK118">
            <v>14.741740256182993</v>
          </cell>
          <cell r="AL118">
            <v>9.9150233034931645E-2</v>
          </cell>
          <cell r="AM118">
            <v>1.1047308946065426E-2</v>
          </cell>
          <cell r="AN118">
            <v>0.14112395643846298</v>
          </cell>
          <cell r="AQ118" t="str">
            <v>201737</v>
          </cell>
          <cell r="AR118">
            <v>0.46555889705158038</v>
          </cell>
          <cell r="AS118">
            <v>1926.0659771083099</v>
          </cell>
          <cell r="AT118">
            <v>9.0669067428126962</v>
          </cell>
          <cell r="AU118">
            <v>1.3875569218468871</v>
          </cell>
          <cell r="AV118">
            <v>11.736025141905232</v>
          </cell>
          <cell r="AW118">
            <v>3.563298669858328E-3</v>
          </cell>
          <cell r="AX118">
            <v>14.741740256182993</v>
          </cell>
          <cell r="AY118">
            <v>9.9150233034931645E-2</v>
          </cell>
          <cell r="AZ118">
            <v>1.1047308946065426E-2</v>
          </cell>
          <cell r="BA118">
            <v>0.14112395643846298</v>
          </cell>
        </row>
        <row r="119">
          <cell r="Q119" t="str">
            <v>201738</v>
          </cell>
          <cell r="R119">
            <v>0.46912219572143871</v>
          </cell>
          <cell r="S119">
            <v>1940.8077173644929</v>
          </cell>
          <cell r="T119">
            <v>9.1660569758476278</v>
          </cell>
          <cell r="U119">
            <v>1.3986042307929525</v>
          </cell>
          <cell r="V119">
            <v>11.877149098343695</v>
          </cell>
          <cell r="W119">
            <v>0</v>
          </cell>
          <cell r="X119">
            <v>0</v>
          </cell>
          <cell r="Y119">
            <v>0</v>
          </cell>
          <cell r="Z119">
            <v>0</v>
          </cell>
          <cell r="AA119">
            <v>0</v>
          </cell>
          <cell r="AD119" t="str">
            <v>201738</v>
          </cell>
          <cell r="AE119">
            <v>0.46912219572143871</v>
          </cell>
          <cell r="AF119">
            <v>1940.8077173644929</v>
          </cell>
          <cell r="AG119">
            <v>9.1660569758476278</v>
          </cell>
          <cell r="AH119">
            <v>1.3986042307929525</v>
          </cell>
          <cell r="AI119">
            <v>11.877149098343695</v>
          </cell>
          <cell r="AJ119">
            <v>0</v>
          </cell>
          <cell r="AK119">
            <v>0</v>
          </cell>
          <cell r="AL119">
            <v>0</v>
          </cell>
          <cell r="AM119">
            <v>0</v>
          </cell>
          <cell r="AN119">
            <v>0</v>
          </cell>
          <cell r="AQ119" t="str">
            <v>201738</v>
          </cell>
          <cell r="AR119">
            <v>0.46912219572143871</v>
          </cell>
          <cell r="AS119">
            <v>1940.8077173644929</v>
          </cell>
          <cell r="AT119">
            <v>9.1660569758476278</v>
          </cell>
          <cell r="AU119">
            <v>1.3986042307929525</v>
          </cell>
          <cell r="AV119">
            <v>11.877149098343695</v>
          </cell>
          <cell r="AW119">
            <v>0</v>
          </cell>
          <cell r="AX119">
            <v>0</v>
          </cell>
          <cell r="AY119">
            <v>0</v>
          </cell>
          <cell r="AZ119">
            <v>0</v>
          </cell>
          <cell r="BA119">
            <v>0</v>
          </cell>
        </row>
        <row r="120">
          <cell r="Q120" t="str">
            <v>20181</v>
          </cell>
          <cell r="R120">
            <v>2.7729286338373852E-2</v>
          </cell>
          <cell r="S120">
            <v>114.71896536415862</v>
          </cell>
          <cell r="T120">
            <v>0.39107120054479577</v>
          </cell>
          <cell r="U120">
            <v>8.0912203297382676E-2</v>
          </cell>
          <cell r="V120">
            <v>0.41130370009502859</v>
          </cell>
          <cell r="W120">
            <v>2.6193063182708014E-2</v>
          </cell>
          <cell r="X120">
            <v>108.36344907585944</v>
          </cell>
          <cell r="Y120">
            <v>0.39208278280308967</v>
          </cell>
          <cell r="Z120">
            <v>7.642960685531823E-2</v>
          </cell>
          <cell r="AA120">
            <v>0.39966315251426821</v>
          </cell>
          <cell r="AD120" t="str">
            <v>20181</v>
          </cell>
          <cell r="AE120">
            <v>2.7729286338373852E-2</v>
          </cell>
          <cell r="AF120">
            <v>114.71896536415862</v>
          </cell>
          <cell r="AG120">
            <v>0.39107120054479577</v>
          </cell>
          <cell r="AH120">
            <v>8.0912203297382676E-2</v>
          </cell>
          <cell r="AI120">
            <v>0.41130370009502859</v>
          </cell>
          <cell r="AJ120">
            <v>2.6193063182708014E-2</v>
          </cell>
          <cell r="AK120">
            <v>108.36344907585944</v>
          </cell>
          <cell r="AL120">
            <v>0.39208278280308967</v>
          </cell>
          <cell r="AM120">
            <v>7.642960685531823E-2</v>
          </cell>
          <cell r="AN120">
            <v>0.39966315251426821</v>
          </cell>
          <cell r="AQ120" t="str">
            <v>20181</v>
          </cell>
          <cell r="AR120">
            <v>2.7729286338373852E-2</v>
          </cell>
          <cell r="AS120">
            <v>114.71896536415862</v>
          </cell>
          <cell r="AT120">
            <v>0.39107120054479577</v>
          </cell>
          <cell r="AU120">
            <v>8.0912203297382676E-2</v>
          </cell>
          <cell r="AV120">
            <v>0.41130370009502859</v>
          </cell>
          <cell r="AW120">
            <v>2.6193063182708014E-2</v>
          </cell>
          <cell r="AX120">
            <v>108.36344907585944</v>
          </cell>
          <cell r="AY120">
            <v>0.39208278280308967</v>
          </cell>
          <cell r="AZ120">
            <v>7.642960685531823E-2</v>
          </cell>
          <cell r="BA120">
            <v>0.39966315251426821</v>
          </cell>
        </row>
        <row r="121">
          <cell r="Q121" t="str">
            <v>20182</v>
          </cell>
          <cell r="R121">
            <v>5.3922349521081867E-2</v>
          </cell>
          <cell r="S121">
            <v>223.08241444001806</v>
          </cell>
          <cell r="T121">
            <v>0.78315398334788544</v>
          </cell>
          <cell r="U121">
            <v>0.15734181015270091</v>
          </cell>
          <cell r="V121">
            <v>0.8109668526092968</v>
          </cell>
          <cell r="W121">
            <v>2.4741947936247122E-2</v>
          </cell>
          <cell r="X121">
            <v>102.36003313263063</v>
          </cell>
          <cell r="Y121">
            <v>0.37765479548765979</v>
          </cell>
          <cell r="Z121">
            <v>7.2195349601207409E-2</v>
          </cell>
          <cell r="AA121">
            <v>0.39481831813160295</v>
          </cell>
          <cell r="AD121" t="str">
            <v>20182</v>
          </cell>
          <cell r="AE121">
            <v>5.3922349521081867E-2</v>
          </cell>
          <cell r="AF121">
            <v>223.08241444001806</v>
          </cell>
          <cell r="AG121">
            <v>0.78315398334788544</v>
          </cell>
          <cell r="AH121">
            <v>0.15734181015270091</v>
          </cell>
          <cell r="AI121">
            <v>0.8109668526092968</v>
          </cell>
          <cell r="AJ121">
            <v>2.4741947936247122E-2</v>
          </cell>
          <cell r="AK121">
            <v>102.36003313263063</v>
          </cell>
          <cell r="AL121">
            <v>0.37765479548765979</v>
          </cell>
          <cell r="AM121">
            <v>7.2195349601207409E-2</v>
          </cell>
          <cell r="AN121">
            <v>0.39481831813160295</v>
          </cell>
          <cell r="AQ121" t="str">
            <v>20182</v>
          </cell>
          <cell r="AR121">
            <v>5.3922349521081867E-2</v>
          </cell>
          <cell r="AS121">
            <v>223.08241444001806</v>
          </cell>
          <cell r="AT121">
            <v>0.78315398334788544</v>
          </cell>
          <cell r="AU121">
            <v>0.15734181015270091</v>
          </cell>
          <cell r="AV121">
            <v>0.8109668526092968</v>
          </cell>
          <cell r="AW121">
            <v>2.4741947936247122E-2</v>
          </cell>
          <cell r="AX121">
            <v>102.36003313263063</v>
          </cell>
          <cell r="AY121">
            <v>0.37765479548765979</v>
          </cell>
          <cell r="AZ121">
            <v>7.2195349601207409E-2</v>
          </cell>
          <cell r="BA121">
            <v>0.39481831813160295</v>
          </cell>
        </row>
        <row r="122">
          <cell r="Q122" t="str">
            <v>20183</v>
          </cell>
          <cell r="R122">
            <v>7.8664297457328988E-2</v>
          </cell>
          <cell r="S122">
            <v>325.44244757264869</v>
          </cell>
          <cell r="T122">
            <v>1.1608087788355452</v>
          </cell>
          <cell r="U122">
            <v>0.22953715975390832</v>
          </cell>
          <cell r="V122">
            <v>1.2057851707408997</v>
          </cell>
          <cell r="W122">
            <v>2.3371225557310832E-2</v>
          </cell>
          <cell r="X122">
            <v>96.689210912606256</v>
          </cell>
          <cell r="Y122">
            <v>0.36351089560117367</v>
          </cell>
          <cell r="Z122">
            <v>6.8195673358718567E-2</v>
          </cell>
          <cell r="AA122">
            <v>0.38928363542268496</v>
          </cell>
          <cell r="AD122" t="str">
            <v>20183</v>
          </cell>
          <cell r="AE122">
            <v>7.8664297457328988E-2</v>
          </cell>
          <cell r="AF122">
            <v>325.44244757264869</v>
          </cell>
          <cell r="AG122">
            <v>1.1608087788355452</v>
          </cell>
          <cell r="AH122">
            <v>0.22953715975390832</v>
          </cell>
          <cell r="AI122">
            <v>1.2057851707408997</v>
          </cell>
          <cell r="AJ122">
            <v>2.3371225557310832E-2</v>
          </cell>
          <cell r="AK122">
            <v>96.689210912606256</v>
          </cell>
          <cell r="AL122">
            <v>0.36351089560117367</v>
          </cell>
          <cell r="AM122">
            <v>6.8195673358718567E-2</v>
          </cell>
          <cell r="AN122">
            <v>0.38928363542268496</v>
          </cell>
          <cell r="AQ122" t="str">
            <v>20183</v>
          </cell>
          <cell r="AR122">
            <v>7.8664297457328988E-2</v>
          </cell>
          <cell r="AS122">
            <v>325.44244757264869</v>
          </cell>
          <cell r="AT122">
            <v>1.1608087788355452</v>
          </cell>
          <cell r="AU122">
            <v>0.22953715975390832</v>
          </cell>
          <cell r="AV122">
            <v>1.2057851707408997</v>
          </cell>
          <cell r="AW122">
            <v>2.3371225557310832E-2</v>
          </cell>
          <cell r="AX122">
            <v>96.689210912606256</v>
          </cell>
          <cell r="AY122">
            <v>0.36351089560117367</v>
          </cell>
          <cell r="AZ122">
            <v>6.8195673358718567E-2</v>
          </cell>
          <cell r="BA122">
            <v>0.38928363542268496</v>
          </cell>
        </row>
        <row r="123">
          <cell r="Q123" t="str">
            <v>20184</v>
          </cell>
          <cell r="R123">
            <v>0.10203552301463982</v>
          </cell>
          <cell r="S123">
            <v>422.13165848525495</v>
          </cell>
          <cell r="T123">
            <v>1.5243196744367189</v>
          </cell>
          <cell r="U123">
            <v>0.29773283311262688</v>
          </cell>
          <cell r="V123">
            <v>1.5950688061635847</v>
          </cell>
          <cell r="W123">
            <v>2.2076442221046461E-2</v>
          </cell>
          <cell r="X123">
            <v>91.332556475328204</v>
          </cell>
          <cell r="Y123">
            <v>0.352481794148648</v>
          </cell>
          <cell r="Z123">
            <v>6.4417582164755627E-2</v>
          </cell>
          <cell r="AA123">
            <v>0.39321565779736245</v>
          </cell>
          <cell r="AD123" t="str">
            <v>20184</v>
          </cell>
          <cell r="AE123">
            <v>0.10203552301463982</v>
          </cell>
          <cell r="AF123">
            <v>422.13165848525495</v>
          </cell>
          <cell r="AG123">
            <v>1.5243196744367189</v>
          </cell>
          <cell r="AH123">
            <v>0.29773283311262688</v>
          </cell>
          <cell r="AI123">
            <v>1.5950688061635847</v>
          </cell>
          <cell r="AJ123">
            <v>2.2076442221046461E-2</v>
          </cell>
          <cell r="AK123">
            <v>91.332556475328204</v>
          </cell>
          <cell r="AL123">
            <v>0.352481794148648</v>
          </cell>
          <cell r="AM123">
            <v>6.4417582164755627E-2</v>
          </cell>
          <cell r="AN123">
            <v>0.39321565779736245</v>
          </cell>
          <cell r="AQ123" t="str">
            <v>20184</v>
          </cell>
          <cell r="AR123">
            <v>0.10203552301463982</v>
          </cell>
          <cell r="AS123">
            <v>422.13165848525495</v>
          </cell>
          <cell r="AT123">
            <v>1.5243196744367189</v>
          </cell>
          <cell r="AU123">
            <v>0.29773283311262688</v>
          </cell>
          <cell r="AV123">
            <v>1.5950688061635847</v>
          </cell>
          <cell r="AW123">
            <v>2.2076442221046461E-2</v>
          </cell>
          <cell r="AX123">
            <v>91.332556475328204</v>
          </cell>
          <cell r="AY123">
            <v>0.352481794148648</v>
          </cell>
          <cell r="AZ123">
            <v>6.4417582164755627E-2</v>
          </cell>
          <cell r="BA123">
            <v>0.39321565779736245</v>
          </cell>
        </row>
        <row r="124">
          <cell r="Q124" t="str">
            <v>20185</v>
          </cell>
          <cell r="R124">
            <v>0.12411196523568628</v>
          </cell>
          <cell r="S124">
            <v>513.46421496058315</v>
          </cell>
          <cell r="T124">
            <v>1.8768014685853669</v>
          </cell>
          <cell r="U124">
            <v>0.36215041527738251</v>
          </cell>
          <cell r="V124">
            <v>1.9882844639609472</v>
          </cell>
          <cell r="W124">
            <v>2.0853390847821715E-2</v>
          </cell>
          <cell r="X124">
            <v>86.272664691189902</v>
          </cell>
          <cell r="Y124">
            <v>0.34809192216482954</v>
          </cell>
          <cell r="Z124">
            <v>6.0848800042276108E-2</v>
          </cell>
          <cell r="AA124">
            <v>0.39995409194454412</v>
          </cell>
          <cell r="AD124" t="str">
            <v>20185</v>
          </cell>
          <cell r="AE124">
            <v>0.12411196523568628</v>
          </cell>
          <cell r="AF124">
            <v>513.46421496058315</v>
          </cell>
          <cell r="AG124">
            <v>1.8768014685853669</v>
          </cell>
          <cell r="AH124">
            <v>0.36215041527738251</v>
          </cell>
          <cell r="AI124">
            <v>1.9882844639609472</v>
          </cell>
          <cell r="AJ124">
            <v>2.0853390847821715E-2</v>
          </cell>
          <cell r="AK124">
            <v>86.272664691189902</v>
          </cell>
          <cell r="AL124">
            <v>0.34809192216482954</v>
          </cell>
          <cell r="AM124">
            <v>6.0848800042276108E-2</v>
          </cell>
          <cell r="AN124">
            <v>0.39995409194454412</v>
          </cell>
          <cell r="AQ124" t="str">
            <v>20185</v>
          </cell>
          <cell r="AR124">
            <v>0.12411196523568628</v>
          </cell>
          <cell r="AS124">
            <v>513.46421496058315</v>
          </cell>
          <cell r="AT124">
            <v>1.8768014685853669</v>
          </cell>
          <cell r="AU124">
            <v>0.36215041527738251</v>
          </cell>
          <cell r="AV124">
            <v>1.9882844639609472</v>
          </cell>
          <cell r="AW124">
            <v>2.0853390847821715E-2</v>
          </cell>
          <cell r="AX124">
            <v>86.272664691189902</v>
          </cell>
          <cell r="AY124">
            <v>0.34809192216482954</v>
          </cell>
          <cell r="AZ124">
            <v>6.0848800042276108E-2</v>
          </cell>
          <cell r="BA124">
            <v>0.39995409194454412</v>
          </cell>
        </row>
        <row r="125">
          <cell r="Q125" t="str">
            <v>20186</v>
          </cell>
          <cell r="R125">
            <v>0.144965356083508</v>
          </cell>
          <cell r="S125">
            <v>599.73687965177305</v>
          </cell>
          <cell r="T125">
            <v>2.2248933907501964</v>
          </cell>
          <cell r="U125">
            <v>0.42299921531965862</v>
          </cell>
          <cell r="V125">
            <v>2.3882385559054913</v>
          </cell>
          <cell r="W125">
            <v>1.9698097433355405E-2</v>
          </cell>
          <cell r="X125">
            <v>81.493094687753228</v>
          </cell>
          <cell r="Y125">
            <v>0.34172830556548561</v>
          </cell>
          <cell r="Z125">
            <v>5.807645747828194E-2</v>
          </cell>
          <cell r="AA125">
            <v>0.39935048595890787</v>
          </cell>
          <cell r="AD125" t="str">
            <v>20186</v>
          </cell>
          <cell r="AE125">
            <v>0.144965356083508</v>
          </cell>
          <cell r="AF125">
            <v>599.73687965177305</v>
          </cell>
          <cell r="AG125">
            <v>2.2248933907501964</v>
          </cell>
          <cell r="AH125">
            <v>0.42299921531965862</v>
          </cell>
          <cell r="AI125">
            <v>2.3882385559054913</v>
          </cell>
          <cell r="AJ125">
            <v>1.9698097433355405E-2</v>
          </cell>
          <cell r="AK125">
            <v>81.493094687753228</v>
          </cell>
          <cell r="AL125">
            <v>0.34172830556548561</v>
          </cell>
          <cell r="AM125">
            <v>5.807645747828194E-2</v>
          </cell>
          <cell r="AN125">
            <v>0.39935048595890787</v>
          </cell>
          <cell r="AQ125" t="str">
            <v>20186</v>
          </cell>
          <cell r="AR125">
            <v>0.144965356083508</v>
          </cell>
          <cell r="AS125">
            <v>599.73687965177305</v>
          </cell>
          <cell r="AT125">
            <v>2.2248933907501964</v>
          </cell>
          <cell r="AU125">
            <v>0.42299921531965862</v>
          </cell>
          <cell r="AV125">
            <v>2.3882385559054913</v>
          </cell>
          <cell r="AW125">
            <v>1.9698097433355405E-2</v>
          </cell>
          <cell r="AX125">
            <v>81.493094687753228</v>
          </cell>
          <cell r="AY125">
            <v>0.34172830556548561</v>
          </cell>
          <cell r="AZ125">
            <v>5.807645747828194E-2</v>
          </cell>
          <cell r="BA125">
            <v>0.39935048595890787</v>
          </cell>
        </row>
        <row r="126">
          <cell r="Q126" t="str">
            <v>20187</v>
          </cell>
          <cell r="R126">
            <v>0.1646634535168634</v>
          </cell>
          <cell r="S126">
            <v>681.22997433952628</v>
          </cell>
          <cell r="T126">
            <v>2.566621696315682</v>
          </cell>
          <cell r="U126">
            <v>0.48107567279794056</v>
          </cell>
          <cell r="V126">
            <v>2.7875890418643992</v>
          </cell>
          <cell r="W126">
            <v>1.8606808136169106E-2</v>
          </cell>
          <cell r="X126">
            <v>76.978316429181632</v>
          </cell>
          <cell r="Y126">
            <v>0.32976918327059579</v>
          </cell>
          <cell r="Z126">
            <v>5.4858978395392166E-2</v>
          </cell>
          <cell r="AA126">
            <v>0.39419286537719955</v>
          </cell>
          <cell r="AD126" t="str">
            <v>20187</v>
          </cell>
          <cell r="AE126">
            <v>0.1646634535168634</v>
          </cell>
          <cell r="AF126">
            <v>681.22997433952628</v>
          </cell>
          <cell r="AG126">
            <v>2.566621696315682</v>
          </cell>
          <cell r="AH126">
            <v>0.48107567279794056</v>
          </cell>
          <cell r="AI126">
            <v>2.7875890418643992</v>
          </cell>
          <cell r="AJ126">
            <v>1.8606808136169106E-2</v>
          </cell>
          <cell r="AK126">
            <v>76.978316429181632</v>
          </cell>
          <cell r="AL126">
            <v>0.32976918327059579</v>
          </cell>
          <cell r="AM126">
            <v>5.4858978395392166E-2</v>
          </cell>
          <cell r="AN126">
            <v>0.39419286537719955</v>
          </cell>
          <cell r="AQ126" t="str">
            <v>20187</v>
          </cell>
          <cell r="AR126">
            <v>0.1646634535168634</v>
          </cell>
          <cell r="AS126">
            <v>681.22997433952628</v>
          </cell>
          <cell r="AT126">
            <v>2.566621696315682</v>
          </cell>
          <cell r="AU126">
            <v>0.48107567279794056</v>
          </cell>
          <cell r="AV126">
            <v>2.7875890418643992</v>
          </cell>
          <cell r="AW126">
            <v>1.8606808136169106E-2</v>
          </cell>
          <cell r="AX126">
            <v>76.978316429181632</v>
          </cell>
          <cell r="AY126">
            <v>0.32976918327059579</v>
          </cell>
          <cell r="AZ126">
            <v>5.4858978395392166E-2</v>
          </cell>
          <cell r="BA126">
            <v>0.39419286537719955</v>
          </cell>
        </row>
        <row r="127">
          <cell r="Q127" t="str">
            <v>20188</v>
          </cell>
          <cell r="R127">
            <v>0.18327026165303251</v>
          </cell>
          <cell r="S127">
            <v>758.20829076870791</v>
          </cell>
          <cell r="T127">
            <v>2.8963908795862778</v>
          </cell>
          <cell r="U127">
            <v>0.53593465119333272</v>
          </cell>
          <cell r="V127">
            <v>3.1817819072415987</v>
          </cell>
          <cell r="W127">
            <v>1.7575977080403427E-2</v>
          </cell>
          <cell r="X127">
            <v>72.713660255213426</v>
          </cell>
          <cell r="Y127">
            <v>0.31637979324807119</v>
          </cell>
          <cell r="Z127">
            <v>5.1819750054684866E-2</v>
          </cell>
          <cell r="AA127">
            <v>0.39105213443329223</v>
          </cell>
          <cell r="AD127" t="str">
            <v>20188</v>
          </cell>
          <cell r="AE127">
            <v>0.18327026165303251</v>
          </cell>
          <cell r="AF127">
            <v>758.20829076870791</v>
          </cell>
          <cell r="AG127">
            <v>2.8963908795862778</v>
          </cell>
          <cell r="AH127">
            <v>0.53593465119333272</v>
          </cell>
          <cell r="AI127">
            <v>3.1817819072415987</v>
          </cell>
          <cell r="AJ127">
            <v>1.7575977080403427E-2</v>
          </cell>
          <cell r="AK127">
            <v>72.713660255213426</v>
          </cell>
          <cell r="AL127">
            <v>0.31637979324807119</v>
          </cell>
          <cell r="AM127">
            <v>5.1819750054684866E-2</v>
          </cell>
          <cell r="AN127">
            <v>0.39105213443329223</v>
          </cell>
          <cell r="AQ127" t="str">
            <v>20188</v>
          </cell>
          <cell r="AR127">
            <v>0.18327026165303251</v>
          </cell>
          <cell r="AS127">
            <v>758.20829076870791</v>
          </cell>
          <cell r="AT127">
            <v>2.8963908795862778</v>
          </cell>
          <cell r="AU127">
            <v>0.53593465119333272</v>
          </cell>
          <cell r="AV127">
            <v>3.1817819072415987</v>
          </cell>
          <cell r="AW127">
            <v>1.7575977080403427E-2</v>
          </cell>
          <cell r="AX127">
            <v>72.713660255213426</v>
          </cell>
          <cell r="AY127">
            <v>0.31637979324807119</v>
          </cell>
          <cell r="AZ127">
            <v>5.1819750054684866E-2</v>
          </cell>
          <cell r="BA127">
            <v>0.39105213443329223</v>
          </cell>
        </row>
        <row r="128">
          <cell r="Q128" t="str">
            <v>20189</v>
          </cell>
          <cell r="R128">
            <v>0.20084623873343593</v>
          </cell>
          <cell r="S128">
            <v>830.92195102392134</v>
          </cell>
          <cell r="T128">
            <v>3.212770672834349</v>
          </cell>
          <cell r="U128">
            <v>0.58775440124801759</v>
          </cell>
          <cell r="V128">
            <v>3.5728340416748909</v>
          </cell>
          <cell r="W128">
            <v>1.6602254834367752E-2</v>
          </cell>
          <cell r="X128">
            <v>68.685269215711855</v>
          </cell>
          <cell r="Y128">
            <v>0.30709833341638815</v>
          </cell>
          <cell r="Z128">
            <v>4.8948897232026556E-2</v>
          </cell>
          <cell r="AA128">
            <v>0.38604027198453927</v>
          </cell>
          <cell r="AD128" t="str">
            <v>20189</v>
          </cell>
          <cell r="AE128">
            <v>0.20084623873343593</v>
          </cell>
          <cell r="AF128">
            <v>830.92195102392134</v>
          </cell>
          <cell r="AG128">
            <v>3.212770672834349</v>
          </cell>
          <cell r="AH128">
            <v>0.58775440124801759</v>
          </cell>
          <cell r="AI128">
            <v>3.5728340416748909</v>
          </cell>
          <cell r="AJ128">
            <v>1.6602254834367752E-2</v>
          </cell>
          <cell r="AK128">
            <v>68.685269215711855</v>
          </cell>
          <cell r="AL128">
            <v>0.30709833341638815</v>
          </cell>
          <cell r="AM128">
            <v>4.8948897232026556E-2</v>
          </cell>
          <cell r="AN128">
            <v>0.38604027198453927</v>
          </cell>
          <cell r="AQ128" t="str">
            <v>20189</v>
          </cell>
          <cell r="AR128">
            <v>0.20084623873343593</v>
          </cell>
          <cell r="AS128">
            <v>830.92195102392134</v>
          </cell>
          <cell r="AT128">
            <v>3.212770672834349</v>
          </cell>
          <cell r="AU128">
            <v>0.58775440124801759</v>
          </cell>
          <cell r="AV128">
            <v>3.5728340416748909</v>
          </cell>
          <cell r="AW128">
            <v>1.6602254834367752E-2</v>
          </cell>
          <cell r="AX128">
            <v>68.685269215711855</v>
          </cell>
          <cell r="AY128">
            <v>0.30709833341638815</v>
          </cell>
          <cell r="AZ128">
            <v>4.8948897232026556E-2</v>
          </cell>
          <cell r="BA128">
            <v>0.38604027198453927</v>
          </cell>
        </row>
        <row r="129">
          <cell r="Q129" t="str">
            <v>201810</v>
          </cell>
          <cell r="R129">
            <v>0.21744849356780369</v>
          </cell>
          <cell r="S129">
            <v>899.60722023963319</v>
          </cell>
          <cell r="T129">
            <v>3.5198690062507372</v>
          </cell>
          <cell r="U129">
            <v>0.63670329848004414</v>
          </cell>
          <cell r="V129">
            <v>3.9588743136594302</v>
          </cell>
          <cell r="W129">
            <v>1.5682477527386524E-2</v>
          </cell>
          <cell r="X129">
            <v>64.880054045918769</v>
          </cell>
          <cell r="Y129">
            <v>0.29393175175528441</v>
          </cell>
          <cell r="Z129">
            <v>4.6237091798069785E-2</v>
          </cell>
          <cell r="AA129">
            <v>0.38229018167063833</v>
          </cell>
          <cell r="AD129" t="str">
            <v>201810</v>
          </cell>
          <cell r="AE129">
            <v>0.21744849356780369</v>
          </cell>
          <cell r="AF129">
            <v>899.60722023963319</v>
          </cell>
          <cell r="AG129">
            <v>3.5198690062507372</v>
          </cell>
          <cell r="AH129">
            <v>0.63670329848004414</v>
          </cell>
          <cell r="AI129">
            <v>3.9588743136594302</v>
          </cell>
          <cell r="AJ129">
            <v>1.5682477527386524E-2</v>
          </cell>
          <cell r="AK129">
            <v>64.880054045918769</v>
          </cell>
          <cell r="AL129">
            <v>0.29393175175528441</v>
          </cell>
          <cell r="AM129">
            <v>4.6237091798069785E-2</v>
          </cell>
          <cell r="AN129">
            <v>0.38229018167063833</v>
          </cell>
          <cell r="AQ129" t="str">
            <v>201810</v>
          </cell>
          <cell r="AR129">
            <v>0.21744849356780369</v>
          </cell>
          <cell r="AS129">
            <v>899.60722023963319</v>
          </cell>
          <cell r="AT129">
            <v>3.5198690062507372</v>
          </cell>
          <cell r="AU129">
            <v>0.63670329848004414</v>
          </cell>
          <cell r="AV129">
            <v>3.9588743136594302</v>
          </cell>
          <cell r="AW129">
            <v>1.5682477527386524E-2</v>
          </cell>
          <cell r="AX129">
            <v>64.880054045918769</v>
          </cell>
          <cell r="AY129">
            <v>0.29393175175528441</v>
          </cell>
          <cell r="AZ129">
            <v>4.6237091798069785E-2</v>
          </cell>
          <cell r="BA129">
            <v>0.38229018167063833</v>
          </cell>
        </row>
        <row r="130">
          <cell r="Q130" t="str">
            <v>201811</v>
          </cell>
          <cell r="R130">
            <v>0.23313097109519021</v>
          </cell>
          <cell r="S130">
            <v>964.48727428555196</v>
          </cell>
          <cell r="T130">
            <v>3.8138007580060216</v>
          </cell>
          <cell r="U130">
            <v>0.68294039027811393</v>
          </cell>
          <cell r="V130">
            <v>4.3411644953300685</v>
          </cell>
          <cell r="W130">
            <v>1.4813656569580641E-2</v>
          </cell>
          <cell r="X130">
            <v>61.285650636110745</v>
          </cell>
          <cell r="Y130">
            <v>0.28381408397039598</v>
          </cell>
          <cell r="Z130">
            <v>4.367552240879391E-2</v>
          </cell>
          <cell r="AA130">
            <v>0.37416865073925543</v>
          </cell>
          <cell r="AD130" t="str">
            <v>201811</v>
          </cell>
          <cell r="AE130">
            <v>0.23313097109519021</v>
          </cell>
          <cell r="AF130">
            <v>964.48727428555196</v>
          </cell>
          <cell r="AG130">
            <v>3.8138007580060216</v>
          </cell>
          <cell r="AH130">
            <v>0.68294039027811393</v>
          </cell>
          <cell r="AI130">
            <v>4.3411644953300685</v>
          </cell>
          <cell r="AJ130">
            <v>1.4813656569580641E-2</v>
          </cell>
          <cell r="AK130">
            <v>61.285650636110745</v>
          </cell>
          <cell r="AL130">
            <v>0.28381408397039598</v>
          </cell>
          <cell r="AM130">
            <v>4.367552240879391E-2</v>
          </cell>
          <cell r="AN130">
            <v>0.37416865073925543</v>
          </cell>
          <cell r="AQ130" t="str">
            <v>201811</v>
          </cell>
          <cell r="AR130">
            <v>0.23313097109519021</v>
          </cell>
          <cell r="AS130">
            <v>964.48727428555196</v>
          </cell>
          <cell r="AT130">
            <v>3.8138007580060216</v>
          </cell>
          <cell r="AU130">
            <v>0.68294039027811393</v>
          </cell>
          <cell r="AV130">
            <v>4.3411644953300685</v>
          </cell>
          <cell r="AW130">
            <v>1.4813656569580641E-2</v>
          </cell>
          <cell r="AX130">
            <v>61.285650636110745</v>
          </cell>
          <cell r="AY130">
            <v>0.28381408397039598</v>
          </cell>
          <cell r="AZ130">
            <v>4.367552240879391E-2</v>
          </cell>
          <cell r="BA130">
            <v>0.37416865073925543</v>
          </cell>
        </row>
        <row r="131">
          <cell r="Q131" t="str">
            <v>201812</v>
          </cell>
          <cell r="R131">
            <v>0.24794462766477085</v>
          </cell>
          <cell r="S131">
            <v>1025.7729249216627</v>
          </cell>
          <cell r="T131">
            <v>4.0976148419764176</v>
          </cell>
          <cell r="U131">
            <v>0.72661591268690784</v>
          </cell>
          <cell r="V131">
            <v>4.715333146069324</v>
          </cell>
          <cell r="W131">
            <v>1.3992968941180378E-2</v>
          </cell>
          <cell r="X131">
            <v>57.89037985747018</v>
          </cell>
          <cell r="Y131">
            <v>0.27178394683553098</v>
          </cell>
          <cell r="Z131">
            <v>4.1681184080111788E-2</v>
          </cell>
          <cell r="AA131">
            <v>0.36832556544262118</v>
          </cell>
          <cell r="AD131" t="str">
            <v>201812</v>
          </cell>
          <cell r="AE131">
            <v>0.24794462766477085</v>
          </cell>
          <cell r="AF131">
            <v>1025.7729249216627</v>
          </cell>
          <cell r="AG131">
            <v>4.0976148419764176</v>
          </cell>
          <cell r="AH131">
            <v>0.72661591268690784</v>
          </cell>
          <cell r="AI131">
            <v>4.715333146069324</v>
          </cell>
          <cell r="AJ131">
            <v>1.3992968941180378E-2</v>
          </cell>
          <cell r="AK131">
            <v>57.89037985747018</v>
          </cell>
          <cell r="AL131">
            <v>0.27178394683553098</v>
          </cell>
          <cell r="AM131">
            <v>4.1681184080111788E-2</v>
          </cell>
          <cell r="AN131">
            <v>0.36832556544262118</v>
          </cell>
          <cell r="AQ131" t="str">
            <v>201812</v>
          </cell>
          <cell r="AR131">
            <v>0.24794462766477085</v>
          </cell>
          <cell r="AS131">
            <v>1025.7729249216627</v>
          </cell>
          <cell r="AT131">
            <v>4.0976148419764176</v>
          </cell>
          <cell r="AU131">
            <v>0.72661591268690784</v>
          </cell>
          <cell r="AV131">
            <v>4.715333146069324</v>
          </cell>
          <cell r="AW131">
            <v>1.3992968941180378E-2</v>
          </cell>
          <cell r="AX131">
            <v>57.89037985747018</v>
          </cell>
          <cell r="AY131">
            <v>0.27178394683553098</v>
          </cell>
          <cell r="AZ131">
            <v>4.1681184080111788E-2</v>
          </cell>
          <cell r="BA131">
            <v>0.36832556544262118</v>
          </cell>
        </row>
        <row r="132">
          <cell r="Q132" t="str">
            <v>201813</v>
          </cell>
          <cell r="R132">
            <v>0.26193759660595123</v>
          </cell>
          <cell r="S132">
            <v>1083.6633047791329</v>
          </cell>
          <cell r="T132">
            <v>4.3693987888119485</v>
          </cell>
          <cell r="U132">
            <v>0.76829709676701963</v>
          </cell>
          <cell r="V132">
            <v>5.0836587115119451</v>
          </cell>
          <cell r="W132">
            <v>1.3217748019818065E-2</v>
          </cell>
          <cell r="X132">
            <v>54.683209613630652</v>
          </cell>
          <cell r="Y132">
            <v>0.26106778866657443</v>
          </cell>
          <cell r="Z132">
            <v>3.9372015378181469E-2</v>
          </cell>
          <cell r="AA132">
            <v>0.36318675410077628</v>
          </cell>
          <cell r="AD132" t="str">
            <v>201813</v>
          </cell>
          <cell r="AE132">
            <v>0.26193759660595123</v>
          </cell>
          <cell r="AF132">
            <v>1083.6633047791329</v>
          </cell>
          <cell r="AG132">
            <v>4.3693987888119485</v>
          </cell>
          <cell r="AH132">
            <v>0.76829709676701963</v>
          </cell>
          <cell r="AI132">
            <v>5.0836587115119451</v>
          </cell>
          <cell r="AJ132">
            <v>1.3217748019818065E-2</v>
          </cell>
          <cell r="AK132">
            <v>54.683209613630652</v>
          </cell>
          <cell r="AL132">
            <v>0.26106778866657443</v>
          </cell>
          <cell r="AM132">
            <v>3.9372015378181469E-2</v>
          </cell>
          <cell r="AN132">
            <v>0.36318675410077628</v>
          </cell>
          <cell r="AQ132" t="str">
            <v>201813</v>
          </cell>
          <cell r="AR132">
            <v>0.26193759660595123</v>
          </cell>
          <cell r="AS132">
            <v>1083.6633047791329</v>
          </cell>
          <cell r="AT132">
            <v>4.3693987888119485</v>
          </cell>
          <cell r="AU132">
            <v>0.76829709676701963</v>
          </cell>
          <cell r="AV132">
            <v>5.0836587115119451</v>
          </cell>
          <cell r="AW132">
            <v>1.3217748019818065E-2</v>
          </cell>
          <cell r="AX132">
            <v>54.683209613630652</v>
          </cell>
          <cell r="AY132">
            <v>0.26106778866657443</v>
          </cell>
          <cell r="AZ132">
            <v>3.9372015378181469E-2</v>
          </cell>
          <cell r="BA132">
            <v>0.36318675410077628</v>
          </cell>
        </row>
        <row r="133">
          <cell r="Q133" t="str">
            <v>201814</v>
          </cell>
          <cell r="R133">
            <v>0.27515534462576929</v>
          </cell>
          <cell r="S133">
            <v>1138.3465143927635</v>
          </cell>
          <cell r="T133">
            <v>4.630466577478523</v>
          </cell>
          <cell r="U133">
            <v>0.8076691121452011</v>
          </cell>
          <cell r="V133">
            <v>5.4468454656127214</v>
          </cell>
          <cell r="W133">
            <v>1.2485474915994943E-2</v>
          </cell>
          <cell r="X133">
            <v>51.653718994597511</v>
          </cell>
          <cell r="Y133">
            <v>0.25229714261485991</v>
          </cell>
          <cell r="Z133">
            <v>3.7190776345516929E-2</v>
          </cell>
          <cell r="AA133">
            <v>0.35824584561395856</v>
          </cell>
          <cell r="AD133" t="str">
            <v>201814</v>
          </cell>
          <cell r="AE133">
            <v>0.27515534462576929</v>
          </cell>
          <cell r="AF133">
            <v>1138.3465143927635</v>
          </cell>
          <cell r="AG133">
            <v>4.630466577478523</v>
          </cell>
          <cell r="AH133">
            <v>0.8076691121452011</v>
          </cell>
          <cell r="AI133">
            <v>5.4468454656127214</v>
          </cell>
          <cell r="AJ133">
            <v>1.2485474915994943E-2</v>
          </cell>
          <cell r="AK133">
            <v>51.653718994597511</v>
          </cell>
          <cell r="AL133">
            <v>0.25229714261485991</v>
          </cell>
          <cell r="AM133">
            <v>3.7190776345516929E-2</v>
          </cell>
          <cell r="AN133">
            <v>0.35824584561395856</v>
          </cell>
          <cell r="AQ133" t="str">
            <v>201814</v>
          </cell>
          <cell r="AR133">
            <v>0.27515534462576929</v>
          </cell>
          <cell r="AS133">
            <v>1138.3465143927635</v>
          </cell>
          <cell r="AT133">
            <v>4.630466577478523</v>
          </cell>
          <cell r="AU133">
            <v>0.8076691121452011</v>
          </cell>
          <cell r="AV133">
            <v>5.4468454656127214</v>
          </cell>
          <cell r="AW133">
            <v>1.2485474915994943E-2</v>
          </cell>
          <cell r="AX133">
            <v>51.653718994597511</v>
          </cell>
          <cell r="AY133">
            <v>0.25229714261485991</v>
          </cell>
          <cell r="AZ133">
            <v>3.7190776345516929E-2</v>
          </cell>
          <cell r="BA133">
            <v>0.35824584561395856</v>
          </cell>
        </row>
        <row r="134">
          <cell r="Q134" t="str">
            <v>201815</v>
          </cell>
          <cell r="R134">
            <v>0.28764081954176424</v>
          </cell>
          <cell r="S134">
            <v>1190.000233387361</v>
          </cell>
          <cell r="T134">
            <v>4.8827637200933829</v>
          </cell>
          <cell r="U134">
            <v>0.84485988849071803</v>
          </cell>
          <cell r="V134">
            <v>5.80509131122668</v>
          </cell>
          <cell r="W134">
            <v>1.1793770288570316E-2</v>
          </cell>
          <cell r="X134">
            <v>48.792064416566063</v>
          </cell>
          <cell r="Y134">
            <v>0.24206380693902574</v>
          </cell>
          <cell r="Z134">
            <v>3.513037958297538E-2</v>
          </cell>
          <cell r="AA134">
            <v>0.35488852844026209</v>
          </cell>
          <cell r="AD134" t="str">
            <v>201815</v>
          </cell>
          <cell r="AE134">
            <v>0.28764081954176424</v>
          </cell>
          <cell r="AF134">
            <v>1190.000233387361</v>
          </cell>
          <cell r="AG134">
            <v>4.8827637200933829</v>
          </cell>
          <cell r="AH134">
            <v>0.84485988849071803</v>
          </cell>
          <cell r="AI134">
            <v>5.80509131122668</v>
          </cell>
          <cell r="AJ134">
            <v>1.1793770288570316E-2</v>
          </cell>
          <cell r="AK134">
            <v>48.792064416566063</v>
          </cell>
          <cell r="AL134">
            <v>0.24206380693902574</v>
          </cell>
          <cell r="AM134">
            <v>3.513037958297538E-2</v>
          </cell>
          <cell r="AN134">
            <v>0.35488852844026209</v>
          </cell>
          <cell r="AQ134" t="str">
            <v>201815</v>
          </cell>
          <cell r="AR134">
            <v>0.28764081954176424</v>
          </cell>
          <cell r="AS134">
            <v>1190.000233387361</v>
          </cell>
          <cell r="AT134">
            <v>4.8827637200933829</v>
          </cell>
          <cell r="AU134">
            <v>0.84485988849071803</v>
          </cell>
          <cell r="AV134">
            <v>5.80509131122668</v>
          </cell>
          <cell r="AW134">
            <v>1.1793770288570316E-2</v>
          </cell>
          <cell r="AX134">
            <v>48.792064416566063</v>
          </cell>
          <cell r="AY134">
            <v>0.24206380693902574</v>
          </cell>
          <cell r="AZ134">
            <v>3.513037958297538E-2</v>
          </cell>
          <cell r="BA134">
            <v>0.35488852844026209</v>
          </cell>
        </row>
        <row r="135">
          <cell r="Q135" t="str">
            <v>201816</v>
          </cell>
          <cell r="R135">
            <v>0.29943458983033455</v>
          </cell>
          <cell r="S135">
            <v>1238.7922978039271</v>
          </cell>
          <cell r="T135">
            <v>5.1248275270324086</v>
          </cell>
          <cell r="U135">
            <v>0.8799902680736934</v>
          </cell>
          <cell r="V135">
            <v>6.1599798396669421</v>
          </cell>
          <cell r="W135">
            <v>1.114038661367811E-2</v>
          </cell>
          <cell r="X135">
            <v>46.08894763761964</v>
          </cell>
          <cell r="Y135">
            <v>0.23389828827700487</v>
          </cell>
          <cell r="Z135">
            <v>3.3522743913499409E-2</v>
          </cell>
          <cell r="AA135">
            <v>0.34809475498057996</v>
          </cell>
          <cell r="AD135" t="str">
            <v>201816</v>
          </cell>
          <cell r="AE135">
            <v>0.29943458983033455</v>
          </cell>
          <cell r="AF135">
            <v>1238.7922978039271</v>
          </cell>
          <cell r="AG135">
            <v>5.1248275270324086</v>
          </cell>
          <cell r="AH135">
            <v>0.8799902680736934</v>
          </cell>
          <cell r="AI135">
            <v>6.1599798396669421</v>
          </cell>
          <cell r="AJ135">
            <v>1.114038661367811E-2</v>
          </cell>
          <cell r="AK135">
            <v>46.08894763761964</v>
          </cell>
          <cell r="AL135">
            <v>0.23389828827700487</v>
          </cell>
          <cell r="AM135">
            <v>3.3522743913499409E-2</v>
          </cell>
          <cell r="AN135">
            <v>0.34809475498057996</v>
          </cell>
          <cell r="AQ135" t="str">
            <v>201816</v>
          </cell>
          <cell r="AR135">
            <v>0.29943458983033455</v>
          </cell>
          <cell r="AS135">
            <v>1238.7922978039271</v>
          </cell>
          <cell r="AT135">
            <v>5.1248275270324086</v>
          </cell>
          <cell r="AU135">
            <v>0.8799902680736934</v>
          </cell>
          <cell r="AV135">
            <v>6.1599798396669421</v>
          </cell>
          <cell r="AW135">
            <v>1.114038661367811E-2</v>
          </cell>
          <cell r="AX135">
            <v>46.08894763761964</v>
          </cell>
          <cell r="AY135">
            <v>0.23389828827700487</v>
          </cell>
          <cell r="AZ135">
            <v>3.3522743913499409E-2</v>
          </cell>
          <cell r="BA135">
            <v>0.34809475498057996</v>
          </cell>
        </row>
        <row r="136">
          <cell r="Q136" t="str">
            <v>201817</v>
          </cell>
          <cell r="R136">
            <v>0.31057497644401266</v>
          </cell>
          <cell r="S136">
            <v>1284.8812454415468</v>
          </cell>
          <cell r="T136">
            <v>5.3587258153094135</v>
          </cell>
          <cell r="U136">
            <v>0.91351301198719281</v>
          </cell>
          <cell r="V136">
            <v>6.508074594647522</v>
          </cell>
          <cell r="W136">
            <v>1.0523200881951633E-2</v>
          </cell>
          <cell r="X136">
            <v>43.535585545382901</v>
          </cell>
          <cell r="Y136">
            <v>0.23016320890241726</v>
          </cell>
          <cell r="Z136">
            <v>3.1985413015050534E-2</v>
          </cell>
          <cell r="AA136">
            <v>0.35279910555600758</v>
          </cell>
          <cell r="AD136" t="str">
            <v>201817</v>
          </cell>
          <cell r="AE136">
            <v>0.31057497644401266</v>
          </cell>
          <cell r="AF136">
            <v>1284.8812454415468</v>
          </cell>
          <cell r="AG136">
            <v>5.3587258153094135</v>
          </cell>
          <cell r="AH136">
            <v>0.91351301198719281</v>
          </cell>
          <cell r="AI136">
            <v>6.508074594647522</v>
          </cell>
          <cell r="AJ136">
            <v>1.0523200881951633E-2</v>
          </cell>
          <cell r="AK136">
            <v>43.535585545382901</v>
          </cell>
          <cell r="AL136">
            <v>0.23016320890241726</v>
          </cell>
          <cell r="AM136">
            <v>3.1985413015050534E-2</v>
          </cell>
          <cell r="AN136">
            <v>0.35279910555600758</v>
          </cell>
          <cell r="AQ136" t="str">
            <v>201817</v>
          </cell>
          <cell r="AR136">
            <v>0.31057497644401266</v>
          </cell>
          <cell r="AS136">
            <v>1284.8812454415468</v>
          </cell>
          <cell r="AT136">
            <v>5.3587258153094135</v>
          </cell>
          <cell r="AU136">
            <v>0.91351301198719281</v>
          </cell>
          <cell r="AV136">
            <v>6.508074594647522</v>
          </cell>
          <cell r="AW136">
            <v>1.0523200881951633E-2</v>
          </cell>
          <cell r="AX136">
            <v>43.535585545382901</v>
          </cell>
          <cell r="AY136">
            <v>0.23016320890241726</v>
          </cell>
          <cell r="AZ136">
            <v>3.1985413015050534E-2</v>
          </cell>
          <cell r="BA136">
            <v>0.35279910555600758</v>
          </cell>
        </row>
        <row r="137">
          <cell r="Q137" t="str">
            <v>201818</v>
          </cell>
          <cell r="R137">
            <v>0.3210981773259643</v>
          </cell>
          <cell r="S137">
            <v>1328.4168309869297</v>
          </cell>
          <cell r="T137">
            <v>5.5888890242118308</v>
          </cell>
          <cell r="U137">
            <v>0.94549842500224335</v>
          </cell>
          <cell r="V137">
            <v>6.8608737002035296</v>
          </cell>
          <cell r="W137">
            <v>9.9402077003274414E-3</v>
          </cell>
          <cell r="X137">
            <v>41.123681618460296</v>
          </cell>
          <cell r="Y137">
            <v>0.22684603018175675</v>
          </cell>
          <cell r="Z137">
            <v>3.0515531238087257E-2</v>
          </cell>
          <cell r="AA137">
            <v>0.35530955184149082</v>
          </cell>
          <cell r="AD137" t="str">
            <v>201818</v>
          </cell>
          <cell r="AE137">
            <v>0.3210981773259643</v>
          </cell>
          <cell r="AF137">
            <v>1328.4168309869297</v>
          </cell>
          <cell r="AG137">
            <v>5.5888890242118308</v>
          </cell>
          <cell r="AH137">
            <v>0.94549842500224335</v>
          </cell>
          <cell r="AI137">
            <v>6.8608737002035296</v>
          </cell>
          <cell r="AJ137">
            <v>9.9402077003274414E-3</v>
          </cell>
          <cell r="AK137">
            <v>41.123681618460296</v>
          </cell>
          <cell r="AL137">
            <v>0.22684603018175675</v>
          </cell>
          <cell r="AM137">
            <v>3.0515531238087257E-2</v>
          </cell>
          <cell r="AN137">
            <v>0.35530955184149082</v>
          </cell>
          <cell r="AQ137" t="str">
            <v>201818</v>
          </cell>
          <cell r="AR137">
            <v>0.3210981773259643</v>
          </cell>
          <cell r="AS137">
            <v>1328.4168309869297</v>
          </cell>
          <cell r="AT137">
            <v>5.5888890242118308</v>
          </cell>
          <cell r="AU137">
            <v>0.94549842500224335</v>
          </cell>
          <cell r="AV137">
            <v>6.8608737002035296</v>
          </cell>
          <cell r="AW137">
            <v>9.9402077003274414E-3</v>
          </cell>
          <cell r="AX137">
            <v>41.123681618460296</v>
          </cell>
          <cell r="AY137">
            <v>0.22684603018175675</v>
          </cell>
          <cell r="AZ137">
            <v>3.0515531238087257E-2</v>
          </cell>
          <cell r="BA137">
            <v>0.35530955184149082</v>
          </cell>
        </row>
        <row r="138">
          <cell r="Q138" t="str">
            <v>201819</v>
          </cell>
          <cell r="R138">
            <v>0.33103838502629174</v>
          </cell>
          <cell r="S138">
            <v>1369.5405126053899</v>
          </cell>
          <cell r="T138">
            <v>5.8157350543935875</v>
          </cell>
          <cell r="U138">
            <v>0.9760139562403306</v>
          </cell>
          <cell r="V138">
            <v>7.2161832520450204</v>
          </cell>
          <cell r="W138">
            <v>9.3895127760141861E-3</v>
          </cell>
          <cell r="X138">
            <v>38.845398968932386</v>
          </cell>
          <cell r="Y138">
            <v>0.22588484366759332</v>
          </cell>
          <cell r="Z138">
            <v>2.8824948035788167E-2</v>
          </cell>
          <cell r="AA138">
            <v>0.34247463012817736</v>
          </cell>
          <cell r="AD138" t="str">
            <v>201819</v>
          </cell>
          <cell r="AE138">
            <v>0.33103838502629174</v>
          </cell>
          <cell r="AF138">
            <v>1369.5405126053899</v>
          </cell>
          <cell r="AG138">
            <v>5.8157350543935875</v>
          </cell>
          <cell r="AH138">
            <v>0.9760139562403306</v>
          </cell>
          <cell r="AI138">
            <v>7.2161832520450204</v>
          </cell>
          <cell r="AJ138">
            <v>9.3895127760141861E-3</v>
          </cell>
          <cell r="AK138">
            <v>38.845398968932386</v>
          </cell>
          <cell r="AL138">
            <v>0.22588484366759332</v>
          </cell>
          <cell r="AM138">
            <v>2.8824948035788167E-2</v>
          </cell>
          <cell r="AN138">
            <v>0.34247463012817736</v>
          </cell>
          <cell r="AQ138" t="str">
            <v>201819</v>
          </cell>
          <cell r="AR138">
            <v>0.33103838502629174</v>
          </cell>
          <cell r="AS138">
            <v>1369.5405126053899</v>
          </cell>
          <cell r="AT138">
            <v>5.8157350543935875</v>
          </cell>
          <cell r="AU138">
            <v>0.9760139562403306</v>
          </cell>
          <cell r="AV138">
            <v>7.2161832520450204</v>
          </cell>
          <cell r="AW138">
            <v>9.3895127760141861E-3</v>
          </cell>
          <cell r="AX138">
            <v>38.845398968932386</v>
          </cell>
          <cell r="AY138">
            <v>0.22588484366759332</v>
          </cell>
          <cell r="AZ138">
            <v>2.8824948035788167E-2</v>
          </cell>
          <cell r="BA138">
            <v>0.34247463012817736</v>
          </cell>
        </row>
        <row r="139">
          <cell r="Q139" t="str">
            <v>201820</v>
          </cell>
          <cell r="R139">
            <v>0.34042789780230592</v>
          </cell>
          <cell r="S139">
            <v>1408.3859115743223</v>
          </cell>
          <cell r="T139">
            <v>6.0416198980611808</v>
          </cell>
          <cell r="U139">
            <v>1.0048389042761188</v>
          </cell>
          <cell r="V139">
            <v>7.5586578821731978</v>
          </cell>
          <cell r="W139">
            <v>8.8693267614548543E-3</v>
          </cell>
          <cell r="X139">
            <v>36.693334878318865</v>
          </cell>
          <cell r="Y139">
            <v>0.22352934975991179</v>
          </cell>
          <cell r="Z139">
            <v>2.7228024404466256E-2</v>
          </cell>
          <cell r="AA139">
            <v>0.33024089005417068</v>
          </cell>
          <cell r="AD139" t="str">
            <v>201820</v>
          </cell>
          <cell r="AE139">
            <v>0.34042789780230592</v>
          </cell>
          <cell r="AF139">
            <v>1408.3859115743223</v>
          </cell>
          <cell r="AG139">
            <v>6.0416198980611808</v>
          </cell>
          <cell r="AH139">
            <v>1.0048389042761188</v>
          </cell>
          <cell r="AI139">
            <v>7.5586578821731978</v>
          </cell>
          <cell r="AJ139">
            <v>8.8693267614548543E-3</v>
          </cell>
          <cell r="AK139">
            <v>36.693334878318865</v>
          </cell>
          <cell r="AL139">
            <v>0.22352934975991179</v>
          </cell>
          <cell r="AM139">
            <v>2.7228024404466256E-2</v>
          </cell>
          <cell r="AN139">
            <v>0.33024089005417068</v>
          </cell>
          <cell r="AQ139" t="str">
            <v>201820</v>
          </cell>
          <cell r="AR139">
            <v>0.34042789780230592</v>
          </cell>
          <cell r="AS139">
            <v>1408.3859115743223</v>
          </cell>
          <cell r="AT139">
            <v>6.0416198980611808</v>
          </cell>
          <cell r="AU139">
            <v>1.0048389042761188</v>
          </cell>
          <cell r="AV139">
            <v>7.5586578821731978</v>
          </cell>
          <cell r="AW139">
            <v>8.8693267614548543E-3</v>
          </cell>
          <cell r="AX139">
            <v>36.693334878318865</v>
          </cell>
          <cell r="AY139">
            <v>0.22352934975991179</v>
          </cell>
          <cell r="AZ139">
            <v>2.7228024404466256E-2</v>
          </cell>
          <cell r="BA139">
            <v>0.33024089005417068</v>
          </cell>
        </row>
        <row r="140">
          <cell r="Q140" t="str">
            <v>201821</v>
          </cell>
          <cell r="R140">
            <v>0.34929722456376078</v>
          </cell>
          <cell r="S140">
            <v>1445.0792464526412</v>
          </cell>
          <cell r="T140">
            <v>6.2651492478210926</v>
          </cell>
          <cell r="U140">
            <v>1.032066928680585</v>
          </cell>
          <cell r="V140">
            <v>7.8888987722273685</v>
          </cell>
          <cell r="W140">
            <v>8.377959440282301E-3</v>
          </cell>
          <cell r="X140">
            <v>34.660496744267675</v>
          </cell>
          <cell r="Y140">
            <v>0.22177663198023101</v>
          </cell>
          <cell r="Z140">
            <v>2.5719571533997287E-2</v>
          </cell>
          <cell r="AA140">
            <v>0.31856617810921417</v>
          </cell>
          <cell r="AD140" t="str">
            <v>201821</v>
          </cell>
          <cell r="AE140">
            <v>0.34929722456376078</v>
          </cell>
          <cell r="AF140">
            <v>1445.0792464526412</v>
          </cell>
          <cell r="AG140">
            <v>6.2651492478210926</v>
          </cell>
          <cell r="AH140">
            <v>1.032066928680585</v>
          </cell>
          <cell r="AI140">
            <v>7.8888987722273685</v>
          </cell>
          <cell r="AJ140">
            <v>8.377959440282301E-3</v>
          </cell>
          <cell r="AK140">
            <v>34.660496744267675</v>
          </cell>
          <cell r="AL140">
            <v>0.22177663198023101</v>
          </cell>
          <cell r="AM140">
            <v>2.5719571533997287E-2</v>
          </cell>
          <cell r="AN140">
            <v>0.31856617810921417</v>
          </cell>
          <cell r="AQ140" t="str">
            <v>201821</v>
          </cell>
          <cell r="AR140">
            <v>0.34929722456376078</v>
          </cell>
          <cell r="AS140">
            <v>1445.0792464526412</v>
          </cell>
          <cell r="AT140">
            <v>6.2651492478210926</v>
          </cell>
          <cell r="AU140">
            <v>1.032066928680585</v>
          </cell>
          <cell r="AV140">
            <v>7.8888987722273685</v>
          </cell>
          <cell r="AW140">
            <v>8.377959440282301E-3</v>
          </cell>
          <cell r="AX140">
            <v>34.660496744267675</v>
          </cell>
          <cell r="AY140">
            <v>0.22177663198023101</v>
          </cell>
          <cell r="AZ140">
            <v>2.5719571533997287E-2</v>
          </cell>
          <cell r="BA140">
            <v>0.31856617810921417</v>
          </cell>
        </row>
        <row r="141">
          <cell r="Q141" t="str">
            <v>201822</v>
          </cell>
          <cell r="R141">
            <v>0.35767518400404308</v>
          </cell>
          <cell r="S141">
            <v>1479.7397431969089</v>
          </cell>
          <cell r="T141">
            <v>6.4869258798013236</v>
          </cell>
          <cell r="U141">
            <v>1.0577865002145823</v>
          </cell>
          <cell r="V141">
            <v>8.2074649503365826</v>
          </cell>
          <cell r="W141">
            <v>7.9138142353774033E-3</v>
          </cell>
          <cell r="X141">
            <v>32.740279359814394</v>
          </cell>
          <cell r="Y141">
            <v>0.21390745983105575</v>
          </cell>
          <cell r="Z141">
            <v>2.4294688078210225E-2</v>
          </cell>
          <cell r="AA141">
            <v>0.30717145223638198</v>
          </cell>
          <cell r="AD141" t="str">
            <v>201822</v>
          </cell>
          <cell r="AE141">
            <v>0.35767518400404308</v>
          </cell>
          <cell r="AF141">
            <v>1479.7397431969089</v>
          </cell>
          <cell r="AG141">
            <v>6.4869258798013236</v>
          </cell>
          <cell r="AH141">
            <v>1.0577865002145823</v>
          </cell>
          <cell r="AI141">
            <v>8.2074649503365826</v>
          </cell>
          <cell r="AJ141">
            <v>7.9138142353774033E-3</v>
          </cell>
          <cell r="AK141">
            <v>32.740279359814394</v>
          </cell>
          <cell r="AL141">
            <v>0.21390745983105575</v>
          </cell>
          <cell r="AM141">
            <v>2.4294688078210225E-2</v>
          </cell>
          <cell r="AN141">
            <v>0.30717145223638198</v>
          </cell>
          <cell r="AQ141" t="str">
            <v>201822</v>
          </cell>
          <cell r="AR141">
            <v>0.35767518400404308</v>
          </cell>
          <cell r="AS141">
            <v>1479.7397431969089</v>
          </cell>
          <cell r="AT141">
            <v>6.4869258798013236</v>
          </cell>
          <cell r="AU141">
            <v>1.0577865002145823</v>
          </cell>
          <cell r="AV141">
            <v>8.2074649503365826</v>
          </cell>
          <cell r="AW141">
            <v>7.9138142353774033E-3</v>
          </cell>
          <cell r="AX141">
            <v>32.740279359814394</v>
          </cell>
          <cell r="AY141">
            <v>0.21390745983105575</v>
          </cell>
          <cell r="AZ141">
            <v>2.4294688078210225E-2</v>
          </cell>
          <cell r="BA141">
            <v>0.30717145223638198</v>
          </cell>
        </row>
        <row r="142">
          <cell r="Q142" t="str">
            <v>201823</v>
          </cell>
          <cell r="R142">
            <v>0.36558899823942048</v>
          </cell>
          <cell r="S142">
            <v>1512.4800225567233</v>
          </cell>
          <cell r="T142">
            <v>6.7008333396323794</v>
          </cell>
          <cell r="U142">
            <v>1.0820811882927925</v>
          </cell>
          <cell r="V142">
            <v>8.5146364025729646</v>
          </cell>
          <cell r="W142">
            <v>7.4753830211848893E-3</v>
          </cell>
          <cell r="X142">
            <v>30.926443451390469</v>
          </cell>
          <cell r="Y142">
            <v>0.20800556934659564</v>
          </cell>
          <cell r="Z142">
            <v>2.3175959518567213E-2</v>
          </cell>
          <cell r="AA142">
            <v>0.29606152208522651</v>
          </cell>
          <cell r="AD142" t="str">
            <v>201823</v>
          </cell>
          <cell r="AE142">
            <v>0.36558899823942048</v>
          </cell>
          <cell r="AF142">
            <v>1512.4800225567233</v>
          </cell>
          <cell r="AG142">
            <v>6.7008333396323794</v>
          </cell>
          <cell r="AH142">
            <v>1.0820811882927925</v>
          </cell>
          <cell r="AI142">
            <v>8.5146364025729646</v>
          </cell>
          <cell r="AJ142">
            <v>7.4753830211848893E-3</v>
          </cell>
          <cell r="AK142">
            <v>30.926443451390469</v>
          </cell>
          <cell r="AL142">
            <v>0.20800556934659564</v>
          </cell>
          <cell r="AM142">
            <v>2.3175959518567213E-2</v>
          </cell>
          <cell r="AN142">
            <v>0.29606152208522651</v>
          </cell>
          <cell r="AQ142" t="str">
            <v>201823</v>
          </cell>
          <cell r="AR142">
            <v>0.36558899823942048</v>
          </cell>
          <cell r="AS142">
            <v>1512.4800225567233</v>
          </cell>
          <cell r="AT142">
            <v>6.7008333396323794</v>
          </cell>
          <cell r="AU142">
            <v>1.0820811882927925</v>
          </cell>
          <cell r="AV142">
            <v>8.5146364025729646</v>
          </cell>
          <cell r="AW142">
            <v>7.4753830211848893E-3</v>
          </cell>
          <cell r="AX142">
            <v>30.926443451390469</v>
          </cell>
          <cell r="AY142">
            <v>0.20800556934659564</v>
          </cell>
          <cell r="AZ142">
            <v>2.3175959518567213E-2</v>
          </cell>
          <cell r="BA142">
            <v>0.29606152208522651</v>
          </cell>
        </row>
        <row r="143">
          <cell r="Q143" t="str">
            <v>201824</v>
          </cell>
          <cell r="R143">
            <v>0.37306438126060537</v>
          </cell>
          <cell r="S143">
            <v>1543.4064660081137</v>
          </cell>
          <cell r="T143">
            <v>6.908838908978975</v>
          </cell>
          <cell r="U143">
            <v>1.1052571478113598</v>
          </cell>
          <cell r="V143">
            <v>8.8106979246581911</v>
          </cell>
          <cell r="W143">
            <v>7.0612412234307143E-3</v>
          </cell>
          <cell r="X143">
            <v>29.213095405837976</v>
          </cell>
          <cell r="Y143">
            <v>0.19648190558408896</v>
          </cell>
          <cell r="Z143">
            <v>2.189199406656317E-2</v>
          </cell>
          <cell r="AA143">
            <v>0.27965949283070479</v>
          </cell>
          <cell r="AD143" t="str">
            <v>201824</v>
          </cell>
          <cell r="AE143">
            <v>0.37306438126060537</v>
          </cell>
          <cell r="AF143">
            <v>1543.4064660081137</v>
          </cell>
          <cell r="AG143">
            <v>6.908838908978975</v>
          </cell>
          <cell r="AH143">
            <v>1.1052571478113598</v>
          </cell>
          <cell r="AI143">
            <v>8.8106979246581911</v>
          </cell>
          <cell r="AJ143">
            <v>7.0612412234307143E-3</v>
          </cell>
          <cell r="AK143">
            <v>29.213095405837976</v>
          </cell>
          <cell r="AL143">
            <v>0.19648190558408896</v>
          </cell>
          <cell r="AM143">
            <v>2.189199406656317E-2</v>
          </cell>
          <cell r="AN143">
            <v>0.27965949283070479</v>
          </cell>
          <cell r="AQ143" t="str">
            <v>201824</v>
          </cell>
          <cell r="AR143">
            <v>0.37306438126060537</v>
          </cell>
          <cell r="AS143">
            <v>1543.4064660081137</v>
          </cell>
          <cell r="AT143">
            <v>6.908838908978975</v>
          </cell>
          <cell r="AU143">
            <v>1.1052571478113598</v>
          </cell>
          <cell r="AV143">
            <v>8.8106979246581911</v>
          </cell>
          <cell r="AW143">
            <v>7.0612412234307143E-3</v>
          </cell>
          <cell r="AX143">
            <v>29.213095405837976</v>
          </cell>
          <cell r="AY143">
            <v>0.19648190558408896</v>
          </cell>
          <cell r="AZ143">
            <v>2.189199406656317E-2</v>
          </cell>
          <cell r="BA143">
            <v>0.27965949283070479</v>
          </cell>
        </row>
        <row r="144">
          <cell r="Q144" t="str">
            <v>201825</v>
          </cell>
          <cell r="R144">
            <v>0.38012562248403609</v>
          </cell>
          <cell r="S144">
            <v>1572.6195614139517</v>
          </cell>
          <cell r="T144">
            <v>7.105320814563064</v>
          </cell>
          <cell r="U144">
            <v>1.1271491418779229</v>
          </cell>
          <cell r="V144">
            <v>9.0903574174888959</v>
          </cell>
          <cell r="W144">
            <v>6.6700431903184976E-3</v>
          </cell>
          <cell r="X144">
            <v>27.594668120566666</v>
          </cell>
          <cell r="Y144">
            <v>0.18559666139336795</v>
          </cell>
          <cell r="Z144">
            <v>2.0679161258738255E-2</v>
          </cell>
          <cell r="AA144">
            <v>0.26416614823662776</v>
          </cell>
          <cell r="AD144" t="str">
            <v>201825</v>
          </cell>
          <cell r="AE144">
            <v>0.38012562248403609</v>
          </cell>
          <cell r="AF144">
            <v>1572.6195614139517</v>
          </cell>
          <cell r="AG144">
            <v>7.105320814563064</v>
          </cell>
          <cell r="AH144">
            <v>1.1271491418779229</v>
          </cell>
          <cell r="AI144">
            <v>9.0903574174888959</v>
          </cell>
          <cell r="AJ144">
            <v>6.6700431903184976E-3</v>
          </cell>
          <cell r="AK144">
            <v>27.594668120566666</v>
          </cell>
          <cell r="AL144">
            <v>0.18559666139336795</v>
          </cell>
          <cell r="AM144">
            <v>2.0679161258738255E-2</v>
          </cell>
          <cell r="AN144">
            <v>0.26416614823662776</v>
          </cell>
          <cell r="AQ144" t="str">
            <v>201825</v>
          </cell>
          <cell r="AR144">
            <v>0.38012562248403609</v>
          </cell>
          <cell r="AS144">
            <v>1572.6195614139517</v>
          </cell>
          <cell r="AT144">
            <v>7.105320814563064</v>
          </cell>
          <cell r="AU144">
            <v>1.1271491418779229</v>
          </cell>
          <cell r="AV144">
            <v>9.0903574174888959</v>
          </cell>
          <cell r="AW144">
            <v>6.6700431903184976E-3</v>
          </cell>
          <cell r="AX144">
            <v>27.594668120566666</v>
          </cell>
          <cell r="AY144">
            <v>0.18559666139336795</v>
          </cell>
          <cell r="AZ144">
            <v>2.0679161258738255E-2</v>
          </cell>
          <cell r="BA144">
            <v>0.26416614823662776</v>
          </cell>
        </row>
        <row r="145">
          <cell r="Q145" t="str">
            <v>201826</v>
          </cell>
          <cell r="R145">
            <v>0.38679566567435458</v>
          </cell>
          <cell r="S145">
            <v>1600.2142295345184</v>
          </cell>
          <cell r="T145">
            <v>7.2909174759564319</v>
          </cell>
          <cell r="U145">
            <v>1.1478283031366612</v>
          </cell>
          <cell r="V145">
            <v>9.3545235657255237</v>
          </cell>
          <cell r="W145">
            <v>6.3005178201657741E-3</v>
          </cell>
          <cell r="X145">
            <v>26.065902914624075</v>
          </cell>
          <cell r="Y145">
            <v>0.17531446785374616</v>
          </cell>
          <cell r="Z145">
            <v>1.9533520293523177E-2</v>
          </cell>
          <cell r="AA145">
            <v>0.24953114649471253</v>
          </cell>
          <cell r="AD145" t="str">
            <v>201826</v>
          </cell>
          <cell r="AE145">
            <v>0.38679566567435458</v>
          </cell>
          <cell r="AF145">
            <v>1600.2142295345184</v>
          </cell>
          <cell r="AG145">
            <v>7.2909174759564319</v>
          </cell>
          <cell r="AH145">
            <v>1.1478283031366612</v>
          </cell>
          <cell r="AI145">
            <v>9.3545235657255237</v>
          </cell>
          <cell r="AJ145">
            <v>6.3005178201657741E-3</v>
          </cell>
          <cell r="AK145">
            <v>26.065902914624075</v>
          </cell>
          <cell r="AL145">
            <v>0.17531446785374616</v>
          </cell>
          <cell r="AM145">
            <v>1.9533520293523177E-2</v>
          </cell>
          <cell r="AN145">
            <v>0.24953114649471253</v>
          </cell>
          <cell r="AQ145" t="str">
            <v>201826</v>
          </cell>
          <cell r="AR145">
            <v>0.38679566567435458</v>
          </cell>
          <cell r="AS145">
            <v>1600.2142295345184</v>
          </cell>
          <cell r="AT145">
            <v>7.2909174759564319</v>
          </cell>
          <cell r="AU145">
            <v>1.1478283031366612</v>
          </cell>
          <cell r="AV145">
            <v>9.3545235657255237</v>
          </cell>
          <cell r="AW145">
            <v>6.3005178201657741E-3</v>
          </cell>
          <cell r="AX145">
            <v>26.065902914624075</v>
          </cell>
          <cell r="AY145">
            <v>0.17531446785374616</v>
          </cell>
          <cell r="AZ145">
            <v>1.9533520293523177E-2</v>
          </cell>
          <cell r="BA145">
            <v>0.24953114649471253</v>
          </cell>
        </row>
        <row r="146">
          <cell r="Q146" t="str">
            <v>201827</v>
          </cell>
          <cell r="R146">
            <v>0.39309618349452036</v>
          </cell>
          <cell r="S146">
            <v>1626.2801324491425</v>
          </cell>
          <cell r="T146">
            <v>7.4662319438101781</v>
          </cell>
          <cell r="U146">
            <v>1.1673618234301844</v>
          </cell>
          <cell r="V146">
            <v>9.6040547122202362</v>
          </cell>
          <cell r="W146">
            <v>5.9514644312717024E-3</v>
          </cell>
          <cell r="X146">
            <v>24.621832441906236</v>
          </cell>
          <cell r="Y146">
            <v>0.16560191550913483</v>
          </cell>
          <cell r="Z146">
            <v>1.845134869269649E-2</v>
          </cell>
          <cell r="AA146">
            <v>0.23570693477042681</v>
          </cell>
          <cell r="AD146" t="str">
            <v>201827</v>
          </cell>
          <cell r="AE146">
            <v>0.39309618349452036</v>
          </cell>
          <cell r="AF146">
            <v>1626.2801324491425</v>
          </cell>
          <cell r="AG146">
            <v>7.4662319438101781</v>
          </cell>
          <cell r="AH146">
            <v>1.1673618234301844</v>
          </cell>
          <cell r="AI146">
            <v>9.6040547122202362</v>
          </cell>
          <cell r="AJ146">
            <v>5.9514644312717024E-3</v>
          </cell>
          <cell r="AK146">
            <v>24.621832441906236</v>
          </cell>
          <cell r="AL146">
            <v>0.16560191550913483</v>
          </cell>
          <cell r="AM146">
            <v>1.845134869269649E-2</v>
          </cell>
          <cell r="AN146">
            <v>0.23570693477042681</v>
          </cell>
          <cell r="AQ146" t="str">
            <v>201827</v>
          </cell>
          <cell r="AR146">
            <v>0.39309618349452036</v>
          </cell>
          <cell r="AS146">
            <v>1626.2801324491425</v>
          </cell>
          <cell r="AT146">
            <v>7.4662319438101781</v>
          </cell>
          <cell r="AU146">
            <v>1.1673618234301844</v>
          </cell>
          <cell r="AV146">
            <v>9.6040547122202362</v>
          </cell>
          <cell r="AW146">
            <v>5.9514644312717024E-3</v>
          </cell>
          <cell r="AX146">
            <v>24.621832441906236</v>
          </cell>
          <cell r="AY146">
            <v>0.16560191550913483</v>
          </cell>
          <cell r="AZ146">
            <v>1.845134869269649E-2</v>
          </cell>
          <cell r="BA146">
            <v>0.23570693477042681</v>
          </cell>
        </row>
        <row r="147">
          <cell r="Q147" t="str">
            <v>201828</v>
          </cell>
          <cell r="R147">
            <v>0.39904764792579206</v>
          </cell>
          <cell r="S147">
            <v>1650.9019648910487</v>
          </cell>
          <cell r="T147">
            <v>7.6318338593193129</v>
          </cell>
          <cell r="U147">
            <v>1.1858131721228808</v>
          </cell>
          <cell r="V147">
            <v>9.839761646990663</v>
          </cell>
          <cell r="W147">
            <v>5.6217488605976307E-3</v>
          </cell>
          <cell r="X147">
            <v>23.257764550990714</v>
          </cell>
          <cell r="Y147">
            <v>0.15642744581224655</v>
          </cell>
          <cell r="Z147">
            <v>1.7429130206108256E-2</v>
          </cell>
          <cell r="AA147">
            <v>0.22264859469175491</v>
          </cell>
          <cell r="AD147" t="str">
            <v>201828</v>
          </cell>
          <cell r="AE147">
            <v>0.39904764792579206</v>
          </cell>
          <cell r="AF147">
            <v>1650.9019648910487</v>
          </cell>
          <cell r="AG147">
            <v>7.6318338593193129</v>
          </cell>
          <cell r="AH147">
            <v>1.1858131721228808</v>
          </cell>
          <cell r="AI147">
            <v>9.839761646990663</v>
          </cell>
          <cell r="AJ147">
            <v>5.6217488605976307E-3</v>
          </cell>
          <cell r="AK147">
            <v>23.257764550990714</v>
          </cell>
          <cell r="AL147">
            <v>0.15642744581224655</v>
          </cell>
          <cell r="AM147">
            <v>1.7429130206108256E-2</v>
          </cell>
          <cell r="AN147">
            <v>0.22264859469175491</v>
          </cell>
          <cell r="AQ147" t="str">
            <v>201828</v>
          </cell>
          <cell r="AR147">
            <v>0.39904764792579206</v>
          </cell>
          <cell r="AS147">
            <v>1650.9019648910487</v>
          </cell>
          <cell r="AT147">
            <v>7.6318338593193129</v>
          </cell>
          <cell r="AU147">
            <v>1.1858131721228808</v>
          </cell>
          <cell r="AV147">
            <v>9.839761646990663</v>
          </cell>
          <cell r="AW147">
            <v>5.6217488605976307E-3</v>
          </cell>
          <cell r="AX147">
            <v>23.257764550990714</v>
          </cell>
          <cell r="AY147">
            <v>0.15642744581224655</v>
          </cell>
          <cell r="AZ147">
            <v>1.7429130206108256E-2</v>
          </cell>
          <cell r="BA147">
            <v>0.22264859469175491</v>
          </cell>
        </row>
        <row r="148">
          <cell r="Q148" t="str">
            <v>201829</v>
          </cell>
          <cell r="R148">
            <v>0.40466939678638969</v>
          </cell>
          <cell r="S148">
            <v>1674.1597294420394</v>
          </cell>
          <cell r="T148">
            <v>7.7882613051315595</v>
          </cell>
          <cell r="U148">
            <v>1.2032423023289891</v>
          </cell>
          <cell r="V148">
            <v>10.062410241682418</v>
          </cell>
          <cell r="W148">
            <v>5.3102997785837158E-3</v>
          </cell>
          <cell r="X148">
            <v>21.969267039144825</v>
          </cell>
          <cell r="Y148">
            <v>0.14776124858286188</v>
          </cell>
          <cell r="Z148">
            <v>1.6463543386490587E-2</v>
          </cell>
          <cell r="AA148">
            <v>0.21031369639801234</v>
          </cell>
          <cell r="AD148" t="str">
            <v>201829</v>
          </cell>
          <cell r="AE148">
            <v>0.40466939678638969</v>
          </cell>
          <cell r="AF148">
            <v>1674.1597294420394</v>
          </cell>
          <cell r="AG148">
            <v>7.7882613051315595</v>
          </cell>
          <cell r="AH148">
            <v>1.2032423023289891</v>
          </cell>
          <cell r="AI148">
            <v>10.062410241682418</v>
          </cell>
          <cell r="AJ148">
            <v>5.3102997785837158E-3</v>
          </cell>
          <cell r="AK148">
            <v>21.969267039144825</v>
          </cell>
          <cell r="AL148">
            <v>0.14776124858286188</v>
          </cell>
          <cell r="AM148">
            <v>1.6463543386490587E-2</v>
          </cell>
          <cell r="AN148">
            <v>0.21031369639801234</v>
          </cell>
          <cell r="AQ148" t="str">
            <v>201829</v>
          </cell>
          <cell r="AR148">
            <v>0.40466939678638969</v>
          </cell>
          <cell r="AS148">
            <v>1674.1597294420394</v>
          </cell>
          <cell r="AT148">
            <v>7.7882613051315595</v>
          </cell>
          <cell r="AU148">
            <v>1.2032423023289891</v>
          </cell>
          <cell r="AV148">
            <v>10.062410241682418</v>
          </cell>
          <cell r="AW148">
            <v>5.3102997785837158E-3</v>
          </cell>
          <cell r="AX148">
            <v>21.969267039144825</v>
          </cell>
          <cell r="AY148">
            <v>0.14776124858286188</v>
          </cell>
          <cell r="AZ148">
            <v>1.6463543386490587E-2</v>
          </cell>
          <cell r="BA148">
            <v>0.21031369639801234</v>
          </cell>
        </row>
        <row r="149">
          <cell r="Q149" t="str">
            <v>201830</v>
          </cell>
          <cell r="R149">
            <v>0.40997969656497341</v>
          </cell>
          <cell r="S149">
            <v>1696.1289964811842</v>
          </cell>
          <cell r="T149">
            <v>7.9360225537144213</v>
          </cell>
          <cell r="U149">
            <v>1.2197058457154797</v>
          </cell>
          <cell r="V149">
            <v>10.27272393808043</v>
          </cell>
          <cell r="W149">
            <v>5.0161052081270641E-3</v>
          </cell>
          <cell r="X149">
            <v>20.752153250975198</v>
          </cell>
          <cell r="Y149">
            <v>0.13957516514699009</v>
          </cell>
          <cell r="Z149">
            <v>1.5551450797232746E-2</v>
          </cell>
          <cell r="AA149">
            <v>0.19866216067445563</v>
          </cell>
          <cell r="AD149" t="str">
            <v>201830</v>
          </cell>
          <cell r="AE149">
            <v>0.40997969656497341</v>
          </cell>
          <cell r="AF149">
            <v>1696.1289964811842</v>
          </cell>
          <cell r="AG149">
            <v>7.9360225537144213</v>
          </cell>
          <cell r="AH149">
            <v>1.2197058457154797</v>
          </cell>
          <cell r="AI149">
            <v>10.27272393808043</v>
          </cell>
          <cell r="AJ149">
            <v>5.0161052081270641E-3</v>
          </cell>
          <cell r="AK149">
            <v>20.752153250975198</v>
          </cell>
          <cell r="AL149">
            <v>0.13957516514699009</v>
          </cell>
          <cell r="AM149">
            <v>1.5551450797232746E-2</v>
          </cell>
          <cell r="AN149">
            <v>0.19866216067445563</v>
          </cell>
          <cell r="AQ149" t="str">
            <v>201830</v>
          </cell>
          <cell r="AR149">
            <v>0.40997969656497341</v>
          </cell>
          <cell r="AS149">
            <v>1696.1289964811842</v>
          </cell>
          <cell r="AT149">
            <v>7.9360225537144213</v>
          </cell>
          <cell r="AU149">
            <v>1.2197058457154797</v>
          </cell>
          <cell r="AV149">
            <v>10.27272393808043</v>
          </cell>
          <cell r="AW149">
            <v>5.0161052081270641E-3</v>
          </cell>
          <cell r="AX149">
            <v>20.752153250975198</v>
          </cell>
          <cell r="AY149">
            <v>0.13957516514699009</v>
          </cell>
          <cell r="AZ149">
            <v>1.5551450797232746E-2</v>
          </cell>
          <cell r="BA149">
            <v>0.19866216067445563</v>
          </cell>
        </row>
        <row r="150">
          <cell r="Q150" t="str">
            <v>201831</v>
          </cell>
          <cell r="R150">
            <v>0.41499580177310047</v>
          </cell>
          <cell r="S150">
            <v>1716.8811497321594</v>
          </cell>
          <cell r="T150">
            <v>8.0755977188614114</v>
          </cell>
          <cell r="U150">
            <v>1.2352572965127124</v>
          </cell>
          <cell r="V150">
            <v>10.471386098754886</v>
          </cell>
          <cell r="W150">
            <v>4.7382092364115502E-3</v>
          </cell>
          <cell r="X150">
            <v>19.602468474920897</v>
          </cell>
          <cell r="Y150">
            <v>0.1318425968421959</v>
          </cell>
          <cell r="Z150">
            <v>1.4689888818053998E-2</v>
          </cell>
          <cell r="AA150">
            <v>0.18765612872474868</v>
          </cell>
          <cell r="AD150" t="str">
            <v>201831</v>
          </cell>
          <cell r="AE150">
            <v>0.41499580177310047</v>
          </cell>
          <cell r="AF150">
            <v>1716.8811497321594</v>
          </cell>
          <cell r="AG150">
            <v>8.0755977188614114</v>
          </cell>
          <cell r="AH150">
            <v>1.2352572965127124</v>
          </cell>
          <cell r="AI150">
            <v>10.471386098754886</v>
          </cell>
          <cell r="AJ150">
            <v>4.7382092364115502E-3</v>
          </cell>
          <cell r="AK150">
            <v>19.602468474920897</v>
          </cell>
          <cell r="AL150">
            <v>0.1318425968421959</v>
          </cell>
          <cell r="AM150">
            <v>1.4689888818053998E-2</v>
          </cell>
          <cell r="AN150">
            <v>0.18765612872474868</v>
          </cell>
          <cell r="AQ150" t="str">
            <v>201831</v>
          </cell>
          <cell r="AR150">
            <v>0.41499580177310047</v>
          </cell>
          <cell r="AS150">
            <v>1716.8811497321594</v>
          </cell>
          <cell r="AT150">
            <v>8.0755977188614114</v>
          </cell>
          <cell r="AU150">
            <v>1.2352572965127124</v>
          </cell>
          <cell r="AV150">
            <v>10.471386098754886</v>
          </cell>
          <cell r="AW150">
            <v>4.7382092364115502E-3</v>
          </cell>
          <cell r="AX150">
            <v>19.602468474920897</v>
          </cell>
          <cell r="AY150">
            <v>0.1318425968421959</v>
          </cell>
          <cell r="AZ150">
            <v>1.4689888818053998E-2</v>
          </cell>
          <cell r="BA150">
            <v>0.18765612872474868</v>
          </cell>
        </row>
        <row r="151">
          <cell r="Q151" t="str">
            <v>201832</v>
          </cell>
          <cell r="R151">
            <v>0.41973401100951202</v>
          </cell>
          <cell r="S151">
            <v>1736.4836182070803</v>
          </cell>
          <cell r="T151">
            <v>8.2074403157036073</v>
          </cell>
          <cell r="U151">
            <v>1.2499471853307664</v>
          </cell>
          <cell r="V151">
            <v>10.659042227479635</v>
          </cell>
          <cell r="W151">
            <v>4.4757089089043078E-3</v>
          </cell>
          <cell r="X151">
            <v>18.516477093393405</v>
          </cell>
          <cell r="Y151">
            <v>0.12453841859178816</v>
          </cell>
          <cell r="Z151">
            <v>1.3876058015448001E-2</v>
          </cell>
          <cell r="AA151">
            <v>0.17725983915812371</v>
          </cell>
          <cell r="AD151" t="str">
            <v>201832</v>
          </cell>
          <cell r="AE151">
            <v>0.41973401100951202</v>
          </cell>
          <cell r="AF151">
            <v>1736.4836182070803</v>
          </cell>
          <cell r="AG151">
            <v>8.2074403157036073</v>
          </cell>
          <cell r="AH151">
            <v>1.2499471853307664</v>
          </cell>
          <cell r="AI151">
            <v>10.659042227479635</v>
          </cell>
          <cell r="AJ151">
            <v>4.4757089089043078E-3</v>
          </cell>
          <cell r="AK151">
            <v>18.516477093393405</v>
          </cell>
          <cell r="AL151">
            <v>0.12453841859178816</v>
          </cell>
          <cell r="AM151">
            <v>1.3876058015448001E-2</v>
          </cell>
          <cell r="AN151">
            <v>0.17725983915812371</v>
          </cell>
          <cell r="AQ151" t="str">
            <v>201832</v>
          </cell>
          <cell r="AR151">
            <v>0.41973401100951202</v>
          </cell>
          <cell r="AS151">
            <v>1736.4836182070803</v>
          </cell>
          <cell r="AT151">
            <v>8.2074403157036073</v>
          </cell>
          <cell r="AU151">
            <v>1.2499471853307664</v>
          </cell>
          <cell r="AV151">
            <v>10.659042227479635</v>
          </cell>
          <cell r="AW151">
            <v>4.4757089089043078E-3</v>
          </cell>
          <cell r="AX151">
            <v>18.516477093393405</v>
          </cell>
          <cell r="AY151">
            <v>0.12453841859178816</v>
          </cell>
          <cell r="AZ151">
            <v>1.3876058015448001E-2</v>
          </cell>
          <cell r="BA151">
            <v>0.17725983915812371</v>
          </cell>
        </row>
        <row r="152">
          <cell r="Q152" t="str">
            <v>201833</v>
          </cell>
          <cell r="R152">
            <v>0.42420971991841633</v>
          </cell>
          <cell r="S152">
            <v>1755.0000953004737</v>
          </cell>
          <cell r="T152">
            <v>8.3319787342953955</v>
          </cell>
          <cell r="U152">
            <v>1.2638232433462144</v>
          </cell>
          <cell r="V152">
            <v>10.836302066637758</v>
          </cell>
          <cell r="W152">
            <v>4.2277512954274621E-3</v>
          </cell>
          <cell r="X152">
            <v>17.490650444805624</v>
          </cell>
          <cell r="Y152">
            <v>0.11763889726707433</v>
          </cell>
          <cell r="Z152">
            <v>1.3107314046614027E-2</v>
          </cell>
          <cell r="AA152">
            <v>0.16743951179154948</v>
          </cell>
          <cell r="AD152" t="str">
            <v>201833</v>
          </cell>
          <cell r="AE152">
            <v>0.42420971991841633</v>
          </cell>
          <cell r="AF152">
            <v>1755.0000953004737</v>
          </cell>
          <cell r="AG152">
            <v>8.3319787342953955</v>
          </cell>
          <cell r="AH152">
            <v>1.2638232433462144</v>
          </cell>
          <cell r="AI152">
            <v>10.836302066637758</v>
          </cell>
          <cell r="AJ152">
            <v>4.2277512954274621E-3</v>
          </cell>
          <cell r="AK152">
            <v>17.490650444805624</v>
          </cell>
          <cell r="AL152">
            <v>0.11763889726707433</v>
          </cell>
          <cell r="AM152">
            <v>1.3107314046614027E-2</v>
          </cell>
          <cell r="AN152">
            <v>0.16743951179154948</v>
          </cell>
          <cell r="AQ152" t="str">
            <v>201833</v>
          </cell>
          <cell r="AR152">
            <v>0.42420971991841633</v>
          </cell>
          <cell r="AS152">
            <v>1755.0000953004737</v>
          </cell>
          <cell r="AT152">
            <v>8.3319787342953955</v>
          </cell>
          <cell r="AU152">
            <v>1.2638232433462144</v>
          </cell>
          <cell r="AV152">
            <v>10.836302066637758</v>
          </cell>
          <cell r="AW152">
            <v>4.2277512954274621E-3</v>
          </cell>
          <cell r="AX152">
            <v>17.490650444805624</v>
          </cell>
          <cell r="AY152">
            <v>0.11763889726707433</v>
          </cell>
          <cell r="AZ152">
            <v>1.3107314046614027E-2</v>
          </cell>
          <cell r="BA152">
            <v>0.16743951179154948</v>
          </cell>
        </row>
        <row r="153">
          <cell r="Q153" t="str">
            <v>201834</v>
          </cell>
          <cell r="R153">
            <v>0.42843747121384379</v>
          </cell>
          <cell r="S153">
            <v>1772.4907457452794</v>
          </cell>
          <cell r="T153">
            <v>8.4496176315624698</v>
          </cell>
          <cell r="U153">
            <v>1.2769305573928285</v>
          </cell>
          <cell r="V153">
            <v>11.003741578429308</v>
          </cell>
          <cell r="W153">
            <v>3.9935307187715097E-3</v>
          </cell>
          <cell r="X153">
            <v>16.521655358055568</v>
          </cell>
          <cell r="Y153">
            <v>0.11112161457240255</v>
          </cell>
          <cell r="Z153">
            <v>1.2381159067315961E-2</v>
          </cell>
          <cell r="AA153">
            <v>0.15816323788934028</v>
          </cell>
          <cell r="AD153" t="str">
            <v>201834</v>
          </cell>
          <cell r="AE153">
            <v>0.42843747121384379</v>
          </cell>
          <cell r="AF153">
            <v>1772.4907457452794</v>
          </cell>
          <cell r="AG153">
            <v>8.4496176315624698</v>
          </cell>
          <cell r="AH153">
            <v>1.2769305573928285</v>
          </cell>
          <cell r="AI153">
            <v>11.003741578429308</v>
          </cell>
          <cell r="AJ153">
            <v>3.9935307187715097E-3</v>
          </cell>
          <cell r="AK153">
            <v>16.521655358055568</v>
          </cell>
          <cell r="AL153">
            <v>0.11112161457240255</v>
          </cell>
          <cell r="AM153">
            <v>1.2381159067315961E-2</v>
          </cell>
          <cell r="AN153">
            <v>0.15816323788934028</v>
          </cell>
          <cell r="AQ153" t="str">
            <v>201834</v>
          </cell>
          <cell r="AR153">
            <v>0.42843747121384379</v>
          </cell>
          <cell r="AS153">
            <v>1772.4907457452794</v>
          </cell>
          <cell r="AT153">
            <v>8.4496176315624698</v>
          </cell>
          <cell r="AU153">
            <v>1.2769305573928285</v>
          </cell>
          <cell r="AV153">
            <v>11.003741578429308</v>
          </cell>
          <cell r="AW153">
            <v>3.9935307187715097E-3</v>
          </cell>
          <cell r="AX153">
            <v>16.521655358055568</v>
          </cell>
          <cell r="AY153">
            <v>0.11112161457240255</v>
          </cell>
          <cell r="AZ153">
            <v>1.2381159067315961E-2</v>
          </cell>
          <cell r="BA153">
            <v>0.15816323788934028</v>
          </cell>
        </row>
        <row r="154">
          <cell r="Q154" t="str">
            <v>201835</v>
          </cell>
          <cell r="R154">
            <v>0.4324310019326153</v>
          </cell>
          <cell r="S154">
            <v>1789.0124011033349</v>
          </cell>
          <cell r="T154">
            <v>8.5607392461348724</v>
          </cell>
          <cell r="U154">
            <v>1.2893117164601444</v>
          </cell>
          <cell r="V154">
            <v>11.161904816318648</v>
          </cell>
          <cell r="W154">
            <v>3.7722861368455485E-3</v>
          </cell>
          <cell r="X154">
            <v>15.606343322208204</v>
          </cell>
          <cell r="Y154">
            <v>0.10496539420243067</v>
          </cell>
          <cell r="Z154">
            <v>1.1695233615752088E-2</v>
          </cell>
          <cell r="AA154">
            <v>0.14940087648357903</v>
          </cell>
          <cell r="AD154" t="str">
            <v>201835</v>
          </cell>
          <cell r="AE154">
            <v>0.4324310019326153</v>
          </cell>
          <cell r="AF154">
            <v>1789.0124011033349</v>
          </cell>
          <cell r="AG154">
            <v>8.5607392461348724</v>
          </cell>
          <cell r="AH154">
            <v>1.2893117164601444</v>
          </cell>
          <cell r="AI154">
            <v>11.161904816318648</v>
          </cell>
          <cell r="AJ154">
            <v>3.7722861368455485E-3</v>
          </cell>
          <cell r="AK154">
            <v>15.606343322208204</v>
          </cell>
          <cell r="AL154">
            <v>0.10496539420243067</v>
          </cell>
          <cell r="AM154">
            <v>1.1695233615752088E-2</v>
          </cell>
          <cell r="AN154">
            <v>0.14940087648357903</v>
          </cell>
          <cell r="AQ154" t="str">
            <v>201835</v>
          </cell>
          <cell r="AR154">
            <v>0.4324310019326153</v>
          </cell>
          <cell r="AS154">
            <v>1789.0124011033349</v>
          </cell>
          <cell r="AT154">
            <v>8.5607392461348724</v>
          </cell>
          <cell r="AU154">
            <v>1.2893117164601444</v>
          </cell>
          <cell r="AV154">
            <v>11.161904816318648</v>
          </cell>
          <cell r="AW154">
            <v>3.7722861368455485E-3</v>
          </cell>
          <cell r="AX154">
            <v>15.606343322208204</v>
          </cell>
          <cell r="AY154">
            <v>0.10496539420243067</v>
          </cell>
          <cell r="AZ154">
            <v>1.1695233615752088E-2</v>
          </cell>
          <cell r="BA154">
            <v>0.14940087648357903</v>
          </cell>
        </row>
        <row r="155">
          <cell r="Q155" t="str">
            <v>201836</v>
          </cell>
          <cell r="R155">
            <v>0.43620328806946085</v>
          </cell>
          <cell r="S155">
            <v>1804.6187444255431</v>
          </cell>
          <cell r="T155">
            <v>8.665704640337303</v>
          </cell>
          <cell r="U155">
            <v>1.3010069500758965</v>
          </cell>
          <cell r="V155">
            <v>11.311305692802227</v>
          </cell>
          <cell r="W155">
            <v>3.563298669858328E-3</v>
          </cell>
          <cell r="X155">
            <v>14.741740256182993</v>
          </cell>
          <cell r="Y155">
            <v>9.9150233034931645E-2</v>
          </cell>
          <cell r="Z155">
            <v>1.1047308946065426E-2</v>
          </cell>
          <cell r="AA155">
            <v>0.14112395643846298</v>
          </cell>
          <cell r="AD155" t="str">
            <v>201836</v>
          </cell>
          <cell r="AE155">
            <v>0.43620328806946085</v>
          </cell>
          <cell r="AF155">
            <v>1804.6187444255431</v>
          </cell>
          <cell r="AG155">
            <v>8.665704640337303</v>
          </cell>
          <cell r="AH155">
            <v>1.3010069500758965</v>
          </cell>
          <cell r="AI155">
            <v>11.311305692802227</v>
          </cell>
          <cell r="AJ155">
            <v>3.563298669858328E-3</v>
          </cell>
          <cell r="AK155">
            <v>14.741740256182993</v>
          </cell>
          <cell r="AL155">
            <v>9.9150233034931645E-2</v>
          </cell>
          <cell r="AM155">
            <v>1.1047308946065426E-2</v>
          </cell>
          <cell r="AN155">
            <v>0.14112395643846298</v>
          </cell>
          <cell r="AQ155" t="str">
            <v>201836</v>
          </cell>
          <cell r="AR155">
            <v>0.43620328806946085</v>
          </cell>
          <cell r="AS155">
            <v>1804.6187444255431</v>
          </cell>
          <cell r="AT155">
            <v>8.665704640337303</v>
          </cell>
          <cell r="AU155">
            <v>1.3010069500758965</v>
          </cell>
          <cell r="AV155">
            <v>11.311305692802227</v>
          </cell>
          <cell r="AW155">
            <v>3.563298669858328E-3</v>
          </cell>
          <cell r="AX155">
            <v>14.741740256182993</v>
          </cell>
          <cell r="AY155">
            <v>9.9150233034931645E-2</v>
          </cell>
          <cell r="AZ155">
            <v>1.1047308946065426E-2</v>
          </cell>
          <cell r="BA155">
            <v>0.14112395643846298</v>
          </cell>
        </row>
        <row r="156">
          <cell r="Q156" t="str">
            <v>201837</v>
          </cell>
          <cell r="R156">
            <v>0.43976658673931918</v>
          </cell>
          <cell r="S156">
            <v>1819.3604846817261</v>
          </cell>
          <cell r="T156">
            <v>8.7648548733722347</v>
          </cell>
          <cell r="U156">
            <v>1.3120542590219619</v>
          </cell>
          <cell r="V156">
            <v>11.45242964924069</v>
          </cell>
          <cell r="W156">
            <v>0</v>
          </cell>
          <cell r="X156">
            <v>0</v>
          </cell>
          <cell r="Y156">
            <v>0</v>
          </cell>
          <cell r="Z156">
            <v>0</v>
          </cell>
          <cell r="AA156">
            <v>0</v>
          </cell>
          <cell r="AD156" t="str">
            <v>201837</v>
          </cell>
          <cell r="AE156">
            <v>0.43976658673931918</v>
          </cell>
          <cell r="AF156">
            <v>1819.3604846817261</v>
          </cell>
          <cell r="AG156">
            <v>8.7648548733722347</v>
          </cell>
          <cell r="AH156">
            <v>1.3120542590219619</v>
          </cell>
          <cell r="AI156">
            <v>11.45242964924069</v>
          </cell>
          <cell r="AJ156">
            <v>0</v>
          </cell>
          <cell r="AK156">
            <v>0</v>
          </cell>
          <cell r="AL156">
            <v>0</v>
          </cell>
          <cell r="AM156">
            <v>0</v>
          </cell>
          <cell r="AN156">
            <v>0</v>
          </cell>
          <cell r="AQ156" t="str">
            <v>201837</v>
          </cell>
          <cell r="AR156">
            <v>0.43976658673931918</v>
          </cell>
          <cell r="AS156">
            <v>1819.3604846817261</v>
          </cell>
          <cell r="AT156">
            <v>8.7648548733722347</v>
          </cell>
          <cell r="AU156">
            <v>1.3120542590219619</v>
          </cell>
          <cell r="AV156">
            <v>11.45242964924069</v>
          </cell>
          <cell r="AW156">
            <v>0</v>
          </cell>
          <cell r="AX156">
            <v>0</v>
          </cell>
          <cell r="AY156">
            <v>0</v>
          </cell>
          <cell r="AZ156">
            <v>0</v>
          </cell>
          <cell r="BA156">
            <v>0</v>
          </cell>
        </row>
        <row r="157">
          <cell r="Q157" t="str">
            <v>20191</v>
          </cell>
          <cell r="R157">
            <v>2.6193063182708018E-2</v>
          </cell>
          <cell r="S157">
            <v>108.36344907585944</v>
          </cell>
          <cell r="T157">
            <v>0.39208278280308967</v>
          </cell>
          <cell r="U157">
            <v>7.642960685531823E-2</v>
          </cell>
          <cell r="V157">
            <v>0.39966315251426826</v>
          </cell>
          <cell r="W157">
            <v>2.4741947936247122E-2</v>
          </cell>
          <cell r="X157">
            <v>102.36003313263062</v>
          </cell>
          <cell r="Y157">
            <v>0.37765479548765973</v>
          </cell>
          <cell r="Z157">
            <v>7.2195349601207395E-2</v>
          </cell>
          <cell r="AA157">
            <v>0.39481831813160312</v>
          </cell>
          <cell r="AD157" t="str">
            <v>20191</v>
          </cell>
          <cell r="AE157">
            <v>2.6193063182708018E-2</v>
          </cell>
          <cell r="AF157">
            <v>108.36344907585944</v>
          </cell>
          <cell r="AG157">
            <v>0.39208278280308967</v>
          </cell>
          <cell r="AH157">
            <v>7.642960685531823E-2</v>
          </cell>
          <cell r="AI157">
            <v>0.39966315251426826</v>
          </cell>
          <cell r="AJ157">
            <v>2.4741947936247122E-2</v>
          </cell>
          <cell r="AK157">
            <v>102.36003313263062</v>
          </cell>
          <cell r="AL157">
            <v>0.37765479548765973</v>
          </cell>
          <cell r="AM157">
            <v>7.2195349601207395E-2</v>
          </cell>
          <cell r="AN157">
            <v>0.39481831813160312</v>
          </cell>
          <cell r="AQ157" t="str">
            <v>20191</v>
          </cell>
          <cell r="AR157">
            <v>2.6193063182708018E-2</v>
          </cell>
          <cell r="AS157">
            <v>108.36344907585944</v>
          </cell>
          <cell r="AT157">
            <v>0.39208278280308967</v>
          </cell>
          <cell r="AU157">
            <v>7.642960685531823E-2</v>
          </cell>
          <cell r="AV157">
            <v>0.39966315251426826</v>
          </cell>
          <cell r="AW157">
            <v>2.4741947936247122E-2</v>
          </cell>
          <cell r="AX157">
            <v>102.36003313263062</v>
          </cell>
          <cell r="AY157">
            <v>0.37765479548765973</v>
          </cell>
          <cell r="AZ157">
            <v>7.2195349601207395E-2</v>
          </cell>
          <cell r="BA157">
            <v>0.39481831813160312</v>
          </cell>
        </row>
        <row r="158">
          <cell r="Q158" t="str">
            <v>20192</v>
          </cell>
          <cell r="R158">
            <v>5.093501111895514E-2</v>
          </cell>
          <cell r="S158">
            <v>210.72348220849005</v>
          </cell>
          <cell r="T158">
            <v>0.7697375782907494</v>
          </cell>
          <cell r="U158">
            <v>0.14862495645652563</v>
          </cell>
          <cell r="V158">
            <v>0.79448147064587138</v>
          </cell>
          <cell r="W158">
            <v>2.3371225557310832E-2</v>
          </cell>
          <cell r="X158">
            <v>96.689210912606256</v>
          </cell>
          <cell r="Y158">
            <v>0.36351089560117367</v>
          </cell>
          <cell r="Z158">
            <v>6.8195673358718567E-2</v>
          </cell>
          <cell r="AA158">
            <v>0.38928363542268496</v>
          </cell>
          <cell r="AD158" t="str">
            <v>20192</v>
          </cell>
          <cell r="AE158">
            <v>5.093501111895514E-2</v>
          </cell>
          <cell r="AF158">
            <v>210.72348220849005</v>
          </cell>
          <cell r="AG158">
            <v>0.7697375782907494</v>
          </cell>
          <cell r="AH158">
            <v>0.14862495645652563</v>
          </cell>
          <cell r="AI158">
            <v>0.79448147064587138</v>
          </cell>
          <cell r="AJ158">
            <v>2.3371225557310832E-2</v>
          </cell>
          <cell r="AK158">
            <v>96.689210912606256</v>
          </cell>
          <cell r="AL158">
            <v>0.36351089560117367</v>
          </cell>
          <cell r="AM158">
            <v>6.8195673358718567E-2</v>
          </cell>
          <cell r="AN158">
            <v>0.38928363542268496</v>
          </cell>
          <cell r="AQ158" t="str">
            <v>20192</v>
          </cell>
          <cell r="AR158">
            <v>5.093501111895514E-2</v>
          </cell>
          <cell r="AS158">
            <v>210.72348220849005</v>
          </cell>
          <cell r="AT158">
            <v>0.7697375782907494</v>
          </cell>
          <cell r="AU158">
            <v>0.14862495645652563</v>
          </cell>
          <cell r="AV158">
            <v>0.79448147064587138</v>
          </cell>
          <cell r="AW158">
            <v>2.3371225557310832E-2</v>
          </cell>
          <cell r="AX158">
            <v>96.689210912606256</v>
          </cell>
          <cell r="AY158">
            <v>0.36351089560117367</v>
          </cell>
          <cell r="AZ158">
            <v>6.8195673358718567E-2</v>
          </cell>
          <cell r="BA158">
            <v>0.38928363542268496</v>
          </cell>
        </row>
        <row r="159">
          <cell r="Q159" t="str">
            <v>20193</v>
          </cell>
          <cell r="R159">
            <v>7.4306236676265972E-2</v>
          </cell>
          <cell r="S159">
            <v>307.41269312109631</v>
          </cell>
          <cell r="T159">
            <v>1.1332484738919231</v>
          </cell>
          <cell r="U159">
            <v>0.21682062981524419</v>
          </cell>
          <cell r="V159">
            <v>1.1837651060685563</v>
          </cell>
          <cell r="W159">
            <v>2.2076442221046461E-2</v>
          </cell>
          <cell r="X159">
            <v>91.332556475328261</v>
          </cell>
          <cell r="Y159">
            <v>0.352481794148648</v>
          </cell>
          <cell r="Z159">
            <v>6.4417582164755627E-2</v>
          </cell>
          <cell r="AA159">
            <v>0.39321565779736245</v>
          </cell>
          <cell r="AD159" t="str">
            <v>20193</v>
          </cell>
          <cell r="AE159">
            <v>7.4306236676265972E-2</v>
          </cell>
          <cell r="AF159">
            <v>307.41269312109631</v>
          </cell>
          <cell r="AG159">
            <v>1.1332484738919231</v>
          </cell>
          <cell r="AH159">
            <v>0.21682062981524419</v>
          </cell>
          <cell r="AI159">
            <v>1.1837651060685563</v>
          </cell>
          <cell r="AJ159">
            <v>2.2076442221046461E-2</v>
          </cell>
          <cell r="AK159">
            <v>91.332556475328261</v>
          </cell>
          <cell r="AL159">
            <v>0.352481794148648</v>
          </cell>
          <cell r="AM159">
            <v>6.4417582164755627E-2</v>
          </cell>
          <cell r="AN159">
            <v>0.39321565779736245</v>
          </cell>
          <cell r="AQ159" t="str">
            <v>20193</v>
          </cell>
          <cell r="AR159">
            <v>7.4306236676265972E-2</v>
          </cell>
          <cell r="AS159">
            <v>307.41269312109631</v>
          </cell>
          <cell r="AT159">
            <v>1.1332484738919231</v>
          </cell>
          <cell r="AU159">
            <v>0.21682062981524419</v>
          </cell>
          <cell r="AV159">
            <v>1.1837651060685563</v>
          </cell>
          <cell r="AW159">
            <v>2.2076442221046461E-2</v>
          </cell>
          <cell r="AX159">
            <v>91.332556475328261</v>
          </cell>
          <cell r="AY159">
            <v>0.352481794148648</v>
          </cell>
          <cell r="AZ159">
            <v>6.4417582164755627E-2</v>
          </cell>
          <cell r="BA159">
            <v>0.39321565779736245</v>
          </cell>
        </row>
        <row r="160">
          <cell r="Q160" t="str">
            <v>20194</v>
          </cell>
          <cell r="R160">
            <v>9.6382678897312432E-2</v>
          </cell>
          <cell r="S160">
            <v>398.74524959642457</v>
          </cell>
          <cell r="T160">
            <v>1.4857302680405711</v>
          </cell>
          <cell r="U160">
            <v>0.28123821197999982</v>
          </cell>
          <cell r="V160">
            <v>1.5769807638659188</v>
          </cell>
          <cell r="W160">
            <v>2.0853390847821715E-2</v>
          </cell>
          <cell r="X160">
            <v>86.272664691189959</v>
          </cell>
          <cell r="Y160">
            <v>0.34809192216482931</v>
          </cell>
          <cell r="Z160">
            <v>6.0848800042276108E-2</v>
          </cell>
          <cell r="AA160">
            <v>0.39995409194454412</v>
          </cell>
          <cell r="AD160" t="str">
            <v>20194</v>
          </cell>
          <cell r="AE160">
            <v>9.6382678897312432E-2</v>
          </cell>
          <cell r="AF160">
            <v>398.74524959642457</v>
          </cell>
          <cell r="AG160">
            <v>1.4857302680405711</v>
          </cell>
          <cell r="AH160">
            <v>0.28123821197999982</v>
          </cell>
          <cell r="AI160">
            <v>1.5769807638659188</v>
          </cell>
          <cell r="AJ160">
            <v>2.0853390847821715E-2</v>
          </cell>
          <cell r="AK160">
            <v>86.272664691189959</v>
          </cell>
          <cell r="AL160">
            <v>0.34809192216482931</v>
          </cell>
          <cell r="AM160">
            <v>6.0848800042276108E-2</v>
          </cell>
          <cell r="AN160">
            <v>0.39995409194454412</v>
          </cell>
          <cell r="AQ160" t="str">
            <v>20194</v>
          </cell>
          <cell r="AR160">
            <v>9.6382678897312432E-2</v>
          </cell>
          <cell r="AS160">
            <v>398.74524959642457</v>
          </cell>
          <cell r="AT160">
            <v>1.4857302680405711</v>
          </cell>
          <cell r="AU160">
            <v>0.28123821197999982</v>
          </cell>
          <cell r="AV160">
            <v>1.5769807638659188</v>
          </cell>
          <cell r="AW160">
            <v>2.0853390847821715E-2</v>
          </cell>
          <cell r="AX160">
            <v>86.272664691189959</v>
          </cell>
          <cell r="AY160">
            <v>0.34809192216482931</v>
          </cell>
          <cell r="AZ160">
            <v>6.0848800042276108E-2</v>
          </cell>
          <cell r="BA160">
            <v>0.39995409194454412</v>
          </cell>
        </row>
        <row r="161">
          <cell r="Q161" t="str">
            <v>20195</v>
          </cell>
          <cell r="R161">
            <v>0.11723606974513415</v>
          </cell>
          <cell r="S161">
            <v>485.01791428761453</v>
          </cell>
          <cell r="T161">
            <v>1.8338221902054004</v>
          </cell>
          <cell r="U161">
            <v>0.34208701202227593</v>
          </cell>
          <cell r="V161">
            <v>1.9769348558104629</v>
          </cell>
          <cell r="W161">
            <v>1.9698097433355405E-2</v>
          </cell>
          <cell r="X161">
            <v>81.493094687753228</v>
          </cell>
          <cell r="Y161">
            <v>0.34172830556548561</v>
          </cell>
          <cell r="Z161">
            <v>5.807645747828194E-2</v>
          </cell>
          <cell r="AA161">
            <v>0.39935048595890787</v>
          </cell>
          <cell r="AD161" t="str">
            <v>20195</v>
          </cell>
          <cell r="AE161">
            <v>0.11723606974513415</v>
          </cell>
          <cell r="AF161">
            <v>485.01791428761453</v>
          </cell>
          <cell r="AG161">
            <v>1.8338221902054004</v>
          </cell>
          <cell r="AH161">
            <v>0.34208701202227593</v>
          </cell>
          <cell r="AI161">
            <v>1.9769348558104629</v>
          </cell>
          <cell r="AJ161">
            <v>1.9698097433355405E-2</v>
          </cell>
          <cell r="AK161">
            <v>81.493094687753228</v>
          </cell>
          <cell r="AL161">
            <v>0.34172830556548561</v>
          </cell>
          <cell r="AM161">
            <v>5.807645747828194E-2</v>
          </cell>
          <cell r="AN161">
            <v>0.39935048595890787</v>
          </cell>
          <cell r="AQ161" t="str">
            <v>20195</v>
          </cell>
          <cell r="AR161">
            <v>0.11723606974513415</v>
          </cell>
          <cell r="AS161">
            <v>485.01791428761453</v>
          </cell>
          <cell r="AT161">
            <v>1.8338221902054004</v>
          </cell>
          <cell r="AU161">
            <v>0.34208701202227593</v>
          </cell>
          <cell r="AV161">
            <v>1.9769348558104629</v>
          </cell>
          <cell r="AW161">
            <v>1.9698097433355405E-2</v>
          </cell>
          <cell r="AX161">
            <v>81.493094687753228</v>
          </cell>
          <cell r="AY161">
            <v>0.34172830556548561</v>
          </cell>
          <cell r="AZ161">
            <v>5.807645747828194E-2</v>
          </cell>
          <cell r="BA161">
            <v>0.39935048595890787</v>
          </cell>
        </row>
        <row r="162">
          <cell r="Q162" t="str">
            <v>20196</v>
          </cell>
          <cell r="R162">
            <v>0.13693416717848955</v>
          </cell>
          <cell r="S162">
            <v>566.51100897536776</v>
          </cell>
          <cell r="T162">
            <v>2.175550495770886</v>
          </cell>
          <cell r="U162">
            <v>0.40016346950055787</v>
          </cell>
          <cell r="V162">
            <v>2.3762853417693708</v>
          </cell>
          <cell r="W162">
            <v>1.8606808136169106E-2</v>
          </cell>
          <cell r="X162">
            <v>76.978316429181632</v>
          </cell>
          <cell r="Y162">
            <v>0.32976918327059579</v>
          </cell>
          <cell r="Z162">
            <v>5.4858978395392166E-2</v>
          </cell>
          <cell r="AA162">
            <v>0.39419286537719955</v>
          </cell>
          <cell r="AD162" t="str">
            <v>20196</v>
          </cell>
          <cell r="AE162">
            <v>0.13693416717848955</v>
          </cell>
          <cell r="AF162">
            <v>566.51100897536776</v>
          </cell>
          <cell r="AG162">
            <v>2.175550495770886</v>
          </cell>
          <cell r="AH162">
            <v>0.40016346950055787</v>
          </cell>
          <cell r="AI162">
            <v>2.3762853417693708</v>
          </cell>
          <cell r="AJ162">
            <v>1.8606808136169106E-2</v>
          </cell>
          <cell r="AK162">
            <v>76.978316429181632</v>
          </cell>
          <cell r="AL162">
            <v>0.32976918327059579</v>
          </cell>
          <cell r="AM162">
            <v>5.4858978395392166E-2</v>
          </cell>
          <cell r="AN162">
            <v>0.39419286537719955</v>
          </cell>
          <cell r="AQ162" t="str">
            <v>20196</v>
          </cell>
          <cell r="AR162">
            <v>0.13693416717848955</v>
          </cell>
          <cell r="AS162">
            <v>566.51100897536776</v>
          </cell>
          <cell r="AT162">
            <v>2.175550495770886</v>
          </cell>
          <cell r="AU162">
            <v>0.40016346950055787</v>
          </cell>
          <cell r="AV162">
            <v>2.3762853417693708</v>
          </cell>
          <cell r="AW162">
            <v>1.8606808136169106E-2</v>
          </cell>
          <cell r="AX162">
            <v>76.978316429181632</v>
          </cell>
          <cell r="AY162">
            <v>0.32976918327059579</v>
          </cell>
          <cell r="AZ162">
            <v>5.4858978395392166E-2</v>
          </cell>
          <cell r="BA162">
            <v>0.39419286537719955</v>
          </cell>
        </row>
        <row r="163">
          <cell r="Q163" t="str">
            <v>20197</v>
          </cell>
          <cell r="R163">
            <v>0.15554097531465866</v>
          </cell>
          <cell r="S163">
            <v>643.48932540454939</v>
          </cell>
          <cell r="T163">
            <v>2.5053196790414818</v>
          </cell>
          <cell r="U163">
            <v>0.45502244789595003</v>
          </cell>
          <cell r="V163">
            <v>2.7704782071465703</v>
          </cell>
          <cell r="W163">
            <v>1.7575977080403427E-2</v>
          </cell>
          <cell r="X163">
            <v>72.713660255213426</v>
          </cell>
          <cell r="Y163">
            <v>0.31637979324807119</v>
          </cell>
          <cell r="Z163">
            <v>5.1819750054684866E-2</v>
          </cell>
          <cell r="AA163">
            <v>0.39105213443329223</v>
          </cell>
          <cell r="AD163" t="str">
            <v>20197</v>
          </cell>
          <cell r="AE163">
            <v>0.15554097531465866</v>
          </cell>
          <cell r="AF163">
            <v>643.48932540454939</v>
          </cell>
          <cell r="AG163">
            <v>2.5053196790414818</v>
          </cell>
          <cell r="AH163">
            <v>0.45502244789595003</v>
          </cell>
          <cell r="AI163">
            <v>2.7704782071465703</v>
          </cell>
          <cell r="AJ163">
            <v>1.7575977080403427E-2</v>
          </cell>
          <cell r="AK163">
            <v>72.713660255213426</v>
          </cell>
          <cell r="AL163">
            <v>0.31637979324807119</v>
          </cell>
          <cell r="AM163">
            <v>5.1819750054684866E-2</v>
          </cell>
          <cell r="AN163">
            <v>0.39105213443329223</v>
          </cell>
          <cell r="AQ163" t="str">
            <v>20197</v>
          </cell>
          <cell r="AR163">
            <v>0.15554097531465866</v>
          </cell>
          <cell r="AS163">
            <v>643.48932540454939</v>
          </cell>
          <cell r="AT163">
            <v>2.5053196790414818</v>
          </cell>
          <cell r="AU163">
            <v>0.45502244789595003</v>
          </cell>
          <cell r="AV163">
            <v>2.7704782071465703</v>
          </cell>
          <cell r="AW163">
            <v>1.7575977080403427E-2</v>
          </cell>
          <cell r="AX163">
            <v>72.713660255213426</v>
          </cell>
          <cell r="AY163">
            <v>0.31637979324807119</v>
          </cell>
          <cell r="AZ163">
            <v>5.1819750054684866E-2</v>
          </cell>
          <cell r="BA163">
            <v>0.39105213443329223</v>
          </cell>
        </row>
        <row r="164">
          <cell r="Q164" t="str">
            <v>20198</v>
          </cell>
          <cell r="R164">
            <v>0.17311695239506208</v>
          </cell>
          <cell r="S164">
            <v>716.20298565976282</v>
          </cell>
          <cell r="T164">
            <v>2.821699472289553</v>
          </cell>
          <cell r="U164">
            <v>0.5068421979506349</v>
          </cell>
          <cell r="V164">
            <v>3.1615303415798626</v>
          </cell>
          <cell r="W164">
            <v>1.6602254834367752E-2</v>
          </cell>
          <cell r="X164">
            <v>68.685269215711855</v>
          </cell>
          <cell r="Y164">
            <v>0.30709833341638815</v>
          </cell>
          <cell r="Z164">
            <v>4.8948897232026556E-2</v>
          </cell>
          <cell r="AA164">
            <v>0.38604027198453927</v>
          </cell>
          <cell r="AD164" t="str">
            <v>20198</v>
          </cell>
          <cell r="AE164">
            <v>0.17311695239506208</v>
          </cell>
          <cell r="AF164">
            <v>716.20298565976282</v>
          </cell>
          <cell r="AG164">
            <v>2.821699472289553</v>
          </cell>
          <cell r="AH164">
            <v>0.5068421979506349</v>
          </cell>
          <cell r="AI164">
            <v>3.1615303415798626</v>
          </cell>
          <cell r="AJ164">
            <v>1.6602254834367752E-2</v>
          </cell>
          <cell r="AK164">
            <v>68.685269215711855</v>
          </cell>
          <cell r="AL164">
            <v>0.30709833341638815</v>
          </cell>
          <cell r="AM164">
            <v>4.8948897232026556E-2</v>
          </cell>
          <cell r="AN164">
            <v>0.38604027198453927</v>
          </cell>
          <cell r="AQ164" t="str">
            <v>20198</v>
          </cell>
          <cell r="AR164">
            <v>0.17311695239506208</v>
          </cell>
          <cell r="AS164">
            <v>716.20298565976282</v>
          </cell>
          <cell r="AT164">
            <v>2.821699472289553</v>
          </cell>
          <cell r="AU164">
            <v>0.5068421979506349</v>
          </cell>
          <cell r="AV164">
            <v>3.1615303415798626</v>
          </cell>
          <cell r="AW164">
            <v>1.6602254834367752E-2</v>
          </cell>
          <cell r="AX164">
            <v>68.685269215711855</v>
          </cell>
          <cell r="AY164">
            <v>0.30709833341638815</v>
          </cell>
          <cell r="AZ164">
            <v>4.8948897232026556E-2</v>
          </cell>
          <cell r="BA164">
            <v>0.38604027198453927</v>
          </cell>
        </row>
        <row r="165">
          <cell r="Q165" t="str">
            <v>20199</v>
          </cell>
          <cell r="R165">
            <v>0.18971920722942984</v>
          </cell>
          <cell r="S165">
            <v>784.88825487547467</v>
          </cell>
          <cell r="T165">
            <v>3.1287978057059411</v>
          </cell>
          <cell r="U165">
            <v>0.55579109518266145</v>
          </cell>
          <cell r="V165">
            <v>3.5475706135644018</v>
          </cell>
          <cell r="W165">
            <v>1.5682477527386524E-2</v>
          </cell>
          <cell r="X165">
            <v>64.880054045918769</v>
          </cell>
          <cell r="Y165">
            <v>0.29393175175528441</v>
          </cell>
          <cell r="Z165">
            <v>4.6237091798069674E-2</v>
          </cell>
          <cell r="AA165">
            <v>0.38229018167063833</v>
          </cell>
          <cell r="AD165" t="str">
            <v>20199</v>
          </cell>
          <cell r="AE165">
            <v>0.18971920722942984</v>
          </cell>
          <cell r="AF165">
            <v>784.88825487547467</v>
          </cell>
          <cell r="AG165">
            <v>3.1287978057059411</v>
          </cell>
          <cell r="AH165">
            <v>0.55579109518266145</v>
          </cell>
          <cell r="AI165">
            <v>3.5475706135644018</v>
          </cell>
          <cell r="AJ165">
            <v>1.5682477527386524E-2</v>
          </cell>
          <cell r="AK165">
            <v>64.880054045918769</v>
          </cell>
          <cell r="AL165">
            <v>0.29393175175528441</v>
          </cell>
          <cell r="AM165">
            <v>4.6237091798069674E-2</v>
          </cell>
          <cell r="AN165">
            <v>0.38229018167063833</v>
          </cell>
          <cell r="AQ165" t="str">
            <v>20199</v>
          </cell>
          <cell r="AR165">
            <v>0.18971920722942984</v>
          </cell>
          <cell r="AS165">
            <v>784.88825487547467</v>
          </cell>
          <cell r="AT165">
            <v>3.1287978057059411</v>
          </cell>
          <cell r="AU165">
            <v>0.55579109518266145</v>
          </cell>
          <cell r="AV165">
            <v>3.5475706135644018</v>
          </cell>
          <cell r="AW165">
            <v>1.5682477527386524E-2</v>
          </cell>
          <cell r="AX165">
            <v>64.880054045918769</v>
          </cell>
          <cell r="AY165">
            <v>0.29393175175528441</v>
          </cell>
          <cell r="AZ165">
            <v>4.6237091798069674E-2</v>
          </cell>
          <cell r="BA165">
            <v>0.38229018167063833</v>
          </cell>
        </row>
        <row r="166">
          <cell r="Q166" t="str">
            <v>201910</v>
          </cell>
          <cell r="R166">
            <v>0.20540168475681636</v>
          </cell>
          <cell r="S166">
            <v>849.76830892139344</v>
          </cell>
          <cell r="T166">
            <v>3.4227295574612255</v>
          </cell>
          <cell r="U166">
            <v>0.60202818698073113</v>
          </cell>
          <cell r="V166">
            <v>3.9298607952350402</v>
          </cell>
          <cell r="W166">
            <v>1.4813656569580641E-2</v>
          </cell>
          <cell r="X166">
            <v>61.285650636110859</v>
          </cell>
          <cell r="Y166">
            <v>0.28381408397039598</v>
          </cell>
          <cell r="Z166">
            <v>4.367552240879391E-2</v>
          </cell>
          <cell r="AA166">
            <v>0.37416865073925543</v>
          </cell>
          <cell r="AD166" t="str">
            <v>201910</v>
          </cell>
          <cell r="AE166">
            <v>0.20540168475681636</v>
          </cell>
          <cell r="AF166">
            <v>849.76830892139344</v>
          </cell>
          <cell r="AG166">
            <v>3.4227295574612255</v>
          </cell>
          <cell r="AH166">
            <v>0.60202818698073113</v>
          </cell>
          <cell r="AI166">
            <v>3.9298607952350402</v>
          </cell>
          <cell r="AJ166">
            <v>1.4813656569580641E-2</v>
          </cell>
          <cell r="AK166">
            <v>61.285650636110859</v>
          </cell>
          <cell r="AL166">
            <v>0.28381408397039598</v>
          </cell>
          <cell r="AM166">
            <v>4.367552240879391E-2</v>
          </cell>
          <cell r="AN166">
            <v>0.37416865073925543</v>
          </cell>
          <cell r="AQ166" t="str">
            <v>201910</v>
          </cell>
          <cell r="AR166">
            <v>0.20540168475681636</v>
          </cell>
          <cell r="AS166">
            <v>849.76830892139344</v>
          </cell>
          <cell r="AT166">
            <v>3.4227295574612255</v>
          </cell>
          <cell r="AU166">
            <v>0.60202818698073113</v>
          </cell>
          <cell r="AV166">
            <v>3.9298607952350402</v>
          </cell>
          <cell r="AW166">
            <v>1.4813656569580641E-2</v>
          </cell>
          <cell r="AX166">
            <v>61.285650636110859</v>
          </cell>
          <cell r="AY166">
            <v>0.28381408397039598</v>
          </cell>
          <cell r="AZ166">
            <v>4.367552240879391E-2</v>
          </cell>
          <cell r="BA166">
            <v>0.37416865073925543</v>
          </cell>
        </row>
        <row r="167">
          <cell r="Q167" t="str">
            <v>201911</v>
          </cell>
          <cell r="R167">
            <v>0.220215341326397</v>
          </cell>
          <cell r="S167">
            <v>911.0539595575043</v>
          </cell>
          <cell r="T167">
            <v>3.7065436414316215</v>
          </cell>
          <cell r="U167">
            <v>0.64570370938952504</v>
          </cell>
          <cell r="V167">
            <v>4.3040294459742956</v>
          </cell>
          <cell r="W167">
            <v>1.3992968941180406E-2</v>
          </cell>
          <cell r="X167">
            <v>57.89037985747018</v>
          </cell>
          <cell r="Y167">
            <v>0.27178394683553142</v>
          </cell>
          <cell r="Z167">
            <v>4.1681184080111788E-2</v>
          </cell>
          <cell r="AA167">
            <v>0.36832556544262118</v>
          </cell>
          <cell r="AD167" t="str">
            <v>201911</v>
          </cell>
          <cell r="AE167">
            <v>0.220215341326397</v>
          </cell>
          <cell r="AF167">
            <v>911.0539595575043</v>
          </cell>
          <cell r="AG167">
            <v>3.7065436414316215</v>
          </cell>
          <cell r="AH167">
            <v>0.64570370938952504</v>
          </cell>
          <cell r="AI167">
            <v>4.3040294459742956</v>
          </cell>
          <cell r="AJ167">
            <v>1.3992968941180406E-2</v>
          </cell>
          <cell r="AK167">
            <v>57.89037985747018</v>
          </cell>
          <cell r="AL167">
            <v>0.27178394683553142</v>
          </cell>
          <cell r="AM167">
            <v>4.1681184080111788E-2</v>
          </cell>
          <cell r="AN167">
            <v>0.36832556544262118</v>
          </cell>
          <cell r="AQ167" t="str">
            <v>201911</v>
          </cell>
          <cell r="AR167">
            <v>0.220215341326397</v>
          </cell>
          <cell r="AS167">
            <v>911.0539595575043</v>
          </cell>
          <cell r="AT167">
            <v>3.7065436414316215</v>
          </cell>
          <cell r="AU167">
            <v>0.64570370938952504</v>
          </cell>
          <cell r="AV167">
            <v>4.3040294459742956</v>
          </cell>
          <cell r="AW167">
            <v>1.3992968941180406E-2</v>
          </cell>
          <cell r="AX167">
            <v>57.89037985747018</v>
          </cell>
          <cell r="AY167">
            <v>0.27178394683553142</v>
          </cell>
          <cell r="AZ167">
            <v>4.1681184080111788E-2</v>
          </cell>
          <cell r="BA167">
            <v>0.36832556544262118</v>
          </cell>
        </row>
        <row r="168">
          <cell r="Q168" t="str">
            <v>201912</v>
          </cell>
          <cell r="R168">
            <v>0.23420831026757741</v>
          </cell>
          <cell r="S168">
            <v>968.94433941497448</v>
          </cell>
          <cell r="T168">
            <v>3.9783275882671529</v>
          </cell>
          <cell r="U168">
            <v>0.68738489346963683</v>
          </cell>
          <cell r="V168">
            <v>4.6723550114169168</v>
          </cell>
          <cell r="W168">
            <v>1.3217748019818065E-2</v>
          </cell>
          <cell r="X168">
            <v>54.683209613630765</v>
          </cell>
          <cell r="Y168">
            <v>0.26106778866657399</v>
          </cell>
          <cell r="Z168">
            <v>3.9372015378181469E-2</v>
          </cell>
          <cell r="AA168">
            <v>0.36318675410077628</v>
          </cell>
          <cell r="AD168" t="str">
            <v>201912</v>
          </cell>
          <cell r="AE168">
            <v>0.23420831026757741</v>
          </cell>
          <cell r="AF168">
            <v>968.94433941497448</v>
          </cell>
          <cell r="AG168">
            <v>3.9783275882671529</v>
          </cell>
          <cell r="AH168">
            <v>0.68738489346963683</v>
          </cell>
          <cell r="AI168">
            <v>4.6723550114169168</v>
          </cell>
          <cell r="AJ168">
            <v>1.3217748019818065E-2</v>
          </cell>
          <cell r="AK168">
            <v>54.683209613630765</v>
          </cell>
          <cell r="AL168">
            <v>0.26106778866657399</v>
          </cell>
          <cell r="AM168">
            <v>3.9372015378181469E-2</v>
          </cell>
          <cell r="AN168">
            <v>0.36318675410077628</v>
          </cell>
          <cell r="AQ168" t="str">
            <v>201912</v>
          </cell>
          <cell r="AR168">
            <v>0.23420831026757741</v>
          </cell>
          <cell r="AS168">
            <v>968.94433941497448</v>
          </cell>
          <cell r="AT168">
            <v>3.9783275882671529</v>
          </cell>
          <cell r="AU168">
            <v>0.68738489346963683</v>
          </cell>
          <cell r="AV168">
            <v>4.6723550114169168</v>
          </cell>
          <cell r="AW168">
            <v>1.3217748019818065E-2</v>
          </cell>
          <cell r="AX168">
            <v>54.683209613630765</v>
          </cell>
          <cell r="AY168">
            <v>0.26106778866657399</v>
          </cell>
          <cell r="AZ168">
            <v>3.9372015378181469E-2</v>
          </cell>
          <cell r="BA168">
            <v>0.36318675410077628</v>
          </cell>
        </row>
        <row r="169">
          <cell r="Q169" t="str">
            <v>201913</v>
          </cell>
          <cell r="R169">
            <v>0.24742605828739547</v>
          </cell>
          <cell r="S169">
            <v>1023.6275490286052</v>
          </cell>
          <cell r="T169">
            <v>4.2393953769337269</v>
          </cell>
          <cell r="U169">
            <v>0.72675690884781829</v>
          </cell>
          <cell r="V169">
            <v>5.0355417655176931</v>
          </cell>
          <cell r="W169">
            <v>1.2485474915994971E-2</v>
          </cell>
          <cell r="X169">
            <v>51.653718994597511</v>
          </cell>
          <cell r="Y169">
            <v>0.25229714261485991</v>
          </cell>
          <cell r="Z169">
            <v>3.7190776345516929E-2</v>
          </cell>
          <cell r="AA169">
            <v>0.35824584561395856</v>
          </cell>
          <cell r="AD169" t="str">
            <v>201913</v>
          </cell>
          <cell r="AE169">
            <v>0.24742605828739547</v>
          </cell>
          <cell r="AF169">
            <v>1023.6275490286052</v>
          </cell>
          <cell r="AG169">
            <v>4.2393953769337269</v>
          </cell>
          <cell r="AH169">
            <v>0.72675690884781829</v>
          </cell>
          <cell r="AI169">
            <v>5.0355417655176931</v>
          </cell>
          <cell r="AJ169">
            <v>1.2485474915994971E-2</v>
          </cell>
          <cell r="AK169">
            <v>51.653718994597511</v>
          </cell>
          <cell r="AL169">
            <v>0.25229714261485991</v>
          </cell>
          <cell r="AM169">
            <v>3.7190776345516929E-2</v>
          </cell>
          <cell r="AN169">
            <v>0.35824584561395856</v>
          </cell>
          <cell r="AQ169" t="str">
            <v>201913</v>
          </cell>
          <cell r="AR169">
            <v>0.24742605828739547</v>
          </cell>
          <cell r="AS169">
            <v>1023.6275490286052</v>
          </cell>
          <cell r="AT169">
            <v>4.2393953769337269</v>
          </cell>
          <cell r="AU169">
            <v>0.72675690884781829</v>
          </cell>
          <cell r="AV169">
            <v>5.0355417655176931</v>
          </cell>
          <cell r="AW169">
            <v>1.2485474915994971E-2</v>
          </cell>
          <cell r="AX169">
            <v>51.653718994597511</v>
          </cell>
          <cell r="AY169">
            <v>0.25229714261485991</v>
          </cell>
          <cell r="AZ169">
            <v>3.7190776345516929E-2</v>
          </cell>
          <cell r="BA169">
            <v>0.35824584561395856</v>
          </cell>
        </row>
        <row r="170">
          <cell r="Q170" t="str">
            <v>201914</v>
          </cell>
          <cell r="R170">
            <v>0.25991153320339044</v>
          </cell>
          <cell r="S170">
            <v>1075.2812680232028</v>
          </cell>
          <cell r="T170">
            <v>4.4916925195485868</v>
          </cell>
          <cell r="U170">
            <v>0.76394768519333522</v>
          </cell>
          <cell r="V170">
            <v>5.3937876111316516</v>
          </cell>
          <cell r="W170">
            <v>1.1793770288570316E-2</v>
          </cell>
          <cell r="X170">
            <v>48.792064416566063</v>
          </cell>
          <cell r="Y170">
            <v>0.24206380693902574</v>
          </cell>
          <cell r="Z170">
            <v>3.513037958297538E-2</v>
          </cell>
          <cell r="AA170">
            <v>0.3548885284402612</v>
          </cell>
          <cell r="AD170" t="str">
            <v>201914</v>
          </cell>
          <cell r="AE170">
            <v>0.25991153320339044</v>
          </cell>
          <cell r="AF170">
            <v>1075.2812680232028</v>
          </cell>
          <cell r="AG170">
            <v>4.4916925195485868</v>
          </cell>
          <cell r="AH170">
            <v>0.76394768519333522</v>
          </cell>
          <cell r="AI170">
            <v>5.3937876111316516</v>
          </cell>
          <cell r="AJ170">
            <v>1.1793770288570316E-2</v>
          </cell>
          <cell r="AK170">
            <v>48.792064416566063</v>
          </cell>
          <cell r="AL170">
            <v>0.24206380693902574</v>
          </cell>
          <cell r="AM170">
            <v>3.513037958297538E-2</v>
          </cell>
          <cell r="AN170">
            <v>0.3548885284402612</v>
          </cell>
          <cell r="AQ170" t="str">
            <v>201914</v>
          </cell>
          <cell r="AR170">
            <v>0.25991153320339044</v>
          </cell>
          <cell r="AS170">
            <v>1075.2812680232028</v>
          </cell>
          <cell r="AT170">
            <v>4.4916925195485868</v>
          </cell>
          <cell r="AU170">
            <v>0.76394768519333522</v>
          </cell>
          <cell r="AV170">
            <v>5.3937876111316516</v>
          </cell>
          <cell r="AW170">
            <v>1.1793770288570316E-2</v>
          </cell>
          <cell r="AX170">
            <v>48.792064416566063</v>
          </cell>
          <cell r="AY170">
            <v>0.24206380693902574</v>
          </cell>
          <cell r="AZ170">
            <v>3.513037958297538E-2</v>
          </cell>
          <cell r="BA170">
            <v>0.3548885284402612</v>
          </cell>
        </row>
        <row r="171">
          <cell r="Q171" t="str">
            <v>201915</v>
          </cell>
          <cell r="R171">
            <v>0.27170530349196076</v>
          </cell>
          <cell r="S171">
            <v>1124.0733324397688</v>
          </cell>
          <cell r="T171">
            <v>4.7337563264876126</v>
          </cell>
          <cell r="U171">
            <v>0.7990780647763106</v>
          </cell>
          <cell r="V171">
            <v>5.7486761395719128</v>
          </cell>
          <cell r="W171">
            <v>1.114038661367811E-2</v>
          </cell>
          <cell r="X171">
            <v>46.08894763761964</v>
          </cell>
          <cell r="Y171">
            <v>0.23389828827700487</v>
          </cell>
          <cell r="Z171">
            <v>3.3522743913499409E-2</v>
          </cell>
          <cell r="AA171">
            <v>0.34809475498057996</v>
          </cell>
          <cell r="AD171" t="str">
            <v>201915</v>
          </cell>
          <cell r="AE171">
            <v>0.27170530349196076</v>
          </cell>
          <cell r="AF171">
            <v>1124.0733324397688</v>
          </cell>
          <cell r="AG171">
            <v>4.7337563264876126</v>
          </cell>
          <cell r="AH171">
            <v>0.7990780647763106</v>
          </cell>
          <cell r="AI171">
            <v>5.7486761395719128</v>
          </cell>
          <cell r="AJ171">
            <v>1.114038661367811E-2</v>
          </cell>
          <cell r="AK171">
            <v>46.08894763761964</v>
          </cell>
          <cell r="AL171">
            <v>0.23389828827700487</v>
          </cell>
          <cell r="AM171">
            <v>3.3522743913499409E-2</v>
          </cell>
          <cell r="AN171">
            <v>0.34809475498057996</v>
          </cell>
          <cell r="AQ171" t="str">
            <v>201915</v>
          </cell>
          <cell r="AR171">
            <v>0.27170530349196076</v>
          </cell>
          <cell r="AS171">
            <v>1124.0733324397688</v>
          </cell>
          <cell r="AT171">
            <v>4.7337563264876126</v>
          </cell>
          <cell r="AU171">
            <v>0.7990780647763106</v>
          </cell>
          <cell r="AV171">
            <v>5.7486761395719128</v>
          </cell>
          <cell r="AW171">
            <v>1.114038661367811E-2</v>
          </cell>
          <cell r="AX171">
            <v>46.08894763761964</v>
          </cell>
          <cell r="AY171">
            <v>0.23389828827700487</v>
          </cell>
          <cell r="AZ171">
            <v>3.3522743913499409E-2</v>
          </cell>
          <cell r="BA171">
            <v>0.34809475498057996</v>
          </cell>
        </row>
        <row r="172">
          <cell r="Q172" t="str">
            <v>201916</v>
          </cell>
          <cell r="R172">
            <v>0.28284569010563887</v>
          </cell>
          <cell r="S172">
            <v>1170.1622800773885</v>
          </cell>
          <cell r="T172">
            <v>4.9676546147646174</v>
          </cell>
          <cell r="U172">
            <v>0.83260080868981001</v>
          </cell>
          <cell r="V172">
            <v>6.0967708945524928</v>
          </cell>
          <cell r="W172">
            <v>1.0523200881951633E-2</v>
          </cell>
          <cell r="X172">
            <v>43.535585545382901</v>
          </cell>
          <cell r="Y172">
            <v>0.23016320890241726</v>
          </cell>
          <cell r="Z172">
            <v>3.1985413015050534E-2</v>
          </cell>
          <cell r="AA172">
            <v>0.35279910555600758</v>
          </cell>
          <cell r="AD172" t="str">
            <v>201916</v>
          </cell>
          <cell r="AE172">
            <v>0.28284569010563887</v>
          </cell>
          <cell r="AF172">
            <v>1170.1622800773885</v>
          </cell>
          <cell r="AG172">
            <v>4.9676546147646174</v>
          </cell>
          <cell r="AH172">
            <v>0.83260080868981001</v>
          </cell>
          <cell r="AI172">
            <v>6.0967708945524928</v>
          </cell>
          <cell r="AJ172">
            <v>1.0523200881951633E-2</v>
          </cell>
          <cell r="AK172">
            <v>43.535585545382901</v>
          </cell>
          <cell r="AL172">
            <v>0.23016320890241726</v>
          </cell>
          <cell r="AM172">
            <v>3.1985413015050534E-2</v>
          </cell>
          <cell r="AN172">
            <v>0.35279910555600758</v>
          </cell>
          <cell r="AQ172" t="str">
            <v>201916</v>
          </cell>
          <cell r="AR172">
            <v>0.28284569010563887</v>
          </cell>
          <cell r="AS172">
            <v>1170.1622800773885</v>
          </cell>
          <cell r="AT172">
            <v>4.9676546147646174</v>
          </cell>
          <cell r="AU172">
            <v>0.83260080868981001</v>
          </cell>
          <cell r="AV172">
            <v>6.0967708945524928</v>
          </cell>
          <cell r="AW172">
            <v>1.0523200881951633E-2</v>
          </cell>
          <cell r="AX172">
            <v>43.535585545382901</v>
          </cell>
          <cell r="AY172">
            <v>0.23016320890241726</v>
          </cell>
          <cell r="AZ172">
            <v>3.1985413015050534E-2</v>
          </cell>
          <cell r="BA172">
            <v>0.35279910555600758</v>
          </cell>
        </row>
        <row r="173">
          <cell r="Q173" t="str">
            <v>201917</v>
          </cell>
          <cell r="R173">
            <v>0.2933688909875905</v>
          </cell>
          <cell r="S173">
            <v>1213.6978656227714</v>
          </cell>
          <cell r="T173">
            <v>5.1978178236670347</v>
          </cell>
          <cell r="U173">
            <v>0.86458622170486055</v>
          </cell>
          <cell r="V173">
            <v>6.4495700001085003</v>
          </cell>
          <cell r="W173">
            <v>9.9402077003274414E-3</v>
          </cell>
          <cell r="X173">
            <v>41.123681618460296</v>
          </cell>
          <cell r="Y173">
            <v>0.22684603018175675</v>
          </cell>
          <cell r="Z173">
            <v>3.0515531238087257E-2</v>
          </cell>
          <cell r="AA173">
            <v>0.35530955184149082</v>
          </cell>
          <cell r="AD173" t="str">
            <v>201917</v>
          </cell>
          <cell r="AE173">
            <v>0.2933688909875905</v>
          </cell>
          <cell r="AF173">
            <v>1213.6978656227714</v>
          </cell>
          <cell r="AG173">
            <v>5.1978178236670347</v>
          </cell>
          <cell r="AH173">
            <v>0.86458622170486055</v>
          </cell>
          <cell r="AI173">
            <v>6.4495700001085003</v>
          </cell>
          <cell r="AJ173">
            <v>9.9402077003274414E-3</v>
          </cell>
          <cell r="AK173">
            <v>41.123681618460296</v>
          </cell>
          <cell r="AL173">
            <v>0.22684603018175675</v>
          </cell>
          <cell r="AM173">
            <v>3.0515531238087257E-2</v>
          </cell>
          <cell r="AN173">
            <v>0.35530955184149082</v>
          </cell>
          <cell r="AQ173" t="str">
            <v>201917</v>
          </cell>
          <cell r="AR173">
            <v>0.2933688909875905</v>
          </cell>
          <cell r="AS173">
            <v>1213.6978656227714</v>
          </cell>
          <cell r="AT173">
            <v>5.1978178236670347</v>
          </cell>
          <cell r="AU173">
            <v>0.86458622170486055</v>
          </cell>
          <cell r="AV173">
            <v>6.4495700001085003</v>
          </cell>
          <cell r="AW173">
            <v>9.9402077003274414E-3</v>
          </cell>
          <cell r="AX173">
            <v>41.123681618460296</v>
          </cell>
          <cell r="AY173">
            <v>0.22684603018175675</v>
          </cell>
          <cell r="AZ173">
            <v>3.0515531238087257E-2</v>
          </cell>
          <cell r="BA173">
            <v>0.35530955184149082</v>
          </cell>
        </row>
        <row r="174">
          <cell r="Q174" t="str">
            <v>201918</v>
          </cell>
          <cell r="R174">
            <v>0.30330909868791794</v>
          </cell>
          <cell r="S174">
            <v>1254.8215472412317</v>
          </cell>
          <cell r="T174">
            <v>5.4246638538487915</v>
          </cell>
          <cell r="U174">
            <v>0.8951017529429478</v>
          </cell>
          <cell r="V174">
            <v>6.8048795519499912</v>
          </cell>
          <cell r="W174">
            <v>9.3895127760141861E-3</v>
          </cell>
          <cell r="X174">
            <v>38.845398968932386</v>
          </cell>
          <cell r="Y174">
            <v>0.22588484366759332</v>
          </cell>
          <cell r="Z174">
            <v>2.8824948035788278E-2</v>
          </cell>
          <cell r="AA174">
            <v>0.34247463012817736</v>
          </cell>
          <cell r="AD174" t="str">
            <v>201918</v>
          </cell>
          <cell r="AE174">
            <v>0.30330909868791794</v>
          </cell>
          <cell r="AF174">
            <v>1254.8215472412317</v>
          </cell>
          <cell r="AG174">
            <v>5.4246638538487915</v>
          </cell>
          <cell r="AH174">
            <v>0.8951017529429478</v>
          </cell>
          <cell r="AI174">
            <v>6.8048795519499912</v>
          </cell>
          <cell r="AJ174">
            <v>9.3895127760141861E-3</v>
          </cell>
          <cell r="AK174">
            <v>38.845398968932386</v>
          </cell>
          <cell r="AL174">
            <v>0.22588484366759332</v>
          </cell>
          <cell r="AM174">
            <v>2.8824948035788278E-2</v>
          </cell>
          <cell r="AN174">
            <v>0.34247463012817736</v>
          </cell>
          <cell r="AQ174" t="str">
            <v>201918</v>
          </cell>
          <cell r="AR174">
            <v>0.30330909868791794</v>
          </cell>
          <cell r="AS174">
            <v>1254.8215472412317</v>
          </cell>
          <cell r="AT174">
            <v>5.4246638538487915</v>
          </cell>
          <cell r="AU174">
            <v>0.8951017529429478</v>
          </cell>
          <cell r="AV174">
            <v>6.8048795519499912</v>
          </cell>
          <cell r="AW174">
            <v>9.3895127760141861E-3</v>
          </cell>
          <cell r="AX174">
            <v>38.845398968932386</v>
          </cell>
          <cell r="AY174">
            <v>0.22588484366759332</v>
          </cell>
          <cell r="AZ174">
            <v>2.8824948035788278E-2</v>
          </cell>
          <cell r="BA174">
            <v>0.34247463012817736</v>
          </cell>
        </row>
        <row r="175">
          <cell r="Q175" t="str">
            <v>201919</v>
          </cell>
          <cell r="R175">
            <v>0.31269861146393213</v>
          </cell>
          <cell r="S175">
            <v>1293.666946210164</v>
          </cell>
          <cell r="T175">
            <v>5.6505486975163848</v>
          </cell>
          <cell r="U175">
            <v>0.92392670097873608</v>
          </cell>
          <cell r="V175">
            <v>7.1473541820781685</v>
          </cell>
          <cell r="W175">
            <v>8.8693267614548543E-3</v>
          </cell>
          <cell r="X175">
            <v>36.693334878318865</v>
          </cell>
          <cell r="Y175">
            <v>0.22352934975991179</v>
          </cell>
          <cell r="Z175">
            <v>2.7228024404466256E-2</v>
          </cell>
          <cell r="AA175">
            <v>0.33024089005417068</v>
          </cell>
          <cell r="AD175" t="str">
            <v>201919</v>
          </cell>
          <cell r="AE175">
            <v>0.31269861146393213</v>
          </cell>
          <cell r="AF175">
            <v>1293.666946210164</v>
          </cell>
          <cell r="AG175">
            <v>5.6505486975163848</v>
          </cell>
          <cell r="AH175">
            <v>0.92392670097873608</v>
          </cell>
          <cell r="AI175">
            <v>7.1473541820781685</v>
          </cell>
          <cell r="AJ175">
            <v>8.8693267614548543E-3</v>
          </cell>
          <cell r="AK175">
            <v>36.693334878318865</v>
          </cell>
          <cell r="AL175">
            <v>0.22352934975991179</v>
          </cell>
          <cell r="AM175">
            <v>2.7228024404466256E-2</v>
          </cell>
          <cell r="AN175">
            <v>0.33024089005417068</v>
          </cell>
          <cell r="AQ175" t="str">
            <v>201919</v>
          </cell>
          <cell r="AR175">
            <v>0.31269861146393213</v>
          </cell>
          <cell r="AS175">
            <v>1293.666946210164</v>
          </cell>
          <cell r="AT175">
            <v>5.6505486975163848</v>
          </cell>
          <cell r="AU175">
            <v>0.92392670097873608</v>
          </cell>
          <cell r="AV175">
            <v>7.1473541820781685</v>
          </cell>
          <cell r="AW175">
            <v>8.8693267614548543E-3</v>
          </cell>
          <cell r="AX175">
            <v>36.693334878318865</v>
          </cell>
          <cell r="AY175">
            <v>0.22352934975991179</v>
          </cell>
          <cell r="AZ175">
            <v>2.7228024404466256E-2</v>
          </cell>
          <cell r="BA175">
            <v>0.33024089005417068</v>
          </cell>
        </row>
        <row r="176">
          <cell r="Q176" t="str">
            <v>201920</v>
          </cell>
          <cell r="R176">
            <v>0.32156793822538698</v>
          </cell>
          <cell r="S176">
            <v>1330.3602810884829</v>
          </cell>
          <cell r="T176">
            <v>5.8740780472762966</v>
          </cell>
          <cell r="U176">
            <v>0.95115472538320234</v>
          </cell>
          <cell r="V176">
            <v>7.4775950721323392</v>
          </cell>
          <cell r="W176">
            <v>8.377959440282301E-3</v>
          </cell>
          <cell r="X176">
            <v>34.660496744267675</v>
          </cell>
          <cell r="Y176">
            <v>0.22177663198023101</v>
          </cell>
          <cell r="Z176">
            <v>2.5719571533997287E-2</v>
          </cell>
          <cell r="AA176">
            <v>0.31856617810921417</v>
          </cell>
          <cell r="AD176" t="str">
            <v>201920</v>
          </cell>
          <cell r="AE176">
            <v>0.32156793822538698</v>
          </cell>
          <cell r="AF176">
            <v>1330.3602810884829</v>
          </cell>
          <cell r="AG176">
            <v>5.8740780472762966</v>
          </cell>
          <cell r="AH176">
            <v>0.95115472538320234</v>
          </cell>
          <cell r="AI176">
            <v>7.4775950721323392</v>
          </cell>
          <cell r="AJ176">
            <v>8.377959440282301E-3</v>
          </cell>
          <cell r="AK176">
            <v>34.660496744267675</v>
          </cell>
          <cell r="AL176">
            <v>0.22177663198023101</v>
          </cell>
          <cell r="AM176">
            <v>2.5719571533997287E-2</v>
          </cell>
          <cell r="AN176">
            <v>0.31856617810921417</v>
          </cell>
          <cell r="AQ176" t="str">
            <v>201920</v>
          </cell>
          <cell r="AR176">
            <v>0.32156793822538698</v>
          </cell>
          <cell r="AS176">
            <v>1330.3602810884829</v>
          </cell>
          <cell r="AT176">
            <v>5.8740780472762966</v>
          </cell>
          <cell r="AU176">
            <v>0.95115472538320234</v>
          </cell>
          <cell r="AV176">
            <v>7.4775950721323392</v>
          </cell>
          <cell r="AW176">
            <v>8.377959440282301E-3</v>
          </cell>
          <cell r="AX176">
            <v>34.660496744267675</v>
          </cell>
          <cell r="AY176">
            <v>0.22177663198023101</v>
          </cell>
          <cell r="AZ176">
            <v>2.5719571533997287E-2</v>
          </cell>
          <cell r="BA176">
            <v>0.31856617810921417</v>
          </cell>
        </row>
        <row r="177">
          <cell r="Q177" t="str">
            <v>201921</v>
          </cell>
          <cell r="R177">
            <v>0.32994589766566929</v>
          </cell>
          <cell r="S177">
            <v>1365.0207778327506</v>
          </cell>
          <cell r="T177">
            <v>6.0958546792565276</v>
          </cell>
          <cell r="U177">
            <v>0.97687429691719962</v>
          </cell>
          <cell r="V177">
            <v>7.7961612502415534</v>
          </cell>
          <cell r="W177">
            <v>7.9138142353774033E-3</v>
          </cell>
          <cell r="X177">
            <v>32.740279359814394</v>
          </cell>
          <cell r="Y177">
            <v>0.21390745983105575</v>
          </cell>
          <cell r="Z177">
            <v>2.4294688078210336E-2</v>
          </cell>
          <cell r="AA177">
            <v>0.30717145223638198</v>
          </cell>
          <cell r="AD177" t="str">
            <v>201921</v>
          </cell>
          <cell r="AE177">
            <v>0.32994589766566929</v>
          </cell>
          <cell r="AF177">
            <v>1365.0207778327506</v>
          </cell>
          <cell r="AG177">
            <v>6.0958546792565276</v>
          </cell>
          <cell r="AH177">
            <v>0.97687429691719962</v>
          </cell>
          <cell r="AI177">
            <v>7.7961612502415534</v>
          </cell>
          <cell r="AJ177">
            <v>7.9138142353774033E-3</v>
          </cell>
          <cell r="AK177">
            <v>32.740279359814394</v>
          </cell>
          <cell r="AL177">
            <v>0.21390745983105575</v>
          </cell>
          <cell r="AM177">
            <v>2.4294688078210336E-2</v>
          </cell>
          <cell r="AN177">
            <v>0.30717145223638198</v>
          </cell>
          <cell r="AQ177" t="str">
            <v>201921</v>
          </cell>
          <cell r="AR177">
            <v>0.32994589766566929</v>
          </cell>
          <cell r="AS177">
            <v>1365.0207778327506</v>
          </cell>
          <cell r="AT177">
            <v>6.0958546792565276</v>
          </cell>
          <cell r="AU177">
            <v>0.97687429691719962</v>
          </cell>
          <cell r="AV177">
            <v>7.7961612502415534</v>
          </cell>
          <cell r="AW177">
            <v>7.9138142353774033E-3</v>
          </cell>
          <cell r="AX177">
            <v>32.740279359814394</v>
          </cell>
          <cell r="AY177">
            <v>0.21390745983105575</v>
          </cell>
          <cell r="AZ177">
            <v>2.4294688078210336E-2</v>
          </cell>
          <cell r="BA177">
            <v>0.30717145223638198</v>
          </cell>
        </row>
        <row r="178">
          <cell r="Q178" t="str">
            <v>201922</v>
          </cell>
          <cell r="R178">
            <v>0.33785971190104669</v>
          </cell>
          <cell r="S178">
            <v>1397.761057192565</v>
          </cell>
          <cell r="T178">
            <v>6.3097621390875833</v>
          </cell>
          <cell r="U178">
            <v>1.00116898499541</v>
          </cell>
          <cell r="V178">
            <v>8.1033327024779354</v>
          </cell>
          <cell r="W178">
            <v>7.4753830211848893E-3</v>
          </cell>
          <cell r="X178">
            <v>30.926443451390469</v>
          </cell>
          <cell r="Y178">
            <v>0.20800556934659564</v>
          </cell>
          <cell r="Z178">
            <v>2.3175959518567213E-2</v>
          </cell>
          <cell r="AA178">
            <v>0.29606152208522651</v>
          </cell>
          <cell r="AD178" t="str">
            <v>201922</v>
          </cell>
          <cell r="AE178">
            <v>0.33785971190104669</v>
          </cell>
          <cell r="AF178">
            <v>1397.761057192565</v>
          </cell>
          <cell r="AG178">
            <v>6.3097621390875833</v>
          </cell>
          <cell r="AH178">
            <v>1.00116898499541</v>
          </cell>
          <cell r="AI178">
            <v>8.1033327024779354</v>
          </cell>
          <cell r="AJ178">
            <v>7.4753830211848893E-3</v>
          </cell>
          <cell r="AK178">
            <v>30.926443451390469</v>
          </cell>
          <cell r="AL178">
            <v>0.20800556934659564</v>
          </cell>
          <cell r="AM178">
            <v>2.3175959518567213E-2</v>
          </cell>
          <cell r="AN178">
            <v>0.29606152208522651</v>
          </cell>
          <cell r="AQ178" t="str">
            <v>201922</v>
          </cell>
          <cell r="AR178">
            <v>0.33785971190104669</v>
          </cell>
          <cell r="AS178">
            <v>1397.761057192565</v>
          </cell>
          <cell r="AT178">
            <v>6.3097621390875833</v>
          </cell>
          <cell r="AU178">
            <v>1.00116898499541</v>
          </cell>
          <cell r="AV178">
            <v>8.1033327024779354</v>
          </cell>
          <cell r="AW178">
            <v>7.4753830211848893E-3</v>
          </cell>
          <cell r="AX178">
            <v>30.926443451390469</v>
          </cell>
          <cell r="AY178">
            <v>0.20800556934659564</v>
          </cell>
          <cell r="AZ178">
            <v>2.3175959518567213E-2</v>
          </cell>
          <cell r="BA178">
            <v>0.29606152208522651</v>
          </cell>
        </row>
        <row r="179">
          <cell r="Q179" t="str">
            <v>201923</v>
          </cell>
          <cell r="R179">
            <v>0.34533509492223158</v>
          </cell>
          <cell r="S179">
            <v>1428.6875006439554</v>
          </cell>
          <cell r="T179">
            <v>6.517767708434179</v>
          </cell>
          <cell r="U179">
            <v>1.0243449445139772</v>
          </cell>
          <cell r="V179">
            <v>8.3993942245631619</v>
          </cell>
          <cell r="W179">
            <v>7.0612412234307143E-3</v>
          </cell>
          <cell r="X179">
            <v>29.213095405837976</v>
          </cell>
          <cell r="Y179">
            <v>0.19648190558408896</v>
          </cell>
          <cell r="Z179">
            <v>2.189199406656317E-2</v>
          </cell>
          <cell r="AA179">
            <v>0.27965949283070479</v>
          </cell>
          <cell r="AD179" t="str">
            <v>201923</v>
          </cell>
          <cell r="AE179">
            <v>0.34533509492223158</v>
          </cell>
          <cell r="AF179">
            <v>1428.6875006439554</v>
          </cell>
          <cell r="AG179">
            <v>6.517767708434179</v>
          </cell>
          <cell r="AH179">
            <v>1.0243449445139772</v>
          </cell>
          <cell r="AI179">
            <v>8.3993942245631619</v>
          </cell>
          <cell r="AJ179">
            <v>7.0612412234307143E-3</v>
          </cell>
          <cell r="AK179">
            <v>29.213095405837976</v>
          </cell>
          <cell r="AL179">
            <v>0.19648190558408896</v>
          </cell>
          <cell r="AM179">
            <v>2.189199406656317E-2</v>
          </cell>
          <cell r="AN179">
            <v>0.27965949283070479</v>
          </cell>
          <cell r="AQ179" t="str">
            <v>201923</v>
          </cell>
          <cell r="AR179">
            <v>0.34533509492223158</v>
          </cell>
          <cell r="AS179">
            <v>1428.6875006439554</v>
          </cell>
          <cell r="AT179">
            <v>6.517767708434179</v>
          </cell>
          <cell r="AU179">
            <v>1.0243449445139772</v>
          </cell>
          <cell r="AV179">
            <v>8.3993942245631619</v>
          </cell>
          <cell r="AW179">
            <v>7.0612412234307143E-3</v>
          </cell>
          <cell r="AX179">
            <v>29.213095405837976</v>
          </cell>
          <cell r="AY179">
            <v>0.19648190558408896</v>
          </cell>
          <cell r="AZ179">
            <v>2.189199406656317E-2</v>
          </cell>
          <cell r="BA179">
            <v>0.27965949283070479</v>
          </cell>
        </row>
        <row r="180">
          <cell r="Q180" t="str">
            <v>201924</v>
          </cell>
          <cell r="R180">
            <v>0.35239633614566229</v>
          </cell>
          <cell r="S180">
            <v>1457.9005960497934</v>
          </cell>
          <cell r="T180">
            <v>6.7142496140182679</v>
          </cell>
          <cell r="U180">
            <v>1.0462369385805403</v>
          </cell>
          <cell r="V180">
            <v>8.6790537173938667</v>
          </cell>
          <cell r="W180">
            <v>6.6700431903184976E-3</v>
          </cell>
          <cell r="X180">
            <v>27.594668120566666</v>
          </cell>
          <cell r="Y180">
            <v>0.18559666139336795</v>
          </cell>
          <cell r="Z180">
            <v>2.0679161258738255E-2</v>
          </cell>
          <cell r="AA180">
            <v>0.26416614823662776</v>
          </cell>
          <cell r="AD180" t="str">
            <v>201924</v>
          </cell>
          <cell r="AE180">
            <v>0.35239633614566229</v>
          </cell>
          <cell r="AF180">
            <v>1457.9005960497934</v>
          </cell>
          <cell r="AG180">
            <v>6.7142496140182679</v>
          </cell>
          <cell r="AH180">
            <v>1.0462369385805403</v>
          </cell>
          <cell r="AI180">
            <v>8.6790537173938667</v>
          </cell>
          <cell r="AJ180">
            <v>6.6700431903184976E-3</v>
          </cell>
          <cell r="AK180">
            <v>27.594668120566666</v>
          </cell>
          <cell r="AL180">
            <v>0.18559666139336795</v>
          </cell>
          <cell r="AM180">
            <v>2.0679161258738255E-2</v>
          </cell>
          <cell r="AN180">
            <v>0.26416614823662776</v>
          </cell>
          <cell r="AQ180" t="str">
            <v>201924</v>
          </cell>
          <cell r="AR180">
            <v>0.35239633614566229</v>
          </cell>
          <cell r="AS180">
            <v>1457.9005960497934</v>
          </cell>
          <cell r="AT180">
            <v>6.7142496140182679</v>
          </cell>
          <cell r="AU180">
            <v>1.0462369385805403</v>
          </cell>
          <cell r="AV180">
            <v>8.6790537173938667</v>
          </cell>
          <cell r="AW180">
            <v>6.6700431903184976E-3</v>
          </cell>
          <cell r="AX180">
            <v>27.594668120566666</v>
          </cell>
          <cell r="AY180">
            <v>0.18559666139336795</v>
          </cell>
          <cell r="AZ180">
            <v>2.0679161258738255E-2</v>
          </cell>
          <cell r="BA180">
            <v>0.26416614823662776</v>
          </cell>
        </row>
        <row r="181">
          <cell r="Q181" t="str">
            <v>201925</v>
          </cell>
          <cell r="R181">
            <v>0.35906637933598079</v>
          </cell>
          <cell r="S181">
            <v>1485.4952641703601</v>
          </cell>
          <cell r="T181">
            <v>6.8998462754116359</v>
          </cell>
          <cell r="U181">
            <v>1.0669160998392786</v>
          </cell>
          <cell r="V181">
            <v>8.9432198656304944</v>
          </cell>
          <cell r="W181">
            <v>6.3005178201657741E-3</v>
          </cell>
          <cell r="X181">
            <v>26.065902914624075</v>
          </cell>
          <cell r="Y181">
            <v>0.17531446785374616</v>
          </cell>
          <cell r="Z181">
            <v>1.9533520293523177E-2</v>
          </cell>
          <cell r="AA181">
            <v>0.24953114649471253</v>
          </cell>
          <cell r="AD181" t="str">
            <v>201925</v>
          </cell>
          <cell r="AE181">
            <v>0.35906637933598079</v>
          </cell>
          <cell r="AF181">
            <v>1485.4952641703601</v>
          </cell>
          <cell r="AG181">
            <v>6.8998462754116359</v>
          </cell>
          <cell r="AH181">
            <v>1.0669160998392786</v>
          </cell>
          <cell r="AI181">
            <v>8.9432198656304944</v>
          </cell>
          <cell r="AJ181">
            <v>6.3005178201657741E-3</v>
          </cell>
          <cell r="AK181">
            <v>26.065902914624075</v>
          </cell>
          <cell r="AL181">
            <v>0.17531446785374616</v>
          </cell>
          <cell r="AM181">
            <v>1.9533520293523177E-2</v>
          </cell>
          <cell r="AN181">
            <v>0.24953114649471253</v>
          </cell>
          <cell r="AQ181" t="str">
            <v>201925</v>
          </cell>
          <cell r="AR181">
            <v>0.35906637933598079</v>
          </cell>
          <cell r="AS181">
            <v>1485.4952641703601</v>
          </cell>
          <cell r="AT181">
            <v>6.8998462754116359</v>
          </cell>
          <cell r="AU181">
            <v>1.0669160998392786</v>
          </cell>
          <cell r="AV181">
            <v>8.9432198656304944</v>
          </cell>
          <cell r="AW181">
            <v>6.3005178201657741E-3</v>
          </cell>
          <cell r="AX181">
            <v>26.065902914624075</v>
          </cell>
          <cell r="AY181">
            <v>0.17531446785374616</v>
          </cell>
          <cell r="AZ181">
            <v>1.9533520293523177E-2</v>
          </cell>
          <cell r="BA181">
            <v>0.24953114649471253</v>
          </cell>
        </row>
        <row r="182">
          <cell r="Q182" t="str">
            <v>201926</v>
          </cell>
          <cell r="R182">
            <v>0.36536689715614656</v>
          </cell>
          <cell r="S182">
            <v>1511.5611670849842</v>
          </cell>
          <cell r="T182">
            <v>7.075160743265382</v>
          </cell>
          <cell r="U182">
            <v>1.0864496201328018</v>
          </cell>
          <cell r="V182">
            <v>9.192751012125207</v>
          </cell>
          <cell r="W182">
            <v>5.9514644312717024E-3</v>
          </cell>
          <cell r="X182">
            <v>24.621832441906236</v>
          </cell>
          <cell r="Y182">
            <v>0.16560191550913483</v>
          </cell>
          <cell r="Z182">
            <v>1.845134869269649E-2</v>
          </cell>
          <cell r="AA182">
            <v>0.23570693477042681</v>
          </cell>
          <cell r="AD182" t="str">
            <v>201926</v>
          </cell>
          <cell r="AE182">
            <v>0.36536689715614656</v>
          </cell>
          <cell r="AF182">
            <v>1511.5611670849842</v>
          </cell>
          <cell r="AG182">
            <v>7.075160743265382</v>
          </cell>
          <cell r="AH182">
            <v>1.0864496201328018</v>
          </cell>
          <cell r="AI182">
            <v>9.192751012125207</v>
          </cell>
          <cell r="AJ182">
            <v>5.9514644312717024E-3</v>
          </cell>
          <cell r="AK182">
            <v>24.621832441906236</v>
          </cell>
          <cell r="AL182">
            <v>0.16560191550913483</v>
          </cell>
          <cell r="AM182">
            <v>1.845134869269649E-2</v>
          </cell>
          <cell r="AN182">
            <v>0.23570693477042681</v>
          </cell>
          <cell r="AQ182" t="str">
            <v>201926</v>
          </cell>
          <cell r="AR182">
            <v>0.36536689715614656</v>
          </cell>
          <cell r="AS182">
            <v>1511.5611670849842</v>
          </cell>
          <cell r="AT182">
            <v>7.075160743265382</v>
          </cell>
          <cell r="AU182">
            <v>1.0864496201328018</v>
          </cell>
          <cell r="AV182">
            <v>9.192751012125207</v>
          </cell>
          <cell r="AW182">
            <v>5.9514644312717024E-3</v>
          </cell>
          <cell r="AX182">
            <v>24.621832441906236</v>
          </cell>
          <cell r="AY182">
            <v>0.16560191550913483</v>
          </cell>
          <cell r="AZ182">
            <v>1.845134869269649E-2</v>
          </cell>
          <cell r="BA182">
            <v>0.23570693477042681</v>
          </cell>
        </row>
        <row r="183">
          <cell r="Q183" t="str">
            <v>201927</v>
          </cell>
          <cell r="R183">
            <v>0.37131836158741827</v>
          </cell>
          <cell r="S183">
            <v>1536.1829995268904</v>
          </cell>
          <cell r="T183">
            <v>7.2407626587745169</v>
          </cell>
          <cell r="U183">
            <v>1.1049009688254983</v>
          </cell>
          <cell r="V183">
            <v>9.4284579468956338</v>
          </cell>
          <cell r="W183">
            <v>5.6217488605976307E-3</v>
          </cell>
          <cell r="X183">
            <v>23.257764550990714</v>
          </cell>
          <cell r="Y183">
            <v>0.15642744581224655</v>
          </cell>
          <cell r="Z183">
            <v>1.7429130206108256E-2</v>
          </cell>
          <cell r="AA183">
            <v>0.22264859469175491</v>
          </cell>
          <cell r="AD183" t="str">
            <v>201927</v>
          </cell>
          <cell r="AE183">
            <v>0.37131836158741827</v>
          </cell>
          <cell r="AF183">
            <v>1536.1829995268904</v>
          </cell>
          <cell r="AG183">
            <v>7.2407626587745169</v>
          </cell>
          <cell r="AH183">
            <v>1.1049009688254983</v>
          </cell>
          <cell r="AI183">
            <v>9.4284579468956338</v>
          </cell>
          <cell r="AJ183">
            <v>5.6217488605976307E-3</v>
          </cell>
          <cell r="AK183">
            <v>23.257764550990714</v>
          </cell>
          <cell r="AL183">
            <v>0.15642744581224655</v>
          </cell>
          <cell r="AM183">
            <v>1.7429130206108256E-2</v>
          </cell>
          <cell r="AN183">
            <v>0.22264859469175491</v>
          </cell>
          <cell r="AQ183" t="str">
            <v>201927</v>
          </cell>
          <cell r="AR183">
            <v>0.37131836158741827</v>
          </cell>
          <cell r="AS183">
            <v>1536.1829995268904</v>
          </cell>
          <cell r="AT183">
            <v>7.2407626587745169</v>
          </cell>
          <cell r="AU183">
            <v>1.1049009688254983</v>
          </cell>
          <cell r="AV183">
            <v>9.4284579468956338</v>
          </cell>
          <cell r="AW183">
            <v>5.6217488605976307E-3</v>
          </cell>
          <cell r="AX183">
            <v>23.257764550990714</v>
          </cell>
          <cell r="AY183">
            <v>0.15642744581224655</v>
          </cell>
          <cell r="AZ183">
            <v>1.7429130206108256E-2</v>
          </cell>
          <cell r="BA183">
            <v>0.22264859469175491</v>
          </cell>
        </row>
        <row r="184">
          <cell r="Q184" t="str">
            <v>201928</v>
          </cell>
          <cell r="R184">
            <v>0.3769401104480159</v>
          </cell>
          <cell r="S184">
            <v>1559.4407640778811</v>
          </cell>
          <cell r="T184">
            <v>7.3971901045867634</v>
          </cell>
          <cell r="U184">
            <v>1.1223300990316065</v>
          </cell>
          <cell r="V184">
            <v>9.6511065415873887</v>
          </cell>
          <cell r="W184">
            <v>5.3102997785837158E-3</v>
          </cell>
          <cell r="X184">
            <v>21.969267039144825</v>
          </cell>
          <cell r="Y184">
            <v>0.14776124858286188</v>
          </cell>
          <cell r="Z184">
            <v>1.6463543386490587E-2</v>
          </cell>
          <cell r="AA184">
            <v>0.21031369639801234</v>
          </cell>
          <cell r="AD184" t="str">
            <v>201928</v>
          </cell>
          <cell r="AE184">
            <v>0.3769401104480159</v>
          </cell>
          <cell r="AF184">
            <v>1559.4407640778811</v>
          </cell>
          <cell r="AG184">
            <v>7.3971901045867634</v>
          </cell>
          <cell r="AH184">
            <v>1.1223300990316065</v>
          </cell>
          <cell r="AI184">
            <v>9.6511065415873887</v>
          </cell>
          <cell r="AJ184">
            <v>5.3102997785837158E-3</v>
          </cell>
          <cell r="AK184">
            <v>21.969267039144825</v>
          </cell>
          <cell r="AL184">
            <v>0.14776124858286188</v>
          </cell>
          <cell r="AM184">
            <v>1.6463543386490587E-2</v>
          </cell>
          <cell r="AN184">
            <v>0.21031369639801234</v>
          </cell>
          <cell r="AQ184" t="str">
            <v>201928</v>
          </cell>
          <cell r="AR184">
            <v>0.3769401104480159</v>
          </cell>
          <cell r="AS184">
            <v>1559.4407640778811</v>
          </cell>
          <cell r="AT184">
            <v>7.3971901045867634</v>
          </cell>
          <cell r="AU184">
            <v>1.1223300990316065</v>
          </cell>
          <cell r="AV184">
            <v>9.6511065415873887</v>
          </cell>
          <cell r="AW184">
            <v>5.3102997785837158E-3</v>
          </cell>
          <cell r="AX184">
            <v>21.969267039144825</v>
          </cell>
          <cell r="AY184">
            <v>0.14776124858286188</v>
          </cell>
          <cell r="AZ184">
            <v>1.6463543386490587E-2</v>
          </cell>
          <cell r="BA184">
            <v>0.21031369639801234</v>
          </cell>
        </row>
        <row r="185">
          <cell r="Q185" t="str">
            <v>201929</v>
          </cell>
          <cell r="R185">
            <v>0.38225041022659961</v>
          </cell>
          <cell r="S185">
            <v>1581.4100311170259</v>
          </cell>
          <cell r="T185">
            <v>7.5449513531696253</v>
          </cell>
          <cell r="U185">
            <v>1.1387936424180971</v>
          </cell>
          <cell r="V185">
            <v>9.861420237985401</v>
          </cell>
          <cell r="W185">
            <v>5.0161052081270641E-3</v>
          </cell>
          <cell r="X185">
            <v>20.752153250975198</v>
          </cell>
          <cell r="Y185">
            <v>0.13957516514699098</v>
          </cell>
          <cell r="Z185">
            <v>1.5551450797232746E-2</v>
          </cell>
          <cell r="AA185">
            <v>0.19866216067445563</v>
          </cell>
          <cell r="AD185" t="str">
            <v>201929</v>
          </cell>
          <cell r="AE185">
            <v>0.38225041022659961</v>
          </cell>
          <cell r="AF185">
            <v>1581.4100311170259</v>
          </cell>
          <cell r="AG185">
            <v>7.5449513531696253</v>
          </cell>
          <cell r="AH185">
            <v>1.1387936424180971</v>
          </cell>
          <cell r="AI185">
            <v>9.861420237985401</v>
          </cell>
          <cell r="AJ185">
            <v>5.0161052081270641E-3</v>
          </cell>
          <cell r="AK185">
            <v>20.752153250975198</v>
          </cell>
          <cell r="AL185">
            <v>0.13957516514699098</v>
          </cell>
          <cell r="AM185">
            <v>1.5551450797232746E-2</v>
          </cell>
          <cell r="AN185">
            <v>0.19866216067445563</v>
          </cell>
          <cell r="AQ185" t="str">
            <v>201929</v>
          </cell>
          <cell r="AR185">
            <v>0.38225041022659961</v>
          </cell>
          <cell r="AS185">
            <v>1581.4100311170259</v>
          </cell>
          <cell r="AT185">
            <v>7.5449513531696253</v>
          </cell>
          <cell r="AU185">
            <v>1.1387936424180971</v>
          </cell>
          <cell r="AV185">
            <v>9.861420237985401</v>
          </cell>
          <cell r="AW185">
            <v>5.0161052081270641E-3</v>
          </cell>
          <cell r="AX185">
            <v>20.752153250975198</v>
          </cell>
          <cell r="AY185">
            <v>0.13957516514699098</v>
          </cell>
          <cell r="AZ185">
            <v>1.5551450797232746E-2</v>
          </cell>
          <cell r="BA185">
            <v>0.19866216067445563</v>
          </cell>
        </row>
        <row r="186">
          <cell r="Q186" t="str">
            <v>201930</v>
          </cell>
          <cell r="R186">
            <v>0.38726651543472668</v>
          </cell>
          <cell r="S186">
            <v>1602.1621843680011</v>
          </cell>
          <cell r="T186">
            <v>7.6845265183166163</v>
          </cell>
          <cell r="U186">
            <v>1.1543450932153299</v>
          </cell>
          <cell r="V186">
            <v>10.060082398659857</v>
          </cell>
          <cell r="W186">
            <v>4.7382092364115502E-3</v>
          </cell>
          <cell r="X186">
            <v>19.602468474920897</v>
          </cell>
          <cell r="Y186">
            <v>0.1318425968421959</v>
          </cell>
          <cell r="Z186">
            <v>1.4689888818053998E-2</v>
          </cell>
          <cell r="AA186">
            <v>0.18765612872474868</v>
          </cell>
          <cell r="AD186" t="str">
            <v>201930</v>
          </cell>
          <cell r="AE186">
            <v>0.38726651543472668</v>
          </cell>
          <cell r="AF186">
            <v>1602.1621843680011</v>
          </cell>
          <cell r="AG186">
            <v>7.6845265183166163</v>
          </cell>
          <cell r="AH186">
            <v>1.1543450932153299</v>
          </cell>
          <cell r="AI186">
            <v>10.060082398659857</v>
          </cell>
          <cell r="AJ186">
            <v>4.7382092364115502E-3</v>
          </cell>
          <cell r="AK186">
            <v>19.602468474920897</v>
          </cell>
          <cell r="AL186">
            <v>0.1318425968421959</v>
          </cell>
          <cell r="AM186">
            <v>1.4689888818053998E-2</v>
          </cell>
          <cell r="AN186">
            <v>0.18765612872474868</v>
          </cell>
          <cell r="AQ186" t="str">
            <v>201930</v>
          </cell>
          <cell r="AR186">
            <v>0.38726651543472668</v>
          </cell>
          <cell r="AS186">
            <v>1602.1621843680011</v>
          </cell>
          <cell r="AT186">
            <v>7.6845265183166163</v>
          </cell>
          <cell r="AU186">
            <v>1.1543450932153299</v>
          </cell>
          <cell r="AV186">
            <v>10.060082398659857</v>
          </cell>
          <cell r="AW186">
            <v>4.7382092364115502E-3</v>
          </cell>
          <cell r="AX186">
            <v>19.602468474920897</v>
          </cell>
          <cell r="AY186">
            <v>0.1318425968421959</v>
          </cell>
          <cell r="AZ186">
            <v>1.4689888818053998E-2</v>
          </cell>
          <cell r="BA186">
            <v>0.18765612872474868</v>
          </cell>
        </row>
        <row r="187">
          <cell r="Q187" t="str">
            <v>201931</v>
          </cell>
          <cell r="R187">
            <v>0.39200472467113823</v>
          </cell>
          <cell r="S187">
            <v>1621.764652842922</v>
          </cell>
          <cell r="T187">
            <v>7.8163691151588122</v>
          </cell>
          <cell r="U187">
            <v>1.1690349820333839</v>
          </cell>
          <cell r="V187">
            <v>10.247738527384605</v>
          </cell>
          <cell r="W187">
            <v>4.4757089089043078E-3</v>
          </cell>
          <cell r="X187">
            <v>18.516477093393405</v>
          </cell>
          <cell r="Y187">
            <v>0.12453841859178727</v>
          </cell>
          <cell r="Z187">
            <v>1.3876058015448001E-2</v>
          </cell>
          <cell r="AA187">
            <v>0.17725983915812371</v>
          </cell>
          <cell r="AD187" t="str">
            <v>201931</v>
          </cell>
          <cell r="AE187">
            <v>0.39200472467113823</v>
          </cell>
          <cell r="AF187">
            <v>1621.764652842922</v>
          </cell>
          <cell r="AG187">
            <v>7.8163691151588122</v>
          </cell>
          <cell r="AH187">
            <v>1.1690349820333839</v>
          </cell>
          <cell r="AI187">
            <v>10.247738527384605</v>
          </cell>
          <cell r="AJ187">
            <v>4.4757089089043078E-3</v>
          </cell>
          <cell r="AK187">
            <v>18.516477093393405</v>
          </cell>
          <cell r="AL187">
            <v>0.12453841859178727</v>
          </cell>
          <cell r="AM187">
            <v>1.3876058015448001E-2</v>
          </cell>
          <cell r="AN187">
            <v>0.17725983915812371</v>
          </cell>
          <cell r="AQ187" t="str">
            <v>201931</v>
          </cell>
          <cell r="AR187">
            <v>0.39200472467113823</v>
          </cell>
          <cell r="AS187">
            <v>1621.764652842922</v>
          </cell>
          <cell r="AT187">
            <v>7.8163691151588122</v>
          </cell>
          <cell r="AU187">
            <v>1.1690349820333839</v>
          </cell>
          <cell r="AV187">
            <v>10.247738527384605</v>
          </cell>
          <cell r="AW187">
            <v>4.4757089089043078E-3</v>
          </cell>
          <cell r="AX187">
            <v>18.516477093393405</v>
          </cell>
          <cell r="AY187">
            <v>0.12453841859178727</v>
          </cell>
          <cell r="AZ187">
            <v>1.3876058015448001E-2</v>
          </cell>
          <cell r="BA187">
            <v>0.17725983915812371</v>
          </cell>
        </row>
        <row r="188">
          <cell r="Q188" t="str">
            <v>201932</v>
          </cell>
          <cell r="R188">
            <v>0.39648043358004254</v>
          </cell>
          <cell r="S188">
            <v>1640.2811299363154</v>
          </cell>
          <cell r="T188">
            <v>7.9409075337505994</v>
          </cell>
          <cell r="U188">
            <v>1.1829110400488319</v>
          </cell>
          <cell r="V188">
            <v>10.424998366542729</v>
          </cell>
          <cell r="W188">
            <v>4.2277512954274621E-3</v>
          </cell>
          <cell r="X188">
            <v>17.490650444805624</v>
          </cell>
          <cell r="Y188">
            <v>0.11763889726707344</v>
          </cell>
          <cell r="Z188">
            <v>1.3107314046614027E-2</v>
          </cell>
          <cell r="AA188">
            <v>0.16743951179154948</v>
          </cell>
          <cell r="AD188" t="str">
            <v>201932</v>
          </cell>
          <cell r="AE188">
            <v>0.39648043358004254</v>
          </cell>
          <cell r="AF188">
            <v>1640.2811299363154</v>
          </cell>
          <cell r="AG188">
            <v>7.9409075337505994</v>
          </cell>
          <cell r="AH188">
            <v>1.1829110400488319</v>
          </cell>
          <cell r="AI188">
            <v>10.424998366542729</v>
          </cell>
          <cell r="AJ188">
            <v>4.2277512954274621E-3</v>
          </cell>
          <cell r="AK188">
            <v>17.490650444805624</v>
          </cell>
          <cell r="AL188">
            <v>0.11763889726707344</v>
          </cell>
          <cell r="AM188">
            <v>1.3107314046614027E-2</v>
          </cell>
          <cell r="AN188">
            <v>0.16743951179154948</v>
          </cell>
          <cell r="AQ188" t="str">
            <v>201932</v>
          </cell>
          <cell r="AR188">
            <v>0.39648043358004254</v>
          </cell>
          <cell r="AS188">
            <v>1640.2811299363154</v>
          </cell>
          <cell r="AT188">
            <v>7.9409075337505994</v>
          </cell>
          <cell r="AU188">
            <v>1.1829110400488319</v>
          </cell>
          <cell r="AV188">
            <v>10.424998366542729</v>
          </cell>
          <cell r="AW188">
            <v>4.2277512954274621E-3</v>
          </cell>
          <cell r="AX188">
            <v>17.490650444805624</v>
          </cell>
          <cell r="AY188">
            <v>0.11763889726707344</v>
          </cell>
          <cell r="AZ188">
            <v>1.3107314046614027E-2</v>
          </cell>
          <cell r="BA188">
            <v>0.16743951179154948</v>
          </cell>
        </row>
        <row r="189">
          <cell r="Q189" t="str">
            <v>201933</v>
          </cell>
          <cell r="R189">
            <v>0.40070818487547</v>
          </cell>
          <cell r="S189">
            <v>1657.7717803811211</v>
          </cell>
          <cell r="T189">
            <v>8.0585464310176729</v>
          </cell>
          <cell r="U189">
            <v>1.1960183540954459</v>
          </cell>
          <cell r="V189">
            <v>10.592437878334279</v>
          </cell>
          <cell r="W189">
            <v>3.9935307187715097E-3</v>
          </cell>
          <cell r="X189">
            <v>16.521655358055568</v>
          </cell>
          <cell r="Y189">
            <v>0.11112161457240255</v>
          </cell>
          <cell r="Z189">
            <v>1.2381159067315961E-2</v>
          </cell>
          <cell r="AA189">
            <v>0.15816323788934028</v>
          </cell>
          <cell r="AD189" t="str">
            <v>201933</v>
          </cell>
          <cell r="AE189">
            <v>0.40070818487547</v>
          </cell>
          <cell r="AF189">
            <v>1657.7717803811211</v>
          </cell>
          <cell r="AG189">
            <v>8.0585464310176729</v>
          </cell>
          <cell r="AH189">
            <v>1.1960183540954459</v>
          </cell>
          <cell r="AI189">
            <v>10.592437878334279</v>
          </cell>
          <cell r="AJ189">
            <v>3.9935307187715097E-3</v>
          </cell>
          <cell r="AK189">
            <v>16.521655358055568</v>
          </cell>
          <cell r="AL189">
            <v>0.11112161457240255</v>
          </cell>
          <cell r="AM189">
            <v>1.2381159067315961E-2</v>
          </cell>
          <cell r="AN189">
            <v>0.15816323788934028</v>
          </cell>
          <cell r="AQ189" t="str">
            <v>201933</v>
          </cell>
          <cell r="AR189">
            <v>0.40070818487547</v>
          </cell>
          <cell r="AS189">
            <v>1657.7717803811211</v>
          </cell>
          <cell r="AT189">
            <v>8.0585464310176729</v>
          </cell>
          <cell r="AU189">
            <v>1.1960183540954459</v>
          </cell>
          <cell r="AV189">
            <v>10.592437878334279</v>
          </cell>
          <cell r="AW189">
            <v>3.9935307187715097E-3</v>
          </cell>
          <cell r="AX189">
            <v>16.521655358055568</v>
          </cell>
          <cell r="AY189">
            <v>0.11112161457240255</v>
          </cell>
          <cell r="AZ189">
            <v>1.2381159067315961E-2</v>
          </cell>
          <cell r="BA189">
            <v>0.15816323788934028</v>
          </cell>
        </row>
        <row r="190">
          <cell r="Q190" t="str">
            <v>201934</v>
          </cell>
          <cell r="R190">
            <v>0.40470171559424151</v>
          </cell>
          <cell r="S190">
            <v>1674.2934357391766</v>
          </cell>
          <cell r="T190">
            <v>8.1696680455900754</v>
          </cell>
          <cell r="U190">
            <v>1.2083995131627618</v>
          </cell>
          <cell r="V190">
            <v>10.750601116223619</v>
          </cell>
          <cell r="W190">
            <v>3.7722861368455485E-3</v>
          </cell>
          <cell r="X190">
            <v>15.606343322208204</v>
          </cell>
          <cell r="Y190">
            <v>0.10496539420243067</v>
          </cell>
          <cell r="Z190">
            <v>1.1695233615752088E-2</v>
          </cell>
          <cell r="AA190">
            <v>0.14940087648357903</v>
          </cell>
          <cell r="AD190" t="str">
            <v>201934</v>
          </cell>
          <cell r="AE190">
            <v>0.40470171559424151</v>
          </cell>
          <cell r="AF190">
            <v>1674.2934357391766</v>
          </cell>
          <cell r="AG190">
            <v>8.1696680455900754</v>
          </cell>
          <cell r="AH190">
            <v>1.2083995131627618</v>
          </cell>
          <cell r="AI190">
            <v>10.750601116223619</v>
          </cell>
          <cell r="AJ190">
            <v>3.7722861368455485E-3</v>
          </cell>
          <cell r="AK190">
            <v>15.606343322208204</v>
          </cell>
          <cell r="AL190">
            <v>0.10496539420243067</v>
          </cell>
          <cell r="AM190">
            <v>1.1695233615752088E-2</v>
          </cell>
          <cell r="AN190">
            <v>0.14940087648357903</v>
          </cell>
          <cell r="AQ190" t="str">
            <v>201934</v>
          </cell>
          <cell r="AR190">
            <v>0.40470171559424151</v>
          </cell>
          <cell r="AS190">
            <v>1674.2934357391766</v>
          </cell>
          <cell r="AT190">
            <v>8.1696680455900754</v>
          </cell>
          <cell r="AU190">
            <v>1.2083995131627618</v>
          </cell>
          <cell r="AV190">
            <v>10.750601116223619</v>
          </cell>
          <cell r="AW190">
            <v>3.7722861368455485E-3</v>
          </cell>
          <cell r="AX190">
            <v>15.606343322208204</v>
          </cell>
          <cell r="AY190">
            <v>0.10496539420243067</v>
          </cell>
          <cell r="AZ190">
            <v>1.1695233615752088E-2</v>
          </cell>
          <cell r="BA190">
            <v>0.14940087648357903</v>
          </cell>
        </row>
        <row r="191">
          <cell r="Q191" t="str">
            <v>201935</v>
          </cell>
          <cell r="R191">
            <v>0.40847400173108706</v>
          </cell>
          <cell r="S191">
            <v>1689.8997790613848</v>
          </cell>
          <cell r="T191">
            <v>8.2746334397925061</v>
          </cell>
          <cell r="U191">
            <v>1.2200947467785139</v>
          </cell>
          <cell r="V191">
            <v>10.900001992707198</v>
          </cell>
          <cell r="W191">
            <v>3.563298669858328E-3</v>
          </cell>
          <cell r="X191">
            <v>14.741740256182993</v>
          </cell>
          <cell r="Y191">
            <v>9.9150233034931645E-2</v>
          </cell>
          <cell r="Z191">
            <v>1.1047308946065426E-2</v>
          </cell>
          <cell r="AA191">
            <v>0.14112395643846298</v>
          </cell>
          <cell r="AD191" t="str">
            <v>201935</v>
          </cell>
          <cell r="AE191">
            <v>0.40847400173108706</v>
          </cell>
          <cell r="AF191">
            <v>1689.8997790613848</v>
          </cell>
          <cell r="AG191">
            <v>8.2746334397925061</v>
          </cell>
          <cell r="AH191">
            <v>1.2200947467785139</v>
          </cell>
          <cell r="AI191">
            <v>10.900001992707198</v>
          </cell>
          <cell r="AJ191">
            <v>3.563298669858328E-3</v>
          </cell>
          <cell r="AK191">
            <v>14.741740256182993</v>
          </cell>
          <cell r="AL191">
            <v>9.9150233034931645E-2</v>
          </cell>
          <cell r="AM191">
            <v>1.1047308946065426E-2</v>
          </cell>
          <cell r="AN191">
            <v>0.14112395643846298</v>
          </cell>
          <cell r="AQ191" t="str">
            <v>201935</v>
          </cell>
          <cell r="AR191">
            <v>0.40847400173108706</v>
          </cell>
          <cell r="AS191">
            <v>1689.8997790613848</v>
          </cell>
          <cell r="AT191">
            <v>8.2746334397925061</v>
          </cell>
          <cell r="AU191">
            <v>1.2200947467785139</v>
          </cell>
          <cell r="AV191">
            <v>10.900001992707198</v>
          </cell>
          <cell r="AW191">
            <v>3.563298669858328E-3</v>
          </cell>
          <cell r="AX191">
            <v>14.741740256182993</v>
          </cell>
          <cell r="AY191">
            <v>9.9150233034931645E-2</v>
          </cell>
          <cell r="AZ191">
            <v>1.1047308946065426E-2</v>
          </cell>
          <cell r="BA191">
            <v>0.14112395643846298</v>
          </cell>
        </row>
        <row r="192">
          <cell r="Q192" t="str">
            <v>201936</v>
          </cell>
          <cell r="R192">
            <v>0.41203730040094538</v>
          </cell>
          <cell r="S192">
            <v>1704.6415193175678</v>
          </cell>
          <cell r="T192">
            <v>8.3737836728274377</v>
          </cell>
          <cell r="U192">
            <v>1.2311420557245794</v>
          </cell>
          <cell r="V192">
            <v>11.041125949145661</v>
          </cell>
          <cell r="W192">
            <v>0</v>
          </cell>
          <cell r="X192">
            <v>0</v>
          </cell>
          <cell r="Y192">
            <v>0</v>
          </cell>
          <cell r="Z192">
            <v>0</v>
          </cell>
          <cell r="AA192">
            <v>0</v>
          </cell>
          <cell r="AD192" t="str">
            <v>201936</v>
          </cell>
          <cell r="AE192">
            <v>0.41203730040094538</v>
          </cell>
          <cell r="AF192">
            <v>1704.6415193175678</v>
          </cell>
          <cell r="AG192">
            <v>8.3737836728274377</v>
          </cell>
          <cell r="AH192">
            <v>1.2311420557245794</v>
          </cell>
          <cell r="AI192">
            <v>11.041125949145661</v>
          </cell>
          <cell r="AJ192">
            <v>0</v>
          </cell>
          <cell r="AK192">
            <v>0</v>
          </cell>
          <cell r="AL192">
            <v>0</v>
          </cell>
          <cell r="AM192">
            <v>0</v>
          </cell>
          <cell r="AN192">
            <v>0</v>
          </cell>
          <cell r="AQ192" t="str">
            <v>201936</v>
          </cell>
          <cell r="AR192">
            <v>0.41203730040094538</v>
          </cell>
          <cell r="AS192">
            <v>1704.6415193175678</v>
          </cell>
          <cell r="AT192">
            <v>8.3737836728274377</v>
          </cell>
          <cell r="AU192">
            <v>1.2311420557245794</v>
          </cell>
          <cell r="AV192">
            <v>11.041125949145661</v>
          </cell>
          <cell r="AW192">
            <v>0</v>
          </cell>
          <cell r="AX192">
            <v>0</v>
          </cell>
          <cell r="AY192">
            <v>0</v>
          </cell>
          <cell r="AZ192">
            <v>0</v>
          </cell>
          <cell r="BA192">
            <v>0</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BCRs"/>
      <sheetName val="Measures Yr 1"/>
      <sheetName val="Measures Yr 2"/>
      <sheetName val="Measures Yr 3"/>
      <sheetName val="Measures Yr 4"/>
      <sheetName val="Measures Yr 5"/>
      <sheetName val="Discounting Tables"/>
      <sheetName val="Track Changes"/>
      <sheetName val="Client Goal and Costs"/>
      <sheetName val="Shared Meaure IMC"/>
      <sheetName val="Program Budget Allocation"/>
      <sheetName val="BRD Table"/>
      <sheetName val="Budget Tables"/>
      <sheetName val="Sheet1"/>
      <sheetName val="Sheet2"/>
      <sheetName val="Before &amp; After"/>
      <sheetName val="2013 v. 2014 Cost Comp"/>
      <sheetName val="NIPSCO Budget Summary"/>
      <sheetName val="Lists"/>
    </sheetNames>
    <sheetDataSet>
      <sheetData sheetId="0"/>
      <sheetData sheetId="1">
        <row r="5">
          <cell r="BZ5">
            <v>20</v>
          </cell>
        </row>
        <row r="6">
          <cell r="BZ6">
            <v>50</v>
          </cell>
        </row>
        <row r="7">
          <cell r="BZ7">
            <v>100</v>
          </cell>
        </row>
        <row r="8">
          <cell r="BZ8">
            <v>250</v>
          </cell>
        </row>
        <row r="9">
          <cell r="BZ9">
            <v>500</v>
          </cell>
        </row>
        <row r="10">
          <cell r="BZ10">
            <v>1000</v>
          </cell>
        </row>
      </sheetData>
      <sheetData sheetId="2"/>
      <sheetData sheetId="3"/>
      <sheetData sheetId="4"/>
      <sheetData sheetId="5"/>
      <sheetData sheetId="6">
        <row r="3">
          <cell r="B3">
            <v>2014</v>
          </cell>
        </row>
        <row r="4">
          <cell r="B4">
            <v>2014</v>
          </cell>
        </row>
        <row r="6">
          <cell r="B6">
            <v>0</v>
          </cell>
        </row>
        <row r="8">
          <cell r="B8">
            <v>5.8650000000000001E-2</v>
          </cell>
        </row>
        <row r="9">
          <cell r="B9">
            <v>5.8650000000000001E-2</v>
          </cell>
        </row>
        <row r="10">
          <cell r="B10">
            <v>5.8650000000000001E-2</v>
          </cell>
        </row>
      </sheetData>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efreshError="1"/>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refreshError="1"/>
      <sheetData sheetId="12" refreshError="1"/>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refreshError="1"/>
      <sheetData sheetId="19">
        <row r="3">
          <cell r="B3" t="str">
            <v>Agriculture</v>
          </cell>
        </row>
      </sheetData>
      <sheetData sheetId="20">
        <row r="8">
          <cell r="D8">
            <v>8.09E-2</v>
          </cell>
        </row>
      </sheetData>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row r="3">
          <cell r="R3">
            <v>0</v>
          </cell>
        </row>
      </sheetData>
      <sheetData sheetId="1">
        <row r="9">
          <cell r="C9" t="str">
            <v>TOS</v>
          </cell>
        </row>
        <row r="10">
          <cell r="C10" t="str">
            <v>NC</v>
          </cell>
        </row>
        <row r="15">
          <cell r="H15" t="str">
            <v xml:space="preserve">Energy Star </v>
          </cell>
        </row>
        <row r="16">
          <cell r="H16" t="str">
            <v>CEE 2</v>
          </cell>
        </row>
        <row r="17">
          <cell r="H17" t="str">
            <v>CEE 3</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row>
        <row r="26">
          <cell r="G26">
            <v>16</v>
          </cell>
        </row>
        <row r="27">
          <cell r="G27">
            <v>17</v>
          </cell>
        </row>
        <row r="28">
          <cell r="G28">
            <v>18</v>
          </cell>
        </row>
        <row r="29">
          <cell r="G29">
            <v>19</v>
          </cell>
        </row>
        <row r="30">
          <cell r="G30">
            <v>20</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row r="19">
          <cell r="I19" t="str">
            <v>TOS</v>
          </cell>
        </row>
        <row r="20">
          <cell r="I20" t="str">
            <v>NC</v>
          </cell>
        </row>
        <row r="21">
          <cell r="I21" t="str">
            <v>EREP</v>
          </cell>
        </row>
        <row r="29">
          <cell r="A29" t="str">
            <v>AFUE 90%</v>
          </cell>
        </row>
        <row r="30">
          <cell r="A30" t="str">
            <v>AFUE 91%</v>
          </cell>
        </row>
        <row r="31">
          <cell r="A31" t="str">
            <v>AFUE 92%</v>
          </cell>
        </row>
        <row r="32">
          <cell r="A32" t="str">
            <v>AFUE 93%</v>
          </cell>
        </row>
        <row r="33">
          <cell r="A33" t="str">
            <v>AFUE 94%</v>
          </cell>
        </row>
        <row r="34">
          <cell r="A34" t="str">
            <v>AFUE 95%</v>
          </cell>
        </row>
        <row r="35">
          <cell r="A35" t="str">
            <v>AFUE 96%</v>
          </cell>
        </row>
        <row r="36">
          <cell r="A36" t="str">
            <v>Unknown</v>
          </cell>
        </row>
        <row r="42">
          <cell r="A42" t="str">
            <v>AFUE ≥92%</v>
          </cell>
        </row>
        <row r="128">
          <cell r="B128" t="str">
            <v>AFUE ≥92%</v>
          </cell>
        </row>
        <row r="129">
          <cell r="B129" t="str">
            <v>AFUE ≥95%</v>
          </cell>
        </row>
        <row r="130">
          <cell r="B130" t="str">
            <v>AFUE ≥97%</v>
          </cell>
        </row>
      </sheetData>
      <sheetData sheetId="8">
        <row r="12">
          <cell r="L12" t="str">
            <v>TOS</v>
          </cell>
        </row>
        <row r="13">
          <cell r="L13" t="str">
            <v>NC</v>
          </cell>
        </row>
        <row r="14">
          <cell r="L14" t="str">
            <v>RF</v>
          </cell>
        </row>
        <row r="15">
          <cell r="L15" t="str">
            <v>DI</v>
          </cell>
        </row>
        <row r="18">
          <cell r="L18" t="str">
            <v>New Programmable thermostat</v>
          </cell>
        </row>
        <row r="19">
          <cell r="L19" t="str">
            <v>Reprogramming existing thermostat</v>
          </cell>
        </row>
        <row r="23">
          <cell r="I23" t="str">
            <v>Electric Resistance</v>
          </cell>
          <cell r="J23" t="str">
            <v>Electric Heat Pump</v>
          </cell>
          <cell r="K23" t="str">
            <v>Unknown</v>
          </cell>
        </row>
      </sheetData>
      <sheetData sheetId="9">
        <row r="11">
          <cell r="H11">
            <v>0</v>
          </cell>
        </row>
        <row r="14">
          <cell r="I14" t="str">
            <v>TOS</v>
          </cell>
        </row>
        <row r="15">
          <cell r="I15" t="str">
            <v>NC</v>
          </cell>
        </row>
        <row r="23">
          <cell r="B23" t="str">
            <v>Gas Storage</v>
          </cell>
        </row>
        <row r="24">
          <cell r="B24" t="str">
            <v>Condensing gas storage</v>
          </cell>
        </row>
        <row r="25">
          <cell r="B25"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v>0</v>
          </cell>
          <cell r="G35" t="str">
            <v>After 2006</v>
          </cell>
        </row>
        <row r="36">
          <cell r="F36" t="str">
            <v>Resistance</v>
          </cell>
        </row>
      </sheetData>
      <sheetData sheetId="11"/>
      <sheetData sheetId="12">
        <row r="32">
          <cell r="I32" t="str">
            <v>Household Unit Type</v>
          </cell>
        </row>
      </sheetData>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Non-central cooling</v>
          </cell>
        </row>
        <row r="36">
          <cell r="I36" t="str">
            <v>Single Family</v>
          </cell>
          <cell r="J36" t="str">
            <v>Multifamily</v>
          </cell>
        </row>
        <row r="47">
          <cell r="J47">
            <v>1</v>
          </cell>
          <cell r="K47">
            <v>1.5</v>
          </cell>
          <cell r="L47">
            <v>2</v>
          </cell>
          <cell r="M47">
            <v>3</v>
          </cell>
        </row>
        <row r="48">
          <cell r="H48" t="str">
            <v>Well Shielded</v>
          </cell>
        </row>
        <row r="49">
          <cell r="H49" t="str">
            <v>Normal</v>
          </cell>
        </row>
        <row r="50">
          <cell r="H50" t="str">
            <v>Exposed</v>
          </cell>
        </row>
      </sheetData>
      <sheetData sheetId="17">
        <row r="11">
          <cell r="O11" t="str">
            <v>Spray Foam</v>
          </cell>
        </row>
        <row r="12">
          <cell r="O12" t="str">
            <v>External Rigid Foam</v>
          </cell>
        </row>
        <row r="13">
          <cell r="O13" t="str">
            <v>Cavity Insulation</v>
          </cell>
        </row>
      </sheetData>
      <sheetData sheetId="18"/>
      <sheetData sheetId="19"/>
      <sheetData sheetId="20">
        <row r="15">
          <cell r="C15">
            <v>7</v>
          </cell>
        </row>
      </sheetData>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5.1.2"/>
      <sheetName val="5.1.8"/>
      <sheetName val="5.3.1"/>
      <sheetName val="5.3.3"/>
      <sheetName val="5.3.5"/>
      <sheetName val="5.3.6"/>
      <sheetName val="5.3.7"/>
      <sheetName val="5.3.11"/>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row r="8">
          <cell r="C8" t="str">
            <v>TOS</v>
          </cell>
        </row>
        <row r="9">
          <cell r="C9" t="str">
            <v>NC</v>
          </cell>
        </row>
        <row r="14">
          <cell r="H14" t="str">
            <v>Energy Star</v>
          </cell>
        </row>
        <row r="15">
          <cell r="H15" t="str">
            <v>Energy Star Most Efficient</v>
          </cell>
        </row>
        <row r="32">
          <cell r="I32" t="str">
            <v>Electric</v>
          </cell>
        </row>
        <row r="33">
          <cell r="I33" t="str">
            <v>Natural Gas</v>
          </cell>
        </row>
      </sheetData>
      <sheetData sheetId="2">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3">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4">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5">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6">
        <row r="19">
          <cell r="C19" t="str">
            <v>AFUE 85% (Energy Star)</v>
          </cell>
          <cell r="K19" t="str">
            <v>June 2012 – May 2013</v>
          </cell>
        </row>
        <row r="20">
          <cell r="C20" t="str">
            <v>AFUE 90%</v>
          </cell>
          <cell r="K20" t="str">
            <v>June 2013 onwards</v>
          </cell>
        </row>
        <row r="21">
          <cell r="C21" t="str">
            <v>AFUE 95%</v>
          </cell>
        </row>
      </sheetData>
      <sheetData sheetId="7"/>
      <sheetData sheetId="8">
        <row r="13">
          <cell r="L13" t="str">
            <v>TOS</v>
          </cell>
        </row>
        <row r="14">
          <cell r="L14" t="str">
            <v>NC</v>
          </cell>
        </row>
        <row r="15">
          <cell r="L15" t="str">
            <v>RF</v>
          </cell>
        </row>
        <row r="16">
          <cell r="L16" t="str">
            <v>DI</v>
          </cell>
        </row>
        <row r="19">
          <cell r="L19" t="str">
            <v>New Programmable thermostat</v>
          </cell>
        </row>
        <row r="20">
          <cell r="L20" t="str">
            <v>Reprogramming existing thermostat</v>
          </cell>
        </row>
        <row r="24">
          <cell r="I24" t="str">
            <v>Electric Resistance</v>
          </cell>
          <cell r="J24" t="str">
            <v>Electric Heat Pump</v>
          </cell>
          <cell r="K24" t="str">
            <v>Unknown</v>
          </cell>
        </row>
      </sheetData>
      <sheetData sheetId="9">
        <row r="21">
          <cell r="I21" t="str">
            <v>TOS</v>
          </cell>
        </row>
        <row r="22">
          <cell r="I22" t="str">
            <v>EREP</v>
          </cell>
        </row>
        <row r="30">
          <cell r="B30" t="str">
            <v>Gas Storage</v>
          </cell>
        </row>
        <row r="31">
          <cell r="B31" t="str">
            <v>Condensing gas storage</v>
          </cell>
        </row>
        <row r="32">
          <cell r="B32" t="str">
            <v>Tankless whole-house unit</v>
          </cell>
        </row>
      </sheetData>
      <sheetData sheetId="10">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G35" t="str">
            <v>After 2006</v>
          </cell>
        </row>
        <row r="36">
          <cell r="F36" t="str">
            <v>Resistance</v>
          </cell>
        </row>
      </sheetData>
      <sheetData sheetId="11"/>
      <sheetData sheetId="12"/>
      <sheetData sheetId="13">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4">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5">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16">
        <row r="7">
          <cell r="P7" t="str">
            <v>R08 - Residential Cooling</v>
          </cell>
        </row>
        <row r="8">
          <cell r="P8" t="str">
            <v>R09 - Residential Electric Space Heat</v>
          </cell>
        </row>
        <row r="9">
          <cell r="P9" t="str">
            <v xml:space="preserve">R10 - Residential Electric Heating and Cooling </v>
          </cell>
        </row>
        <row r="14">
          <cell r="M14" t="str">
            <v>Central Cooling</v>
          </cell>
        </row>
        <row r="15">
          <cell r="M15" t="str">
            <v>Heat Pump</v>
          </cell>
        </row>
        <row r="36">
          <cell r="I36">
            <v>5</v>
          </cell>
          <cell r="J36">
            <v>6</v>
          </cell>
        </row>
        <row r="48">
          <cell r="J48">
            <v>1</v>
          </cell>
          <cell r="K48">
            <v>1.5</v>
          </cell>
          <cell r="L48">
            <v>2</v>
          </cell>
          <cell r="M48">
            <v>3</v>
          </cell>
        </row>
        <row r="49">
          <cell r="H49" t="str">
            <v>Well Shielded</v>
          </cell>
        </row>
        <row r="50">
          <cell r="H50" t="str">
            <v>Normal</v>
          </cell>
        </row>
        <row r="51">
          <cell r="H51" t="str">
            <v>Exposed</v>
          </cell>
        </row>
      </sheetData>
      <sheetData sheetId="17">
        <row r="11">
          <cell r="O11" t="str">
            <v>Spray Foam</v>
          </cell>
        </row>
        <row r="12">
          <cell r="O12" t="str">
            <v>External Rigid Foam</v>
          </cell>
        </row>
        <row r="13">
          <cell r="O13" t="str">
            <v>Cavity Insulation</v>
          </cell>
        </row>
      </sheetData>
      <sheetData sheetId="18"/>
      <sheetData sheetId="19">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0">
        <row r="8">
          <cell r="D8">
            <v>8.09E-2</v>
          </cell>
        </row>
      </sheetData>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Equip"/>
      <sheetName val="TEAPot Measure Output NonEquip"/>
      <sheetName val="List for Segments - TEAPOt"/>
      <sheetName val="Teapot Summary"/>
      <sheetName val="Summary"/>
      <sheetName val="DualSummary"/>
      <sheetName val="Algorithm Components Summary"/>
      <sheetName val="5.1.2"/>
      <sheetName val="5.1.8"/>
      <sheetName val="5.3.1"/>
      <sheetName val="5.3.3"/>
      <sheetName val="5.3.5"/>
      <sheetName val="5.3.6"/>
      <sheetName val="5.3.7"/>
      <sheetName val="5.3.11"/>
      <sheetName val="5.3.16"/>
      <sheetName val="5.4.2"/>
      <sheetName val="5.4.3"/>
      <sheetName val="5.4.4"/>
      <sheetName val="5.4.5"/>
      <sheetName val="5.4.9"/>
      <sheetName val="5.5.1"/>
      <sheetName val="5.5.2"/>
      <sheetName val="5.5.6"/>
      <sheetName val="5.6.1"/>
      <sheetName val="5.6.2"/>
      <sheetName val="5.6.4"/>
      <sheetName val="List"/>
      <sheetName val="Input_Data"/>
      <sheetName val="Sheet1"/>
    </sheetNames>
    <sheetDataSet>
      <sheetData sheetId="0"/>
      <sheetData sheetId="1"/>
      <sheetData sheetId="2"/>
      <sheetData sheetId="3"/>
      <sheetData sheetId="4"/>
      <sheetData sheetId="5"/>
      <sheetData sheetId="6"/>
      <sheetData sheetId="7">
        <row r="60">
          <cell r="C60" t="str">
            <v>TOS</v>
          </cell>
        </row>
        <row r="61">
          <cell r="C61" t="str">
            <v>NC</v>
          </cell>
        </row>
        <row r="66">
          <cell r="H66"/>
        </row>
        <row r="67">
          <cell r="H67"/>
        </row>
        <row r="68">
          <cell r="H68"/>
        </row>
        <row r="107">
          <cell r="A107" t="str">
            <v>Electric</v>
          </cell>
        </row>
        <row r="108">
          <cell r="A108" t="str">
            <v>Natural Gas</v>
          </cell>
        </row>
      </sheetData>
      <sheetData sheetId="8">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9">
        <row r="22">
          <cell r="I22" t="str">
            <v>TOS</v>
          </cell>
        </row>
        <row r="23">
          <cell r="I23" t="str">
            <v>NC</v>
          </cell>
        </row>
        <row r="24">
          <cell r="I24" t="str">
            <v>EREP</v>
          </cell>
        </row>
        <row r="50">
          <cell r="G50" t="str">
            <v>Air Source Heat Pump</v>
          </cell>
          <cell r="K50" t="str">
            <v>Air Source Heat Pump</v>
          </cell>
        </row>
        <row r="51">
          <cell r="G51" t="str">
            <v>Central AC</v>
          </cell>
          <cell r="K51" t="str">
            <v>Electric Resistance</v>
          </cell>
        </row>
        <row r="52">
          <cell r="G52" t="str">
            <v>No central cooling</v>
          </cell>
        </row>
      </sheetData>
      <sheetData sheetId="10">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11">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12">
        <row r="40">
          <cell r="A40" t="str">
            <v>Incremental Cost</v>
          </cell>
        </row>
        <row r="47">
          <cell r="A47" t="str">
            <v>AFUE 85% (Energy Star)</v>
          </cell>
        </row>
        <row r="48">
          <cell r="A48" t="str">
            <v>AFUE 90%</v>
          </cell>
        </row>
        <row r="49">
          <cell r="A49" t="str">
            <v>AFUE 95%</v>
          </cell>
        </row>
        <row r="62">
          <cell r="A62" t="str">
            <v>June 2012 – May 2013</v>
          </cell>
        </row>
        <row r="63">
          <cell r="A63" t="str">
            <v>June 2013 onwards</v>
          </cell>
        </row>
      </sheetData>
      <sheetData sheetId="13"/>
      <sheetData sheetId="14">
        <row r="26">
          <cell r="L26"/>
        </row>
        <row r="27">
          <cell r="L27" t="str">
            <v>None - TRM Deemed</v>
          </cell>
        </row>
        <row r="57">
          <cell r="G57" t="str">
            <v>TOS</v>
          </cell>
        </row>
        <row r="58">
          <cell r="G58" t="str">
            <v>NC</v>
          </cell>
        </row>
        <row r="59">
          <cell r="G59" t="str">
            <v>RF</v>
          </cell>
        </row>
        <row r="60">
          <cell r="G60" t="str">
            <v>DI</v>
          </cell>
        </row>
        <row r="63">
          <cell r="B63" t="str">
            <v>Electric Resistance</v>
          </cell>
          <cell r="C63" t="str">
            <v>Electric Heat Pump</v>
          </cell>
          <cell r="D63" t="str">
            <v>Unknown</v>
          </cell>
        </row>
      </sheetData>
      <sheetData sheetId="15"/>
      <sheetData sheetId="16">
        <row r="41">
          <cell r="B41">
            <v>0.67</v>
          </cell>
        </row>
      </sheetData>
      <sheetData sheetId="17">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row>
        <row r="37">
          <cell r="F37" t="str">
            <v>Resistance</v>
          </cell>
        </row>
      </sheetData>
      <sheetData sheetId="18"/>
      <sheetData sheetId="19"/>
      <sheetData sheetId="20"/>
      <sheetData sheetId="21">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22">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23">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4">
        <row r="109">
          <cell r="I109">
            <v>5</v>
          </cell>
          <cell r="J109">
            <v>6</v>
          </cell>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5"/>
      <sheetData sheetId="26"/>
      <sheetData sheetId="27">
        <row r="2">
          <cell r="L2">
            <v>0.10876731997839081</v>
          </cell>
        </row>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8">
        <row r="8">
          <cell r="D8">
            <v>2.2185999999999987E-2</v>
          </cell>
        </row>
      </sheetData>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Pot Measure Output"/>
      <sheetName val="Algorithm Components Summary"/>
      <sheetName val="Summary"/>
      <sheetName val="DualSummary"/>
      <sheetName val="5.1.2"/>
      <sheetName val="5.1.8"/>
      <sheetName val="5.3.1"/>
      <sheetName val="5.3.3"/>
      <sheetName val="5.3.5"/>
      <sheetName val="5.3.6"/>
      <sheetName val="5.3.7"/>
      <sheetName val="5.3.11"/>
      <sheetName val="5.3.16"/>
      <sheetName val="5.4.2"/>
      <sheetName val="5.4.3"/>
      <sheetName val="5.4.4"/>
      <sheetName val="5.4.5"/>
      <sheetName val="5.5.1"/>
      <sheetName val="5.5.2"/>
      <sheetName val="5.5.6"/>
      <sheetName val="5.6.1"/>
      <sheetName val="5.6.2"/>
      <sheetName val="5.6.4"/>
      <sheetName val="List"/>
      <sheetName val="Input_Data"/>
      <sheetName val="Sheet1"/>
    </sheetNames>
    <sheetDataSet>
      <sheetData sheetId="0"/>
      <sheetData sheetId="1"/>
      <sheetData sheetId="2">
        <row r="78">
          <cell r="L78">
            <v>74.347799999999992</v>
          </cell>
        </row>
      </sheetData>
      <sheetData sheetId="3"/>
      <sheetData sheetId="4">
        <row r="61">
          <cell r="C61" t="str">
            <v>TOS</v>
          </cell>
        </row>
        <row r="62">
          <cell r="C62" t="str">
            <v>NC</v>
          </cell>
        </row>
        <row r="67">
          <cell r="H67"/>
        </row>
        <row r="68">
          <cell r="H68"/>
        </row>
        <row r="69">
          <cell r="H69"/>
        </row>
        <row r="108">
          <cell r="A108" t="str">
            <v>Electric</v>
          </cell>
        </row>
        <row r="109">
          <cell r="A109" t="str">
            <v>Natural Gas</v>
          </cell>
        </row>
      </sheetData>
      <sheetData sheetId="5">
        <row r="16">
          <cell r="I16" t="b">
            <v>1</v>
          </cell>
        </row>
        <row r="17">
          <cell r="I17" t="b">
            <v>0</v>
          </cell>
          <cell r="L17" t="str">
            <v>Side-by-side Refrigerator</v>
          </cell>
        </row>
        <row r="18">
          <cell r="L18" t="str">
            <v>Single door Refrigerator</v>
          </cell>
        </row>
        <row r="19">
          <cell r="L19" t="str">
            <v>Chest Freezer</v>
          </cell>
        </row>
        <row r="26">
          <cell r="J26" t="str">
            <v>1 (Rockford)</v>
          </cell>
        </row>
        <row r="27">
          <cell r="J27" t="str">
            <v>2 (Chicago)</v>
          </cell>
        </row>
        <row r="28">
          <cell r="J28" t="str">
            <v>3 (Springfield)</v>
          </cell>
        </row>
        <row r="29">
          <cell r="J29" t="str">
            <v>4 (Belleville)</v>
          </cell>
        </row>
        <row r="30">
          <cell r="J30" t="str">
            <v>5 (Marion)</v>
          </cell>
        </row>
      </sheetData>
      <sheetData sheetId="6">
        <row r="22">
          <cell r="I22" t="str">
            <v>TOS</v>
          </cell>
        </row>
        <row r="23">
          <cell r="I23" t="str">
            <v>NC</v>
          </cell>
        </row>
        <row r="24">
          <cell r="I24" t="str">
            <v>EREP</v>
          </cell>
        </row>
        <row r="38">
          <cell r="K38" t="str">
            <v>Air Source Heat Pump</v>
          </cell>
          <cell r="O38" t="str">
            <v>Air Source Heat Pump</v>
          </cell>
        </row>
        <row r="39">
          <cell r="K39" t="str">
            <v>Central AC</v>
          </cell>
          <cell r="O39" t="str">
            <v>Electric Resistance</v>
          </cell>
        </row>
        <row r="40">
          <cell r="K40" t="str">
            <v>No central cooling</v>
          </cell>
        </row>
      </sheetData>
      <sheetData sheetId="7">
        <row r="7">
          <cell r="L7" t="str">
            <v>TOS</v>
          </cell>
        </row>
        <row r="8">
          <cell r="L8" t="str">
            <v>NC</v>
          </cell>
        </row>
        <row r="24">
          <cell r="G24">
            <v>14</v>
          </cell>
        </row>
        <row r="25">
          <cell r="G25">
            <v>15</v>
          </cell>
          <cell r="J25" t="str">
            <v>1 (Rockford)</v>
          </cell>
        </row>
        <row r="26">
          <cell r="G26">
            <v>16</v>
          </cell>
          <cell r="J26" t="str">
            <v>2 (Chicago)</v>
          </cell>
        </row>
        <row r="27">
          <cell r="G27">
            <v>17</v>
          </cell>
          <cell r="J27" t="str">
            <v>3 (Springfield)</v>
          </cell>
        </row>
        <row r="28">
          <cell r="G28">
            <v>18</v>
          </cell>
          <cell r="J28" t="str">
            <v>4 (Belleville)</v>
          </cell>
        </row>
        <row r="29">
          <cell r="G29">
            <v>19</v>
          </cell>
          <cell r="J29" t="str">
            <v>5 (Marion)</v>
          </cell>
        </row>
        <row r="30">
          <cell r="G30">
            <v>20</v>
          </cell>
          <cell r="J30" t="str">
            <v>Unknown</v>
          </cell>
        </row>
        <row r="31">
          <cell r="G31">
            <v>21</v>
          </cell>
        </row>
        <row r="32">
          <cell r="G32" t="str">
            <v>Unknown</v>
          </cell>
        </row>
      </sheetData>
      <sheetData sheetId="8">
        <row r="7">
          <cell r="J7" t="str">
            <v>TOS</v>
          </cell>
        </row>
        <row r="8">
          <cell r="J8" t="str">
            <v>NC</v>
          </cell>
        </row>
        <row r="19">
          <cell r="H19" t="b">
            <v>1</v>
          </cell>
          <cell r="K19" t="str">
            <v>R08 - Residential Cooling</v>
          </cell>
        </row>
        <row r="20">
          <cell r="H20" t="b">
            <v>0</v>
          </cell>
          <cell r="K20" t="str">
            <v>R09 - Residential Electric Space Heat</v>
          </cell>
        </row>
        <row r="21">
          <cell r="H21" t="str">
            <v>Unknown</v>
          </cell>
          <cell r="K21" t="str">
            <v xml:space="preserve">R10 - Residential Electric Heating and Cooling </v>
          </cell>
        </row>
      </sheetData>
      <sheetData sheetId="9">
        <row r="38">
          <cell r="A38" t="str">
            <v>AFUE 85% (Energy Star)</v>
          </cell>
        </row>
        <row r="39">
          <cell r="A39" t="str">
            <v>AFUE 90%</v>
          </cell>
        </row>
        <row r="40">
          <cell r="A40" t="str">
            <v>AFUE 95%</v>
          </cell>
        </row>
        <row r="53">
          <cell r="A53" t="str">
            <v>June 2012 – May 2013</v>
          </cell>
        </row>
        <row r="54">
          <cell r="A54" t="str">
            <v>June 2013 onwards</v>
          </cell>
        </row>
      </sheetData>
      <sheetData sheetId="10"/>
      <sheetData sheetId="11">
        <row r="27">
          <cell r="L27"/>
        </row>
        <row r="28">
          <cell r="L28"/>
        </row>
        <row r="58">
          <cell r="G58" t="str">
            <v>TOS</v>
          </cell>
        </row>
        <row r="59">
          <cell r="G59" t="str">
            <v>NC</v>
          </cell>
        </row>
        <row r="60">
          <cell r="G60" t="str">
            <v>RF</v>
          </cell>
        </row>
        <row r="61">
          <cell r="G61" t="str">
            <v>DI</v>
          </cell>
        </row>
        <row r="64">
          <cell r="B64" t="str">
            <v>Electric Resistance</v>
          </cell>
          <cell r="C64" t="str">
            <v>Electric Heat Pump</v>
          </cell>
          <cell r="D64" t="str">
            <v>Unknown</v>
          </cell>
        </row>
      </sheetData>
      <sheetData sheetId="12"/>
      <sheetData sheetId="13">
        <row r="30">
          <cell r="I30" t="str">
            <v>TOS</v>
          </cell>
        </row>
        <row r="31">
          <cell r="I31" t="str">
            <v>EREP</v>
          </cell>
        </row>
        <row r="39">
          <cell r="B39" t="str">
            <v>Gas Storage</v>
          </cell>
        </row>
        <row r="40">
          <cell r="B40" t="str">
            <v>Condensing gas storage</v>
          </cell>
        </row>
        <row r="41">
          <cell r="B41" t="str">
            <v>Tankless whole-house unit</v>
          </cell>
        </row>
      </sheetData>
      <sheetData sheetId="14">
        <row r="16">
          <cell r="K16" t="str">
            <v>Conditioned</v>
          </cell>
        </row>
        <row r="17">
          <cell r="K17" t="str">
            <v>Unconditioned</v>
          </cell>
        </row>
        <row r="18">
          <cell r="K18" t="str">
            <v>Unknown</v>
          </cell>
        </row>
        <row r="21">
          <cell r="L21" t="str">
            <v>TOS</v>
          </cell>
        </row>
        <row r="22">
          <cell r="L22" t="str">
            <v>NC</v>
          </cell>
        </row>
        <row r="23">
          <cell r="L23" t="str">
            <v>RF</v>
          </cell>
        </row>
        <row r="34">
          <cell r="B34">
            <v>2</v>
          </cell>
          <cell r="F34" t="str">
            <v>Heat Pump</v>
          </cell>
          <cell r="G34" t="str">
            <v>Before 2006</v>
          </cell>
        </row>
        <row r="35">
          <cell r="B35">
            <v>2.35</v>
          </cell>
          <cell r="F35"/>
          <cell r="G35" t="str">
            <v>After 2006</v>
          </cell>
        </row>
        <row r="36">
          <cell r="F36" t="str">
            <v>Resistance</v>
          </cell>
        </row>
      </sheetData>
      <sheetData sheetId="15"/>
      <sheetData sheetId="16"/>
      <sheetData sheetId="17">
        <row r="17">
          <cell r="L17" t="str">
            <v>Residential Single family</v>
          </cell>
        </row>
        <row r="18">
          <cell r="L18" t="str">
            <v>in-unit Multi Family</v>
          </cell>
        </row>
        <row r="19">
          <cell r="L19" t="str">
            <v>Multi Family Common Areas</v>
          </cell>
        </row>
        <row r="20">
          <cell r="L20" t="str">
            <v>Exterior</v>
          </cell>
        </row>
        <row r="21">
          <cell r="L21" t="str">
            <v>Unknown</v>
          </cell>
        </row>
        <row r="27">
          <cell r="D27" t="str">
            <v>Jun 2012-May 2013</v>
          </cell>
        </row>
        <row r="28">
          <cell r="D28" t="str">
            <v>Jun 2013-May 2014</v>
          </cell>
        </row>
        <row r="29">
          <cell r="D29" t="str">
            <v>Jun 2014-May 2015</v>
          </cell>
        </row>
        <row r="30">
          <cell r="D30" t="str">
            <v>Jun 2015-May 2016</v>
          </cell>
        </row>
        <row r="31">
          <cell r="D31" t="str">
            <v>Jun 2016-May 2017</v>
          </cell>
        </row>
        <row r="32">
          <cell r="D32" t="str">
            <v>Jun 2017-May 2018</v>
          </cell>
        </row>
        <row r="33">
          <cell r="D33" t="str">
            <v>Jun 2018-May 2019</v>
          </cell>
        </row>
        <row r="34">
          <cell r="D34" t="str">
            <v>Jun 2019-May 2020</v>
          </cell>
        </row>
        <row r="41">
          <cell r="B41" t="str">
            <v>1490-2600</v>
          </cell>
        </row>
        <row r="42">
          <cell r="B42" t="str">
            <v>1050-1489</v>
          </cell>
        </row>
        <row r="43">
          <cell r="B43" t="str">
            <v>750-1049</v>
          </cell>
        </row>
        <row r="44">
          <cell r="B44" t="str">
            <v>310-749</v>
          </cell>
        </row>
        <row r="45">
          <cell r="B45" t="str">
            <v>250-309</v>
          </cell>
        </row>
      </sheetData>
      <sheetData sheetId="18">
        <row r="7">
          <cell r="K7" t="str">
            <v>Electric</v>
          </cell>
          <cell r="M7" t="str">
            <v>R06 - Residential Indoor Lighting</v>
          </cell>
        </row>
        <row r="8">
          <cell r="K8" t="str">
            <v>Natural Gas</v>
          </cell>
          <cell r="M8" t="str">
            <v>R07 - Residential Outdoor Lighting</v>
          </cell>
          <cell r="T8">
            <v>10</v>
          </cell>
        </row>
        <row r="9">
          <cell r="M9" t="str">
            <v>C06 - Commercial Indoor Lighting</v>
          </cell>
          <cell r="T9">
            <v>15</v>
          </cell>
        </row>
        <row r="10">
          <cell r="T10">
            <v>20</v>
          </cell>
        </row>
        <row r="11">
          <cell r="T11">
            <v>25</v>
          </cell>
        </row>
        <row r="12">
          <cell r="T12">
            <v>30</v>
          </cell>
        </row>
        <row r="13">
          <cell r="Q13" t="str">
            <v>Jun 2012-May 2013</v>
          </cell>
          <cell r="T13">
            <v>40</v>
          </cell>
        </row>
        <row r="14">
          <cell r="Q14" t="str">
            <v>Jun 2013-May 2014</v>
          </cell>
          <cell r="T14">
            <v>45</v>
          </cell>
        </row>
        <row r="15">
          <cell r="Q15" t="str">
            <v>Jun 2014-May 2015</v>
          </cell>
          <cell r="T15">
            <v>50</v>
          </cell>
        </row>
        <row r="16">
          <cell r="Q16" t="str">
            <v>Jun 2015-May 2016</v>
          </cell>
          <cell r="T16">
            <v>60</v>
          </cell>
        </row>
        <row r="17">
          <cell r="Q17" t="str">
            <v>Jun 2016-May 2017</v>
          </cell>
          <cell r="T17">
            <v>65</v>
          </cell>
        </row>
        <row r="18">
          <cell r="T18">
            <v>75</v>
          </cell>
        </row>
        <row r="19">
          <cell r="T19">
            <v>90</v>
          </cell>
        </row>
        <row r="20">
          <cell r="T20">
            <v>100</v>
          </cell>
        </row>
        <row r="21">
          <cell r="T21">
            <v>120</v>
          </cell>
        </row>
        <row r="22">
          <cell r="T22">
            <v>125</v>
          </cell>
        </row>
        <row r="23">
          <cell r="T23">
            <v>150</v>
          </cell>
        </row>
        <row r="24">
          <cell r="T24">
            <v>200</v>
          </cell>
        </row>
        <row r="25">
          <cell r="T25">
            <v>300</v>
          </cell>
        </row>
        <row r="28">
          <cell r="M28" t="str">
            <v>Three-way</v>
          </cell>
        </row>
        <row r="29">
          <cell r="M29" t="str">
            <v>Interior reflector (incl. dimmable)</v>
          </cell>
        </row>
        <row r="30">
          <cell r="M30" t="str">
            <v>Exterior reflector</v>
          </cell>
        </row>
        <row r="31">
          <cell r="M31" t="str">
            <v>Candelabra base lamps(&lt;1050 lumens)</v>
          </cell>
        </row>
        <row r="32">
          <cell r="M32" t="str">
            <v>Candelabra Base Lamps (&gt;1049 lumens)</v>
          </cell>
        </row>
        <row r="33">
          <cell r="G33" t="str">
            <v>Interior single family or unknown location</v>
          </cell>
          <cell r="M33" t="str">
            <v>Intermediate Base Lamps (&lt;749 lumens)</v>
          </cell>
        </row>
        <row r="34">
          <cell r="G34" t="str">
            <v>Multi family in unit</v>
          </cell>
          <cell r="M34" t="str">
            <v>Intermediate Base Lamps (&gt;749 lumens)</v>
          </cell>
        </row>
        <row r="35">
          <cell r="G35" t="str">
            <v>Exterior or uncooled location</v>
          </cell>
          <cell r="M35" t="str">
            <v>Candle (&lt;749 lumens)</v>
          </cell>
        </row>
        <row r="36">
          <cell r="G36" t="str">
            <v>Multi family common areas</v>
          </cell>
          <cell r="M36" t="str">
            <v>Candle (&gt;749 lumens)</v>
          </cell>
        </row>
        <row r="37">
          <cell r="M37" t="str">
            <v>Bug light</v>
          </cell>
        </row>
        <row r="38">
          <cell r="M38" t="str">
            <v>Post light (&gt;100W)</v>
          </cell>
        </row>
        <row r="39">
          <cell r="M39" t="str">
            <v>Daylight</v>
          </cell>
        </row>
        <row r="40">
          <cell r="M40" t="str">
            <v>Plant light</v>
          </cell>
        </row>
        <row r="41">
          <cell r="M41" t="str">
            <v>Globe (&lt;750 lumens)</v>
          </cell>
        </row>
        <row r="42">
          <cell r="M42" t="str">
            <v>Globe (&gt;750 lumens)</v>
          </cell>
        </row>
        <row r="43">
          <cell r="M43" t="str">
            <v>Vibration or shatterproof</v>
          </cell>
        </row>
        <row r="44">
          <cell r="M44" t="str">
            <v>Specialty - Generic</v>
          </cell>
        </row>
        <row r="45">
          <cell r="M45" t="str">
            <v xml:space="preserve">Standard spirals </v>
          </cell>
        </row>
        <row r="46">
          <cell r="M46" t="str">
            <v>Dimmable Twist</v>
          </cell>
        </row>
      </sheetData>
      <sheetData sheetId="19">
        <row r="6">
          <cell r="I6" t="str">
            <v>TOS</v>
          </cell>
        </row>
        <row r="7">
          <cell r="I7" t="str">
            <v>NC</v>
          </cell>
        </row>
        <row r="29">
          <cell r="C29" t="str">
            <v>PAR20, PAR30, PAR38 screw-in lamps</v>
          </cell>
        </row>
        <row r="30">
          <cell r="C30" t="str">
            <v>MR16/PAR16 pin-based lamps</v>
          </cell>
        </row>
        <row r="31">
          <cell r="C31" t="str">
            <v>Recessed downlight luminaries</v>
          </cell>
        </row>
        <row r="32">
          <cell r="C32" t="str">
            <v xml:space="preserve">Track lights </v>
          </cell>
        </row>
        <row r="36">
          <cell r="K36" t="str">
            <v>Interior single family or unknown location</v>
          </cell>
        </row>
        <row r="37">
          <cell r="E37" t="str">
            <v>460-810</v>
          </cell>
          <cell r="K37" t="str">
            <v>Multi family in unit</v>
          </cell>
        </row>
        <row r="38">
          <cell r="E38" t="str">
            <v>600-1005</v>
          </cell>
          <cell r="K38" t="str">
            <v>Multi family common area</v>
          </cell>
        </row>
        <row r="39">
          <cell r="E39" t="str">
            <v>630-1170</v>
          </cell>
          <cell r="K39" t="str">
            <v>Exterior or uncooled location</v>
          </cell>
        </row>
        <row r="40">
          <cell r="E40" t="str">
            <v>300-500</v>
          </cell>
        </row>
        <row r="41">
          <cell r="E41" t="str">
            <v>525-875</v>
          </cell>
        </row>
        <row r="42">
          <cell r="E42" t="str">
            <v>750-1250</v>
          </cell>
        </row>
        <row r="43">
          <cell r="E43">
            <v>540</v>
          </cell>
        </row>
        <row r="44">
          <cell r="E44" t="str">
            <v>500-650</v>
          </cell>
        </row>
        <row r="45">
          <cell r="E45">
            <v>1000</v>
          </cell>
        </row>
        <row r="46">
          <cell r="E46" t="str">
            <v>320-675</v>
          </cell>
        </row>
        <row r="47">
          <cell r="E47" t="str">
            <v>440-975</v>
          </cell>
        </row>
      </sheetData>
      <sheetData sheetId="20">
        <row r="109">
          <cell r="I109">
            <v>5</v>
          </cell>
          <cell r="J109">
            <v>6</v>
          </cell>
        </row>
        <row r="122">
          <cell r="J122"/>
        </row>
        <row r="124">
          <cell r="A124" t="str">
            <v>Central Cooling</v>
          </cell>
        </row>
        <row r="125">
          <cell r="A125" t="str">
            <v>Heat Pump</v>
          </cell>
        </row>
        <row r="129">
          <cell r="A129" t="str">
            <v>R08 - Residential Cooling</v>
          </cell>
        </row>
        <row r="130">
          <cell r="A130" t="str">
            <v>R09 - Residential Electric Space Heat</v>
          </cell>
        </row>
        <row r="131">
          <cell r="A131" t="str">
            <v xml:space="preserve">R10 - Residential Electric Heating and Cooling </v>
          </cell>
        </row>
      </sheetData>
      <sheetData sheetId="21"/>
      <sheetData sheetId="22"/>
      <sheetData sheetId="23">
        <row r="3">
          <cell r="B3" t="str">
            <v>Agriculture</v>
          </cell>
        </row>
        <row r="4">
          <cell r="B4" t="str">
            <v>Food service</v>
          </cell>
        </row>
        <row r="5">
          <cell r="B5" t="str">
            <v>Low-flow fixtures</v>
          </cell>
        </row>
        <row r="6">
          <cell r="B6" t="str">
            <v>Water heater</v>
          </cell>
        </row>
        <row r="7">
          <cell r="B7" t="str">
            <v>Air conditioner</v>
          </cell>
        </row>
        <row r="8">
          <cell r="B8" t="str">
            <v>Boilers</v>
          </cell>
        </row>
        <row r="9">
          <cell r="B9" t="str">
            <v>Furnaces</v>
          </cell>
        </row>
        <row r="10">
          <cell r="B10" t="str">
            <v>Heat pumps</v>
          </cell>
        </row>
        <row r="11">
          <cell r="B11" t="str">
            <v>Steam traps</v>
          </cell>
        </row>
        <row r="12">
          <cell r="B12" t="str">
            <v>Other HVAC</v>
          </cell>
        </row>
        <row r="13">
          <cell r="B13" t="str">
            <v>Lighting</v>
          </cell>
        </row>
        <row r="14">
          <cell r="B14" t="str">
            <v>Refrigeration</v>
          </cell>
        </row>
        <row r="15">
          <cell r="B15" t="str">
            <v>Dishwasher</v>
          </cell>
        </row>
        <row r="16">
          <cell r="B16" t="str">
            <v>Clothes washers</v>
          </cell>
        </row>
        <row r="17">
          <cell r="B17" t="str">
            <v>Appliances</v>
          </cell>
        </row>
        <row r="18">
          <cell r="B18" t="str">
            <v>Consumer electronics</v>
          </cell>
        </row>
        <row r="19">
          <cell r="B19" t="str">
            <v>Thermostats</v>
          </cell>
        </row>
        <row r="20">
          <cell r="B20" t="str">
            <v>Duct sealing</v>
          </cell>
        </row>
        <row r="21">
          <cell r="B21" t="str">
            <v>Pipe insulation</v>
          </cell>
        </row>
        <row r="22">
          <cell r="B22" t="str">
            <v>Technical assistance</v>
          </cell>
        </row>
        <row r="23">
          <cell r="B23" t="str">
            <v>Shell</v>
          </cell>
        </row>
        <row r="24">
          <cell r="B24" t="str">
            <v>Custom</v>
          </cell>
        </row>
        <row r="25">
          <cell r="B25" t="str">
            <v>Controls</v>
          </cell>
        </row>
      </sheetData>
      <sheetData sheetId="24">
        <row r="8">
          <cell r="D8">
            <v>7.4399999999999994E-2</v>
          </cell>
        </row>
      </sheetData>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Program-Level Adjustments"/>
      <sheetName val="Measure-Level Adjustments"/>
      <sheetName val="4.2.1"/>
      <sheetName val="4.2.3"/>
      <sheetName val="4.2.4"/>
      <sheetName val="4.2.5"/>
      <sheetName val="4.2.7"/>
      <sheetName val="4.2.8"/>
      <sheetName val="4.2.11"/>
      <sheetName val="4.2.12"/>
      <sheetName val="4.2.13"/>
      <sheetName val="4.2.14"/>
      <sheetName val="4.2.15"/>
      <sheetName val="4.2.17"/>
      <sheetName val="4.2.18"/>
      <sheetName val="4.3.1"/>
      <sheetName val="4.3.2"/>
      <sheetName val="4.3.3"/>
      <sheetName val="4.3.4"/>
      <sheetName val="4.3.6"/>
      <sheetName val="4.4.2"/>
      <sheetName val="4.4.3"/>
      <sheetName val="4.4.4"/>
      <sheetName val="4.4.5"/>
      <sheetName val="4.4.10"/>
      <sheetName val="4.4.11"/>
      <sheetName val="4.4.12"/>
      <sheetName val="4.4.14"/>
      <sheetName val="4.4.16"/>
      <sheetName val="4.4.18"/>
      <sheetName val="4.4.19"/>
      <sheetName val="4.4.24 "/>
      <sheetName val="4.8.4"/>
      <sheetName val="5.3.4"/>
      <sheetName val="5.3.6"/>
      <sheetName val="5.3.7"/>
      <sheetName val="5.3.13"/>
      <sheetName val="5.4.1"/>
      <sheetName val="5.4.2"/>
      <sheetName val="5.4.4"/>
      <sheetName val="5.4.5"/>
      <sheetName val="5.4.6"/>
      <sheetName val="5.3.11"/>
      <sheetName val="5.3.16"/>
      <sheetName val="5.6.1"/>
      <sheetName val="5.6.2"/>
      <sheetName val="5.6.3"/>
      <sheetName val="5.6.4"/>
      <sheetName val="Kits"/>
      <sheetName val="List"/>
    </sheetNames>
    <sheetDataSet>
      <sheetData sheetId="0"/>
      <sheetData sheetId="1"/>
      <sheetData sheetId="2"/>
      <sheetData sheetId="3">
        <row r="1">
          <cell r="A1" t="str">
            <v>4.2.1</v>
          </cell>
        </row>
        <row r="12">
          <cell r="B12" t="str">
            <v>CI-FSE-CBOV-V02-160601</v>
          </cell>
        </row>
      </sheetData>
      <sheetData sheetId="4">
        <row r="1">
          <cell r="A1" t="str">
            <v>4.2.3</v>
          </cell>
        </row>
        <row r="16">
          <cell r="B16" t="str">
            <v>CI-FSE-STMC-V04-160601</v>
          </cell>
        </row>
      </sheetData>
      <sheetData sheetId="5">
        <row r="1">
          <cell r="A1" t="str">
            <v>4.2.4</v>
          </cell>
        </row>
        <row r="14">
          <cell r="B14" t="str">
            <v>CI-FSE-CVOV-V02-180101</v>
          </cell>
        </row>
      </sheetData>
      <sheetData sheetId="6">
        <row r="1">
          <cell r="A1" t="str">
            <v>4.2.5</v>
          </cell>
        </row>
        <row r="11">
          <cell r="B11" t="str">
            <v>CI-FSE-ESCV-V02-180101</v>
          </cell>
        </row>
      </sheetData>
      <sheetData sheetId="7">
        <row r="1">
          <cell r="A1" t="str">
            <v>4.2.7</v>
          </cell>
        </row>
        <row r="12">
          <cell r="B12" t="str">
            <v>CI-FSE-ESFR-V01-120601</v>
          </cell>
        </row>
      </sheetData>
      <sheetData sheetId="8">
        <row r="1">
          <cell r="A1" t="str">
            <v>4.2.8</v>
          </cell>
        </row>
        <row r="16">
          <cell r="B16" t="str">
            <v>CI-FSE-ESGR-V02-160601</v>
          </cell>
        </row>
        <row r="71">
          <cell r="B71" t="str">
            <v>Fast Food Limited Menu</v>
          </cell>
        </row>
        <row r="72">
          <cell r="B72" t="str">
            <v>Fast Food Expanded Menu</v>
          </cell>
        </row>
        <row r="73">
          <cell r="B73" t="str">
            <v>Pizza</v>
          </cell>
        </row>
        <row r="74">
          <cell r="B74" t="str">
            <v>Full Service Limited Menu</v>
          </cell>
        </row>
        <row r="75">
          <cell r="B75" t="str">
            <v>Full Service Expanded Menu</v>
          </cell>
        </row>
        <row r="76">
          <cell r="B76" t="str">
            <v>Cafeteria</v>
          </cell>
        </row>
      </sheetData>
      <sheetData sheetId="9">
        <row r="1">
          <cell r="A1" t="str">
            <v>4.2.11</v>
          </cell>
        </row>
        <row r="17">
          <cell r="B17" t="str">
            <v>CI-FSE-SPRY-V04-180101</v>
          </cell>
        </row>
      </sheetData>
      <sheetData sheetId="10">
        <row r="1">
          <cell r="A1" t="str">
            <v>4.2.12</v>
          </cell>
        </row>
        <row r="8">
          <cell r="B8" t="str">
            <v>CI-FSE-IRCB-V02-180101</v>
          </cell>
        </row>
      </sheetData>
      <sheetData sheetId="11">
        <row r="1">
          <cell r="A1" t="str">
            <v>4.2.13</v>
          </cell>
        </row>
        <row r="8">
          <cell r="B8" t="str">
            <v>CI-FSE-IROV-V02-180101</v>
          </cell>
        </row>
      </sheetData>
      <sheetData sheetId="12">
        <row r="1">
          <cell r="A1" t="str">
            <v>4.2.14</v>
          </cell>
        </row>
        <row r="8">
          <cell r="B8" t="str">
            <v>CI-FSE-IRBL-V02-180101</v>
          </cell>
        </row>
      </sheetData>
      <sheetData sheetId="13">
        <row r="1">
          <cell r="A1" t="str">
            <v>4.2.15</v>
          </cell>
        </row>
        <row r="8">
          <cell r="B8" t="str">
            <v>CI-FSE-IRUB-V02-180101</v>
          </cell>
        </row>
      </sheetData>
      <sheetData sheetId="14">
        <row r="1">
          <cell r="A1" t="str">
            <v>4.2.17</v>
          </cell>
        </row>
        <row r="12">
          <cell r="B12" t="str">
            <v>CI-FSE-PCOK-V02-180101</v>
          </cell>
        </row>
      </sheetData>
      <sheetData sheetId="15">
        <row r="1">
          <cell r="A1" t="str">
            <v>4.2.18</v>
          </cell>
        </row>
        <row r="8">
          <cell r="B8" t="str">
            <v>CI-FSE-RKOV-VO2-180101</v>
          </cell>
        </row>
      </sheetData>
      <sheetData sheetId="16">
        <row r="1">
          <cell r="A1" t="str">
            <v>4.3.1</v>
          </cell>
        </row>
        <row r="18">
          <cell r="B18" t="str">
            <v>CI-HWE-STWH-V03-180101</v>
          </cell>
        </row>
        <row r="58">
          <cell r="A58" t="str">
            <v>TOS</v>
          </cell>
        </row>
        <row r="59">
          <cell r="A59" t="str">
            <v>RF</v>
          </cell>
        </row>
        <row r="60">
          <cell r="A60" t="str">
            <v>EREP</v>
          </cell>
        </row>
        <row r="63">
          <cell r="A63" t="str">
            <v>50 gallons</v>
          </cell>
        </row>
        <row r="64">
          <cell r="A64" t="str">
            <v>80 gallons</v>
          </cell>
        </row>
        <row r="65">
          <cell r="A65" t="str">
            <v>100 gallons</v>
          </cell>
        </row>
      </sheetData>
      <sheetData sheetId="17">
        <row r="1">
          <cell r="A1" t="str">
            <v>4.3.2</v>
          </cell>
        </row>
        <row r="15">
          <cell r="B15" t="str">
            <v>CI-HWE-LFFA-V07-180101</v>
          </cell>
        </row>
      </sheetData>
      <sheetData sheetId="18">
        <row r="1">
          <cell r="A1" t="str">
            <v>4.3.3</v>
          </cell>
        </row>
        <row r="65">
          <cell r="B65" t="str">
            <v>Electric</v>
          </cell>
        </row>
        <row r="66">
          <cell r="B66" t="str">
            <v>Fossil Fuel</v>
          </cell>
        </row>
        <row r="67">
          <cell r="B67" t="str">
            <v>Unknown</v>
          </cell>
        </row>
      </sheetData>
      <sheetData sheetId="19">
        <row r="1">
          <cell r="A1" t="str">
            <v>4.3.4</v>
          </cell>
        </row>
        <row r="10">
          <cell r="B10" t="str">
            <v>CI-HWE-PLCV-V01-130601</v>
          </cell>
        </row>
        <row r="37">
          <cell r="B37" t="str">
            <v>Indoor</v>
          </cell>
        </row>
        <row r="38">
          <cell r="B38" t="str">
            <v>Outdoor</v>
          </cell>
        </row>
      </sheetData>
      <sheetData sheetId="20">
        <row r="1">
          <cell r="A1" t="str">
            <v>4.3.6</v>
          </cell>
        </row>
        <row r="12">
          <cell r="B12" t="str">
            <v>CI-HWE-OZLD-VO1-140601</v>
          </cell>
        </row>
      </sheetData>
      <sheetData sheetId="21">
        <row r="1">
          <cell r="A1" t="str">
            <v>4.4.2</v>
          </cell>
        </row>
        <row r="16">
          <cell r="B16" t="str">
            <v>CI-HVC-BLRT-V06-160601</v>
          </cell>
        </row>
      </sheetData>
      <sheetData sheetId="22">
        <row r="1">
          <cell r="A1" t="str">
            <v>4.4.3</v>
          </cell>
        </row>
        <row r="10">
          <cell r="B10" t="str">
            <v>CI-HVC-PBTU-V05-160601</v>
          </cell>
        </row>
      </sheetData>
      <sheetData sheetId="23">
        <row r="1">
          <cell r="A1" t="str">
            <v>4.4.4</v>
          </cell>
        </row>
        <row r="11">
          <cell r="B11" t="str">
            <v>CI-HVC-BLRC-V03-150601</v>
          </cell>
        </row>
      </sheetData>
      <sheetData sheetId="24">
        <row r="1">
          <cell r="A1" t="str">
            <v>4.4.5</v>
          </cell>
        </row>
        <row r="9">
          <cell r="B9" t="str">
            <v>CI-HVC-CUHT-V01-120601</v>
          </cell>
        </row>
      </sheetData>
      <sheetData sheetId="25">
        <row r="1">
          <cell r="A1" t="str">
            <v>4.4.10</v>
          </cell>
        </row>
        <row r="22">
          <cell r="B22" t="str">
            <v>CI-HVC-BOIL-V05-150601</v>
          </cell>
        </row>
      </sheetData>
      <sheetData sheetId="26">
        <row r="1">
          <cell r="A1" t="str">
            <v>4.4.11</v>
          </cell>
        </row>
        <row r="14">
          <cell r="B14" t="str">
            <v>CI-HVC-FRNC-V07-180101</v>
          </cell>
        </row>
      </sheetData>
      <sheetData sheetId="27">
        <row r="1">
          <cell r="A1" t="str">
            <v>4.4.12</v>
          </cell>
        </row>
        <row r="16">
          <cell r="B16" t="str">
            <v>CI-HVC-IRHT-V01-120601</v>
          </cell>
        </row>
      </sheetData>
      <sheetData sheetId="28">
        <row r="1">
          <cell r="A1" t="str">
            <v>4.4.14</v>
          </cell>
        </row>
        <row r="27">
          <cell r="B27" t="str">
            <v>CI-HVC-PINS-V04-160601</v>
          </cell>
        </row>
      </sheetData>
      <sheetData sheetId="29">
        <row r="1">
          <cell r="A1" t="str">
            <v>4.4.16</v>
          </cell>
        </row>
        <row r="22">
          <cell r="B22" t="str">
            <v>CI-HVC-STRE-V05-180101</v>
          </cell>
        </row>
      </sheetData>
      <sheetData sheetId="30">
        <row r="1">
          <cell r="A1" t="str">
            <v>4.4.18</v>
          </cell>
        </row>
        <row r="19">
          <cell r="B19" t="str">
            <v>CI-HVC-PROG-V02-150601</v>
          </cell>
        </row>
      </sheetData>
      <sheetData sheetId="31">
        <row r="1">
          <cell r="A1" t="str">
            <v>4.4.19</v>
          </cell>
        </row>
        <row r="10">
          <cell r="B10" t="str">
            <v>CI-HVC-DCV-V04-180101</v>
          </cell>
        </row>
      </sheetData>
      <sheetData sheetId="32">
        <row r="1">
          <cell r="A1" t="str">
            <v>4.4.24</v>
          </cell>
        </row>
        <row r="14">
          <cell r="B14" t="str">
            <v>CI-HVC-SPIN-V02-160601</v>
          </cell>
        </row>
      </sheetData>
      <sheetData sheetId="33">
        <row r="1">
          <cell r="A1" t="str">
            <v>4.8.4</v>
          </cell>
        </row>
        <row r="11">
          <cell r="B11" t="str">
            <v>CI-MSC-MODD-V01-160601</v>
          </cell>
        </row>
      </sheetData>
      <sheetData sheetId="34">
        <row r="2">
          <cell r="A2" t="str">
            <v>5.3.4</v>
          </cell>
        </row>
        <row r="30">
          <cell r="B30" t="str">
            <v>S-HVC-DINS-V06-160601</v>
          </cell>
        </row>
      </sheetData>
      <sheetData sheetId="35">
        <row r="1">
          <cell r="A1" t="str">
            <v>5.3.6</v>
          </cell>
        </row>
        <row r="9">
          <cell r="B9" t="str">
            <v>RS-HVC-GHEB-V06-180101</v>
          </cell>
        </row>
      </sheetData>
      <sheetData sheetId="36">
        <row r="2">
          <cell r="A2" t="str">
            <v>5.3.7</v>
          </cell>
        </row>
        <row r="16">
          <cell r="B16" t="str">
            <v>RS-HVC-GHEF-V07-180101</v>
          </cell>
        </row>
      </sheetData>
      <sheetData sheetId="37">
        <row r="1">
          <cell r="A1" t="str">
            <v>5.3.13</v>
          </cell>
        </row>
        <row r="13">
          <cell r="B13" t="str">
            <v>RS-HVC-FTUN-V03-180101</v>
          </cell>
        </row>
      </sheetData>
      <sheetData sheetId="38">
        <row r="1">
          <cell r="A1" t="str">
            <v>5.4.1</v>
          </cell>
        </row>
        <row r="12">
          <cell r="B12" t="str">
            <v>RS-HWE-PINS-V02-150601</v>
          </cell>
        </row>
      </sheetData>
      <sheetData sheetId="39">
        <row r="1">
          <cell r="A1" t="str">
            <v>5.4.2</v>
          </cell>
        </row>
        <row r="14">
          <cell r="B14" t="str">
            <v>RS-HWE-GWHT-V07-180101</v>
          </cell>
        </row>
      </sheetData>
      <sheetData sheetId="40">
        <row r="1">
          <cell r="A1" t="str">
            <v>5.4.4</v>
          </cell>
        </row>
        <row r="17">
          <cell r="B17" t="str">
            <v>RS-HWE-LFFA-V06-180101</v>
          </cell>
        </row>
      </sheetData>
      <sheetData sheetId="41">
        <row r="2">
          <cell r="A2" t="str">
            <v>5.4.5</v>
          </cell>
        </row>
        <row r="16">
          <cell r="B16" t="str">
            <v>RS-HWE-LFSH-V05-180101</v>
          </cell>
        </row>
      </sheetData>
      <sheetData sheetId="42">
        <row r="1">
          <cell r="A1" t="str">
            <v>5.4.6</v>
          </cell>
        </row>
        <row r="13">
          <cell r="B13" t="str">
            <v>RS-HWE-TMPS-V05-160601</v>
          </cell>
        </row>
      </sheetData>
      <sheetData sheetId="43">
        <row r="2">
          <cell r="A2" t="str">
            <v>5.3.11</v>
          </cell>
        </row>
        <row r="12">
          <cell r="B12" t="str">
            <v>RS-HVC-PROG-V04-180101</v>
          </cell>
        </row>
      </sheetData>
      <sheetData sheetId="44">
        <row r="2">
          <cell r="A2" t="str">
            <v>5.3.16</v>
          </cell>
        </row>
        <row r="16">
          <cell r="B16" t="str">
            <v>RS-HVC-ADTH-V02-180101</v>
          </cell>
        </row>
      </sheetData>
      <sheetData sheetId="45">
        <row r="2">
          <cell r="A2" t="str">
            <v>5.6.1</v>
          </cell>
        </row>
        <row r="24">
          <cell r="B24" t="str">
            <v>RS-SHL-AIRS-V06-180101</v>
          </cell>
        </row>
      </sheetData>
      <sheetData sheetId="46">
        <row r="1">
          <cell r="A1" t="str">
            <v>5.6.2</v>
          </cell>
        </row>
        <row r="14">
          <cell r="B14" t="str">
            <v>RS-SHL-BINS-V08-180101</v>
          </cell>
        </row>
      </sheetData>
      <sheetData sheetId="47">
        <row r="1">
          <cell r="A1" t="str">
            <v>5.6.3</v>
          </cell>
        </row>
        <row r="14">
          <cell r="B14" t="str">
            <v>RS-SHL-FINS-V08-180101</v>
          </cell>
        </row>
      </sheetData>
      <sheetData sheetId="48">
        <row r="2">
          <cell r="A2" t="str">
            <v>5.6.4</v>
          </cell>
        </row>
        <row r="29">
          <cell r="B29" t="str">
            <v>RS-SHL-AINS-V07-180101</v>
          </cell>
        </row>
      </sheetData>
      <sheetData sheetId="49"/>
      <sheetData sheetId="5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26.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9.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4"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12"/>
  <sheetViews>
    <sheetView topLeftCell="A99" zoomScaleNormal="100" workbookViewId="0">
      <selection activeCell="A104" sqref="A104"/>
    </sheetView>
  </sheetViews>
  <sheetFormatPr defaultRowHeight="14.5" x14ac:dyDescent="0.35"/>
  <cols>
    <col min="1" max="1" width="157" style="3" customWidth="1"/>
  </cols>
  <sheetData>
    <row r="1" spans="1:1" x14ac:dyDescent="0.35">
      <c r="A1" s="33" t="s">
        <v>59</v>
      </c>
    </row>
    <row r="2" spans="1:1" x14ac:dyDescent="0.35">
      <c r="A2" s="34" t="s">
        <v>60</v>
      </c>
    </row>
    <row r="3" spans="1:1" x14ac:dyDescent="0.35">
      <c r="A3" s="35"/>
    </row>
    <row r="4" spans="1:1" x14ac:dyDescent="0.35">
      <c r="A4" s="36" t="s">
        <v>61</v>
      </c>
    </row>
    <row r="5" spans="1:1" x14ac:dyDescent="0.35">
      <c r="A5" s="36"/>
    </row>
    <row r="6" spans="1:1" ht="42" x14ac:dyDescent="0.35">
      <c r="A6" s="35" t="s">
        <v>62</v>
      </c>
    </row>
    <row r="7" spans="1:1" x14ac:dyDescent="0.35">
      <c r="A7" s="35"/>
    </row>
    <row r="8" spans="1:1" ht="28" x14ac:dyDescent="0.35">
      <c r="A8" s="35" t="s">
        <v>63</v>
      </c>
    </row>
    <row r="9" spans="1:1" x14ac:dyDescent="0.35">
      <c r="A9" s="35"/>
    </row>
    <row r="10" spans="1:1" x14ac:dyDescent="0.35">
      <c r="A10" s="35" t="s">
        <v>64</v>
      </c>
    </row>
    <row r="11" spans="1:1" x14ac:dyDescent="0.35">
      <c r="A11" s="35"/>
    </row>
    <row r="12" spans="1:1" x14ac:dyDescent="0.35">
      <c r="A12" s="36" t="s">
        <v>45</v>
      </c>
    </row>
    <row r="13" spans="1:1" x14ac:dyDescent="0.35">
      <c r="A13" s="35"/>
    </row>
    <row r="14" spans="1:1" x14ac:dyDescent="0.35">
      <c r="A14" s="23" t="s">
        <v>46</v>
      </c>
    </row>
    <row r="15" spans="1:1" x14ac:dyDescent="0.35">
      <c r="A15" s="35"/>
    </row>
    <row r="16" spans="1:1" x14ac:dyDescent="0.35">
      <c r="A16" s="37" t="s">
        <v>47</v>
      </c>
    </row>
    <row r="17" spans="1:1" x14ac:dyDescent="0.35">
      <c r="A17" s="38"/>
    </row>
    <row r="18" spans="1:1" ht="28" x14ac:dyDescent="0.35">
      <c r="A18" s="37" t="s">
        <v>48</v>
      </c>
    </row>
    <row r="19" spans="1:1" x14ac:dyDescent="0.35">
      <c r="A19" s="38"/>
    </row>
    <row r="20" spans="1:1" ht="28" x14ac:dyDescent="0.35">
      <c r="A20" s="39" t="s">
        <v>49</v>
      </c>
    </row>
    <row r="21" spans="1:1" x14ac:dyDescent="0.35">
      <c r="A21" s="35"/>
    </row>
    <row r="22" spans="1:1" x14ac:dyDescent="0.35">
      <c r="A22" s="36" t="s">
        <v>65</v>
      </c>
    </row>
    <row r="23" spans="1:1" x14ac:dyDescent="0.35">
      <c r="A23" s="36"/>
    </row>
    <row r="24" spans="1:1" ht="42" x14ac:dyDescent="0.35">
      <c r="A24" s="39" t="s">
        <v>78</v>
      </c>
    </row>
    <row r="25" spans="1:1" ht="28" x14ac:dyDescent="0.35">
      <c r="A25" s="39" t="s">
        <v>79</v>
      </c>
    </row>
    <row r="26" spans="1:1" ht="42" x14ac:dyDescent="0.35">
      <c r="A26" s="39" t="s">
        <v>80</v>
      </c>
    </row>
    <row r="27" spans="1:1" x14ac:dyDescent="0.35">
      <c r="A27" s="36"/>
    </row>
    <row r="28" spans="1:1" x14ac:dyDescent="0.35">
      <c r="A28" s="36" t="s">
        <v>66</v>
      </c>
    </row>
    <row r="29" spans="1:1" x14ac:dyDescent="0.35">
      <c r="A29" s="36"/>
    </row>
    <row r="30" spans="1:1" ht="28" x14ac:dyDescent="0.35">
      <c r="A30" s="39" t="s">
        <v>67</v>
      </c>
    </row>
    <row r="31" spans="1:1" ht="56" x14ac:dyDescent="0.35">
      <c r="A31" s="39" t="s">
        <v>68</v>
      </c>
    </row>
    <row r="32" spans="1:1" ht="28" x14ac:dyDescent="0.35">
      <c r="A32" s="39" t="s">
        <v>81</v>
      </c>
    </row>
    <row r="33" spans="1:1" x14ac:dyDescent="0.35">
      <c r="A33" s="36"/>
    </row>
    <row r="34" spans="1:1" x14ac:dyDescent="0.35">
      <c r="A34" s="36" t="s">
        <v>69</v>
      </c>
    </row>
    <row r="35" spans="1:1" x14ac:dyDescent="0.35">
      <c r="A35" s="36"/>
    </row>
    <row r="36" spans="1:1" ht="42" x14ac:dyDescent="0.35">
      <c r="A36" s="35" t="s">
        <v>70</v>
      </c>
    </row>
    <row r="37" spans="1:1" x14ac:dyDescent="0.35">
      <c r="A37" s="35"/>
    </row>
    <row r="38" spans="1:1" ht="70" x14ac:dyDescent="0.35">
      <c r="A38" s="35" t="s">
        <v>71</v>
      </c>
    </row>
    <row r="39" spans="1:1" x14ac:dyDescent="0.35">
      <c r="A39" s="35"/>
    </row>
    <row r="40" spans="1:1" ht="57" x14ac:dyDescent="0.35">
      <c r="A40" s="35" t="s">
        <v>72</v>
      </c>
    </row>
    <row r="41" spans="1:1" x14ac:dyDescent="0.35">
      <c r="A41" s="35"/>
    </row>
    <row r="42" spans="1:1" x14ac:dyDescent="0.35">
      <c r="A42" s="36" t="s">
        <v>73</v>
      </c>
    </row>
    <row r="43" spans="1:1" ht="129.5" x14ac:dyDescent="0.35">
      <c r="A43" s="39" t="s">
        <v>82</v>
      </c>
    </row>
    <row r="44" spans="1:1" ht="29" x14ac:dyDescent="0.35">
      <c r="A44" s="39" t="s">
        <v>83</v>
      </c>
    </row>
    <row r="45" spans="1:1" ht="43.5" x14ac:dyDescent="0.35">
      <c r="A45" s="39" t="s">
        <v>84</v>
      </c>
    </row>
    <row r="46" spans="1:1" ht="54" customHeight="1" x14ac:dyDescent="0.35">
      <c r="A46" s="39" t="s">
        <v>85</v>
      </c>
    </row>
    <row r="47" spans="1:1" ht="58" x14ac:dyDescent="0.35">
      <c r="A47" s="39" t="s">
        <v>86</v>
      </c>
    </row>
    <row r="48" spans="1:1" ht="43.5" x14ac:dyDescent="0.35">
      <c r="A48" s="39" t="s">
        <v>87</v>
      </c>
    </row>
    <row r="49" spans="1:1" x14ac:dyDescent="0.35">
      <c r="A49" s="39" t="s">
        <v>88</v>
      </c>
    </row>
    <row r="50" spans="1:1" x14ac:dyDescent="0.35">
      <c r="A50" s="35"/>
    </row>
    <row r="51" spans="1:1" x14ac:dyDescent="0.35">
      <c r="A51" s="36" t="s">
        <v>74</v>
      </c>
    </row>
    <row r="52" spans="1:1" ht="57" x14ac:dyDescent="0.35">
      <c r="A52" s="39" t="s">
        <v>89</v>
      </c>
    </row>
    <row r="53" spans="1:1" ht="29" x14ac:dyDescent="0.35">
      <c r="A53" s="39" t="s">
        <v>90</v>
      </c>
    </row>
    <row r="54" spans="1:1" ht="28.5" x14ac:dyDescent="0.35">
      <c r="A54" s="39" t="s">
        <v>91</v>
      </c>
    </row>
    <row r="55" spans="1:1" x14ac:dyDescent="0.35">
      <c r="A55" s="39" t="s">
        <v>92</v>
      </c>
    </row>
    <row r="56" spans="1:1" ht="101.5" x14ac:dyDescent="0.35">
      <c r="A56" s="39" t="s">
        <v>93</v>
      </c>
    </row>
    <row r="57" spans="1:1" ht="58" x14ac:dyDescent="0.35">
      <c r="A57" s="39" t="s">
        <v>94</v>
      </c>
    </row>
    <row r="58" spans="1:1" ht="29" x14ac:dyDescent="0.35">
      <c r="A58" s="39" t="s">
        <v>95</v>
      </c>
    </row>
    <row r="59" spans="1:1" ht="43" x14ac:dyDescent="0.35">
      <c r="A59" s="39" t="s">
        <v>96</v>
      </c>
    </row>
    <row r="60" spans="1:1" ht="28.5" x14ac:dyDescent="0.35">
      <c r="A60" s="39" t="s">
        <v>97</v>
      </c>
    </row>
    <row r="61" spans="1:1" x14ac:dyDescent="0.35">
      <c r="A61" s="39" t="s">
        <v>98</v>
      </c>
    </row>
    <row r="62" spans="1:1" ht="29" x14ac:dyDescent="0.35">
      <c r="A62" s="39" t="s">
        <v>99</v>
      </c>
    </row>
    <row r="63" spans="1:1" ht="43.5" x14ac:dyDescent="0.35">
      <c r="A63" s="39" t="s">
        <v>100</v>
      </c>
    </row>
    <row r="64" spans="1:1" ht="84.5" x14ac:dyDescent="0.35">
      <c r="A64" s="39" t="s">
        <v>101</v>
      </c>
    </row>
    <row r="65" spans="1:1" ht="43" x14ac:dyDescent="0.35">
      <c r="A65" s="39" t="s">
        <v>102</v>
      </c>
    </row>
    <row r="66" spans="1:1" ht="72.5" x14ac:dyDescent="0.35">
      <c r="A66" s="39" t="s">
        <v>103</v>
      </c>
    </row>
    <row r="67" spans="1:1" ht="29" x14ac:dyDescent="0.35">
      <c r="A67" s="39" t="s">
        <v>104</v>
      </c>
    </row>
    <row r="68" spans="1:1" ht="29" x14ac:dyDescent="0.35">
      <c r="A68" s="39" t="s">
        <v>105</v>
      </c>
    </row>
    <row r="69" spans="1:1" ht="29" x14ac:dyDescent="0.35">
      <c r="A69" s="39" t="s">
        <v>106</v>
      </c>
    </row>
    <row r="70" spans="1:1" ht="29" x14ac:dyDescent="0.35">
      <c r="A70" s="39" t="s">
        <v>107</v>
      </c>
    </row>
    <row r="71" spans="1:1" ht="29" x14ac:dyDescent="0.35">
      <c r="A71" s="39" t="s">
        <v>108</v>
      </c>
    </row>
    <row r="72" spans="1:1" ht="43.5" x14ac:dyDescent="0.35">
      <c r="A72" s="39" t="s">
        <v>109</v>
      </c>
    </row>
    <row r="73" spans="1:1" ht="115.5" x14ac:dyDescent="0.35">
      <c r="A73" s="39" t="s">
        <v>110</v>
      </c>
    </row>
    <row r="74" spans="1:1" ht="86" x14ac:dyDescent="0.35">
      <c r="A74" s="39" t="s">
        <v>111</v>
      </c>
    </row>
    <row r="75" spans="1:1" ht="101.5" x14ac:dyDescent="0.35">
      <c r="A75" s="39" t="s">
        <v>112</v>
      </c>
    </row>
    <row r="76" spans="1:1" ht="29" x14ac:dyDescent="0.35">
      <c r="A76" s="39" t="s">
        <v>113</v>
      </c>
    </row>
    <row r="77" spans="1:1" ht="29" x14ac:dyDescent="0.35">
      <c r="A77" s="39" t="s">
        <v>114</v>
      </c>
    </row>
    <row r="78" spans="1:1" ht="29" x14ac:dyDescent="0.35">
      <c r="A78" s="39" t="s">
        <v>115</v>
      </c>
    </row>
    <row r="79" spans="1:1" ht="57.5" x14ac:dyDescent="0.35">
      <c r="A79" s="39" t="s">
        <v>116</v>
      </c>
    </row>
    <row r="80" spans="1:1" ht="43" x14ac:dyDescent="0.35">
      <c r="A80" s="39" t="s">
        <v>117</v>
      </c>
    </row>
    <row r="81" spans="1:1" ht="61.5" customHeight="1" x14ac:dyDescent="0.35">
      <c r="A81" s="39" t="s">
        <v>118</v>
      </c>
    </row>
    <row r="82" spans="1:1" ht="43.5" x14ac:dyDescent="0.35">
      <c r="A82" s="39" t="s">
        <v>119</v>
      </c>
    </row>
    <row r="83" spans="1:1" ht="29" x14ac:dyDescent="0.35">
      <c r="A83" s="39" t="s">
        <v>120</v>
      </c>
    </row>
    <row r="84" spans="1:1" ht="43.5" x14ac:dyDescent="0.35">
      <c r="A84" s="39" t="s">
        <v>121</v>
      </c>
    </row>
    <row r="85" spans="1:1" ht="29" x14ac:dyDescent="0.35">
      <c r="A85" s="39" t="s">
        <v>122</v>
      </c>
    </row>
    <row r="86" spans="1:1" ht="72.75" customHeight="1" x14ac:dyDescent="0.35">
      <c r="A86" s="39" t="s">
        <v>123</v>
      </c>
    </row>
    <row r="87" spans="1:1" ht="98.25" customHeight="1" x14ac:dyDescent="0.35">
      <c r="A87" s="39" t="s">
        <v>124</v>
      </c>
    </row>
    <row r="88" spans="1:1" ht="28.5" x14ac:dyDescent="0.35">
      <c r="A88" s="39" t="s">
        <v>125</v>
      </c>
    </row>
    <row r="89" spans="1:1" ht="43.5" x14ac:dyDescent="0.35">
      <c r="A89" s="39" t="s">
        <v>126</v>
      </c>
    </row>
    <row r="90" spans="1:1" ht="86.5" x14ac:dyDescent="0.35">
      <c r="A90" s="39" t="s">
        <v>127</v>
      </c>
    </row>
    <row r="91" spans="1:1" ht="58" x14ac:dyDescent="0.35">
      <c r="A91" s="39" t="s">
        <v>128</v>
      </c>
    </row>
    <row r="92" spans="1:1" ht="95.25" customHeight="1" x14ac:dyDescent="0.35">
      <c r="A92" s="39" t="s">
        <v>129</v>
      </c>
    </row>
    <row r="93" spans="1:1" ht="29" x14ac:dyDescent="0.35">
      <c r="A93" s="39" t="s">
        <v>130</v>
      </c>
    </row>
    <row r="94" spans="1:1" ht="43.5" x14ac:dyDescent="0.35">
      <c r="A94" s="39" t="s">
        <v>143</v>
      </c>
    </row>
    <row r="95" spans="1:1" ht="43.5" x14ac:dyDescent="0.35">
      <c r="A95" s="39" t="s">
        <v>131</v>
      </c>
    </row>
    <row r="96" spans="1:1" ht="29" x14ac:dyDescent="0.35">
      <c r="A96" s="39" t="s">
        <v>132</v>
      </c>
    </row>
    <row r="97" spans="1:1" ht="29" x14ac:dyDescent="0.35">
      <c r="A97" s="39" t="s">
        <v>133</v>
      </c>
    </row>
    <row r="98" spans="1:1" ht="87" customHeight="1" x14ac:dyDescent="0.35">
      <c r="A98" s="39" t="s">
        <v>134</v>
      </c>
    </row>
    <row r="99" spans="1:1" ht="58" x14ac:dyDescent="0.35">
      <c r="A99" s="39" t="s">
        <v>135</v>
      </c>
    </row>
    <row r="100" spans="1:1" ht="43.5" x14ac:dyDescent="0.35">
      <c r="A100" s="39" t="s">
        <v>136</v>
      </c>
    </row>
    <row r="101" spans="1:1" ht="29" x14ac:dyDescent="0.35">
      <c r="A101" s="39" t="s">
        <v>137</v>
      </c>
    </row>
    <row r="102" spans="1:1" ht="88.5" customHeight="1" x14ac:dyDescent="0.35">
      <c r="A102" s="39" t="s">
        <v>138</v>
      </c>
    </row>
    <row r="103" spans="1:1" ht="58" x14ac:dyDescent="0.35">
      <c r="A103" s="39" t="s">
        <v>139</v>
      </c>
    </row>
    <row r="104" spans="1:1" ht="43.5" x14ac:dyDescent="0.35">
      <c r="A104" s="39" t="s">
        <v>140</v>
      </c>
    </row>
    <row r="105" spans="1:1" ht="29" x14ac:dyDescent="0.35">
      <c r="A105" s="39" t="s">
        <v>141</v>
      </c>
    </row>
    <row r="106" spans="1:1" ht="72" customHeight="1" x14ac:dyDescent="0.35">
      <c r="A106" s="39" t="s">
        <v>142</v>
      </c>
    </row>
    <row r="107" spans="1:1" ht="57" x14ac:dyDescent="0.35">
      <c r="A107" s="39" t="s">
        <v>77</v>
      </c>
    </row>
    <row r="108" spans="1:1" x14ac:dyDescent="0.35">
      <c r="A108" s="35"/>
    </row>
    <row r="111" spans="1:1" x14ac:dyDescent="0.35">
      <c r="A111" s="43" t="s">
        <v>75</v>
      </c>
    </row>
    <row r="112" spans="1:1" x14ac:dyDescent="0.35">
      <c r="A112" s="43" t="s">
        <v>76</v>
      </c>
    </row>
  </sheetData>
  <customSheetViews>
    <customSheetView guid="{11DE45F5-F478-4ED6-8DFF-12002C22A637}" fitToPage="1">
      <selection activeCell="A14" sqref="A14"/>
      <pageMargins left="0.7" right="0.7" top="0.75" bottom="0.75" header="0.3" footer="0.3"/>
      <pageSetup scale="57" fitToHeight="0" orientation="portrait" r:id="rId1"/>
      <headerFooter>
        <oddFooter>&amp;L&amp;"Arial,Regular"&amp;14&amp;A
&amp;F&amp;C&amp;"Arial,Regular"&amp;14&amp;P</oddFooter>
      </headerFooter>
    </customSheetView>
    <customSheetView guid="{ECD6FE6A-9548-414E-B8AA-6998703C57E0}" fitToPage="1">
      <selection activeCell="A14" sqref="A14"/>
      <pageMargins left="0.7" right="0.7" top="0.75" bottom="0.75" header="0.3" footer="0.3"/>
      <pageSetup scale="57" fitToHeight="0" orientation="portrait" r:id="rId2"/>
      <headerFooter>
        <oddFooter>&amp;L&amp;"Arial,Regular"&amp;14&amp;A
&amp;F&amp;C&amp;"Arial,Regular"&amp;14&amp;P</oddFooter>
      </headerFooter>
    </customSheetView>
  </customSheetViews>
  <pageMargins left="0.7" right="0.7" top="0.75" bottom="0.75" header="0.3" footer="0.3"/>
  <pageSetup scale="57" fitToHeight="0" orientation="portrait" r:id="rId3"/>
  <headerFooter>
    <oddFooter>&amp;L&amp;"Arial,Regular"&amp;14&amp;A
&amp;F&amp;C&amp;"Arial,Regular"&amp;14&amp;P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79998168889431442"/>
    <pageSetUpPr fitToPage="1"/>
  </sheetPr>
  <dimension ref="A1:AF68"/>
  <sheetViews>
    <sheetView view="pageBreakPreview" zoomScale="60" zoomScaleNormal="80" workbookViewId="0"/>
  </sheetViews>
  <sheetFormatPr defaultRowHeight="14.5" x14ac:dyDescent="0.35"/>
  <cols>
    <col min="1" max="1" width="24.453125" customWidth="1"/>
    <col min="2" max="2" width="34.453125" customWidth="1"/>
    <col min="3" max="3" width="23.453125" customWidth="1"/>
    <col min="4" max="4" width="17.54296875" customWidth="1"/>
    <col min="5" max="5" width="27.54296875" customWidth="1"/>
    <col min="6" max="6" width="11.81640625" customWidth="1"/>
    <col min="7" max="7" width="45" customWidth="1"/>
    <col min="8" max="8" width="52.81640625" bestFit="1" customWidth="1"/>
    <col min="9" max="9" width="10.7265625" customWidth="1"/>
    <col min="10" max="10" width="15" customWidth="1"/>
    <col min="11" max="11" width="16.7265625" customWidth="1"/>
    <col min="12" max="12" width="12.54296875" customWidth="1"/>
    <col min="13" max="13" width="11" customWidth="1"/>
    <col min="14" max="14" width="10.26953125" customWidth="1"/>
    <col min="15" max="15" width="11" customWidth="1"/>
    <col min="16" max="16" width="13.1796875" customWidth="1"/>
    <col min="18" max="18" width="12.81640625" customWidth="1"/>
    <col min="19" max="19" width="12.453125" customWidth="1"/>
  </cols>
  <sheetData>
    <row r="1" spans="1:32" x14ac:dyDescent="0.35">
      <c r="A1" s="1145" t="s">
        <v>296</v>
      </c>
      <c r="B1" s="1144" t="s">
        <v>1400</v>
      </c>
      <c r="C1" s="1144"/>
      <c r="D1" s="1144"/>
      <c r="E1" s="1143"/>
      <c r="F1" s="1143"/>
      <c r="G1" s="1143"/>
      <c r="H1" s="1143"/>
      <c r="I1" s="1143"/>
      <c r="J1" s="1143"/>
      <c r="K1" s="1143"/>
      <c r="L1" s="2216" t="s">
        <v>335</v>
      </c>
      <c r="M1" s="2217"/>
      <c r="N1" s="2217"/>
      <c r="O1" s="2218"/>
      <c r="P1" s="2219" t="s">
        <v>336</v>
      </c>
      <c r="Q1" s="2220"/>
      <c r="R1" s="2220"/>
      <c r="S1" s="2220"/>
      <c r="T1" s="2246" t="s">
        <v>337</v>
      </c>
      <c r="U1" s="2247"/>
      <c r="V1" s="2247"/>
      <c r="W1" s="2247"/>
      <c r="X1" s="2247"/>
      <c r="Y1" s="2247"/>
      <c r="Z1" s="2247"/>
      <c r="AA1" s="2247"/>
      <c r="AB1" s="2247"/>
      <c r="AC1" s="2247"/>
      <c r="AD1" s="2247"/>
    </row>
    <row r="2" spans="1:32" ht="29.5" x14ac:dyDescent="0.4">
      <c r="A2" s="1145" t="s">
        <v>338</v>
      </c>
      <c r="B2" s="1145" t="s">
        <v>1</v>
      </c>
      <c r="C2" s="1129" t="s">
        <v>339</v>
      </c>
      <c r="D2" s="1129" t="s">
        <v>688</v>
      </c>
      <c r="E2" s="1128" t="s">
        <v>342</v>
      </c>
      <c r="F2" s="1128" t="s">
        <v>447</v>
      </c>
      <c r="G2" s="1128" t="s">
        <v>1401</v>
      </c>
      <c r="H2" s="1128" t="s">
        <v>343</v>
      </c>
      <c r="I2" s="1128" t="s">
        <v>839</v>
      </c>
      <c r="J2" s="1128" t="s">
        <v>1045</v>
      </c>
      <c r="K2" s="1145" t="s">
        <v>345</v>
      </c>
      <c r="L2" s="1146" t="s">
        <v>347</v>
      </c>
      <c r="M2" s="1146" t="s">
        <v>348</v>
      </c>
      <c r="N2" s="1146" t="s">
        <v>349</v>
      </c>
      <c r="O2" s="1146" t="s">
        <v>1287</v>
      </c>
      <c r="P2" s="1146" t="s">
        <v>347</v>
      </c>
      <c r="Q2" s="1146" t="s">
        <v>348</v>
      </c>
      <c r="R2" s="1146" t="s">
        <v>349</v>
      </c>
      <c r="S2" s="1147" t="s">
        <v>1287</v>
      </c>
      <c r="T2" s="424" t="s">
        <v>1402</v>
      </c>
      <c r="U2" s="424" t="s">
        <v>350</v>
      </c>
      <c r="V2" s="424" t="s">
        <v>351</v>
      </c>
      <c r="W2" s="424" t="s">
        <v>1403</v>
      </c>
      <c r="X2" s="424" t="s">
        <v>1404</v>
      </c>
      <c r="Y2" s="424" t="s">
        <v>1405</v>
      </c>
      <c r="Z2" s="424" t="s">
        <v>1406</v>
      </c>
      <c r="AA2" s="424" t="s">
        <v>1407</v>
      </c>
      <c r="AB2" s="424" t="s">
        <v>1408</v>
      </c>
      <c r="AC2" s="424" t="s">
        <v>1409</v>
      </c>
      <c r="AD2" s="424" t="s">
        <v>1410</v>
      </c>
      <c r="AE2" s="349"/>
      <c r="AF2" s="349"/>
    </row>
    <row r="3" spans="1:32" ht="43.5" x14ac:dyDescent="0.35">
      <c r="A3" s="1142" t="s">
        <v>1416</v>
      </c>
      <c r="B3" s="1142" t="str">
        <f>$B$1&amp;"- "&amp;G3&amp;" - "&amp;E3</f>
        <v>High Efficiency Pre-Rinse Spray Valve- Medium-sized casual dining restaurants - DI</v>
      </c>
      <c r="C3" s="1148" t="s">
        <v>224</v>
      </c>
      <c r="D3" s="1133" t="s">
        <v>619</v>
      </c>
      <c r="E3" s="135" t="s">
        <v>403</v>
      </c>
      <c r="F3" s="1149" t="s">
        <v>1411</v>
      </c>
      <c r="G3" s="1150" t="s">
        <v>1412</v>
      </c>
      <c r="H3" s="1151">
        <f>+$B$40</f>
        <v>5</v>
      </c>
      <c r="I3" s="1152"/>
      <c r="J3" s="1153"/>
      <c r="K3" s="1148" t="s">
        <v>1310</v>
      </c>
      <c r="L3" s="1154"/>
      <c r="M3" s="1155"/>
      <c r="N3" s="1154">
        <f>IF(F3=$A$68,T3*8.33*1*(U3-V3)*(1/Y3)/100000*(1-AD3),0)</f>
        <v>171.92120399999999</v>
      </c>
      <c r="O3" s="1154">
        <f>T3</f>
        <v>23587.199999999997</v>
      </c>
      <c r="P3" s="1154"/>
      <c r="Q3" s="1155"/>
      <c r="R3" s="1154">
        <f>N3*H3</f>
        <v>859.60601999999994</v>
      </c>
      <c r="S3" s="1156">
        <f>O3*H3</f>
        <v>117935.99999999999</v>
      </c>
      <c r="T3" s="62">
        <f>(Z3-AA3)*60*AB3*AC3</f>
        <v>23587.199999999997</v>
      </c>
      <c r="U3" s="62">
        <f>V3+$B$22</f>
        <v>124.1</v>
      </c>
      <c r="V3" s="62">
        <f>+$B$25</f>
        <v>54.1</v>
      </c>
      <c r="W3" s="361">
        <f>+$B$27</f>
        <v>0.97</v>
      </c>
      <c r="X3" s="62">
        <f>IF(F3=$A$67,1,0)</f>
        <v>0</v>
      </c>
      <c r="Y3" s="361">
        <f>+$B$30</f>
        <v>0.8</v>
      </c>
      <c r="Z3" s="62">
        <f>VLOOKUP(E3,$A$62:$C$64,2,FALSE)</f>
        <v>1.9</v>
      </c>
      <c r="AA3" s="62">
        <f>VLOOKUP(E3,$A$62:$C$64,3,FALSE)</f>
        <v>1.06</v>
      </c>
      <c r="AB3" s="62">
        <f>VLOOKUP(G3,$A$49:$B$51,2,FALSE)</f>
        <v>1.5</v>
      </c>
      <c r="AC3" s="62">
        <f>+$B$37</f>
        <v>312</v>
      </c>
      <c r="AD3" s="62">
        <f>+IF(F3="Gas",0,1)</f>
        <v>0</v>
      </c>
    </row>
    <row r="4" spans="1:32" ht="29" x14ac:dyDescent="0.35">
      <c r="A4" s="1142" t="s">
        <v>1417</v>
      </c>
      <c r="B4" s="1142" t="str">
        <f>$B$1&amp;"- "&amp;G4&amp;" - "&amp;E4</f>
        <v>High Efficiency Pre-Rinse Spray Valve- Small, quick- service restaurants - DI</v>
      </c>
      <c r="C4" s="1148" t="s">
        <v>223</v>
      </c>
      <c r="D4" s="1133" t="s">
        <v>619</v>
      </c>
      <c r="E4" s="135" t="s">
        <v>403</v>
      </c>
      <c r="F4" s="1149" t="s">
        <v>1411</v>
      </c>
      <c r="G4" s="1150" t="s">
        <v>1413</v>
      </c>
      <c r="H4" s="1151">
        <f t="shared" ref="H4:H6" si="0">+$B$40</f>
        <v>5</v>
      </c>
      <c r="I4" s="1152"/>
      <c r="J4" s="1153"/>
      <c r="K4" s="1148" t="s">
        <v>1310</v>
      </c>
      <c r="L4" s="1154"/>
      <c r="M4" s="1155"/>
      <c r="N4" s="1154">
        <f>IF(F4=$A$68,T4*8.33*1*(U4-V4)*(1/Y4)/100000*(1-AD4),0)</f>
        <v>114.61413599999997</v>
      </c>
      <c r="O4" s="1154">
        <f>T4</f>
        <v>15724.799999999997</v>
      </c>
      <c r="P4" s="1154"/>
      <c r="Q4" s="1155"/>
      <c r="R4" s="1154">
        <f>N4*H4</f>
        <v>573.07067999999981</v>
      </c>
      <c r="S4" s="1156">
        <f>O4*H4</f>
        <v>78623.999999999985</v>
      </c>
      <c r="T4" s="62">
        <f>(Z4-AA4)*60*AB4*AC4</f>
        <v>15724.799999999997</v>
      </c>
      <c r="U4" s="62">
        <f t="shared" ref="U4:U6" si="1">V4+$B$22</f>
        <v>124.1</v>
      </c>
      <c r="V4" s="62">
        <f t="shared" ref="V4:V6" si="2">+$B$25</f>
        <v>54.1</v>
      </c>
      <c r="W4" s="361">
        <f t="shared" ref="W4:W6" si="3">+$B$27</f>
        <v>0.97</v>
      </c>
      <c r="X4" s="62">
        <f>IF(F4=$A$67,1,0)</f>
        <v>0</v>
      </c>
      <c r="Y4" s="361">
        <f t="shared" ref="Y4:Y6" si="4">+$B$30</f>
        <v>0.8</v>
      </c>
      <c r="Z4" s="62">
        <f>VLOOKUP(E4,$A$62:$C$64,2,FALSE)</f>
        <v>1.9</v>
      </c>
      <c r="AA4" s="62">
        <f>VLOOKUP(E4,$A$62:$C$64,3,FALSE)</f>
        <v>1.06</v>
      </c>
      <c r="AB4" s="62">
        <f>VLOOKUP(G4,$A$49:$B$51,2,FALSE)</f>
        <v>1</v>
      </c>
      <c r="AC4" s="62">
        <f t="shared" ref="AC4:AC6" si="5">+$B$37</f>
        <v>312</v>
      </c>
      <c r="AD4" s="62">
        <f>+IF(F4="Gas",0,1)</f>
        <v>0</v>
      </c>
    </row>
    <row r="5" spans="1:32" ht="43.5" hidden="1" x14ac:dyDescent="0.35">
      <c r="A5" s="1142" t="s">
        <v>1418</v>
      </c>
      <c r="B5" s="1142" t="str">
        <f>$B$1&amp;"- "&amp;G5&amp;" - "&amp;E5</f>
        <v>High Efficiency Pre-Rinse Spray Valve- Large institutional establishments with cafeteria - DI</v>
      </c>
      <c r="C5" s="1148" t="s">
        <v>1414</v>
      </c>
      <c r="D5" s="1133" t="s">
        <v>619</v>
      </c>
      <c r="E5" s="135" t="s">
        <v>403</v>
      </c>
      <c r="F5" s="1149" t="s">
        <v>1411</v>
      </c>
      <c r="G5" s="1150" t="s">
        <v>1415</v>
      </c>
      <c r="H5" s="1151">
        <f t="shared" si="0"/>
        <v>5</v>
      </c>
      <c r="I5" s="1152"/>
      <c r="J5" s="1153"/>
      <c r="K5" s="1148" t="s">
        <v>1310</v>
      </c>
      <c r="L5" s="1154"/>
      <c r="M5" s="1155"/>
      <c r="N5" s="1154">
        <f>IF(F5=$A$68,T5*8.33*1*(U5-V5)*(1/Y5)/100000*(1-AD5),0)</f>
        <v>343.84240799999998</v>
      </c>
      <c r="O5" s="1154">
        <f>T5</f>
        <v>47174.399999999994</v>
      </c>
      <c r="P5" s="1154"/>
      <c r="Q5" s="1155"/>
      <c r="R5" s="1154">
        <f>N5*H5</f>
        <v>1719.2120399999999</v>
      </c>
      <c r="S5" s="1156">
        <f>O5*H5</f>
        <v>235871.99999999997</v>
      </c>
      <c r="T5" s="62">
        <f>(Z5-AA5)*60*AB5*AC5</f>
        <v>47174.399999999994</v>
      </c>
      <c r="U5" s="62">
        <f t="shared" si="1"/>
        <v>124.1</v>
      </c>
      <c r="V5" s="62">
        <f t="shared" si="2"/>
        <v>54.1</v>
      </c>
      <c r="W5" s="361">
        <f t="shared" si="3"/>
        <v>0.97</v>
      </c>
      <c r="X5" s="62">
        <f>IF(F5=$A$67,1,0)</f>
        <v>0</v>
      </c>
      <c r="Y5" s="361">
        <f t="shared" si="4"/>
        <v>0.8</v>
      </c>
      <c r="Z5" s="62">
        <f>VLOOKUP(E5,$A$62:$C$64,2,FALSE)</f>
        <v>1.9</v>
      </c>
      <c r="AA5" s="62">
        <f>VLOOKUP(E5,$A$62:$C$64,3,FALSE)</f>
        <v>1.06</v>
      </c>
      <c r="AB5" s="62">
        <f>VLOOKUP(G5,$A$49:$B$51,2,FALSE)</f>
        <v>3</v>
      </c>
      <c r="AC5" s="62">
        <f t="shared" si="5"/>
        <v>312</v>
      </c>
      <c r="AD5" s="62">
        <f>+IF(F5="Gas",0,1)</f>
        <v>0</v>
      </c>
    </row>
    <row r="6" spans="1:32" ht="43.5" x14ac:dyDescent="0.35">
      <c r="A6" s="1142" t="s">
        <v>1419</v>
      </c>
      <c r="B6" s="1142" t="str">
        <f>$B$1&amp;"- "&amp;G6&amp;" - "&amp;E6</f>
        <v>High Efficiency Pre-Rinse Spray Valve- Medium-sized casual dining restaurants - TOS</v>
      </c>
      <c r="C6" s="1148" t="s">
        <v>165</v>
      </c>
      <c r="D6" s="1133" t="s">
        <v>619</v>
      </c>
      <c r="E6" s="135" t="s">
        <v>356</v>
      </c>
      <c r="F6" s="1149" t="s">
        <v>1411</v>
      </c>
      <c r="G6" s="1150" t="s">
        <v>1412</v>
      </c>
      <c r="H6" s="1151">
        <f t="shared" si="0"/>
        <v>5</v>
      </c>
      <c r="I6" s="1152"/>
      <c r="J6" s="1153"/>
      <c r="K6" s="1148" t="s">
        <v>1310</v>
      </c>
      <c r="L6" s="1154"/>
      <c r="M6" s="1155"/>
      <c r="N6" s="1154">
        <f>IF(F6=$A$68,T6*8.33*1*(U6-V6)*(1/Y6)/100000*(1-AD6),0)</f>
        <v>110.52077400000002</v>
      </c>
      <c r="O6" s="1154">
        <f>T6</f>
        <v>15163.200000000003</v>
      </c>
      <c r="P6" s="1154"/>
      <c r="Q6" s="1155"/>
      <c r="R6" s="1154">
        <f>N6*H6</f>
        <v>552.60387000000014</v>
      </c>
      <c r="S6" s="1156">
        <f>O6*H6</f>
        <v>75816.000000000015</v>
      </c>
      <c r="T6" s="62">
        <f>(Z6-AA6)*60*AB6*AC6</f>
        <v>15163.200000000003</v>
      </c>
      <c r="U6" s="62">
        <f t="shared" si="1"/>
        <v>124.1</v>
      </c>
      <c r="V6" s="62">
        <f t="shared" si="2"/>
        <v>54.1</v>
      </c>
      <c r="W6" s="361">
        <f t="shared" si="3"/>
        <v>0.97</v>
      </c>
      <c r="X6" s="62">
        <f>IF(F6=$A$67,1,0)</f>
        <v>0</v>
      </c>
      <c r="Y6" s="361">
        <f t="shared" si="4"/>
        <v>0.8</v>
      </c>
      <c r="Z6" s="62">
        <f>VLOOKUP(E6,$A$62:$C$64,2,FALSE)</f>
        <v>1.6</v>
      </c>
      <c r="AA6" s="62">
        <f>VLOOKUP(E6,$A$62:$C$64,3,FALSE)</f>
        <v>1.06</v>
      </c>
      <c r="AB6" s="62">
        <f>VLOOKUP(G6,$A$49:$B$51,2,FALSE)</f>
        <v>1.5</v>
      </c>
      <c r="AC6" s="62">
        <f t="shared" si="5"/>
        <v>312</v>
      </c>
      <c r="AD6" s="62">
        <f>+IF(F6="Gas",0,1)</f>
        <v>0</v>
      </c>
    </row>
    <row r="7" spans="1:32" s="99" customFormat="1" ht="15" thickBot="1" x14ac:dyDescent="0.4">
      <c r="A7" s="1157"/>
      <c r="B7" s="1157"/>
      <c r="C7" s="1158"/>
      <c r="D7" s="1159"/>
      <c r="E7" s="1157"/>
      <c r="F7" s="1157"/>
      <c r="G7" s="1157"/>
      <c r="H7" s="1157"/>
      <c r="I7" s="1157"/>
      <c r="J7" s="1157"/>
      <c r="K7" s="1157"/>
      <c r="L7" s="1157"/>
      <c r="M7" s="1157"/>
      <c r="N7" s="1157"/>
      <c r="O7" s="1157"/>
      <c r="P7" s="1157"/>
      <c r="Q7" s="1157"/>
      <c r="R7" s="1157"/>
      <c r="S7" s="1157"/>
      <c r="W7" s="761"/>
      <c r="Y7" s="761"/>
    </row>
    <row r="8" spans="1:32" ht="15" thickTop="1" x14ac:dyDescent="0.35">
      <c r="A8" s="1160"/>
      <c r="B8" s="1161" t="s">
        <v>1420</v>
      </c>
      <c r="C8" s="1162"/>
      <c r="D8" s="1161"/>
      <c r="E8" s="1160"/>
      <c r="F8" s="1160"/>
      <c r="G8" s="1160"/>
      <c r="H8" s="1160"/>
      <c r="I8" s="1160"/>
      <c r="J8" s="1160"/>
      <c r="K8" s="1160"/>
      <c r="L8" s="1160"/>
      <c r="M8" s="1160"/>
      <c r="N8" s="1160"/>
      <c r="O8" s="1160"/>
      <c r="P8" s="1160"/>
      <c r="Q8" s="1160"/>
      <c r="R8" s="1160"/>
      <c r="S8" s="1160"/>
      <c r="T8" s="61" t="s">
        <v>415</v>
      </c>
      <c r="W8" s="142"/>
      <c r="Y8" s="142"/>
    </row>
    <row r="9" spans="1:32" ht="29" x14ac:dyDescent="0.35">
      <c r="A9" s="1142" t="s">
        <v>1421</v>
      </c>
      <c r="B9" s="1142" t="str">
        <f>$B$1&amp;"- "&amp;G9&amp;" - "&amp;E9</f>
        <v>High Efficiency Pre-Rinse Spray Valve- Average of all buildings - DI</v>
      </c>
      <c r="C9" s="1148" t="s">
        <v>225</v>
      </c>
      <c r="D9" s="1133" t="s">
        <v>619</v>
      </c>
      <c r="E9" s="135" t="str">
        <f>E5</f>
        <v>DI</v>
      </c>
      <c r="F9" s="1149" t="s">
        <v>1411</v>
      </c>
      <c r="G9" s="1150" t="s">
        <v>1422</v>
      </c>
      <c r="H9" s="1151">
        <f>+$B$40</f>
        <v>5</v>
      </c>
      <c r="I9" s="1152"/>
      <c r="J9" s="1153"/>
      <c r="K9" s="1148" t="s">
        <v>1310</v>
      </c>
      <c r="L9" s="1163"/>
      <c r="M9" s="1164"/>
      <c r="N9" s="1163">
        <f>N4*0.4+N3*0.45+N5*0.15</f>
        <v>174.78655739999999</v>
      </c>
      <c r="O9" s="1163">
        <f>O4*0.4+O3*0.45+O5*0.15</f>
        <v>23980.32</v>
      </c>
      <c r="P9" s="1163"/>
      <c r="Q9" s="1163"/>
      <c r="R9" s="1163">
        <f>R4*0.4+R3*0.45+R5*0.15</f>
        <v>873.93278699999985</v>
      </c>
      <c r="S9" s="1163">
        <f>S4*0.4+S3*0.45+S5*0.15</f>
        <v>119901.59999999998</v>
      </c>
      <c r="T9" t="s">
        <v>1423</v>
      </c>
      <c r="W9" s="142"/>
      <c r="Y9" s="142"/>
    </row>
    <row r="10" spans="1:32" ht="29" x14ac:dyDescent="0.35">
      <c r="A10" s="1142" t="s">
        <v>2579</v>
      </c>
      <c r="B10" s="1142" t="s">
        <v>2580</v>
      </c>
      <c r="C10" s="1148" t="s">
        <v>2581</v>
      </c>
      <c r="D10" s="1133" t="s">
        <v>619</v>
      </c>
      <c r="E10" s="135" t="s">
        <v>2582</v>
      </c>
      <c r="F10" s="1149" t="s">
        <v>1411</v>
      </c>
      <c r="G10" s="1150" t="s">
        <v>1422</v>
      </c>
      <c r="H10" s="1151">
        <f>+$B$40</f>
        <v>5</v>
      </c>
      <c r="I10" s="1152"/>
      <c r="J10" s="1153"/>
      <c r="K10" s="1148" t="s">
        <v>1310</v>
      </c>
      <c r="L10" s="1163"/>
      <c r="M10" s="1164"/>
      <c r="N10" s="1163">
        <f>N4*0.4+N3*0.45+N5*0.15</f>
        <v>174.78655739999999</v>
      </c>
      <c r="O10" s="1163">
        <f>O4*0.4+O3*0.45+O5*0.15</f>
        <v>23980.32</v>
      </c>
      <c r="P10" s="1163"/>
      <c r="Q10" s="1163"/>
      <c r="R10" s="1163">
        <f>R4*0.4+R3*0.45+R5*0.15</f>
        <v>873.93278699999985</v>
      </c>
      <c r="S10" s="1163">
        <f>S4*0.4+S3*0.45+S5*0.15</f>
        <v>119901.59999999998</v>
      </c>
      <c r="T10" t="s">
        <v>1423</v>
      </c>
      <c r="W10" s="142"/>
      <c r="Y10" s="142"/>
    </row>
    <row r="11" spans="1:32" ht="15" thickBot="1" x14ac:dyDescent="0.4">
      <c r="N11" s="368"/>
    </row>
    <row r="12" spans="1:32" ht="15" thickBot="1" x14ac:dyDescent="0.4">
      <c r="A12" s="88" t="s">
        <v>408</v>
      </c>
      <c r="B12" s="78"/>
      <c r="C12" s="78"/>
      <c r="D12" s="78"/>
      <c r="E12" s="79"/>
    </row>
    <row r="13" spans="1:32" x14ac:dyDescent="0.35">
      <c r="A13" s="81" t="s">
        <v>1424</v>
      </c>
      <c r="B13" s="83"/>
      <c r="C13" s="83"/>
      <c r="D13" s="83"/>
      <c r="E13" s="84"/>
      <c r="I13" s="67"/>
    </row>
    <row r="14" spans="1:32" x14ac:dyDescent="0.35">
      <c r="A14" s="81" t="s">
        <v>1425</v>
      </c>
      <c r="B14" s="83"/>
      <c r="C14" s="83"/>
      <c r="D14" s="83"/>
      <c r="E14" s="84"/>
      <c r="I14" s="67"/>
      <c r="O14" s="368"/>
    </row>
    <row r="15" spans="1:32" ht="15" thickBot="1" x14ac:dyDescent="0.4">
      <c r="A15" s="85" t="s">
        <v>1426</v>
      </c>
      <c r="B15" s="86"/>
      <c r="C15" s="86"/>
      <c r="D15" s="86"/>
      <c r="E15" s="87"/>
    </row>
    <row r="16" spans="1:32" ht="15" thickBot="1" x14ac:dyDescent="0.4">
      <c r="A16" s="188" t="s">
        <v>2571</v>
      </c>
      <c r="B16" s="1384" t="e">
        <f>+#REF!</f>
        <v>#REF!</v>
      </c>
    </row>
    <row r="17" spans="1:19" ht="15" thickBot="1" x14ac:dyDescent="0.4">
      <c r="A17" s="188" t="s">
        <v>2572</v>
      </c>
      <c r="B17" s="701" t="s">
        <v>2783</v>
      </c>
    </row>
    <row r="18" spans="1:19" ht="15" thickBot="1" x14ac:dyDescent="0.4"/>
    <row r="19" spans="1:19" ht="15" thickBot="1" x14ac:dyDescent="0.4">
      <c r="A19" s="763" t="s">
        <v>413</v>
      </c>
      <c r="B19" s="764" t="s">
        <v>414</v>
      </c>
      <c r="C19" s="765" t="s">
        <v>415</v>
      </c>
      <c r="D19" s="472"/>
      <c r="E19" s="472"/>
      <c r="F19" s="472"/>
      <c r="G19" s="473"/>
    </row>
    <row r="20" spans="1:19" x14ac:dyDescent="0.35">
      <c r="A20" s="766" t="s">
        <v>1402</v>
      </c>
      <c r="B20" s="468" t="s">
        <v>1427</v>
      </c>
      <c r="C20" s="767" t="s">
        <v>1428</v>
      </c>
      <c r="D20" s="468"/>
      <c r="E20" s="468"/>
      <c r="F20" s="468"/>
      <c r="G20" s="469"/>
      <c r="S20" s="66"/>
    </row>
    <row r="21" spans="1:19" ht="15" thickBot="1" x14ac:dyDescent="0.4">
      <c r="A21" s="124"/>
      <c r="B21" s="83"/>
      <c r="C21" s="83" t="s">
        <v>1429</v>
      </c>
      <c r="D21" s="83"/>
      <c r="E21" s="83"/>
      <c r="F21" s="83"/>
      <c r="G21" s="125"/>
    </row>
    <row r="22" spans="1:19" x14ac:dyDescent="0.35">
      <c r="A22" s="766" t="s">
        <v>350</v>
      </c>
      <c r="B22" s="468">
        <v>70</v>
      </c>
      <c r="C22" s="767" t="s">
        <v>1430</v>
      </c>
      <c r="D22" s="468"/>
      <c r="E22" s="468"/>
      <c r="F22" s="468"/>
      <c r="G22" s="469"/>
    </row>
    <row r="23" spans="1:19" x14ac:dyDescent="0.35">
      <c r="A23" s="124"/>
      <c r="B23" s="83"/>
      <c r="C23" s="83" t="s">
        <v>1431</v>
      </c>
      <c r="D23" s="83"/>
      <c r="E23" s="83"/>
      <c r="F23" s="83"/>
      <c r="G23" s="125"/>
    </row>
    <row r="24" spans="1:19" ht="15" thickBot="1" x14ac:dyDescent="0.4">
      <c r="A24" s="321"/>
      <c r="B24" s="201"/>
      <c r="C24" s="768" t="s">
        <v>1432</v>
      </c>
      <c r="D24" s="201"/>
      <c r="E24" s="201"/>
      <c r="F24" s="201"/>
      <c r="G24" s="203"/>
    </row>
    <row r="25" spans="1:19" x14ac:dyDescent="0.35">
      <c r="A25" s="766" t="s">
        <v>351</v>
      </c>
      <c r="B25" s="468">
        <v>54.1</v>
      </c>
      <c r="C25" s="767" t="s">
        <v>1433</v>
      </c>
      <c r="D25" s="468"/>
      <c r="E25" s="468"/>
      <c r="F25" s="468"/>
      <c r="G25" s="469"/>
    </row>
    <row r="26" spans="1:19" ht="15" thickBot="1" x14ac:dyDescent="0.4">
      <c r="A26" s="321"/>
      <c r="B26" s="201"/>
      <c r="C26" s="201" t="s">
        <v>1434</v>
      </c>
      <c r="D26" s="201"/>
      <c r="E26" s="201"/>
      <c r="F26" s="201"/>
      <c r="G26" s="203"/>
    </row>
    <row r="27" spans="1:19" ht="15" x14ac:dyDescent="0.4">
      <c r="A27" s="766" t="s">
        <v>1403</v>
      </c>
      <c r="B27" s="769">
        <v>0.97</v>
      </c>
      <c r="C27" s="767" t="s">
        <v>1435</v>
      </c>
      <c r="D27" s="468"/>
      <c r="E27" s="468"/>
      <c r="F27" s="468"/>
      <c r="G27" s="469"/>
    </row>
    <row r="28" spans="1:19" ht="15" thickBot="1" x14ac:dyDescent="0.4">
      <c r="A28" s="321"/>
      <c r="B28" s="201"/>
      <c r="C28" s="201" t="s">
        <v>1436</v>
      </c>
      <c r="D28" s="201"/>
      <c r="E28" s="201"/>
      <c r="F28" s="201"/>
      <c r="G28" s="203"/>
    </row>
    <row r="29" spans="1:19" ht="15" thickBot="1" x14ac:dyDescent="0.4">
      <c r="A29" s="770" t="s">
        <v>1404</v>
      </c>
      <c r="B29" s="1122" t="s">
        <v>1437</v>
      </c>
      <c r="C29" s="732" t="s">
        <v>1438</v>
      </c>
      <c r="D29" s="732"/>
      <c r="E29" s="732"/>
      <c r="F29" s="732"/>
      <c r="G29" s="733"/>
    </row>
    <row r="30" spans="1:19" ht="15" x14ac:dyDescent="0.4">
      <c r="A30" s="766" t="s">
        <v>1405</v>
      </c>
      <c r="B30" s="769">
        <v>0.8</v>
      </c>
      <c r="C30" s="767" t="s">
        <v>1439</v>
      </c>
      <c r="D30" s="468"/>
      <c r="E30" s="468"/>
      <c r="F30" s="468"/>
      <c r="G30" s="469"/>
    </row>
    <row r="31" spans="1:19" ht="15" thickBot="1" x14ac:dyDescent="0.4">
      <c r="A31" s="321"/>
      <c r="B31" s="201"/>
      <c r="C31" s="201" t="s">
        <v>1440</v>
      </c>
      <c r="D31" s="201"/>
      <c r="E31" s="201"/>
      <c r="F31" s="201"/>
      <c r="G31" s="203"/>
    </row>
    <row r="32" spans="1:19" ht="29.25" customHeight="1" x14ac:dyDescent="0.35">
      <c r="A32" s="766" t="s">
        <v>1406</v>
      </c>
      <c r="B32" s="771" t="s">
        <v>1441</v>
      </c>
      <c r="C32" s="767" t="s">
        <v>1442</v>
      </c>
      <c r="D32" s="468"/>
      <c r="E32" s="468"/>
      <c r="F32" s="468"/>
      <c r="G32" s="469"/>
    </row>
    <row r="33" spans="1:7" ht="15" thickBot="1" x14ac:dyDescent="0.4">
      <c r="A33" s="321"/>
      <c r="B33" s="201"/>
      <c r="C33" s="201" t="s">
        <v>1443</v>
      </c>
      <c r="D33" s="201"/>
      <c r="E33" s="201"/>
      <c r="F33" s="201"/>
      <c r="G33" s="203"/>
    </row>
    <row r="34" spans="1:7" x14ac:dyDescent="0.35">
      <c r="A34" s="766" t="s">
        <v>1407</v>
      </c>
      <c r="B34" s="771" t="s">
        <v>1441</v>
      </c>
      <c r="C34" s="767" t="s">
        <v>1444</v>
      </c>
      <c r="D34" s="468"/>
      <c r="E34" s="468"/>
      <c r="F34" s="468"/>
      <c r="G34" s="772"/>
    </row>
    <row r="35" spans="1:7" ht="15" thickBot="1" x14ac:dyDescent="0.4">
      <c r="A35" s="321"/>
      <c r="B35" s="201"/>
      <c r="C35" s="201" t="s">
        <v>1443</v>
      </c>
      <c r="D35" s="201"/>
      <c r="E35" s="201"/>
      <c r="F35" s="201"/>
      <c r="G35" s="203"/>
    </row>
    <row r="36" spans="1:7" ht="15" thickBot="1" x14ac:dyDescent="0.4">
      <c r="A36" s="770" t="s">
        <v>1408</v>
      </c>
      <c r="B36" s="773" t="s">
        <v>1441</v>
      </c>
      <c r="C36" s="774" t="s">
        <v>1445</v>
      </c>
      <c r="D36" s="732"/>
      <c r="E36" s="732"/>
      <c r="F36" s="732"/>
      <c r="G36" s="733"/>
    </row>
    <row r="37" spans="1:7" ht="15" thickBot="1" x14ac:dyDescent="0.4">
      <c r="A37" s="380" t="s">
        <v>1409</v>
      </c>
      <c r="B37" s="768">
        <v>312</v>
      </c>
      <c r="C37" s="768" t="s">
        <v>1446</v>
      </c>
      <c r="D37" s="201"/>
      <c r="E37" s="201"/>
      <c r="F37" s="201"/>
      <c r="G37" s="203"/>
    </row>
    <row r="38" spans="1:7" x14ac:dyDescent="0.35">
      <c r="A38" s="375" t="s">
        <v>1404</v>
      </c>
      <c r="B38" s="65"/>
      <c r="C38" s="65" t="s">
        <v>1447</v>
      </c>
      <c r="D38" s="83"/>
      <c r="E38" s="83"/>
      <c r="F38" s="83"/>
      <c r="G38" s="125"/>
    </row>
    <row r="39" spans="1:7" ht="15" thickBot="1" x14ac:dyDescent="0.4">
      <c r="A39" s="375"/>
      <c r="B39" s="65"/>
      <c r="C39" s="65" t="s">
        <v>1448</v>
      </c>
      <c r="D39" s="83"/>
      <c r="E39" s="83"/>
      <c r="F39" s="83"/>
      <c r="G39" s="125"/>
    </row>
    <row r="40" spans="1:7" x14ac:dyDescent="0.35">
      <c r="A40" s="766" t="s">
        <v>1117</v>
      </c>
      <c r="B40" s="468">
        <v>5</v>
      </c>
      <c r="C40" s="468" t="s">
        <v>1449</v>
      </c>
      <c r="D40" s="468"/>
      <c r="E40" s="468"/>
      <c r="F40" s="468"/>
      <c r="G40" s="469"/>
    </row>
    <row r="41" spans="1:7" ht="15" thickBot="1" x14ac:dyDescent="0.4">
      <c r="A41" s="321"/>
      <c r="B41" s="201"/>
      <c r="C41" s="768" t="s">
        <v>636</v>
      </c>
      <c r="D41" s="201"/>
      <c r="E41" s="201"/>
      <c r="F41" s="201"/>
      <c r="G41" s="203"/>
    </row>
    <row r="42" spans="1:7" x14ac:dyDescent="0.35">
      <c r="A42" s="766" t="s">
        <v>1450</v>
      </c>
      <c r="B42" s="468"/>
      <c r="C42" s="468" t="s">
        <v>1451</v>
      </c>
      <c r="D42" s="468"/>
      <c r="E42" s="468"/>
      <c r="F42" s="468"/>
      <c r="G42" s="469"/>
    </row>
    <row r="43" spans="1:7" x14ac:dyDescent="0.35">
      <c r="A43" s="124"/>
      <c r="B43" s="83"/>
      <c r="C43" s="83" t="s">
        <v>1452</v>
      </c>
      <c r="D43" s="83"/>
      <c r="E43" s="83"/>
      <c r="F43" s="83"/>
      <c r="G43" s="125"/>
    </row>
    <row r="44" spans="1:7" ht="40.5" customHeight="1" thickBot="1" x14ac:dyDescent="0.4">
      <c r="A44" s="380" t="s">
        <v>1373</v>
      </c>
      <c r="B44" s="201"/>
      <c r="C44" s="2206" t="s">
        <v>1453</v>
      </c>
      <c r="D44" s="2206"/>
      <c r="E44" s="2206"/>
      <c r="F44" s="2206"/>
      <c r="G44" s="2207"/>
    </row>
    <row r="46" spans="1:7" ht="15" thickBot="1" x14ac:dyDescent="0.4"/>
    <row r="47" spans="1:7" ht="15" thickBot="1" x14ac:dyDescent="0.4">
      <c r="A47" s="122" t="s">
        <v>539</v>
      </c>
      <c r="B47" s="78"/>
      <c r="C47" s="78"/>
      <c r="D47" s="79"/>
    </row>
    <row r="48" spans="1:7" x14ac:dyDescent="0.35">
      <c r="A48" s="775" t="s">
        <v>1401</v>
      </c>
      <c r="B48" s="776" t="s">
        <v>1389</v>
      </c>
      <c r="C48" s="468"/>
      <c r="D48" s="469"/>
    </row>
    <row r="49" spans="1:4" ht="26" x14ac:dyDescent="0.35">
      <c r="A49" s="757" t="s">
        <v>1413</v>
      </c>
      <c r="B49" s="315">
        <v>1</v>
      </c>
      <c r="C49" s="83"/>
      <c r="D49" s="125"/>
    </row>
    <row r="50" spans="1:4" ht="26" x14ac:dyDescent="0.35">
      <c r="A50" s="757" t="s">
        <v>1412</v>
      </c>
      <c r="B50" s="315">
        <v>1.5</v>
      </c>
      <c r="C50" s="83"/>
      <c r="D50" s="125"/>
    </row>
    <row r="51" spans="1:4" ht="26" x14ac:dyDescent="0.35">
      <c r="A51" s="757" t="s">
        <v>1415</v>
      </c>
      <c r="B51" s="315">
        <v>3</v>
      </c>
      <c r="C51" s="83"/>
      <c r="D51" s="125"/>
    </row>
    <row r="52" spans="1:4" x14ac:dyDescent="0.35">
      <c r="A52" s="315" t="s">
        <v>736</v>
      </c>
      <c r="B52" s="151">
        <f>AVERAGE(B49:B51)</f>
        <v>1.8333333333333333</v>
      </c>
      <c r="C52" s="83"/>
      <c r="D52" s="125"/>
    </row>
    <row r="53" spans="1:4" x14ac:dyDescent="0.35">
      <c r="A53" s="124"/>
      <c r="B53" s="83"/>
      <c r="C53" s="83"/>
      <c r="D53" s="125"/>
    </row>
    <row r="54" spans="1:4" x14ac:dyDescent="0.35">
      <c r="A54" s="777" t="s">
        <v>1454</v>
      </c>
      <c r="B54" s="778"/>
      <c r="C54" s="83"/>
      <c r="D54" s="125"/>
    </row>
    <row r="55" spans="1:4" x14ac:dyDescent="0.35">
      <c r="A55" s="360" t="s">
        <v>394</v>
      </c>
      <c r="B55" s="62"/>
      <c r="C55" s="83"/>
      <c r="D55" s="125"/>
    </row>
    <row r="56" spans="1:4" x14ac:dyDescent="0.35">
      <c r="A56" s="360"/>
      <c r="B56" s="62"/>
      <c r="C56" s="83"/>
      <c r="D56" s="125"/>
    </row>
    <row r="57" spans="1:4" x14ac:dyDescent="0.35">
      <c r="A57" s="360"/>
      <c r="B57" s="62"/>
      <c r="C57" s="83"/>
      <c r="D57" s="125"/>
    </row>
    <row r="58" spans="1:4" x14ac:dyDescent="0.35">
      <c r="A58" s="360"/>
      <c r="B58" s="62"/>
      <c r="C58" s="83"/>
      <c r="D58" s="125"/>
    </row>
    <row r="59" spans="1:4" x14ac:dyDescent="0.35">
      <c r="A59" s="124"/>
      <c r="B59" s="83"/>
      <c r="C59" s="83"/>
      <c r="D59" s="125"/>
    </row>
    <row r="60" spans="1:4" x14ac:dyDescent="0.35">
      <c r="A60" s="124"/>
      <c r="B60" s="83"/>
      <c r="C60" s="83"/>
      <c r="D60" s="125"/>
    </row>
    <row r="61" spans="1:4" x14ac:dyDescent="0.35">
      <c r="A61" s="777"/>
      <c r="B61" s="778" t="s">
        <v>1406</v>
      </c>
      <c r="C61" s="778" t="s">
        <v>1407</v>
      </c>
      <c r="D61" s="125"/>
    </row>
    <row r="62" spans="1:4" x14ac:dyDescent="0.35">
      <c r="A62" s="360" t="s">
        <v>356</v>
      </c>
      <c r="B62" s="424">
        <v>1.6</v>
      </c>
      <c r="C62" s="424">
        <v>1.06</v>
      </c>
      <c r="D62" s="125"/>
    </row>
    <row r="63" spans="1:4" x14ac:dyDescent="0.35">
      <c r="A63" s="360" t="s">
        <v>495</v>
      </c>
      <c r="B63" s="424">
        <v>1.9</v>
      </c>
      <c r="C63" s="424">
        <v>1.06</v>
      </c>
      <c r="D63" s="125"/>
    </row>
    <row r="64" spans="1:4" x14ac:dyDescent="0.35">
      <c r="A64" s="360" t="s">
        <v>403</v>
      </c>
      <c r="B64" s="424">
        <v>1.9</v>
      </c>
      <c r="C64" s="424">
        <v>1.06</v>
      </c>
      <c r="D64" s="125"/>
    </row>
    <row r="65" spans="1:4" x14ac:dyDescent="0.35">
      <c r="A65" s="124"/>
      <c r="B65" s="83"/>
      <c r="C65" s="83"/>
      <c r="D65" s="125"/>
    </row>
    <row r="66" spans="1:4" x14ac:dyDescent="0.35">
      <c r="A66" s="777" t="s">
        <v>1404</v>
      </c>
      <c r="B66" s="83"/>
      <c r="C66" s="83"/>
      <c r="D66" s="125"/>
    </row>
    <row r="67" spans="1:4" x14ac:dyDescent="0.35">
      <c r="A67" s="360" t="s">
        <v>451</v>
      </c>
      <c r="B67" s="83"/>
      <c r="C67" s="83"/>
      <c r="D67" s="125"/>
    </row>
    <row r="68" spans="1:4" ht="15" thickBot="1" x14ac:dyDescent="0.4">
      <c r="A68" s="779" t="s">
        <v>1411</v>
      </c>
      <c r="B68" s="201"/>
      <c r="C68" s="201"/>
      <c r="D68" s="203"/>
    </row>
  </sheetData>
  <customSheetViews>
    <customSheetView guid="{11DE45F5-F478-4ED6-8DFF-12002C22A637}" scale="60" showPageBreaks="1" fitToPage="1" printArea="1" hiddenRows="1" view="pageBreakPreview">
      <pageMargins left="0.7" right="0.7" top="0.75" bottom="0.75" header="0.3" footer="0.3"/>
      <pageSetup scale="24" orientation="landscape" r:id="rId1"/>
    </customSheetView>
    <customSheetView guid="{ECD6FE6A-9548-414E-B8AA-6998703C57E0}" scale="60" showPageBreaks="1" fitToPage="1" printArea="1" hiddenRows="1" view="pageBreakPreview">
      <pageMargins left="0.7" right="0.7" top="0.75" bottom="0.75" header="0.3" footer="0.3"/>
      <pageSetup scale="24" orientation="landscape" r:id="rId2"/>
    </customSheetView>
  </customSheetViews>
  <mergeCells count="4">
    <mergeCell ref="L1:O1"/>
    <mergeCell ref="P1:S1"/>
    <mergeCell ref="T1:AD1"/>
    <mergeCell ref="C44:G44"/>
  </mergeCells>
  <dataValidations count="6">
    <dataValidation type="list" allowBlank="1" showInputMessage="1" showErrorMessage="1" sqref="J3:J6 J9:J10" xr:uid="{00000000-0002-0000-0900-000000000000}">
      <formula1>$A$55:$A$58</formula1>
    </dataValidation>
    <dataValidation type="list" allowBlank="1" showInputMessage="1" showErrorMessage="1" sqref="J7:J8" xr:uid="{00000000-0002-0000-0900-000001000000}">
      <formula1>$A$55:$A$56</formula1>
    </dataValidation>
    <dataValidation type="list" allowBlank="1" showInputMessage="1" showErrorMessage="1" sqref="D3:D10" xr:uid="{00000000-0002-0000-0900-000002000000}">
      <formula1>MeasureType</formula1>
    </dataValidation>
    <dataValidation type="list" allowBlank="1" showInputMessage="1" showErrorMessage="1" sqref="G3:G8" xr:uid="{00000000-0002-0000-0900-000003000000}">
      <formula1>HEPRSV2</formula1>
    </dataValidation>
    <dataValidation type="list" allowBlank="1" showInputMessage="1" showErrorMessage="1" sqref="F3:F10" xr:uid="{00000000-0002-0000-0900-000004000000}">
      <formula1>Fuel1</formula1>
    </dataValidation>
    <dataValidation type="list" allowBlank="1" showInputMessage="1" showErrorMessage="1" sqref="E3:E8" xr:uid="{00000000-0002-0000-0900-000005000000}">
      <formula1>HEPRSV1</formula1>
    </dataValidation>
  </dataValidations>
  <pageMargins left="0.7" right="0.7" top="0.75" bottom="0.75" header="0.3" footer="0.3"/>
  <pageSetup scale="24" orientation="landscape"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79998168889431442"/>
    <pageSetUpPr fitToPage="1"/>
  </sheetPr>
  <dimension ref="A1:AC46"/>
  <sheetViews>
    <sheetView view="pageBreakPreview" zoomScale="60" zoomScaleNormal="100" workbookViewId="0"/>
  </sheetViews>
  <sheetFormatPr defaultRowHeight="14.5" x14ac:dyDescent="0.35"/>
  <cols>
    <col min="1" max="1" width="22.26953125" bestFit="1" customWidth="1"/>
    <col min="2" max="2" width="26.54296875" bestFit="1" customWidth="1"/>
    <col min="3" max="3" width="20" bestFit="1" customWidth="1"/>
    <col min="4" max="4" width="17" customWidth="1"/>
    <col min="5" max="5" width="14.453125" customWidth="1"/>
    <col min="6" max="6" width="13.1796875" customWidth="1"/>
    <col min="7" max="7" width="16.1796875" bestFit="1" customWidth="1"/>
    <col min="8" max="8" width="28.81640625" bestFit="1" customWidth="1"/>
    <col min="9"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5.1796875" customWidth="1"/>
    <col min="17" max="17" width="15.81640625" customWidth="1"/>
    <col min="18" max="18" width="4.81640625" bestFit="1" customWidth="1"/>
    <col min="19" max="19" width="16.54296875" customWidth="1"/>
    <col min="20" max="20" width="16" customWidth="1"/>
    <col min="21" max="21" width="9.81640625" customWidth="1"/>
    <col min="22" max="22" width="13.26953125" customWidth="1"/>
    <col min="23" max="23" width="14.54296875" customWidth="1"/>
    <col min="24" max="24" width="11.81640625" customWidth="1"/>
    <col min="25" max="26" width="6.54296875" customWidth="1"/>
    <col min="27" max="27" width="26.26953125" bestFit="1" customWidth="1"/>
    <col min="28" max="28" width="30.26953125" bestFit="1" customWidth="1"/>
  </cols>
  <sheetData>
    <row r="1" spans="1:29" ht="15" customHeight="1" x14ac:dyDescent="0.35">
      <c r="A1" s="1123" t="s">
        <v>314</v>
      </c>
      <c r="B1" s="1124"/>
      <c r="C1" s="1124"/>
      <c r="D1" s="1124"/>
      <c r="E1" s="1125"/>
      <c r="F1" s="1125"/>
      <c r="G1" s="1125"/>
      <c r="H1" s="1125"/>
      <c r="I1" s="1126"/>
      <c r="J1" s="2231" t="s">
        <v>335</v>
      </c>
      <c r="K1" s="2232"/>
      <c r="L1" s="2233"/>
      <c r="M1" s="2231" t="s">
        <v>336</v>
      </c>
      <c r="N1" s="2232"/>
      <c r="O1" s="2232"/>
      <c r="P1" s="2248" t="s">
        <v>337</v>
      </c>
      <c r="Q1" s="2248"/>
      <c r="R1" s="2248"/>
      <c r="S1" s="2248"/>
      <c r="T1" s="2248"/>
      <c r="U1" s="2248"/>
      <c r="V1" s="2248"/>
      <c r="W1" s="2248"/>
      <c r="X1" s="2248"/>
      <c r="Y1" s="2248"/>
      <c r="Z1" s="2248"/>
      <c r="AA1" s="2248"/>
      <c r="AB1" s="2248"/>
      <c r="AC1" s="1440"/>
    </row>
    <row r="2" spans="1:29" s="781" customFormat="1" ht="29"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395" t="s">
        <v>349</v>
      </c>
      <c r="P2" s="1439" t="s">
        <v>2660</v>
      </c>
      <c r="Q2" s="1439" t="s">
        <v>2663</v>
      </c>
      <c r="R2" s="1439" t="s">
        <v>1828</v>
      </c>
      <c r="S2" s="1439" t="s">
        <v>2667</v>
      </c>
      <c r="T2" s="1439" t="s">
        <v>2670</v>
      </c>
      <c r="U2" s="1439" t="s">
        <v>2673</v>
      </c>
      <c r="V2" s="1439" t="s">
        <v>2676</v>
      </c>
      <c r="W2" s="1439" t="s">
        <v>2679</v>
      </c>
      <c r="X2" s="1439" t="s">
        <v>2682</v>
      </c>
      <c r="Y2" s="1439" t="s">
        <v>2685</v>
      </c>
      <c r="Z2" s="1439" t="s">
        <v>614</v>
      </c>
      <c r="AA2" s="1439" t="s">
        <v>2694</v>
      </c>
      <c r="AB2" s="1439" t="s">
        <v>2695</v>
      </c>
    </row>
    <row r="3" spans="1:29" s="74" customFormat="1" x14ac:dyDescent="0.35">
      <c r="A3" s="1131" t="s">
        <v>314</v>
      </c>
      <c r="B3" s="1131" t="s">
        <v>153</v>
      </c>
      <c r="C3" s="1132" t="s">
        <v>153</v>
      </c>
      <c r="D3" s="1133" t="s">
        <v>1306</v>
      </c>
      <c r="E3" s="1168" t="s">
        <v>356</v>
      </c>
      <c r="F3" s="1168">
        <f>+$B$45</f>
        <v>12</v>
      </c>
      <c r="G3" s="1136"/>
      <c r="H3" s="1141" t="s">
        <v>357</v>
      </c>
      <c r="I3" s="1141"/>
      <c r="J3" s="1169"/>
      <c r="K3" s="1170"/>
      <c r="L3" s="1169">
        <f>+(P3+Q3)*R3/AA3</f>
        <v>706.68</v>
      </c>
      <c r="M3" s="1171"/>
      <c r="N3" s="1170"/>
      <c r="O3" s="1140">
        <f>L3*F3</f>
        <v>8480.16</v>
      </c>
      <c r="P3" s="1441">
        <f>+(S3-T3)*U3*V3/AB3</f>
        <v>2500</v>
      </c>
      <c r="Q3" s="1441">
        <f>+(W3-X3)*(Y3*Z3)</f>
        <v>224000</v>
      </c>
      <c r="R3" s="1442">
        <f>+$B$22</f>
        <v>312</v>
      </c>
      <c r="S3" s="1443">
        <f>+$B$24</f>
        <v>64000</v>
      </c>
      <c r="T3" s="1443">
        <f>+$B$26</f>
        <v>54000</v>
      </c>
      <c r="U3" s="1443">
        <f>+$B$28</f>
        <v>1</v>
      </c>
      <c r="V3" s="1443">
        <f>+$B$30</f>
        <v>15</v>
      </c>
      <c r="W3" s="1443">
        <f>+$B$32</f>
        <v>140000</v>
      </c>
      <c r="X3" s="1443">
        <f>+$B$34</f>
        <v>105000</v>
      </c>
      <c r="Y3" s="1444">
        <f>+$B$36</f>
        <v>0.8</v>
      </c>
      <c r="Z3" s="1443">
        <f>+$B$38</f>
        <v>8</v>
      </c>
      <c r="AA3" s="1443">
        <f>+$B$41</f>
        <v>100000</v>
      </c>
      <c r="AB3" s="1443">
        <f>+$B$42</f>
        <v>60</v>
      </c>
    </row>
    <row r="4" spans="1:29" s="74" customFormat="1" ht="29" x14ac:dyDescent="0.35">
      <c r="A4" s="1131" t="s">
        <v>2658</v>
      </c>
      <c r="B4" s="1131" t="s">
        <v>154</v>
      </c>
      <c r="C4" s="1132" t="s">
        <v>154</v>
      </c>
      <c r="D4" s="1133" t="s">
        <v>1306</v>
      </c>
      <c r="E4" s="1168" t="s">
        <v>356</v>
      </c>
      <c r="F4" s="1168">
        <f>+$B$45</f>
        <v>12</v>
      </c>
      <c r="G4" s="1136"/>
      <c r="H4" s="1141" t="s">
        <v>357</v>
      </c>
      <c r="I4" s="1141" t="s">
        <v>1311</v>
      </c>
      <c r="J4" s="1169"/>
      <c r="K4" s="1170"/>
      <c r="L4" s="1169">
        <f>+(P4+Q4)*R4/AA4</f>
        <v>706.68</v>
      </c>
      <c r="M4" s="1171"/>
      <c r="N4" s="1170"/>
      <c r="O4" s="1140">
        <f>L4*F4</f>
        <v>8480.16</v>
      </c>
      <c r="P4" s="1441">
        <f t="shared" ref="P4" si="0">+(S4-T4)*U4*V4/AB4</f>
        <v>2500</v>
      </c>
      <c r="Q4" s="1441">
        <f>+(W4-X4)*(Y4*Z4)</f>
        <v>224000</v>
      </c>
      <c r="R4" s="1442">
        <f>+$B$22</f>
        <v>312</v>
      </c>
      <c r="S4" s="1443">
        <f>+$B$24</f>
        <v>64000</v>
      </c>
      <c r="T4" s="1443">
        <f>+$B$26</f>
        <v>54000</v>
      </c>
      <c r="U4" s="1443">
        <f>+$B$28</f>
        <v>1</v>
      </c>
      <c r="V4" s="1443">
        <f>+$B$30</f>
        <v>15</v>
      </c>
      <c r="W4" s="1443">
        <f>+$B$32</f>
        <v>140000</v>
      </c>
      <c r="X4" s="1443">
        <f>+$B$34</f>
        <v>105000</v>
      </c>
      <c r="Y4" s="1444">
        <f>+$B$36</f>
        <v>0.8</v>
      </c>
      <c r="Z4" s="1443">
        <f>+$B$38</f>
        <v>8</v>
      </c>
      <c r="AA4" s="1443">
        <f>+$B$41</f>
        <v>100000</v>
      </c>
      <c r="AB4" s="1443">
        <f>+$B$42</f>
        <v>60</v>
      </c>
    </row>
    <row r="6" spans="1:29" ht="15" thickBot="1" x14ac:dyDescent="0.4"/>
    <row r="7" spans="1:29" ht="15" thickBot="1" x14ac:dyDescent="0.4">
      <c r="A7" s="188" t="s">
        <v>2571</v>
      </c>
      <c r="B7" s="1384" t="e">
        <f>+#REF!</f>
        <v>#REF!</v>
      </c>
    </row>
    <row r="8" spans="1:29" ht="15" thickBot="1" x14ac:dyDescent="0.4">
      <c r="A8" s="188" t="s">
        <v>2572</v>
      </c>
      <c r="B8" s="701" t="s">
        <v>2784</v>
      </c>
    </row>
    <row r="10" spans="1:29" ht="15" thickBot="1" x14ac:dyDescent="0.4"/>
    <row r="11" spans="1:29" ht="15" thickBot="1" x14ac:dyDescent="0.4">
      <c r="A11" s="88" t="s">
        <v>408</v>
      </c>
      <c r="B11" s="78"/>
      <c r="C11" s="78"/>
      <c r="D11" s="78"/>
      <c r="E11" s="78"/>
      <c r="F11" s="79"/>
    </row>
    <row r="12" spans="1:29" x14ac:dyDescent="0.35">
      <c r="A12" s="124"/>
      <c r="B12" s="83"/>
      <c r="C12" s="83"/>
      <c r="D12" s="83"/>
      <c r="E12" s="83"/>
      <c r="F12" s="125"/>
    </row>
    <row r="13" spans="1:29" x14ac:dyDescent="0.35">
      <c r="A13" s="124"/>
      <c r="B13" s="83"/>
      <c r="C13" s="83"/>
      <c r="D13" s="83"/>
      <c r="E13" s="83"/>
      <c r="F13" s="125"/>
    </row>
    <row r="14" spans="1:29" ht="15" thickBot="1" x14ac:dyDescent="0.4">
      <c r="A14" s="321"/>
      <c r="B14" s="201"/>
      <c r="C14" s="201"/>
      <c r="D14" s="201"/>
      <c r="E14" s="201"/>
      <c r="F14" s="203"/>
    </row>
    <row r="16" spans="1:29" ht="15" thickBot="1" x14ac:dyDescent="0.4"/>
    <row r="17" spans="1:6" ht="15" thickBot="1" x14ac:dyDescent="0.4">
      <c r="A17" s="763" t="s">
        <v>413</v>
      </c>
      <c r="B17" s="764" t="s">
        <v>414</v>
      </c>
      <c r="C17" s="765" t="s">
        <v>2659</v>
      </c>
      <c r="D17" s="472"/>
      <c r="E17" s="472"/>
      <c r="F17" s="473"/>
    </row>
    <row r="18" spans="1:6" x14ac:dyDescent="0.35">
      <c r="A18" s="1404" t="s">
        <v>2660</v>
      </c>
      <c r="B18" s="1424"/>
      <c r="C18" s="1406" t="s">
        <v>2661</v>
      </c>
      <c r="D18" s="1405"/>
      <c r="E18" s="1405"/>
      <c r="F18" s="1407"/>
    </row>
    <row r="19" spans="1:6" ht="15" thickBot="1" x14ac:dyDescent="0.4">
      <c r="A19" s="1408"/>
      <c r="B19" s="1425"/>
      <c r="C19" s="1409" t="s">
        <v>2662</v>
      </c>
      <c r="D19" s="1409"/>
      <c r="E19" s="1409"/>
      <c r="F19" s="1410"/>
    </row>
    <row r="20" spans="1:6" x14ac:dyDescent="0.35">
      <c r="A20" s="1404" t="s">
        <v>2663</v>
      </c>
      <c r="B20" s="1424"/>
      <c r="C20" s="1406" t="s">
        <v>2664</v>
      </c>
      <c r="D20" s="1405"/>
      <c r="E20" s="1405"/>
      <c r="F20" s="1407"/>
    </row>
    <row r="21" spans="1:6" ht="15" thickBot="1" x14ac:dyDescent="0.4">
      <c r="A21" s="1408"/>
      <c r="B21" s="1425"/>
      <c r="C21" s="1409" t="s">
        <v>2662</v>
      </c>
      <c r="D21" s="1409"/>
      <c r="E21" s="1409"/>
      <c r="F21" s="1410"/>
    </row>
    <row r="22" spans="1:6" x14ac:dyDescent="0.35">
      <c r="A22" s="1411" t="s">
        <v>1828</v>
      </c>
      <c r="B22" s="1424">
        <v>312</v>
      </c>
      <c r="C22" s="1405" t="s">
        <v>2665</v>
      </c>
      <c r="D22" s="1405"/>
      <c r="E22" s="1405"/>
      <c r="F22" s="1407"/>
    </row>
    <row r="23" spans="1:6" ht="15" thickBot="1" x14ac:dyDescent="0.4">
      <c r="A23" s="1412"/>
      <c r="B23" s="1425"/>
      <c r="C23" s="1409" t="s">
        <v>2666</v>
      </c>
      <c r="D23" s="1409"/>
      <c r="E23" s="1409"/>
      <c r="F23" s="1410"/>
    </row>
    <row r="24" spans="1:6" x14ac:dyDescent="0.35">
      <c r="A24" s="1411" t="s">
        <v>2667</v>
      </c>
      <c r="B24" s="1426">
        <v>64000</v>
      </c>
      <c r="C24" s="1405" t="s">
        <v>2668</v>
      </c>
      <c r="D24" s="1405"/>
      <c r="E24" s="1405"/>
      <c r="F24" s="1407"/>
    </row>
    <row r="25" spans="1:6" ht="15" thickBot="1" x14ac:dyDescent="0.4">
      <c r="A25" s="1412"/>
      <c r="B25" s="1427"/>
      <c r="C25" s="1409" t="s">
        <v>2669</v>
      </c>
      <c r="D25" s="1409"/>
      <c r="E25" s="1409"/>
      <c r="F25" s="1410"/>
    </row>
    <row r="26" spans="1:6" x14ac:dyDescent="0.35">
      <c r="A26" s="1411" t="s">
        <v>2670</v>
      </c>
      <c r="B26" s="1426">
        <v>54000</v>
      </c>
      <c r="C26" s="1405" t="s">
        <v>2671</v>
      </c>
      <c r="D26" s="1405"/>
      <c r="E26" s="1405"/>
      <c r="F26" s="1407"/>
    </row>
    <row r="27" spans="1:6" ht="15" thickBot="1" x14ac:dyDescent="0.4">
      <c r="A27" s="1412"/>
      <c r="B27" s="1425"/>
      <c r="C27" s="1409" t="s">
        <v>2672</v>
      </c>
      <c r="D27" s="1409"/>
      <c r="E27" s="1409"/>
      <c r="F27" s="1410"/>
    </row>
    <row r="28" spans="1:6" x14ac:dyDescent="0.35">
      <c r="A28" s="1411" t="s">
        <v>2673</v>
      </c>
      <c r="B28" s="1424">
        <v>1</v>
      </c>
      <c r="C28" s="1405" t="s">
        <v>2674</v>
      </c>
      <c r="D28" s="1405"/>
      <c r="E28" s="1405"/>
      <c r="F28" s="1407"/>
    </row>
    <row r="29" spans="1:6" ht="15" thickBot="1" x14ac:dyDescent="0.4">
      <c r="A29" s="1412"/>
      <c r="B29" s="1425"/>
      <c r="C29" s="1409" t="s">
        <v>2675</v>
      </c>
      <c r="D29" s="1409"/>
      <c r="E29" s="1409"/>
      <c r="F29" s="1410"/>
    </row>
    <row r="30" spans="1:6" x14ac:dyDescent="0.35">
      <c r="A30" s="1411" t="s">
        <v>2676</v>
      </c>
      <c r="B30" s="1424">
        <v>15</v>
      </c>
      <c r="C30" s="1405" t="s">
        <v>2677</v>
      </c>
      <c r="D30" s="1405"/>
      <c r="E30" s="1405"/>
      <c r="F30" s="1407"/>
    </row>
    <row r="31" spans="1:6" ht="15" thickBot="1" x14ac:dyDescent="0.4">
      <c r="A31" s="1412"/>
      <c r="B31" s="1425"/>
      <c r="C31" s="1409" t="s">
        <v>2678</v>
      </c>
      <c r="D31" s="1409"/>
      <c r="E31" s="1409"/>
      <c r="F31" s="1410"/>
    </row>
    <row r="32" spans="1:6" x14ac:dyDescent="0.35">
      <c r="A32" s="1411" t="s">
        <v>2679</v>
      </c>
      <c r="B32" s="1426">
        <v>140000</v>
      </c>
      <c r="C32" s="1405" t="s">
        <v>2680</v>
      </c>
      <c r="D32" s="1405"/>
      <c r="E32" s="1405"/>
      <c r="F32" s="1407"/>
    </row>
    <row r="33" spans="1:6" ht="15" thickBot="1" x14ac:dyDescent="0.4">
      <c r="A33" s="1412"/>
      <c r="B33" s="1427"/>
      <c r="C33" s="1409" t="s">
        <v>2681</v>
      </c>
      <c r="D33" s="1409"/>
      <c r="E33" s="1409"/>
      <c r="F33" s="1410"/>
    </row>
    <row r="34" spans="1:6" ht="15" customHeight="1" x14ac:dyDescent="0.35">
      <c r="A34" s="1411" t="s">
        <v>2682</v>
      </c>
      <c r="B34" s="1426">
        <v>105000</v>
      </c>
      <c r="C34" s="1405" t="s">
        <v>2683</v>
      </c>
      <c r="D34" s="1405"/>
      <c r="E34" s="1405"/>
      <c r="F34" s="1407"/>
    </row>
    <row r="35" spans="1:6" ht="15" thickBot="1" x14ac:dyDescent="0.4">
      <c r="A35" s="1412"/>
      <c r="B35" s="1425"/>
      <c r="C35" s="1409" t="s">
        <v>2684</v>
      </c>
      <c r="D35" s="1409"/>
      <c r="E35" s="1409"/>
      <c r="F35" s="1410"/>
    </row>
    <row r="36" spans="1:6" ht="15" customHeight="1" x14ac:dyDescent="0.35">
      <c r="A36" s="1411" t="s">
        <v>2685</v>
      </c>
      <c r="B36" s="1428">
        <v>0.8</v>
      </c>
      <c r="C36" s="1405" t="s">
        <v>2686</v>
      </c>
      <c r="D36" s="1405"/>
      <c r="E36" s="1405"/>
      <c r="F36" s="1407"/>
    </row>
    <row r="37" spans="1:6" ht="15" thickBot="1" x14ac:dyDescent="0.4">
      <c r="A37" s="1412"/>
      <c r="B37" s="1425"/>
      <c r="C37" s="1409" t="s">
        <v>2687</v>
      </c>
      <c r="D37" s="1409"/>
      <c r="E37" s="1409"/>
      <c r="F37" s="1410"/>
    </row>
    <row r="38" spans="1:6" ht="15" customHeight="1" x14ac:dyDescent="0.35">
      <c r="A38" s="1411" t="s">
        <v>614</v>
      </c>
      <c r="B38" s="1424">
        <v>8</v>
      </c>
      <c r="C38" s="1405" t="s">
        <v>1880</v>
      </c>
      <c r="D38" s="1405"/>
      <c r="E38" s="1405"/>
      <c r="F38" s="1407"/>
    </row>
    <row r="39" spans="1:6" ht="15" thickBot="1" x14ac:dyDescent="0.4">
      <c r="A39" s="1412"/>
      <c r="B39" s="1425"/>
      <c r="C39" s="1409" t="s">
        <v>2688</v>
      </c>
      <c r="D39" s="1409"/>
      <c r="E39" s="1409"/>
      <c r="F39" s="1410"/>
    </row>
    <row r="40" spans="1:6" ht="15" customHeight="1" x14ac:dyDescent="0.35">
      <c r="A40" s="1411" t="s">
        <v>796</v>
      </c>
      <c r="B40" s="1424"/>
      <c r="C40" s="1405" t="s">
        <v>2689</v>
      </c>
      <c r="D40" s="1405"/>
      <c r="E40" s="1405"/>
      <c r="F40" s="1407"/>
    </row>
    <row r="41" spans="1:6" x14ac:dyDescent="0.35">
      <c r="A41" s="1413"/>
      <c r="B41" s="1429">
        <v>100000</v>
      </c>
      <c r="C41" s="1414" t="s">
        <v>2690</v>
      </c>
      <c r="D41" s="1414"/>
      <c r="E41" s="1414"/>
      <c r="F41" s="1415"/>
    </row>
    <row r="42" spans="1:6" ht="15" thickBot="1" x14ac:dyDescent="0.4">
      <c r="A42" s="1412"/>
      <c r="B42" s="1425">
        <v>60</v>
      </c>
      <c r="C42" s="1409" t="s">
        <v>2691</v>
      </c>
      <c r="D42" s="1409"/>
      <c r="E42" s="1409"/>
      <c r="F42" s="1410"/>
    </row>
    <row r="43" spans="1:6" ht="15" customHeight="1" x14ac:dyDescent="0.35">
      <c r="A43" s="1411" t="s">
        <v>344</v>
      </c>
      <c r="B43" s="1430"/>
      <c r="C43" s="1405"/>
      <c r="D43" s="1405"/>
      <c r="E43" s="1405"/>
      <c r="F43" s="1407"/>
    </row>
    <row r="44" spans="1:6" ht="15" thickBot="1" x14ac:dyDescent="0.4">
      <c r="A44" s="1412"/>
      <c r="B44" s="1425"/>
      <c r="C44" s="1409"/>
      <c r="D44" s="1409"/>
      <c r="E44" s="1409"/>
      <c r="F44" s="1410"/>
    </row>
    <row r="45" spans="1:6" ht="15" customHeight="1" x14ac:dyDescent="0.35">
      <c r="A45" s="1411" t="s">
        <v>443</v>
      </c>
      <c r="B45" s="1424">
        <v>12</v>
      </c>
      <c r="C45" s="1405" t="s">
        <v>2693</v>
      </c>
      <c r="D45" s="1405"/>
      <c r="E45" s="1405"/>
      <c r="F45" s="1407"/>
    </row>
    <row r="46" spans="1:6" ht="15" thickBot="1" x14ac:dyDescent="0.4">
      <c r="A46" s="1412"/>
      <c r="B46" s="1423"/>
      <c r="C46" s="1409" t="s">
        <v>2692</v>
      </c>
      <c r="D46" s="1409"/>
      <c r="E46" s="1409"/>
      <c r="F46" s="1410"/>
    </row>
  </sheetData>
  <customSheetViews>
    <customSheetView guid="{11DE45F5-F478-4ED6-8DFF-12002C22A637}" scale="60" showPageBreaks="1" fitToPage="1" view="pageBreakPreview">
      <pageMargins left="0.7" right="0.7" top="0.75" bottom="0.75" header="0.3" footer="0.3"/>
      <pageSetup scale="28" orientation="landscape" verticalDpi="300" r:id="rId1"/>
    </customSheetView>
    <customSheetView guid="{ECD6FE6A-9548-414E-B8AA-6998703C57E0}" scale="60" showPageBreaks="1" fitToPage="1" view="pageBreakPreview">
      <pageMargins left="0.7" right="0.7" top="0.75" bottom="0.75" header="0.3" footer="0.3"/>
      <pageSetup scale="28" orientation="landscape" verticalDpi="300" r:id="rId2"/>
    </customSheetView>
  </customSheetViews>
  <mergeCells count="3">
    <mergeCell ref="P1:AB1"/>
    <mergeCell ref="J1:L1"/>
    <mergeCell ref="M1:O1"/>
  </mergeCells>
  <dataValidations count="1">
    <dataValidation type="list" allowBlank="1" showInputMessage="1" showErrorMessage="1" sqref="D3:D4" xr:uid="{00000000-0002-0000-0A00-000000000000}">
      <formula1>MeasureType</formula1>
    </dataValidation>
  </dataValidations>
  <pageMargins left="0.7" right="0.7" top="0.75" bottom="0.75" header="0.3" footer="0.3"/>
  <pageSetup scale="28" orientation="landscape" verticalDpi="300"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79998168889431442"/>
    <pageSetUpPr fitToPage="1"/>
  </sheetPr>
  <dimension ref="A1:T30"/>
  <sheetViews>
    <sheetView view="pageBreakPreview" zoomScale="60" zoomScaleNormal="100" workbookViewId="0"/>
  </sheetViews>
  <sheetFormatPr defaultRowHeight="14.5" x14ac:dyDescent="0.35"/>
  <cols>
    <col min="1" max="1" width="22.26953125" bestFit="1" customWidth="1"/>
    <col min="2" max="2" width="32.54296875" bestFit="1" customWidth="1"/>
    <col min="3" max="3" width="20" bestFit="1" customWidth="1"/>
    <col min="4" max="4" width="17.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3.26953125" customWidth="1"/>
    <col min="20" max="20" width="15.26953125" customWidth="1"/>
  </cols>
  <sheetData>
    <row r="1" spans="1:20" ht="15" customHeight="1" x14ac:dyDescent="0.35">
      <c r="A1" s="1721" t="s">
        <v>313</v>
      </c>
      <c r="B1" s="1124"/>
      <c r="C1" s="1124"/>
      <c r="D1" s="1124"/>
      <c r="E1" s="1125"/>
      <c r="F1" s="1125"/>
      <c r="G1" s="1125"/>
      <c r="H1" s="1125"/>
      <c r="I1" s="1126"/>
      <c r="J1" s="2231" t="s">
        <v>335</v>
      </c>
      <c r="K1" s="2232"/>
      <c r="L1" s="2233"/>
      <c r="M1" s="2231" t="s">
        <v>336</v>
      </c>
      <c r="N1" s="2232"/>
      <c r="O1" s="2233"/>
      <c r="P1" s="2248" t="s">
        <v>337</v>
      </c>
      <c r="Q1" s="2248"/>
      <c r="R1" s="2248"/>
      <c r="S1" s="2248"/>
      <c r="T1" s="2248"/>
    </row>
    <row r="2" spans="1:20" s="781" customFormat="1" ht="43.5"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c r="P2" s="1439" t="s">
        <v>2679</v>
      </c>
      <c r="Q2" s="1439" t="s">
        <v>2682</v>
      </c>
      <c r="R2" s="1439" t="s">
        <v>2685</v>
      </c>
      <c r="S2" s="1439" t="s">
        <v>614</v>
      </c>
      <c r="T2" s="1439" t="s">
        <v>2694</v>
      </c>
    </row>
    <row r="3" spans="1:20" s="74" customFormat="1" ht="29" x14ac:dyDescent="0.35">
      <c r="A3" s="1131" t="s">
        <v>313</v>
      </c>
      <c r="B3" s="1131" t="s">
        <v>155</v>
      </c>
      <c r="C3" s="1132" t="s">
        <v>155</v>
      </c>
      <c r="D3" s="1133" t="s">
        <v>1306</v>
      </c>
      <c r="E3" s="1168" t="s">
        <v>356</v>
      </c>
      <c r="F3" s="1168">
        <f>+$B$29</f>
        <v>12</v>
      </c>
      <c r="G3" s="1438"/>
      <c r="H3" s="1141" t="s">
        <v>357</v>
      </c>
      <c r="I3" s="1141"/>
      <c r="J3" s="1169"/>
      <c r="K3" s="1170"/>
      <c r="L3" s="1169">
        <f>+(P3-Q3)*(R3*S3)/T3</f>
        <v>599.04</v>
      </c>
      <c r="M3" s="1171">
        <f>J3*F3</f>
        <v>0</v>
      </c>
      <c r="N3" s="1170">
        <f>K3</f>
        <v>0</v>
      </c>
      <c r="O3" s="1171">
        <f>L3*F3</f>
        <v>7188.48</v>
      </c>
      <c r="P3" s="1445">
        <f>+$B$17</f>
        <v>90000</v>
      </c>
      <c r="Q3" s="1445">
        <f>+$B$19</f>
        <v>50000</v>
      </c>
      <c r="R3" s="1446">
        <f>+$B$21</f>
        <v>0.6</v>
      </c>
      <c r="S3" s="1445">
        <f>+$B$23</f>
        <v>2496</v>
      </c>
      <c r="T3" s="1445">
        <f>+$B$26</f>
        <v>100000</v>
      </c>
    </row>
    <row r="4" spans="1:20" s="74" customFormat="1" ht="29" x14ac:dyDescent="0.35">
      <c r="A4" s="1131" t="s">
        <v>2704</v>
      </c>
      <c r="B4" s="1131" t="s">
        <v>156</v>
      </c>
      <c r="C4" s="1132" t="s">
        <v>156</v>
      </c>
      <c r="D4" s="1133" t="s">
        <v>1306</v>
      </c>
      <c r="E4" s="1168" t="s">
        <v>356</v>
      </c>
      <c r="F4" s="1168">
        <f>+$B$29</f>
        <v>12</v>
      </c>
      <c r="G4" s="1438"/>
      <c r="H4" s="1141" t="s">
        <v>357</v>
      </c>
      <c r="I4" s="1141" t="s">
        <v>1311</v>
      </c>
      <c r="J4" s="1169"/>
      <c r="K4" s="1170"/>
      <c r="L4" s="1169">
        <f t="shared" ref="L4" si="0">+(P4-Q4)*(R4*S4)/T4</f>
        <v>599.04</v>
      </c>
      <c r="M4" s="1171">
        <f>J4*F4</f>
        <v>0</v>
      </c>
      <c r="N4" s="1170">
        <f>K4</f>
        <v>0</v>
      </c>
      <c r="O4" s="1171">
        <f>L4*F4</f>
        <v>7188.48</v>
      </c>
      <c r="P4" s="1445">
        <f>+$B$17</f>
        <v>90000</v>
      </c>
      <c r="Q4" s="1445">
        <f>+$B$19</f>
        <v>50000</v>
      </c>
      <c r="R4" s="1446">
        <f>+$B$21</f>
        <v>0.6</v>
      </c>
      <c r="S4" s="1445">
        <f>+$B$23</f>
        <v>2496</v>
      </c>
      <c r="T4" s="1445">
        <f>+$B$26</f>
        <v>100000</v>
      </c>
    </row>
    <row r="6" spans="1:20" ht="15" thickBot="1" x14ac:dyDescent="0.4"/>
    <row r="7" spans="1:20" ht="15" thickBot="1" x14ac:dyDescent="0.4">
      <c r="A7" s="188" t="s">
        <v>2571</v>
      </c>
      <c r="B7" s="1384" t="e">
        <f>+#REF!</f>
        <v>#REF!</v>
      </c>
    </row>
    <row r="8" spans="1:20" ht="15" thickBot="1" x14ac:dyDescent="0.4">
      <c r="A8" s="188" t="s">
        <v>2572</v>
      </c>
      <c r="B8" s="701" t="s">
        <v>2785</v>
      </c>
    </row>
    <row r="9" spans="1:20" ht="15" thickBot="1" x14ac:dyDescent="0.4"/>
    <row r="10" spans="1:20" ht="15" thickBot="1" x14ac:dyDescent="0.4">
      <c r="A10" s="88" t="s">
        <v>408</v>
      </c>
      <c r="B10" s="78"/>
      <c r="C10" s="78"/>
      <c r="D10" s="78"/>
      <c r="E10" s="78"/>
      <c r="F10" s="79"/>
    </row>
    <row r="11" spans="1:20" x14ac:dyDescent="0.35">
      <c r="B11" s="83"/>
      <c r="C11" s="83"/>
      <c r="D11" s="83"/>
      <c r="E11" s="83"/>
      <c r="F11" s="125"/>
    </row>
    <row r="12" spans="1:20" x14ac:dyDescent="0.35">
      <c r="A12" s="124"/>
      <c r="B12" s="83"/>
      <c r="C12" s="83"/>
      <c r="D12" s="83"/>
      <c r="E12" s="83"/>
      <c r="F12" s="125"/>
    </row>
    <row r="13" spans="1:20" ht="15" thickBot="1" x14ac:dyDescent="0.4">
      <c r="A13" s="321"/>
      <c r="B13" s="201"/>
      <c r="C13" s="201"/>
      <c r="D13" s="201"/>
      <c r="E13" s="201"/>
      <c r="F13" s="203"/>
    </row>
    <row r="15" spans="1:20" ht="15" thickBot="1" x14ac:dyDescent="0.4"/>
    <row r="16" spans="1:20" ht="15" thickBot="1" x14ac:dyDescent="0.4">
      <c r="A16" s="763" t="s">
        <v>413</v>
      </c>
      <c r="B16" s="764" t="s">
        <v>414</v>
      </c>
      <c r="C16" s="765" t="s">
        <v>2659</v>
      </c>
      <c r="D16" s="472"/>
      <c r="E16" s="473"/>
    </row>
    <row r="17" spans="1:5" x14ac:dyDescent="0.35">
      <c r="A17" s="1431" t="s">
        <v>2679</v>
      </c>
      <c r="B17" s="1418">
        <v>90000</v>
      </c>
      <c r="C17" s="1416" t="s">
        <v>2696</v>
      </c>
      <c r="D17" s="1416"/>
      <c r="E17" s="1435"/>
    </row>
    <row r="18" spans="1:5" ht="15" thickBot="1" x14ac:dyDescent="0.4">
      <c r="A18" s="1432"/>
      <c r="B18" s="1419"/>
      <c r="C18" s="1417" t="s">
        <v>2697</v>
      </c>
      <c r="D18" s="1417"/>
      <c r="E18" s="1436"/>
    </row>
    <row r="19" spans="1:5" x14ac:dyDescent="0.35">
      <c r="A19" s="1431" t="s">
        <v>2682</v>
      </c>
      <c r="B19" s="1418">
        <v>50000</v>
      </c>
      <c r="C19" s="1416" t="s">
        <v>2698</v>
      </c>
      <c r="D19" s="1416"/>
      <c r="E19" s="1435"/>
    </row>
    <row r="20" spans="1:5" ht="15" thickBot="1" x14ac:dyDescent="0.4">
      <c r="A20" s="1432"/>
      <c r="B20" s="1417"/>
      <c r="C20" s="1417" t="s">
        <v>2699</v>
      </c>
      <c r="D20" s="1417"/>
      <c r="E20" s="1436"/>
    </row>
    <row r="21" spans="1:5" x14ac:dyDescent="0.35">
      <c r="A21" s="1431" t="s">
        <v>2685</v>
      </c>
      <c r="B21" s="1420">
        <v>0.6</v>
      </c>
      <c r="C21" s="1416" t="s">
        <v>2700</v>
      </c>
      <c r="D21" s="1416"/>
      <c r="E21" s="1435"/>
    </row>
    <row r="22" spans="1:5" ht="15" thickBot="1" x14ac:dyDescent="0.4">
      <c r="A22" s="1432"/>
      <c r="B22" s="1417"/>
      <c r="C22" s="1417" t="s">
        <v>2701</v>
      </c>
      <c r="D22" s="1417"/>
      <c r="E22" s="1436"/>
    </row>
    <row r="23" spans="1:5" x14ac:dyDescent="0.35">
      <c r="A23" s="1431" t="s">
        <v>614</v>
      </c>
      <c r="B23" s="1418">
        <v>2496</v>
      </c>
      <c r="C23" s="1416" t="s">
        <v>2702</v>
      </c>
      <c r="D23" s="1416"/>
      <c r="E23" s="1435"/>
    </row>
    <row r="24" spans="1:5" ht="15" thickBot="1" x14ac:dyDescent="0.4">
      <c r="A24" s="1432"/>
      <c r="B24" s="1417"/>
      <c r="C24" s="1417" t="s">
        <v>2703</v>
      </c>
      <c r="D24" s="1417"/>
      <c r="E24" s="1436"/>
    </row>
    <row r="25" spans="1:5" x14ac:dyDescent="0.35">
      <c r="A25" s="1431" t="s">
        <v>796</v>
      </c>
      <c r="B25" s="1416"/>
      <c r="C25" s="1416" t="s">
        <v>2689</v>
      </c>
      <c r="D25" s="1416"/>
      <c r="E25" s="1435"/>
    </row>
    <row r="26" spans="1:5" ht="15" thickBot="1" x14ac:dyDescent="0.4">
      <c r="A26" s="1433"/>
      <c r="B26" s="1421">
        <v>100000</v>
      </c>
      <c r="C26" s="1434" t="s">
        <v>2690</v>
      </c>
      <c r="D26" s="1434"/>
      <c r="E26" s="1437"/>
    </row>
    <row r="27" spans="1:5" x14ac:dyDescent="0.35">
      <c r="A27" s="1431" t="s">
        <v>344</v>
      </c>
      <c r="B27" s="1422"/>
      <c r="C27" s="1416"/>
      <c r="D27" s="1416"/>
      <c r="E27" s="1435"/>
    </row>
    <row r="28" spans="1:5" ht="15" thickBot="1" x14ac:dyDescent="0.4">
      <c r="A28" s="1432"/>
      <c r="B28" s="1417"/>
      <c r="C28" s="1417"/>
      <c r="D28" s="1417"/>
      <c r="E28" s="1436"/>
    </row>
    <row r="29" spans="1:5" x14ac:dyDescent="0.35">
      <c r="A29" s="1431" t="s">
        <v>443</v>
      </c>
      <c r="B29" s="1416">
        <v>12</v>
      </c>
      <c r="C29" s="1416" t="s">
        <v>2693</v>
      </c>
      <c r="D29" s="1416"/>
      <c r="E29" s="1435"/>
    </row>
    <row r="30" spans="1:5" ht="15" thickBot="1" x14ac:dyDescent="0.4">
      <c r="A30" s="1432"/>
      <c r="B30" s="1417"/>
      <c r="C30" s="1417" t="s">
        <v>2692</v>
      </c>
      <c r="D30" s="1417"/>
      <c r="E30" s="1436"/>
    </row>
  </sheetData>
  <customSheetViews>
    <customSheetView guid="{11DE45F5-F478-4ED6-8DFF-12002C22A637}" scale="60" showPageBreaks="1" fitToPage="1" view="pageBreakPreview">
      <pageMargins left="0.7" right="0.7" top="0.75" bottom="0.75" header="0.3" footer="0.3"/>
      <pageSetup scale="43" orientation="landscape" verticalDpi="300" r:id="rId1"/>
    </customSheetView>
    <customSheetView guid="{ECD6FE6A-9548-414E-B8AA-6998703C57E0}" scale="60" showPageBreaks="1" fitToPage="1" view="pageBreakPreview">
      <pageMargins left="0.7" right="0.7" top="0.75" bottom="0.75" header="0.3" footer="0.3"/>
      <pageSetup scale="43" orientation="landscape" verticalDpi="300" r:id="rId2"/>
    </customSheetView>
  </customSheetViews>
  <mergeCells count="3">
    <mergeCell ref="J1:L1"/>
    <mergeCell ref="M1:O1"/>
    <mergeCell ref="P1:T1"/>
  </mergeCells>
  <dataValidations count="1">
    <dataValidation type="list" allowBlank="1" showInputMessage="1" showErrorMessage="1" sqref="D3:D4" xr:uid="{00000000-0002-0000-0B00-000000000000}">
      <formula1>MeasureType</formula1>
    </dataValidation>
  </dataValidations>
  <pageMargins left="0.7" right="0.7" top="0.75" bottom="0.75" header="0.3" footer="0.3"/>
  <pageSetup scale="42" orientation="landscape" verticalDpi="300"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79998168889431442"/>
    <pageSetUpPr fitToPage="1"/>
  </sheetPr>
  <dimension ref="A1:T30"/>
  <sheetViews>
    <sheetView view="pageBreakPreview" zoomScale="60" zoomScaleNormal="100" workbookViewId="0"/>
  </sheetViews>
  <sheetFormatPr defaultRowHeight="14.5" x14ac:dyDescent="0.35"/>
  <cols>
    <col min="1" max="1" width="22.26953125" bestFit="1" customWidth="1"/>
    <col min="2" max="2" width="36.26953125" bestFit="1" customWidth="1"/>
    <col min="3" max="3" width="20" bestFit="1" customWidth="1"/>
    <col min="4" max="4" width="9.54296875" customWidth="1"/>
    <col min="5" max="5" width="14.45312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4.7265625" customWidth="1"/>
    <col min="17" max="17" width="12.1796875" customWidth="1"/>
    <col min="20" max="20" width="13.81640625" customWidth="1"/>
  </cols>
  <sheetData>
    <row r="1" spans="1:20" ht="15" customHeight="1" x14ac:dyDescent="0.35">
      <c r="A1" s="1721" t="s">
        <v>316</v>
      </c>
      <c r="B1" s="1124"/>
      <c r="C1" s="1124"/>
      <c r="D1" s="1124"/>
      <c r="E1" s="1125"/>
      <c r="F1" s="1125"/>
      <c r="G1" s="1125"/>
      <c r="H1" s="1125"/>
      <c r="I1" s="1126"/>
      <c r="J1" s="2231" t="s">
        <v>335</v>
      </c>
      <c r="K1" s="2232"/>
      <c r="L1" s="2233"/>
      <c r="M1" s="2231" t="s">
        <v>336</v>
      </c>
      <c r="N1" s="2232"/>
      <c r="O1" s="2233"/>
      <c r="P1" s="2248" t="s">
        <v>337</v>
      </c>
      <c r="Q1" s="2248"/>
      <c r="R1" s="2248"/>
      <c r="S1" s="2248"/>
      <c r="T1" s="2248"/>
    </row>
    <row r="2" spans="1:20" s="781" customFormat="1" ht="43.5"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c r="P2" s="1439" t="s">
        <v>2679</v>
      </c>
      <c r="Q2" s="1439" t="s">
        <v>2682</v>
      </c>
      <c r="R2" s="1439" t="s">
        <v>2685</v>
      </c>
      <c r="S2" s="1439" t="s">
        <v>614</v>
      </c>
      <c r="T2" s="1439" t="s">
        <v>2694</v>
      </c>
    </row>
    <row r="3" spans="1:20" s="74" customFormat="1" ht="29" x14ac:dyDescent="0.35">
      <c r="A3" s="1131" t="s">
        <v>316</v>
      </c>
      <c r="B3" s="1131" t="s">
        <v>151</v>
      </c>
      <c r="C3" s="1132" t="s">
        <v>151</v>
      </c>
      <c r="D3" s="1133" t="s">
        <v>1306</v>
      </c>
      <c r="E3" s="1168" t="s">
        <v>356</v>
      </c>
      <c r="F3" s="1168">
        <f>+$B$29</f>
        <v>12</v>
      </c>
      <c r="G3" s="1136"/>
      <c r="H3" s="1141" t="s">
        <v>357</v>
      </c>
      <c r="I3" s="1141"/>
      <c r="J3" s="1169"/>
      <c r="K3" s="1170"/>
      <c r="L3" s="1169">
        <f>+(P3-Q3)*(R3*S3)/T3</f>
        <v>240.23999999999995</v>
      </c>
      <c r="M3" s="1171"/>
      <c r="N3" s="1170"/>
      <c r="O3" s="1171">
        <f>+L3*F3</f>
        <v>2882.8799999999992</v>
      </c>
      <c r="P3" s="1445">
        <f>+$B$17</f>
        <v>38500</v>
      </c>
      <c r="Q3" s="1445">
        <f>+$B$19</f>
        <v>24750</v>
      </c>
      <c r="R3" s="1446">
        <f>+$B$21</f>
        <v>0.7</v>
      </c>
      <c r="S3" s="1445">
        <f>+$B$23</f>
        <v>2496</v>
      </c>
      <c r="T3" s="1445">
        <f>+$B$26</f>
        <v>100000</v>
      </c>
    </row>
    <row r="4" spans="1:20" s="74" customFormat="1" ht="29" x14ac:dyDescent="0.35">
      <c r="A4" s="1131" t="s">
        <v>2705</v>
      </c>
      <c r="B4" s="1132" t="s">
        <v>152</v>
      </c>
      <c r="C4" s="1132" t="s">
        <v>152</v>
      </c>
      <c r="D4" s="1133" t="s">
        <v>1306</v>
      </c>
      <c r="E4" s="1168" t="s">
        <v>356</v>
      </c>
      <c r="F4" s="1168">
        <f>+$B$29</f>
        <v>12</v>
      </c>
      <c r="G4" s="1136"/>
      <c r="H4" s="1141" t="s">
        <v>357</v>
      </c>
      <c r="I4" s="1141" t="s">
        <v>1311</v>
      </c>
      <c r="J4" s="1169"/>
      <c r="K4" s="1170"/>
      <c r="L4" s="1169">
        <f t="shared" ref="L4" si="0">+(P4-Q4)*(R4*S4)/T4</f>
        <v>240.23999999999995</v>
      </c>
      <c r="M4" s="1171"/>
      <c r="N4" s="1170"/>
      <c r="O4" s="1171">
        <f t="shared" ref="O4" si="1">+L4*F4</f>
        <v>2882.8799999999992</v>
      </c>
      <c r="P4" s="1445">
        <f>+$B$17</f>
        <v>38500</v>
      </c>
      <c r="Q4" s="1445">
        <f>+$B$19</f>
        <v>24750</v>
      </c>
      <c r="R4" s="1446">
        <f>+$B$21</f>
        <v>0.7</v>
      </c>
      <c r="S4" s="1445">
        <f>+$B$23</f>
        <v>2496</v>
      </c>
      <c r="T4" s="1445">
        <f>+$B$26</f>
        <v>100000</v>
      </c>
    </row>
    <row r="6" spans="1:20" ht="15" thickBot="1" x14ac:dyDescent="0.4"/>
    <row r="7" spans="1:20" ht="15" thickBot="1" x14ac:dyDescent="0.4">
      <c r="A7" s="188" t="s">
        <v>2571</v>
      </c>
      <c r="B7" s="1384" t="e">
        <f>+#REF!</f>
        <v>#REF!</v>
      </c>
    </row>
    <row r="8" spans="1:20" ht="15" thickBot="1" x14ac:dyDescent="0.4">
      <c r="A8" s="188" t="s">
        <v>2572</v>
      </c>
      <c r="B8" s="701" t="s">
        <v>2786</v>
      </c>
    </row>
    <row r="9" spans="1:20" ht="15" thickBot="1" x14ac:dyDescent="0.4"/>
    <row r="10" spans="1:20" ht="15" thickBot="1" x14ac:dyDescent="0.4">
      <c r="A10" s="88" t="s">
        <v>408</v>
      </c>
      <c r="B10" s="78"/>
      <c r="C10" s="78"/>
      <c r="D10" s="78"/>
      <c r="E10" s="78"/>
      <c r="F10" s="79"/>
    </row>
    <row r="11" spans="1:20" x14ac:dyDescent="0.35">
      <c r="B11" s="83"/>
      <c r="C11" s="83"/>
      <c r="D11" s="83"/>
      <c r="E11" s="83"/>
      <c r="F11" s="125"/>
    </row>
    <row r="12" spans="1:20" x14ac:dyDescent="0.35">
      <c r="A12" s="124"/>
      <c r="B12" s="83"/>
      <c r="C12" s="83"/>
      <c r="D12" s="83"/>
      <c r="E12" s="83"/>
      <c r="F12" s="125"/>
    </row>
    <row r="13" spans="1:20" ht="15" thickBot="1" x14ac:dyDescent="0.4">
      <c r="A13" s="321"/>
      <c r="B13" s="201"/>
      <c r="C13" s="201"/>
      <c r="D13" s="201"/>
      <c r="E13" s="201"/>
      <c r="F13" s="203"/>
    </row>
    <row r="15" spans="1:20" ht="15" thickBot="1" x14ac:dyDescent="0.4"/>
    <row r="16" spans="1:20" ht="15" thickBot="1" x14ac:dyDescent="0.4">
      <c r="A16" s="763" t="s">
        <v>413</v>
      </c>
      <c r="B16" s="764" t="s">
        <v>414</v>
      </c>
      <c r="C16" s="765" t="s">
        <v>2659</v>
      </c>
      <c r="D16" s="472"/>
      <c r="E16" s="472"/>
      <c r="F16" s="473"/>
    </row>
    <row r="17" spans="1:6" x14ac:dyDescent="0.35">
      <c r="A17" s="467" t="s">
        <v>2679</v>
      </c>
      <c r="B17" s="801">
        <v>38500</v>
      </c>
      <c r="C17" s="468" t="s">
        <v>2706</v>
      </c>
      <c r="D17" s="468"/>
      <c r="E17" s="468"/>
      <c r="F17" s="469"/>
    </row>
    <row r="18" spans="1:6" ht="15" thickBot="1" x14ac:dyDescent="0.4">
      <c r="A18" s="321"/>
      <c r="B18" s="611"/>
      <c r="C18" s="201" t="s">
        <v>2707</v>
      </c>
      <c r="D18" s="201"/>
      <c r="E18" s="201"/>
      <c r="F18" s="203"/>
    </row>
    <row r="19" spans="1:6" x14ac:dyDescent="0.35">
      <c r="A19" s="467" t="s">
        <v>2682</v>
      </c>
      <c r="B19" s="801">
        <v>24750</v>
      </c>
      <c r="C19" s="468" t="s">
        <v>2708</v>
      </c>
      <c r="D19" s="468"/>
      <c r="E19" s="468"/>
      <c r="F19" s="469"/>
    </row>
    <row r="20" spans="1:6" ht="15" thickBot="1" x14ac:dyDescent="0.4">
      <c r="A20" s="321"/>
      <c r="B20" s="201"/>
      <c r="C20" s="201" t="s">
        <v>2709</v>
      </c>
      <c r="D20" s="201"/>
      <c r="E20" s="201"/>
      <c r="F20" s="203"/>
    </row>
    <row r="21" spans="1:6" x14ac:dyDescent="0.35">
      <c r="A21" s="467" t="s">
        <v>2685</v>
      </c>
      <c r="B21" s="1447">
        <v>0.7</v>
      </c>
      <c r="C21" s="468" t="s">
        <v>2710</v>
      </c>
      <c r="D21" s="468"/>
      <c r="E21" s="468"/>
      <c r="F21" s="469"/>
    </row>
    <row r="22" spans="1:6" ht="15" thickBot="1" x14ac:dyDescent="0.4">
      <c r="A22" s="321"/>
      <c r="B22" s="201"/>
      <c r="C22" s="201" t="s">
        <v>2711</v>
      </c>
      <c r="D22" s="201"/>
      <c r="E22" s="201"/>
      <c r="F22" s="203"/>
    </row>
    <row r="23" spans="1:6" x14ac:dyDescent="0.35">
      <c r="A23" s="467" t="s">
        <v>614</v>
      </c>
      <c r="B23" s="801">
        <v>2496</v>
      </c>
      <c r="C23" s="468" t="s">
        <v>2712</v>
      </c>
      <c r="D23" s="468"/>
      <c r="E23" s="468"/>
      <c r="F23" s="469"/>
    </row>
    <row r="24" spans="1:6" ht="15" thickBot="1" x14ac:dyDescent="0.4">
      <c r="A24" s="321"/>
      <c r="B24" s="201"/>
      <c r="C24" s="201" t="s">
        <v>2703</v>
      </c>
      <c r="D24" s="201"/>
      <c r="E24" s="201"/>
      <c r="F24" s="203"/>
    </row>
    <row r="25" spans="1:6" x14ac:dyDescent="0.35">
      <c r="A25" s="467" t="s">
        <v>796</v>
      </c>
      <c r="B25" s="468"/>
      <c r="C25" s="468" t="s">
        <v>2713</v>
      </c>
      <c r="D25" s="468"/>
      <c r="E25" s="468"/>
      <c r="F25" s="469"/>
    </row>
    <row r="26" spans="1:6" ht="15" thickBot="1" x14ac:dyDescent="0.4">
      <c r="A26" s="124"/>
      <c r="B26" s="1448">
        <v>100000</v>
      </c>
      <c r="C26" s="83" t="s">
        <v>2690</v>
      </c>
      <c r="D26" s="83"/>
      <c r="E26" s="83"/>
      <c r="F26" s="125"/>
    </row>
    <row r="27" spans="1:6" x14ac:dyDescent="0.35">
      <c r="A27" s="467" t="s">
        <v>344</v>
      </c>
      <c r="B27" s="1449"/>
      <c r="C27" s="468"/>
      <c r="D27" s="468"/>
      <c r="E27" s="468"/>
      <c r="F27" s="469"/>
    </row>
    <row r="28" spans="1:6" ht="15" thickBot="1" x14ac:dyDescent="0.4">
      <c r="A28" s="321"/>
      <c r="B28" s="201"/>
      <c r="C28" s="1450"/>
      <c r="D28" s="201"/>
      <c r="E28" s="201"/>
      <c r="F28" s="203"/>
    </row>
    <row r="29" spans="1:6" x14ac:dyDescent="0.35">
      <c r="A29" s="467" t="s">
        <v>443</v>
      </c>
      <c r="B29" s="468">
        <v>12</v>
      </c>
      <c r="C29" s="468" t="s">
        <v>2693</v>
      </c>
      <c r="D29" s="468"/>
      <c r="E29" s="468"/>
      <c r="F29" s="469"/>
    </row>
    <row r="30" spans="1:6" ht="15" thickBot="1" x14ac:dyDescent="0.4">
      <c r="A30" s="321"/>
      <c r="B30" s="201"/>
      <c r="C30" s="201" t="s">
        <v>2692</v>
      </c>
      <c r="D30" s="201"/>
      <c r="E30" s="201"/>
      <c r="F30" s="203"/>
    </row>
  </sheetData>
  <customSheetViews>
    <customSheetView guid="{11DE45F5-F478-4ED6-8DFF-12002C22A637}" scale="60" showPageBreaks="1" fitToPage="1" view="pageBreakPreview">
      <pageMargins left="0.7" right="0.7" top="0.75" bottom="0.75" header="0.3" footer="0.3"/>
      <pageSetup scale="44" orientation="landscape" verticalDpi="300" r:id="rId1"/>
    </customSheetView>
    <customSheetView guid="{ECD6FE6A-9548-414E-B8AA-6998703C57E0}" scale="60" showPageBreaks="1" fitToPage="1" view="pageBreakPreview">
      <pageMargins left="0.7" right="0.7" top="0.75" bottom="0.75" header="0.3" footer="0.3"/>
      <pageSetup scale="44"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C00-000000000000}">
      <formula1>MeasureType</formula1>
    </dataValidation>
  </dataValidations>
  <pageMargins left="0.7" right="0.7" top="0.75" bottom="0.75" header="0.3" footer="0.3"/>
  <pageSetup scale="43" orientation="landscape" verticalDpi="300"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79998168889431442"/>
    <pageSetUpPr fitToPage="1"/>
  </sheetPr>
  <dimension ref="A1:T30"/>
  <sheetViews>
    <sheetView view="pageBreakPreview" zoomScale="60" zoomScaleNormal="100" workbookViewId="0"/>
  </sheetViews>
  <sheetFormatPr defaultRowHeight="14.5" x14ac:dyDescent="0.35"/>
  <cols>
    <col min="1" max="1" width="22.26953125" bestFit="1" customWidth="1"/>
    <col min="2" max="2" width="30.453125" bestFit="1" customWidth="1"/>
    <col min="3" max="3" width="20" bestFit="1" customWidth="1"/>
    <col min="4" max="4" width="9.54296875" customWidth="1"/>
    <col min="5" max="5" width="15.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81640625" customWidth="1"/>
    <col min="17" max="17" width="12.7265625" customWidth="1"/>
    <col min="20" max="21" width="13.81640625" customWidth="1"/>
  </cols>
  <sheetData>
    <row r="1" spans="1:20" ht="15" customHeight="1" x14ac:dyDescent="0.35">
      <c r="A1" s="1721" t="s">
        <v>312</v>
      </c>
      <c r="B1" s="1124"/>
      <c r="C1" s="1124"/>
      <c r="D1" s="1124"/>
      <c r="E1" s="1125"/>
      <c r="F1" s="1125"/>
      <c r="G1" s="1125"/>
      <c r="H1" s="1125"/>
      <c r="I1" s="1126"/>
      <c r="J1" s="2231" t="s">
        <v>335</v>
      </c>
      <c r="K1" s="2232"/>
      <c r="L1" s="2233"/>
      <c r="M1" s="2231" t="s">
        <v>336</v>
      </c>
      <c r="N1" s="2232"/>
      <c r="O1" s="2233"/>
      <c r="P1" s="2248" t="s">
        <v>337</v>
      </c>
      <c r="Q1" s="2248"/>
      <c r="R1" s="2248"/>
      <c r="S1" s="2248"/>
      <c r="T1" s="2248"/>
    </row>
    <row r="2" spans="1:20" s="781" customFormat="1" ht="43.5"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c r="P2" s="1439" t="s">
        <v>2679</v>
      </c>
      <c r="Q2" s="1439" t="s">
        <v>2682</v>
      </c>
      <c r="R2" s="1439" t="s">
        <v>2685</v>
      </c>
      <c r="S2" s="1439" t="s">
        <v>614</v>
      </c>
      <c r="T2" s="1439" t="s">
        <v>2694</v>
      </c>
    </row>
    <row r="3" spans="1:20" s="74" customFormat="1" ht="29" x14ac:dyDescent="0.35">
      <c r="A3" s="1131" t="s">
        <v>312</v>
      </c>
      <c r="B3" s="1131" t="s">
        <v>157</v>
      </c>
      <c r="C3" s="1132" t="s">
        <v>157</v>
      </c>
      <c r="D3" s="1133" t="s">
        <v>1306</v>
      </c>
      <c r="E3" s="1168" t="s">
        <v>356</v>
      </c>
      <c r="F3" s="1168">
        <f>+$B$29</f>
        <v>12</v>
      </c>
      <c r="G3" s="1136"/>
      <c r="H3" s="1141" t="s">
        <v>357</v>
      </c>
      <c r="I3" s="1141"/>
      <c r="J3" s="1169"/>
      <c r="K3" s="1170"/>
      <c r="L3" s="1169">
        <f>+(P3-Q3)*(R3*S3)/T3</f>
        <v>943.48799999999983</v>
      </c>
      <c r="M3" s="1171"/>
      <c r="N3" s="1170"/>
      <c r="O3" s="1171">
        <f>+L3*F3</f>
        <v>11321.855999999998</v>
      </c>
      <c r="P3" s="1445">
        <f>+$B$17</f>
        <v>144000</v>
      </c>
      <c r="Q3" s="1445">
        <f>+$B$19</f>
        <v>90000</v>
      </c>
      <c r="R3" s="1446">
        <f>+$B$21</f>
        <v>0.7</v>
      </c>
      <c r="S3" s="1445">
        <f>+$B$23</f>
        <v>2496</v>
      </c>
      <c r="T3" s="1445">
        <f>+$B$26</f>
        <v>100000</v>
      </c>
    </row>
    <row r="4" spans="1:20" s="74" customFormat="1" ht="29" x14ac:dyDescent="0.35">
      <c r="A4" s="1131" t="s">
        <v>2714</v>
      </c>
      <c r="B4" s="1131" t="s">
        <v>158</v>
      </c>
      <c r="C4" s="1132" t="s">
        <v>158</v>
      </c>
      <c r="D4" s="1133" t="s">
        <v>1306</v>
      </c>
      <c r="E4" s="1168" t="s">
        <v>356</v>
      </c>
      <c r="F4" s="1168">
        <f>+$B$29</f>
        <v>12</v>
      </c>
      <c r="G4" s="1136"/>
      <c r="H4" s="1141" t="s">
        <v>357</v>
      </c>
      <c r="I4" s="1141" t="s">
        <v>1311</v>
      </c>
      <c r="J4" s="1169"/>
      <c r="K4" s="1170"/>
      <c r="L4" s="1169">
        <f t="shared" ref="L4" si="0">+(P4-Q4)*(R4*S4)/T4</f>
        <v>943.48799999999983</v>
      </c>
      <c r="M4" s="1171"/>
      <c r="N4" s="1170"/>
      <c r="O4" s="1171">
        <f t="shared" ref="O4" si="1">+L4*F4</f>
        <v>11321.855999999998</v>
      </c>
      <c r="P4" s="1445">
        <f>+$B$17</f>
        <v>144000</v>
      </c>
      <c r="Q4" s="1445">
        <f>+$B$19</f>
        <v>90000</v>
      </c>
      <c r="R4" s="1446">
        <f>+$B$21</f>
        <v>0.7</v>
      </c>
      <c r="S4" s="1445">
        <f>+$B$23</f>
        <v>2496</v>
      </c>
      <c r="T4" s="1445">
        <f>+$B$26</f>
        <v>100000</v>
      </c>
    </row>
    <row r="6" spans="1:20" ht="15" thickBot="1" x14ac:dyDescent="0.4"/>
    <row r="7" spans="1:20" ht="15" thickBot="1" x14ac:dyDescent="0.4">
      <c r="A7" s="188" t="s">
        <v>2571</v>
      </c>
      <c r="B7" s="1384" t="e">
        <f>+#REF!</f>
        <v>#REF!</v>
      </c>
    </row>
    <row r="8" spans="1:20" ht="15" thickBot="1" x14ac:dyDescent="0.4">
      <c r="A8" s="188" t="s">
        <v>2572</v>
      </c>
      <c r="B8" s="701" t="s">
        <v>2787</v>
      </c>
    </row>
    <row r="10" spans="1:20" ht="15" thickBot="1" x14ac:dyDescent="0.4"/>
    <row r="11" spans="1:20" ht="15" thickBot="1" x14ac:dyDescent="0.4">
      <c r="A11" s="88" t="s">
        <v>408</v>
      </c>
      <c r="B11" s="78"/>
      <c r="C11" s="78"/>
      <c r="D11" s="78"/>
      <c r="E11" s="78"/>
      <c r="F11" s="79"/>
    </row>
    <row r="12" spans="1:20" x14ac:dyDescent="0.35">
      <c r="B12" s="83"/>
      <c r="C12" s="83"/>
      <c r="D12" s="83"/>
      <c r="E12" s="83"/>
      <c r="F12" s="125"/>
    </row>
    <row r="13" spans="1:20" x14ac:dyDescent="0.35">
      <c r="A13" s="124"/>
      <c r="B13" s="83"/>
      <c r="C13" s="83"/>
      <c r="D13" s="83"/>
      <c r="E13" s="83"/>
      <c r="F13" s="125"/>
    </row>
    <row r="14" spans="1:20" ht="15" thickBot="1" x14ac:dyDescent="0.4">
      <c r="A14" s="321"/>
      <c r="B14" s="201"/>
      <c r="C14" s="201"/>
      <c r="D14" s="201"/>
      <c r="E14" s="201"/>
      <c r="F14" s="203"/>
    </row>
    <row r="15" spans="1:20" ht="15" thickBot="1" x14ac:dyDescent="0.4"/>
    <row r="16" spans="1:20" ht="15" thickBot="1" x14ac:dyDescent="0.4">
      <c r="A16" s="763" t="s">
        <v>413</v>
      </c>
      <c r="B16" s="764" t="s">
        <v>414</v>
      </c>
      <c r="C16" s="765" t="s">
        <v>2659</v>
      </c>
      <c r="D16" s="472"/>
      <c r="E16" s="472"/>
      <c r="F16" s="473"/>
    </row>
    <row r="17" spans="1:6" x14ac:dyDescent="0.35">
      <c r="A17" s="467" t="s">
        <v>2679</v>
      </c>
      <c r="B17" s="801">
        <v>144000</v>
      </c>
      <c r="C17" s="468" t="s">
        <v>2715</v>
      </c>
      <c r="D17" s="468"/>
      <c r="E17" s="468"/>
      <c r="F17" s="469"/>
    </row>
    <row r="18" spans="1:6" ht="15" thickBot="1" x14ac:dyDescent="0.4">
      <c r="A18" s="321"/>
      <c r="B18" s="611"/>
      <c r="C18" s="201" t="s">
        <v>2716</v>
      </c>
      <c r="D18" s="201"/>
      <c r="E18" s="201"/>
      <c r="F18" s="203"/>
    </row>
    <row r="19" spans="1:6" x14ac:dyDescent="0.35">
      <c r="A19" s="467" t="s">
        <v>2682</v>
      </c>
      <c r="B19" s="801">
        <v>90000</v>
      </c>
      <c r="C19" s="468" t="s">
        <v>2717</v>
      </c>
      <c r="D19" s="468"/>
      <c r="E19" s="468"/>
      <c r="F19" s="469"/>
    </row>
    <row r="20" spans="1:6" ht="15" thickBot="1" x14ac:dyDescent="0.4">
      <c r="A20" s="321"/>
      <c r="B20" s="201"/>
      <c r="C20" s="201" t="s">
        <v>2718</v>
      </c>
      <c r="D20" s="201"/>
      <c r="E20" s="201"/>
      <c r="F20" s="203"/>
    </row>
    <row r="21" spans="1:6" x14ac:dyDescent="0.35">
      <c r="A21" s="467" t="s">
        <v>2685</v>
      </c>
      <c r="B21" s="1447">
        <v>0.7</v>
      </c>
      <c r="C21" s="468" t="s">
        <v>2719</v>
      </c>
      <c r="D21" s="468"/>
      <c r="E21" s="468"/>
      <c r="F21" s="469"/>
    </row>
    <row r="22" spans="1:6" ht="15" thickBot="1" x14ac:dyDescent="0.4">
      <c r="A22" s="321"/>
      <c r="B22" s="201"/>
      <c r="C22" s="201" t="s">
        <v>2711</v>
      </c>
      <c r="D22" s="201"/>
      <c r="E22" s="201"/>
      <c r="F22" s="203"/>
    </row>
    <row r="23" spans="1:6" x14ac:dyDescent="0.35">
      <c r="A23" s="467" t="s">
        <v>614</v>
      </c>
      <c r="B23" s="801">
        <v>2496</v>
      </c>
      <c r="C23" s="468" t="s">
        <v>2720</v>
      </c>
      <c r="D23" s="468"/>
      <c r="E23" s="468"/>
      <c r="F23" s="469"/>
    </row>
    <row r="24" spans="1:6" ht="15" thickBot="1" x14ac:dyDescent="0.4">
      <c r="A24" s="321"/>
      <c r="B24" s="201"/>
      <c r="C24" s="201" t="s">
        <v>2703</v>
      </c>
      <c r="D24" s="201"/>
      <c r="E24" s="201"/>
      <c r="F24" s="203"/>
    </row>
    <row r="25" spans="1:6" x14ac:dyDescent="0.35">
      <c r="A25" s="467" t="s">
        <v>796</v>
      </c>
      <c r="B25" s="468"/>
      <c r="C25" s="468" t="s">
        <v>2721</v>
      </c>
      <c r="D25" s="468"/>
      <c r="E25" s="468"/>
      <c r="F25" s="469"/>
    </row>
    <row r="26" spans="1:6" ht="15" thickBot="1" x14ac:dyDescent="0.4">
      <c r="A26" s="124"/>
      <c r="B26" s="1448">
        <v>100000</v>
      </c>
      <c r="C26" s="83" t="s">
        <v>2690</v>
      </c>
      <c r="D26" s="83"/>
      <c r="E26" s="83"/>
      <c r="F26" s="125"/>
    </row>
    <row r="27" spans="1:6" x14ac:dyDescent="0.35">
      <c r="A27" s="467" t="s">
        <v>344</v>
      </c>
      <c r="B27" s="1449"/>
      <c r="C27" s="468"/>
      <c r="D27" s="468"/>
      <c r="E27" s="468"/>
      <c r="F27" s="469"/>
    </row>
    <row r="28" spans="1:6" ht="15" thickBot="1" x14ac:dyDescent="0.4">
      <c r="A28" s="321"/>
      <c r="B28" s="201"/>
      <c r="C28" s="201"/>
      <c r="D28" s="201"/>
      <c r="E28" s="201"/>
      <c r="F28" s="203"/>
    </row>
    <row r="29" spans="1:6" x14ac:dyDescent="0.35">
      <c r="A29" s="467" t="s">
        <v>443</v>
      </c>
      <c r="B29" s="468">
        <v>12</v>
      </c>
      <c r="C29" s="468" t="s">
        <v>2693</v>
      </c>
      <c r="D29" s="468"/>
      <c r="E29" s="468"/>
      <c r="F29" s="469"/>
    </row>
    <row r="30" spans="1:6" ht="15" thickBot="1" x14ac:dyDescent="0.4">
      <c r="A30" s="321"/>
      <c r="B30" s="201"/>
      <c r="C30" s="201" t="s">
        <v>2692</v>
      </c>
      <c r="D30" s="201"/>
      <c r="E30" s="201"/>
      <c r="F30" s="203"/>
    </row>
  </sheetData>
  <customSheetViews>
    <customSheetView guid="{11DE45F5-F478-4ED6-8DFF-12002C22A637}" scale="60" showPageBreaks="1" fitToPage="1" view="pageBreakPreview">
      <pageMargins left="0.7" right="0.7" top="0.75" bottom="0.75" header="0.3" footer="0.3"/>
      <pageSetup scale="45" orientation="landscape" verticalDpi="300" r:id="rId1"/>
    </customSheetView>
    <customSheetView guid="{ECD6FE6A-9548-414E-B8AA-6998703C57E0}" scale="60" showPageBreaks="1" fitToPage="1" view="pageBreakPreview">
      <pageMargins left="0.7" right="0.7" top="0.75" bottom="0.75" header="0.3" footer="0.3"/>
      <pageSetup scale="45" orientation="landscape" verticalDpi="300" r:id="rId2"/>
    </customSheetView>
  </customSheetViews>
  <mergeCells count="3">
    <mergeCell ref="J1:L1"/>
    <mergeCell ref="M1:O1"/>
    <mergeCell ref="P1:T1"/>
  </mergeCells>
  <dataValidations disablePrompts="1" count="1">
    <dataValidation type="list" allowBlank="1" showInputMessage="1" showErrorMessage="1" sqref="D3:D4" xr:uid="{00000000-0002-0000-0D00-000000000000}">
      <formula1>MeasureType</formula1>
    </dataValidation>
  </dataValidations>
  <pageMargins left="0.7" right="0.7" top="0.75" bottom="0.75" header="0.3" footer="0.3"/>
  <pageSetup scale="44" orientation="landscape" verticalDpi="3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fitToPage="1"/>
  </sheetPr>
  <dimension ref="A1:O12"/>
  <sheetViews>
    <sheetView view="pageBreakPreview" zoomScale="60" zoomScaleNormal="100" workbookViewId="0"/>
  </sheetViews>
  <sheetFormatPr defaultRowHeight="14.5" x14ac:dyDescent="0.35"/>
  <cols>
    <col min="1" max="1" width="22.26953125" bestFit="1" customWidth="1"/>
    <col min="2" max="2" width="32" bestFit="1" customWidth="1"/>
    <col min="3" max="3" width="16.81640625" customWidth="1"/>
    <col min="4" max="4" width="14.7265625" customWidth="1"/>
    <col min="5" max="5" width="21.542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s>
  <sheetData>
    <row r="1" spans="1:15" ht="15" customHeight="1" x14ac:dyDescent="0.35">
      <c r="A1" s="1721" t="s">
        <v>315</v>
      </c>
      <c r="B1" s="1124"/>
      <c r="C1" s="1124"/>
      <c r="D1" s="1124"/>
      <c r="E1" s="1125"/>
      <c r="F1" s="1125"/>
      <c r="G1" s="1125"/>
      <c r="H1" s="1125"/>
      <c r="I1" s="1126"/>
      <c r="J1" s="2231" t="s">
        <v>335</v>
      </c>
      <c r="K1" s="2232"/>
      <c r="L1" s="2233"/>
      <c r="M1" s="2231" t="s">
        <v>336</v>
      </c>
      <c r="N1" s="2232"/>
      <c r="O1" s="2233"/>
    </row>
    <row r="2" spans="1:15" s="781" customFormat="1" ht="29"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row>
    <row r="3" spans="1:15" s="74" customFormat="1" x14ac:dyDescent="0.35">
      <c r="A3" s="1131" t="s">
        <v>315</v>
      </c>
      <c r="B3" s="1131" t="s">
        <v>159</v>
      </c>
      <c r="C3" s="1132" t="s">
        <v>159</v>
      </c>
      <c r="D3" s="1133" t="s">
        <v>1306</v>
      </c>
      <c r="E3" s="1168" t="s">
        <v>356</v>
      </c>
      <c r="F3" s="1168">
        <f>+$B$8</f>
        <v>12</v>
      </c>
      <c r="G3" s="1136"/>
      <c r="H3" s="1141" t="s">
        <v>357</v>
      </c>
      <c r="I3" s="1141"/>
      <c r="J3" s="1169"/>
      <c r="K3" s="1170"/>
      <c r="L3" s="1169">
        <f>+$B$10</f>
        <v>1380</v>
      </c>
      <c r="M3" s="1171"/>
      <c r="N3" s="1170"/>
      <c r="O3" s="1171">
        <f>L3*F3</f>
        <v>16560</v>
      </c>
    </row>
    <row r="4" spans="1:15" s="74" customFormat="1" ht="29" x14ac:dyDescent="0.35">
      <c r="A4" s="1131" t="s">
        <v>2722</v>
      </c>
      <c r="B4" s="1131" t="s">
        <v>160</v>
      </c>
      <c r="C4" s="1132" t="s">
        <v>160</v>
      </c>
      <c r="D4" s="1133" t="s">
        <v>1306</v>
      </c>
      <c r="E4" s="1168" t="s">
        <v>356</v>
      </c>
      <c r="F4" s="1168">
        <f>+$B$8</f>
        <v>12</v>
      </c>
      <c r="G4" s="1136"/>
      <c r="H4" s="1141" t="s">
        <v>357</v>
      </c>
      <c r="I4" s="1141" t="s">
        <v>1311</v>
      </c>
      <c r="J4" s="1169"/>
      <c r="K4" s="1170"/>
      <c r="L4" s="1169">
        <f>+$B$10</f>
        <v>1380</v>
      </c>
      <c r="M4" s="1171"/>
      <c r="N4" s="1170"/>
      <c r="O4" s="1171">
        <f>L4*F4</f>
        <v>16560</v>
      </c>
    </row>
    <row r="6" spans="1:15" ht="15" thickBot="1" x14ac:dyDescent="0.4"/>
    <row r="7" spans="1:15" ht="15" thickBot="1" x14ac:dyDescent="0.4">
      <c r="A7" s="88" t="s">
        <v>413</v>
      </c>
      <c r="B7" s="89" t="s">
        <v>414</v>
      </c>
      <c r="C7" s="90" t="s">
        <v>415</v>
      </c>
      <c r="D7" s="78"/>
      <c r="E7" s="79"/>
    </row>
    <row r="8" spans="1:15" ht="15" thickBot="1" x14ac:dyDescent="0.4">
      <c r="A8" s="119" t="s">
        <v>1117</v>
      </c>
      <c r="B8" s="451">
        <v>12</v>
      </c>
      <c r="C8" s="451" t="s">
        <v>1732</v>
      </c>
      <c r="D8" s="451"/>
      <c r="E8" s="121"/>
    </row>
    <row r="9" spans="1:15" ht="18" customHeight="1" thickBot="1" x14ac:dyDescent="0.4">
      <c r="A9" s="119" t="s">
        <v>344</v>
      </c>
      <c r="B9" s="451"/>
      <c r="C9" s="451"/>
      <c r="D9" s="451"/>
      <c r="E9" s="121"/>
    </row>
    <row r="10" spans="1:15" ht="15" thickBot="1" x14ac:dyDescent="0.4">
      <c r="A10" s="119" t="s">
        <v>2044</v>
      </c>
      <c r="B10" s="451">
        <v>1380</v>
      </c>
      <c r="C10" s="451" t="s">
        <v>2045</v>
      </c>
      <c r="D10" s="451"/>
      <c r="E10" s="121"/>
    </row>
    <row r="11" spans="1:15" ht="15" thickBot="1" x14ac:dyDescent="0.4">
      <c r="A11" s="188" t="s">
        <v>2571</v>
      </c>
      <c r="B11" s="1384" t="e">
        <f>+#REF!</f>
        <v>#REF!</v>
      </c>
    </row>
    <row r="12" spans="1:15" ht="15" thickBot="1" x14ac:dyDescent="0.4">
      <c r="A12" s="188" t="s">
        <v>2572</v>
      </c>
      <c r="B12" s="701" t="s">
        <v>2788</v>
      </c>
    </row>
  </sheetData>
  <customSheetViews>
    <customSheetView guid="{11DE45F5-F478-4ED6-8DFF-12002C22A637}" scale="60" showPageBreaks="1" fitToPage="1" view="pageBreakPreview">
      <pageMargins left="0.7" right="0.7" top="0.75" bottom="0.75" header="0.3" footer="0.3"/>
      <pageSetup scale="55" orientation="landscape" verticalDpi="300" r:id="rId1"/>
    </customSheetView>
    <customSheetView guid="{ECD6FE6A-9548-414E-B8AA-6998703C57E0}" scale="60" showPageBreaks="1" fitToPage="1" view="pageBreakPreview">
      <pageMargins left="0.7" right="0.7" top="0.75" bottom="0.75" header="0.3" footer="0.3"/>
      <pageSetup scale="55" orientation="landscape" verticalDpi="300" r:id="rId2"/>
    </customSheetView>
  </customSheetViews>
  <mergeCells count="2">
    <mergeCell ref="J1:L1"/>
    <mergeCell ref="M1:O1"/>
  </mergeCells>
  <dataValidations count="1">
    <dataValidation type="list" allowBlank="1" showInputMessage="1" showErrorMessage="1" sqref="D3:D4" xr:uid="{00000000-0002-0000-0E00-000000000000}">
      <formula1>MeasureType</formula1>
    </dataValidation>
  </dataValidations>
  <pageMargins left="0.7" right="0.7" top="0.75" bottom="0.75" header="0.3" footer="0.3"/>
  <pageSetup scale="54" orientation="landscape" verticalDpi="300"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pageSetUpPr fitToPage="1"/>
  </sheetPr>
  <dimension ref="A1:U32"/>
  <sheetViews>
    <sheetView view="pageBreakPreview" zoomScale="60" zoomScaleNormal="100" workbookViewId="0"/>
  </sheetViews>
  <sheetFormatPr defaultRowHeight="14.5" x14ac:dyDescent="0.35"/>
  <cols>
    <col min="1" max="1" width="19.81640625" bestFit="1" customWidth="1"/>
    <col min="2" max="2" width="39.453125" bestFit="1" customWidth="1"/>
    <col min="3" max="3" width="10.81640625" customWidth="1"/>
    <col min="4" max="4" width="9.54296875" customWidth="1"/>
    <col min="5" max="5" width="26.1796875" customWidth="1"/>
    <col min="6" max="6" width="13.26953125" customWidth="1"/>
    <col min="7" max="7" width="12.26953125" customWidth="1"/>
    <col min="8" max="9" width="11.81640625" customWidth="1"/>
    <col min="10" max="10" width="11.1796875" customWidth="1"/>
    <col min="11" max="11" width="12" bestFit="1" customWidth="1"/>
    <col min="12" max="13" width="11" bestFit="1" customWidth="1"/>
    <col min="14" max="14" width="12.453125" customWidth="1"/>
    <col min="15" max="15" width="11.26953125" customWidth="1"/>
    <col min="16" max="16" width="13.54296875" customWidth="1"/>
    <col min="17" max="18" width="12.26953125" customWidth="1"/>
    <col min="21" max="21" width="14.54296875" customWidth="1"/>
  </cols>
  <sheetData>
    <row r="1" spans="1:21" ht="15" customHeight="1" x14ac:dyDescent="0.35">
      <c r="A1" s="1721" t="s">
        <v>320</v>
      </c>
      <c r="B1" s="1172" t="s">
        <v>2046</v>
      </c>
      <c r="C1" s="1124"/>
      <c r="D1" s="1124"/>
      <c r="E1" s="1125"/>
      <c r="F1" s="1125"/>
      <c r="G1" s="1125"/>
      <c r="H1" s="1125"/>
      <c r="I1" s="1126"/>
      <c r="J1" s="2231" t="s">
        <v>335</v>
      </c>
      <c r="K1" s="2232"/>
      <c r="L1" s="2233"/>
      <c r="M1" s="2231" t="s">
        <v>336</v>
      </c>
      <c r="N1" s="2232"/>
      <c r="O1" s="2233"/>
      <c r="P1" s="2248" t="s">
        <v>337</v>
      </c>
      <c r="Q1" s="2248"/>
      <c r="R1" s="2248"/>
      <c r="S1" s="2248"/>
      <c r="T1" s="2248"/>
      <c r="U1" s="2248"/>
    </row>
    <row r="2" spans="1:21" s="781" customFormat="1" ht="43.5"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c r="P2" s="1439" t="s">
        <v>2723</v>
      </c>
      <c r="Q2" s="1439" t="s">
        <v>2726</v>
      </c>
      <c r="R2" s="1439" t="s">
        <v>2729</v>
      </c>
      <c r="S2" s="1439" t="s">
        <v>2685</v>
      </c>
      <c r="T2" s="1439" t="s">
        <v>614</v>
      </c>
      <c r="U2" s="1439" t="s">
        <v>2694</v>
      </c>
    </row>
    <row r="3" spans="1:21" s="74" customFormat="1" ht="29" x14ac:dyDescent="0.35">
      <c r="A3" s="1131" t="s">
        <v>320</v>
      </c>
      <c r="B3" s="1131" t="str">
        <f>$B$1&amp;" "&amp;C3</f>
        <v>Rack Oven - Double Oven Rack Oven - Double</v>
      </c>
      <c r="C3" s="1132" t="s">
        <v>161</v>
      </c>
      <c r="D3" s="1133" t="s">
        <v>1306</v>
      </c>
      <c r="E3" s="1168" t="s">
        <v>356</v>
      </c>
      <c r="F3" s="1168">
        <f>+$B$31</f>
        <v>12</v>
      </c>
      <c r="G3" s="1438"/>
      <c r="H3" s="1141" t="s">
        <v>357</v>
      </c>
      <c r="I3" s="1141"/>
      <c r="J3" s="1169"/>
      <c r="K3" s="1170"/>
      <c r="L3" s="1169">
        <f>+P3*(R3-Q3)*S3*T3*1/U3</f>
        <v>1930.5000000000007</v>
      </c>
      <c r="M3" s="1171"/>
      <c r="N3" s="1170"/>
      <c r="O3" s="1171">
        <f>+L3*F3</f>
        <v>23166.000000000007</v>
      </c>
      <c r="P3" s="1445">
        <f>+$B$17</f>
        <v>275000</v>
      </c>
      <c r="Q3" s="1446">
        <f>+$B$19</f>
        <v>0.3</v>
      </c>
      <c r="R3" s="1446">
        <f>+$B$21</f>
        <v>0.55000000000000004</v>
      </c>
      <c r="S3" s="1446">
        <f>+$B$23</f>
        <v>0.75</v>
      </c>
      <c r="T3" s="1445">
        <f>+$B$25</f>
        <v>3744</v>
      </c>
      <c r="U3" s="1445">
        <f>+$B$28</f>
        <v>100000</v>
      </c>
    </row>
    <row r="4" spans="1:21" s="74" customFormat="1" ht="43.5" x14ac:dyDescent="0.35">
      <c r="A4" s="1131" t="s">
        <v>2735</v>
      </c>
      <c r="B4" s="1131" t="str">
        <f>$B$1&amp;" "&amp;C4</f>
        <v>Rack Oven - Double Oven Rack Oven - Double Upstream</v>
      </c>
      <c r="C4" s="1132" t="s">
        <v>162</v>
      </c>
      <c r="D4" s="1133" t="s">
        <v>1306</v>
      </c>
      <c r="E4" s="1168" t="s">
        <v>356</v>
      </c>
      <c r="F4" s="1168">
        <f>+$B$31</f>
        <v>12</v>
      </c>
      <c r="G4" s="1438"/>
      <c r="H4" s="1141" t="s">
        <v>357</v>
      </c>
      <c r="I4" s="1141" t="s">
        <v>1311</v>
      </c>
      <c r="J4" s="1169"/>
      <c r="K4" s="1170"/>
      <c r="L4" s="1169">
        <f t="shared" ref="L4" si="0">+P4*(R4-Q4)*S4*T4*1/U4</f>
        <v>1930.5000000000007</v>
      </c>
      <c r="M4" s="1171"/>
      <c r="N4" s="1170"/>
      <c r="O4" s="1171">
        <f>+L4*F4</f>
        <v>23166.000000000007</v>
      </c>
      <c r="P4" s="1445">
        <f>+$B$17</f>
        <v>275000</v>
      </c>
      <c r="Q4" s="1446">
        <f>+$B$19</f>
        <v>0.3</v>
      </c>
      <c r="R4" s="1446">
        <f>+$B$21</f>
        <v>0.55000000000000004</v>
      </c>
      <c r="S4" s="1446">
        <f>+$B$23</f>
        <v>0.75</v>
      </c>
      <c r="T4" s="1445">
        <f>+$B$25</f>
        <v>3744</v>
      </c>
      <c r="U4" s="1445">
        <f>+$B$28</f>
        <v>100000</v>
      </c>
    </row>
    <row r="5" spans="1:21" x14ac:dyDescent="0.35">
      <c r="A5" s="1137"/>
      <c r="B5" s="1137"/>
      <c r="C5" s="1137"/>
      <c r="D5" s="1137"/>
      <c r="E5" s="1137"/>
      <c r="F5" s="1137"/>
      <c r="G5" s="1137"/>
      <c r="H5" s="1137"/>
      <c r="I5" s="1137"/>
      <c r="J5" s="1137"/>
      <c r="K5" s="1137"/>
      <c r="L5" s="1137"/>
      <c r="M5" s="1137"/>
      <c r="N5" s="1137"/>
      <c r="O5" s="1137"/>
      <c r="P5" s="1137"/>
      <c r="Q5" s="1137"/>
      <c r="R5" s="1137"/>
      <c r="S5" s="1137"/>
      <c r="T5" s="1137"/>
      <c r="U5" s="1137"/>
    </row>
    <row r="6" spans="1:21" ht="15" thickBot="1" x14ac:dyDescent="0.4"/>
    <row r="7" spans="1:21" ht="15" thickBot="1" x14ac:dyDescent="0.4">
      <c r="A7" s="188" t="s">
        <v>2571</v>
      </c>
      <c r="B7" s="1384" t="e">
        <f>+#REF!</f>
        <v>#REF!</v>
      </c>
    </row>
    <row r="8" spans="1:21" ht="15" thickBot="1" x14ac:dyDescent="0.4">
      <c r="A8" s="188" t="s">
        <v>2572</v>
      </c>
      <c r="B8" s="701" t="s">
        <v>2789</v>
      </c>
    </row>
    <row r="9" spans="1:21" ht="15" thickBot="1" x14ac:dyDescent="0.4"/>
    <row r="10" spans="1:21" ht="15" thickBot="1" x14ac:dyDescent="0.4">
      <c r="A10" s="88" t="s">
        <v>408</v>
      </c>
      <c r="B10" s="78"/>
      <c r="C10" s="78"/>
      <c r="D10" s="78"/>
      <c r="E10" s="78"/>
      <c r="F10" s="79"/>
    </row>
    <row r="11" spans="1:21" x14ac:dyDescent="0.35">
      <c r="A11" s="135"/>
      <c r="B11" s="83"/>
      <c r="C11" s="83"/>
      <c r="D11" s="83"/>
      <c r="E11" s="83"/>
      <c r="F11" s="125"/>
    </row>
    <row r="12" spans="1:21" x14ac:dyDescent="0.35">
      <c r="A12" s="124"/>
      <c r="B12" s="83"/>
      <c r="C12" s="83"/>
      <c r="D12" s="83"/>
      <c r="E12" s="83"/>
      <c r="F12" s="125"/>
    </row>
    <row r="13" spans="1:21" ht="15" thickBot="1" x14ac:dyDescent="0.4">
      <c r="A13" s="321"/>
      <c r="B13" s="201"/>
      <c r="C13" s="201"/>
      <c r="D13" s="201"/>
      <c r="E13" s="201"/>
      <c r="F13" s="203"/>
    </row>
    <row r="15" spans="1:21" ht="15" thickBot="1" x14ac:dyDescent="0.4"/>
    <row r="16" spans="1:21" ht="15" thickBot="1" x14ac:dyDescent="0.4">
      <c r="A16" s="763" t="s">
        <v>413</v>
      </c>
      <c r="B16" s="764" t="s">
        <v>414</v>
      </c>
      <c r="C16" s="765" t="s">
        <v>2659</v>
      </c>
      <c r="D16" s="472"/>
      <c r="E16" s="472"/>
      <c r="F16" s="473"/>
    </row>
    <row r="17" spans="1:6" x14ac:dyDescent="0.35">
      <c r="A17" s="1451" t="s">
        <v>2723</v>
      </c>
      <c r="B17" s="1460">
        <v>275000</v>
      </c>
      <c r="C17" s="1452" t="s">
        <v>2724</v>
      </c>
      <c r="D17" s="1452"/>
      <c r="E17" s="1452"/>
      <c r="F17" s="1457"/>
    </row>
    <row r="18" spans="1:6" ht="15" thickBot="1" x14ac:dyDescent="0.4">
      <c r="A18" s="1453"/>
      <c r="B18" s="1461"/>
      <c r="C18" s="1454" t="s">
        <v>2725</v>
      </c>
      <c r="D18" s="1454"/>
      <c r="E18" s="1454"/>
      <c r="F18" s="1458"/>
    </row>
    <row r="19" spans="1:6" x14ac:dyDescent="0.35">
      <c r="A19" s="1451" t="s">
        <v>2726</v>
      </c>
      <c r="B19" s="1462">
        <v>0.3</v>
      </c>
      <c r="C19" s="1452" t="s">
        <v>2727</v>
      </c>
      <c r="D19" s="1452"/>
      <c r="E19" s="1452"/>
      <c r="F19" s="1457"/>
    </row>
    <row r="20" spans="1:6" ht="15" thickBot="1" x14ac:dyDescent="0.4">
      <c r="A20" s="1453"/>
      <c r="B20" s="1463"/>
      <c r="C20" s="1454" t="s">
        <v>2728</v>
      </c>
      <c r="D20" s="1454"/>
      <c r="E20" s="1454"/>
      <c r="F20" s="1458"/>
    </row>
    <row r="21" spans="1:6" x14ac:dyDescent="0.35">
      <c r="A21" s="1451" t="s">
        <v>2729</v>
      </c>
      <c r="B21" s="1464">
        <v>0.55000000000000004</v>
      </c>
      <c r="C21" s="1452" t="s">
        <v>2730</v>
      </c>
      <c r="D21" s="1452"/>
      <c r="E21" s="1452"/>
      <c r="F21" s="1457"/>
    </row>
    <row r="22" spans="1:6" ht="15" thickBot="1" x14ac:dyDescent="0.4">
      <c r="A22" s="1453"/>
      <c r="B22" s="1463"/>
      <c r="C22" s="1454" t="s">
        <v>2731</v>
      </c>
      <c r="D22" s="1454"/>
      <c r="E22" s="1454"/>
      <c r="F22" s="1458"/>
    </row>
    <row r="23" spans="1:6" x14ac:dyDescent="0.35">
      <c r="A23" s="1451" t="s">
        <v>2685</v>
      </c>
      <c r="B23" s="1462">
        <v>0.75</v>
      </c>
      <c r="C23" s="1452" t="s">
        <v>2732</v>
      </c>
      <c r="D23" s="1452"/>
      <c r="E23" s="1452"/>
      <c r="F23" s="1457"/>
    </row>
    <row r="24" spans="1:6" ht="15" thickBot="1" x14ac:dyDescent="0.4">
      <c r="A24" s="1453"/>
      <c r="B24" s="1463"/>
      <c r="C24" s="1454" t="s">
        <v>2733</v>
      </c>
      <c r="D24" s="1454"/>
      <c r="E24" s="1454"/>
      <c r="F24" s="1458"/>
    </row>
    <row r="25" spans="1:6" x14ac:dyDescent="0.35">
      <c r="A25" s="1451" t="s">
        <v>614</v>
      </c>
      <c r="B25" s="1460">
        <v>3744</v>
      </c>
      <c r="C25" s="1452" t="s">
        <v>1880</v>
      </c>
      <c r="D25" s="1452"/>
      <c r="E25" s="1452"/>
      <c r="F25" s="1457"/>
    </row>
    <row r="26" spans="1:6" ht="15" thickBot="1" x14ac:dyDescent="0.4">
      <c r="A26" s="1453"/>
      <c r="B26" s="1463"/>
      <c r="C26" s="1454" t="s">
        <v>2734</v>
      </c>
      <c r="D26" s="1454"/>
      <c r="E26" s="1454"/>
      <c r="F26" s="1458"/>
    </row>
    <row r="27" spans="1:6" x14ac:dyDescent="0.35">
      <c r="A27" s="1451" t="s">
        <v>796</v>
      </c>
      <c r="B27" s="1465"/>
      <c r="C27" s="1452"/>
      <c r="D27" s="1452"/>
      <c r="E27" s="1452"/>
      <c r="F27" s="1457"/>
    </row>
    <row r="28" spans="1:6" ht="15" thickBot="1" x14ac:dyDescent="0.4">
      <c r="A28" s="1455"/>
      <c r="B28" s="1466">
        <v>100000</v>
      </c>
      <c r="C28" s="1456" t="s">
        <v>2690</v>
      </c>
      <c r="D28" s="1456"/>
      <c r="E28" s="1456"/>
      <c r="F28" s="1459"/>
    </row>
    <row r="29" spans="1:6" x14ac:dyDescent="0.35">
      <c r="A29" s="1451" t="s">
        <v>344</v>
      </c>
      <c r="B29" s="1467"/>
      <c r="C29" s="1452"/>
      <c r="D29" s="1452"/>
      <c r="E29" s="1452"/>
      <c r="F29" s="1457"/>
    </row>
    <row r="30" spans="1:6" ht="15" thickBot="1" x14ac:dyDescent="0.4">
      <c r="A30" s="1453"/>
      <c r="B30" s="1463"/>
      <c r="C30" s="1454"/>
      <c r="D30" s="1454"/>
      <c r="E30" s="1454"/>
      <c r="F30" s="1458"/>
    </row>
    <row r="31" spans="1:6" x14ac:dyDescent="0.35">
      <c r="A31" s="1451" t="s">
        <v>443</v>
      </c>
      <c r="B31" s="1465">
        <v>12</v>
      </c>
      <c r="C31" s="1452" t="s">
        <v>2693</v>
      </c>
      <c r="D31" s="1452"/>
      <c r="E31" s="1452"/>
      <c r="F31" s="1457"/>
    </row>
    <row r="32" spans="1:6" ht="15" thickBot="1" x14ac:dyDescent="0.4">
      <c r="A32" s="1453"/>
      <c r="B32" s="1463"/>
      <c r="C32" s="1454" t="s">
        <v>2692</v>
      </c>
      <c r="D32" s="1454"/>
      <c r="E32" s="1454"/>
      <c r="F32" s="1458"/>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3">
    <mergeCell ref="J1:L1"/>
    <mergeCell ref="M1:O1"/>
    <mergeCell ref="P1:U1"/>
  </mergeCells>
  <dataValidations count="1">
    <dataValidation type="list" allowBlank="1" showInputMessage="1" showErrorMessage="1" sqref="D3:D4" xr:uid="{00000000-0002-0000-0F00-000000000000}">
      <formula1>MeasureType</formula1>
    </dataValidation>
  </dataValidations>
  <pageMargins left="0.7" right="0.7" top="0.75" bottom="0.75" header="0.3" footer="0.3"/>
  <pageSetup scale="41" orientation="landscape" verticalDpi="3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79998168889431442"/>
    <pageSetUpPr fitToPage="1"/>
  </sheetPr>
  <dimension ref="A1:BA108"/>
  <sheetViews>
    <sheetView view="pageBreakPreview" zoomScale="70" zoomScaleNormal="100" zoomScaleSheetLayoutView="70" workbookViewId="0"/>
  </sheetViews>
  <sheetFormatPr defaultRowHeight="14.5" x14ac:dyDescent="0.35"/>
  <cols>
    <col min="1" max="1" width="14.1796875" customWidth="1"/>
    <col min="2" max="2" width="44.7265625" customWidth="1"/>
    <col min="3" max="3" width="20" bestFit="1" customWidth="1"/>
    <col min="4" max="4" width="11.81640625" customWidth="1"/>
    <col min="5" max="5" width="9.54296875" customWidth="1"/>
    <col min="6" max="6" width="18.453125" bestFit="1" customWidth="1"/>
    <col min="7" max="7" width="18.453125" customWidth="1"/>
    <col min="8" max="8" width="13.453125" customWidth="1"/>
    <col min="9" max="9" width="12.1796875" customWidth="1"/>
    <col min="10" max="10" width="14.26953125" customWidth="1"/>
    <col min="11" max="11" width="14.453125" bestFit="1" customWidth="1"/>
    <col min="12" max="12" width="22.81640625" customWidth="1"/>
    <col min="13" max="13" width="12.81640625" customWidth="1"/>
    <col min="14" max="14" width="10.453125" customWidth="1"/>
    <col min="16" max="16" width="10.26953125" customWidth="1"/>
    <col min="17" max="17" width="12.54296875" bestFit="1" customWidth="1"/>
    <col min="19" max="19" width="14.453125" style="74" customWidth="1"/>
    <col min="23" max="23" width="13.26953125" bestFit="1" customWidth="1"/>
    <col min="28" max="28" width="10.81640625" bestFit="1" customWidth="1"/>
    <col min="29" max="29" width="13.54296875" bestFit="1" customWidth="1"/>
    <col min="30" max="30" width="8.453125" bestFit="1" customWidth="1"/>
    <col min="31" max="31" width="4.81640625" bestFit="1" customWidth="1"/>
    <col min="32" max="32" width="6.453125" bestFit="1" customWidth="1"/>
    <col min="33" max="33" width="9" bestFit="1" customWidth="1"/>
    <col min="34" max="34" width="9.7265625" bestFit="1" customWidth="1"/>
    <col min="35" max="35" width="7.453125" bestFit="1" customWidth="1"/>
    <col min="36" max="36" width="8.54296875" bestFit="1" customWidth="1"/>
    <col min="37" max="37" width="9.54296875" bestFit="1" customWidth="1"/>
  </cols>
  <sheetData>
    <row r="1" spans="1:53" ht="15" customHeight="1" x14ac:dyDescent="0.35">
      <c r="A1" s="1721" t="s">
        <v>301</v>
      </c>
      <c r="B1" s="1172" t="s">
        <v>2047</v>
      </c>
      <c r="C1" s="1176"/>
      <c r="D1" s="1176"/>
      <c r="E1" s="1177"/>
      <c r="F1" s="1177"/>
      <c r="G1" s="1177"/>
      <c r="H1" s="1177"/>
      <c r="I1" s="1177"/>
      <c r="J1" s="1177"/>
      <c r="K1" s="1177"/>
      <c r="L1" s="1177"/>
      <c r="M1" s="1177"/>
      <c r="N1" s="1177"/>
      <c r="O1" s="2231" t="s">
        <v>335</v>
      </c>
      <c r="P1" s="2232"/>
      <c r="Q1" s="2233"/>
      <c r="R1" s="2231" t="s">
        <v>336</v>
      </c>
      <c r="S1" s="2232"/>
      <c r="T1" s="2232"/>
      <c r="U1" s="2270" t="s">
        <v>2334</v>
      </c>
      <c r="V1" s="2271"/>
      <c r="W1" s="2271"/>
      <c r="X1" s="2271"/>
      <c r="Y1" s="2271"/>
      <c r="Z1" s="2271"/>
      <c r="AA1" s="2271"/>
      <c r="AB1" s="2271"/>
      <c r="AC1" s="2270" t="s">
        <v>2048</v>
      </c>
      <c r="AD1" s="2271"/>
      <c r="AE1" s="2271"/>
      <c r="AF1" s="2271"/>
      <c r="AG1" s="2271"/>
      <c r="AH1" s="2271"/>
      <c r="AI1" s="2271"/>
      <c r="AJ1" s="2271"/>
      <c r="AK1" s="2271"/>
    </row>
    <row r="2" spans="1:53" s="800" customFormat="1" ht="30" x14ac:dyDescent="0.45">
      <c r="A2" s="1145" t="s">
        <v>338</v>
      </c>
      <c r="B2" s="1129" t="s">
        <v>1</v>
      </c>
      <c r="C2" s="1129" t="s">
        <v>339</v>
      </c>
      <c r="D2" s="1129" t="s">
        <v>688</v>
      </c>
      <c r="E2" s="1177" t="s">
        <v>342</v>
      </c>
      <c r="F2" s="1177" t="s">
        <v>340</v>
      </c>
      <c r="G2" s="1177" t="s">
        <v>1562</v>
      </c>
      <c r="H2" s="1177" t="s">
        <v>353</v>
      </c>
      <c r="I2" s="1177" t="s">
        <v>838</v>
      </c>
      <c r="J2" s="1177" t="s">
        <v>2049</v>
      </c>
      <c r="K2" s="1177" t="s">
        <v>346</v>
      </c>
      <c r="L2" s="1177" t="s">
        <v>343</v>
      </c>
      <c r="M2" s="1177" t="s">
        <v>344</v>
      </c>
      <c r="N2" s="1177" t="s">
        <v>345</v>
      </c>
      <c r="O2" s="1177" t="s">
        <v>347</v>
      </c>
      <c r="P2" s="1177" t="s">
        <v>348</v>
      </c>
      <c r="Q2" s="1177" t="s">
        <v>349</v>
      </c>
      <c r="R2" s="1177" t="s">
        <v>347</v>
      </c>
      <c r="S2" s="1177" t="s">
        <v>348</v>
      </c>
      <c r="T2" s="1178" t="s">
        <v>349</v>
      </c>
      <c r="U2" s="1048" t="s">
        <v>350</v>
      </c>
      <c r="V2" s="1049" t="s">
        <v>351</v>
      </c>
      <c r="W2" s="1049" t="s">
        <v>2050</v>
      </c>
      <c r="X2" s="1050" t="s">
        <v>2051</v>
      </c>
      <c r="Y2" s="1049" t="s">
        <v>2052</v>
      </c>
      <c r="Z2" s="1049" t="s">
        <v>2053</v>
      </c>
      <c r="AA2" s="1051" t="s">
        <v>2054</v>
      </c>
      <c r="AB2" s="1051" t="s">
        <v>2055</v>
      </c>
      <c r="AC2" s="1051" t="s">
        <v>2056</v>
      </c>
      <c r="AD2" s="1052" t="s">
        <v>2057</v>
      </c>
      <c r="AE2" s="1052" t="s">
        <v>2058</v>
      </c>
      <c r="AF2" s="1052" t="s">
        <v>2059</v>
      </c>
      <c r="AG2" s="1052" t="s">
        <v>2060</v>
      </c>
      <c r="AH2" s="1052" t="s">
        <v>2061</v>
      </c>
      <c r="AI2" s="1052" t="s">
        <v>2062</v>
      </c>
      <c r="AJ2" s="1052" t="s">
        <v>2063</v>
      </c>
      <c r="AK2" s="1052" t="s">
        <v>2064</v>
      </c>
      <c r="AM2" s="1053"/>
      <c r="AN2" s="1053"/>
      <c r="AO2" s="1053"/>
      <c r="AP2" s="781"/>
      <c r="AQ2" s="781"/>
      <c r="AR2" s="781"/>
      <c r="AS2" s="781"/>
      <c r="AT2" s="1054"/>
      <c r="AU2" s="1054"/>
      <c r="AV2" s="781"/>
      <c r="AW2" s="781"/>
      <c r="AX2" s="781"/>
      <c r="AY2" s="781"/>
      <c r="AZ2" s="1054"/>
      <c r="BA2" s="781"/>
    </row>
    <row r="3" spans="1:53" s="74" customFormat="1" ht="29" x14ac:dyDescent="0.35">
      <c r="A3" s="1131" t="s">
        <v>2065</v>
      </c>
      <c r="B3" s="1131" t="str">
        <f>$B$1&amp;" - "&amp;F3&amp;", Bld Type = "&amp;I3&amp;IF(F3=$B$58, IF(I3=$I$85, "", ", Sml Biz"), "")</f>
        <v>Storage Water Heater - Gas, Standard, ≥0.67 EF, Bld Type = Average, Sml Biz</v>
      </c>
      <c r="C3" s="1132" t="s">
        <v>205</v>
      </c>
      <c r="D3" s="1133" t="s">
        <v>354</v>
      </c>
      <c r="E3" s="1149" t="s">
        <v>495</v>
      </c>
      <c r="F3" s="1150" t="s">
        <v>2066</v>
      </c>
      <c r="G3" s="1149">
        <v>0.67</v>
      </c>
      <c r="H3" s="135" t="s">
        <v>2067</v>
      </c>
      <c r="I3" s="1150" t="s">
        <v>736</v>
      </c>
      <c r="J3" s="135" t="s">
        <v>2068</v>
      </c>
      <c r="K3" s="135"/>
      <c r="L3" s="1179">
        <f>+$B$21</f>
        <v>15</v>
      </c>
      <c r="M3" s="1180"/>
      <c r="N3" s="1181"/>
      <c r="O3" s="1182"/>
      <c r="P3" s="1182"/>
      <c r="Q3" s="1851">
        <f t="shared" ref="Q3:Q4" si="0">+((U3-V3)*(W3*X3)*1*((1/Y3)-(1/Z3)))/100000+AC3</f>
        <v>48.22116686119378</v>
      </c>
      <c r="R3" s="1183"/>
      <c r="S3" s="1184"/>
      <c r="T3" s="1857">
        <f t="shared" ref="T3:T4" si="1">Q3*L3</f>
        <v>723.31750291790672</v>
      </c>
      <c r="U3" s="317">
        <f>+$B$27</f>
        <v>125</v>
      </c>
      <c r="V3" s="317">
        <f>+$B$29</f>
        <v>54</v>
      </c>
      <c r="W3" s="782">
        <f>+AA3*$G$86</f>
        <v>28839.285714285717</v>
      </c>
      <c r="X3" s="317">
        <f>+$B$33</f>
        <v>8.33</v>
      </c>
      <c r="Y3" s="1858">
        <f>+IF(AND(J3="&lt;75,000",AA3&lt;55),$J$60-($K$60*AA3),IF(AND(J3="&lt;75,000",AA3&gt;55),$J$61-($K$61*AA3),IF(AND(J3="&gt;75,000",AA3&gt;55),$J$62-$K$62*AA3)))</f>
        <v>0.56330000000000002</v>
      </c>
      <c r="Z3" s="1055">
        <f t="shared" ref="Z3:Z4" si="2">+G3</f>
        <v>0.67</v>
      </c>
      <c r="AA3" s="317">
        <v>50</v>
      </c>
      <c r="AB3" s="1056">
        <v>100000</v>
      </c>
      <c r="AC3" s="1056"/>
      <c r="AD3" s="1056"/>
      <c r="AE3" s="1056"/>
      <c r="AF3" s="1056"/>
      <c r="AG3" s="1056"/>
      <c r="AH3" s="1056"/>
      <c r="AI3" s="1056"/>
      <c r="AJ3" s="1056"/>
      <c r="AK3" s="1056"/>
      <c r="AM3" s="1057"/>
      <c r="AN3" s="1057"/>
      <c r="AO3" s="1057"/>
      <c r="AP3" s="1057"/>
      <c r="AQ3" s="1057"/>
      <c r="AR3" s="1057"/>
      <c r="AS3" s="1057"/>
      <c r="AV3" s="1057"/>
      <c r="AW3" s="1057"/>
      <c r="AX3" s="1057"/>
      <c r="AY3" s="1057"/>
      <c r="BA3" s="1057"/>
    </row>
    <row r="4" spans="1:53" s="74" customFormat="1" ht="29" x14ac:dyDescent="0.35">
      <c r="A4" s="1131" t="s">
        <v>2069</v>
      </c>
      <c r="B4" s="1131" t="str">
        <f>$B$1&amp;" - "&amp;F4&amp;", Bld Type = "&amp;I4&amp;IF(F4=$B$58, IF(I4=$I$85, "", ", Sml Biz"), "")</f>
        <v>Storage Water Heater - Gas,High Efficiency, ≥88% TE, Bld Type = Average</v>
      </c>
      <c r="C4" s="1132" t="s">
        <v>206</v>
      </c>
      <c r="D4" s="1133" t="s">
        <v>354</v>
      </c>
      <c r="E4" s="1149" t="s">
        <v>495</v>
      </c>
      <c r="F4" s="1150" t="s">
        <v>2070</v>
      </c>
      <c r="G4" s="1149">
        <v>0.88</v>
      </c>
      <c r="H4" s="135" t="s">
        <v>2071</v>
      </c>
      <c r="I4" s="1150" t="s">
        <v>736</v>
      </c>
      <c r="J4" s="135" t="s">
        <v>2072</v>
      </c>
      <c r="K4" s="135"/>
      <c r="L4" s="1179">
        <f>+$B$21</f>
        <v>15</v>
      </c>
      <c r="M4" s="1180"/>
      <c r="N4" s="1181"/>
      <c r="O4" s="1182"/>
      <c r="P4" s="1182"/>
      <c r="Q4" s="1851">
        <f t="shared" si="0"/>
        <v>336.19206214763915</v>
      </c>
      <c r="R4" s="1183"/>
      <c r="S4" s="1184"/>
      <c r="T4" s="1857">
        <f t="shared" si="1"/>
        <v>5042.8809322145871</v>
      </c>
      <c r="U4" s="317">
        <f>+$B$27</f>
        <v>125</v>
      </c>
      <c r="V4" s="317">
        <f>+$B$29</f>
        <v>54</v>
      </c>
      <c r="W4" s="782">
        <f>+AA4*$G$86</f>
        <v>57678.571428571435</v>
      </c>
      <c r="X4" s="317">
        <f>+$B$33</f>
        <v>8.33</v>
      </c>
      <c r="Y4" s="1858">
        <f t="shared" ref="Y4:Y5" si="3">+IF(AND(J4="&lt;75,000",AA4&lt;55),$J$60-($K$60*AA4),IF(AND(J4="&lt;75,000",AA4&gt;55),$J$61-($K$61*AA4),IF(AND(J4="&gt;75,000",AA4&gt;55),$J$62-$K$62*AA4)))</f>
        <v>0.49019999999999997</v>
      </c>
      <c r="Z4" s="1055">
        <f t="shared" si="2"/>
        <v>0.88</v>
      </c>
      <c r="AA4" s="317">
        <f>+$B$43</f>
        <v>100</v>
      </c>
      <c r="AB4" s="1056">
        <f>+AD4</f>
        <v>175000</v>
      </c>
      <c r="AC4" s="1058">
        <f>+(AG4-AF4)*AK4/100000</f>
        <v>27.941624999999998</v>
      </c>
      <c r="AD4" s="1056">
        <f>+$B$41</f>
        <v>175000</v>
      </c>
      <c r="AE4" s="1056">
        <f>+$AA$4</f>
        <v>100</v>
      </c>
      <c r="AF4" s="1056">
        <f>+$B$45</f>
        <v>1000</v>
      </c>
      <c r="AG4" s="1059">
        <f>+AD4/AH4+AI4*SQRT(AE4)</f>
        <v>1318.75</v>
      </c>
      <c r="AH4" s="1059">
        <f>+$B$51</f>
        <v>800</v>
      </c>
      <c r="AI4" s="1059">
        <f>+$B$52</f>
        <v>110</v>
      </c>
      <c r="AJ4" s="1056">
        <f>+$B$48</f>
        <v>100000</v>
      </c>
      <c r="AK4" s="1056">
        <f>+$B$47</f>
        <v>8766</v>
      </c>
      <c r="AL4" s="262"/>
    </row>
    <row r="5" spans="1:53" s="74" customFormat="1" ht="43.5" x14ac:dyDescent="0.35">
      <c r="A5" s="1131" t="s">
        <v>2069</v>
      </c>
      <c r="B5" s="1131" t="s">
        <v>2736</v>
      </c>
      <c r="C5" s="1132" t="s">
        <v>2737</v>
      </c>
      <c r="D5" s="1133" t="s">
        <v>354</v>
      </c>
      <c r="E5" s="1149" t="s">
        <v>495</v>
      </c>
      <c r="F5" s="1150" t="s">
        <v>2738</v>
      </c>
      <c r="G5" s="1149">
        <v>0.9</v>
      </c>
      <c r="H5" s="135" t="s">
        <v>2071</v>
      </c>
      <c r="I5" s="1150" t="s">
        <v>736</v>
      </c>
      <c r="J5" s="135" t="s">
        <v>2072</v>
      </c>
      <c r="K5" s="135"/>
      <c r="L5" s="1179">
        <f>+$B$21</f>
        <v>15</v>
      </c>
      <c r="M5" s="1180"/>
      <c r="N5" s="1181"/>
      <c r="O5" s="1182"/>
      <c r="P5" s="1182"/>
      <c r="Q5" s="1851">
        <f t="shared" ref="Q5" si="4">+((U5-V5)*(W5*X5)*1*((1/Y5)-(1/Z5)))/100000+AC5</f>
        <v>344.80641505167961</v>
      </c>
      <c r="R5" s="1183"/>
      <c r="S5" s="1184"/>
      <c r="T5" s="1857">
        <f t="shared" ref="T5" si="5">Q5*L5</f>
        <v>5172.0962257751944</v>
      </c>
      <c r="U5" s="317">
        <f>+$B$27</f>
        <v>125</v>
      </c>
      <c r="V5" s="317">
        <f>+$B$29</f>
        <v>54</v>
      </c>
      <c r="W5" s="782">
        <f>+AA5*$G$86</f>
        <v>57678.571428571435</v>
      </c>
      <c r="X5" s="317">
        <f>+$B$33</f>
        <v>8.33</v>
      </c>
      <c r="Y5" s="1858">
        <f t="shared" si="3"/>
        <v>0.49019999999999997</v>
      </c>
      <c r="Z5" s="1055">
        <f t="shared" ref="Z5" si="6">+G5</f>
        <v>0.9</v>
      </c>
      <c r="AA5" s="317">
        <f>+$B$43</f>
        <v>100</v>
      </c>
      <c r="AB5" s="1056">
        <f t="shared" ref="AB5" si="7">+AD5</f>
        <v>175000</v>
      </c>
      <c r="AC5" s="1058">
        <f t="shared" ref="AC5" si="8">+(AG5-AF5)*AK5/100000</f>
        <v>27.941624999999998</v>
      </c>
      <c r="AD5" s="1056">
        <f>+$B$41</f>
        <v>175000</v>
      </c>
      <c r="AE5" s="1056">
        <f t="shared" ref="AE5" si="9">+$AA$4</f>
        <v>100</v>
      </c>
      <c r="AF5" s="1056">
        <f>+$B$45</f>
        <v>1000</v>
      </c>
      <c r="AG5" s="1059">
        <f t="shared" ref="AG5" si="10">+AD5/AH5+AI5*SQRT(AE5)</f>
        <v>1318.75</v>
      </c>
      <c r="AH5" s="1059">
        <f>+$B$51</f>
        <v>800</v>
      </c>
      <c r="AI5" s="1059">
        <f>+$B$52</f>
        <v>110</v>
      </c>
      <c r="AJ5" s="1056">
        <f>+$B$48</f>
        <v>100000</v>
      </c>
      <c r="AK5" s="1056">
        <f>+$B$47</f>
        <v>8766</v>
      </c>
      <c r="AL5" s="262"/>
    </row>
    <row r="6" spans="1:53" x14ac:dyDescent="0.35">
      <c r="A6" s="1137"/>
      <c r="B6" s="1137"/>
      <c r="C6" s="1137"/>
      <c r="D6" s="1137"/>
      <c r="E6" s="1137"/>
      <c r="F6" s="1137"/>
      <c r="G6" s="1137"/>
      <c r="H6" s="1137"/>
      <c r="I6" s="1137"/>
      <c r="J6" s="1137"/>
      <c r="K6" s="1137"/>
      <c r="L6" s="1137"/>
      <c r="M6" s="1186"/>
      <c r="N6" s="1137"/>
      <c r="O6" s="1137"/>
      <c r="P6" s="1137"/>
      <c r="Q6" s="1137"/>
      <c r="R6" s="1137"/>
      <c r="S6" s="1137"/>
      <c r="T6" s="1187"/>
      <c r="U6" s="1187"/>
      <c r="V6" s="1187"/>
      <c r="W6" s="1187"/>
      <c r="X6" s="1187"/>
      <c r="Y6" s="1187"/>
      <c r="Z6" s="1187"/>
      <c r="AA6" s="1187"/>
      <c r="AB6" s="1187"/>
      <c r="AC6" s="1187"/>
      <c r="AD6" s="1187"/>
      <c r="AE6" s="1187"/>
      <c r="AF6" s="1187"/>
      <c r="AG6" s="1187"/>
      <c r="AH6" s="1187"/>
      <c r="AI6" s="1187"/>
      <c r="AJ6" s="1187"/>
      <c r="AK6" s="1187"/>
    </row>
    <row r="7" spans="1:53" ht="15" thickBot="1" x14ac:dyDescent="0.4"/>
    <row r="8" spans="1:53" ht="15" thickBot="1" x14ac:dyDescent="0.4">
      <c r="A8" s="88" t="s">
        <v>3008</v>
      </c>
      <c r="B8" s="78"/>
      <c r="C8" s="78"/>
      <c r="D8" s="78"/>
      <c r="E8" s="78"/>
      <c r="F8" s="79"/>
    </row>
    <row r="9" spans="1:53" x14ac:dyDescent="0.35">
      <c r="A9" s="467"/>
      <c r="B9" s="1060"/>
      <c r="C9" s="468"/>
      <c r="D9" s="468"/>
      <c r="E9" s="468"/>
      <c r="F9" s="469"/>
    </row>
    <row r="10" spans="1:53" x14ac:dyDescent="0.35">
      <c r="A10" s="1061" t="s">
        <v>2073</v>
      </c>
      <c r="B10" s="129"/>
      <c r="C10" s="83"/>
      <c r="D10" s="83"/>
      <c r="E10" s="83"/>
      <c r="F10" s="125"/>
    </row>
    <row r="11" spans="1:53" x14ac:dyDescent="0.35">
      <c r="A11" s="124"/>
      <c r="B11" s="83"/>
      <c r="C11" s="83"/>
      <c r="D11" s="83"/>
      <c r="E11" s="83"/>
      <c r="F11" s="125"/>
    </row>
    <row r="12" spans="1:53" x14ac:dyDescent="0.35">
      <c r="A12" s="124"/>
      <c r="B12" s="83"/>
      <c r="C12" s="83"/>
      <c r="D12" s="83"/>
      <c r="E12" s="83"/>
      <c r="F12" s="125"/>
    </row>
    <row r="13" spans="1:53" ht="16.5" x14ac:dyDescent="0.45">
      <c r="A13" s="1061" t="s">
        <v>2056</v>
      </c>
      <c r="B13" s="83"/>
      <c r="C13" s="83"/>
      <c r="D13" s="83"/>
      <c r="E13" s="83"/>
      <c r="F13" s="125"/>
    </row>
    <row r="14" spans="1:53" x14ac:dyDescent="0.35">
      <c r="A14" s="124"/>
      <c r="B14" s="83"/>
      <c r="C14" s="83"/>
      <c r="D14" s="83"/>
      <c r="E14" s="83"/>
      <c r="F14" s="125"/>
    </row>
    <row r="15" spans="1:53" x14ac:dyDescent="0.35">
      <c r="A15" s="124"/>
      <c r="B15" s="83" t="s">
        <v>2074</v>
      </c>
      <c r="C15" s="83"/>
      <c r="D15" s="83"/>
      <c r="E15" s="83"/>
      <c r="F15" s="125"/>
    </row>
    <row r="16" spans="1:53" ht="15" thickBot="1" x14ac:dyDescent="0.4">
      <c r="A16" s="321"/>
      <c r="B16" s="201"/>
      <c r="C16" s="201"/>
      <c r="D16" s="201"/>
      <c r="E16" s="201"/>
      <c r="F16" s="203"/>
      <c r="Q16" s="74"/>
      <c r="R16" s="74"/>
      <c r="T16" s="74"/>
      <c r="U16" s="74"/>
      <c r="V16" s="74"/>
      <c r="W16" s="74"/>
      <c r="X16" s="74"/>
      <c r="Y16" s="74"/>
      <c r="Z16" s="74"/>
      <c r="AA16" s="74"/>
      <c r="AB16" s="74"/>
      <c r="AC16" s="74"/>
      <c r="AD16" s="74"/>
      <c r="AE16" s="74"/>
      <c r="AF16" s="74"/>
    </row>
    <row r="17" spans="1:32" ht="15" thickBot="1" x14ac:dyDescent="0.4">
      <c r="A17" s="188" t="s">
        <v>2571</v>
      </c>
      <c r="B17" s="1930" t="e">
        <f>+#REF!</f>
        <v>#REF!</v>
      </c>
      <c r="Q17" s="74"/>
      <c r="R17" s="74"/>
      <c r="T17" s="74"/>
      <c r="U17" s="74"/>
      <c r="V17" s="74"/>
      <c r="W17" s="74"/>
      <c r="X17" s="74"/>
      <c r="Y17" s="74"/>
      <c r="Z17" s="74"/>
      <c r="AA17" s="74"/>
      <c r="AB17" s="74"/>
      <c r="AC17" s="74"/>
      <c r="AD17" s="74"/>
      <c r="AE17" s="74"/>
      <c r="AF17" s="74"/>
    </row>
    <row r="18" spans="1:32" ht="15" thickBot="1" x14ac:dyDescent="0.4">
      <c r="A18" s="188" t="s">
        <v>2572</v>
      </c>
      <c r="B18" s="1931" t="s">
        <v>3421</v>
      </c>
      <c r="Q18" s="74"/>
      <c r="R18" s="74"/>
      <c r="T18" s="74"/>
      <c r="U18" s="74"/>
      <c r="V18" s="74"/>
      <c r="W18" s="74"/>
      <c r="X18" s="74"/>
      <c r="Y18" s="74"/>
      <c r="Z18" s="74"/>
      <c r="AA18" s="74"/>
      <c r="AB18" s="74"/>
      <c r="AC18" s="74"/>
      <c r="AD18" s="74"/>
      <c r="AE18" s="74"/>
      <c r="AF18" s="74"/>
    </row>
    <row r="19" spans="1:32" ht="15" thickBot="1" x14ac:dyDescent="0.4">
      <c r="Q19" s="74"/>
      <c r="R19" s="74"/>
      <c r="T19" s="74"/>
      <c r="U19" s="74"/>
      <c r="V19" s="74"/>
      <c r="W19" s="74"/>
      <c r="X19" s="74"/>
      <c r="Y19" s="74"/>
      <c r="Z19" s="74"/>
      <c r="AA19" s="74"/>
      <c r="AB19" s="74"/>
      <c r="AC19" s="74"/>
      <c r="AD19" s="74"/>
      <c r="AE19" s="74"/>
      <c r="AF19" s="74"/>
    </row>
    <row r="20" spans="1:32" ht="15" thickBot="1" x14ac:dyDescent="0.4">
      <c r="A20" s="88" t="s">
        <v>2075</v>
      </c>
      <c r="B20" s="89" t="s">
        <v>414</v>
      </c>
      <c r="C20" s="90" t="s">
        <v>415</v>
      </c>
      <c r="D20" s="472"/>
      <c r="E20" s="472"/>
      <c r="F20" s="472"/>
      <c r="G20" s="472"/>
      <c r="H20" s="473"/>
      <c r="Q20" s="74"/>
      <c r="R20" s="74"/>
      <c r="T20" s="74"/>
      <c r="U20" s="74"/>
      <c r="V20" s="74"/>
      <c r="W20" s="74"/>
      <c r="X20" s="74"/>
      <c r="Y20" s="74"/>
      <c r="Z20" s="74"/>
      <c r="AA20" s="74"/>
      <c r="AB20" s="74"/>
      <c r="AC20" s="74"/>
      <c r="AD20" s="74"/>
      <c r="AE20" s="74"/>
      <c r="AF20" s="74"/>
    </row>
    <row r="21" spans="1:32" x14ac:dyDescent="0.35">
      <c r="A21" s="118" t="s">
        <v>443</v>
      </c>
      <c r="B21" s="94">
        <v>15</v>
      </c>
      <c r="C21" s="94" t="s">
        <v>1841</v>
      </c>
      <c r="D21" s="67"/>
      <c r="E21" s="67"/>
      <c r="F21" s="67"/>
      <c r="G21" s="67"/>
      <c r="H21" s="310"/>
      <c r="Q21" s="74"/>
      <c r="R21" s="74"/>
      <c r="T21" s="74"/>
      <c r="U21" s="74"/>
      <c r="V21" s="74"/>
      <c r="W21" s="74"/>
      <c r="X21" s="74"/>
      <c r="Y21" s="74"/>
      <c r="Z21" s="74"/>
      <c r="AA21" s="74"/>
      <c r="AB21" s="74"/>
      <c r="AC21" s="74"/>
      <c r="AD21" s="74"/>
      <c r="AE21" s="74"/>
      <c r="AF21" s="74"/>
    </row>
    <row r="22" spans="1:32" ht="15" thickBot="1" x14ac:dyDescent="0.4">
      <c r="A22" s="311"/>
      <c r="B22" s="67"/>
      <c r="C22" s="67" t="s">
        <v>2076</v>
      </c>
      <c r="D22" s="67"/>
      <c r="E22" s="67"/>
      <c r="F22" s="67"/>
      <c r="G22" s="67"/>
      <c r="H22" s="310"/>
      <c r="Q22" s="74"/>
      <c r="R22" s="74"/>
      <c r="T22" s="74"/>
      <c r="U22" s="74"/>
      <c r="V22" s="74"/>
      <c r="W22" s="74"/>
      <c r="X22" s="74"/>
      <c r="Y22" s="74"/>
      <c r="Z22" s="74"/>
      <c r="AA22" s="74"/>
      <c r="AB22" s="74"/>
      <c r="AC22" s="74"/>
      <c r="AD22" s="74"/>
      <c r="AE22" s="74"/>
      <c r="AF22" s="74"/>
    </row>
    <row r="23" spans="1:32" x14ac:dyDescent="0.35">
      <c r="A23" s="118" t="s">
        <v>344</v>
      </c>
      <c r="B23" s="94"/>
      <c r="C23" s="95"/>
      <c r="D23" s="94"/>
      <c r="E23" s="94"/>
      <c r="F23" s="94"/>
      <c r="G23" s="94"/>
      <c r="H23" s="95"/>
      <c r="Q23" s="74"/>
      <c r="R23" s="74"/>
      <c r="T23" s="74"/>
      <c r="U23" s="74"/>
      <c r="V23" s="74"/>
      <c r="W23" s="74"/>
      <c r="X23" s="74"/>
      <c r="Y23" s="74"/>
      <c r="Z23" s="74"/>
      <c r="AA23" s="74"/>
      <c r="AB23" s="74"/>
      <c r="AC23" s="74"/>
      <c r="AD23" s="74"/>
      <c r="AE23" s="74"/>
      <c r="AF23" s="74"/>
    </row>
    <row r="24" spans="1:32" ht="15" thickBot="1" x14ac:dyDescent="0.4">
      <c r="A24" s="311"/>
      <c r="B24" s="67"/>
      <c r="C24" s="310"/>
      <c r="D24" s="67"/>
      <c r="E24" s="67"/>
      <c r="F24" s="67"/>
      <c r="G24" s="67"/>
      <c r="H24" s="310"/>
      <c r="Q24" s="74"/>
      <c r="R24" s="74"/>
      <c r="T24" s="74"/>
      <c r="U24" s="74"/>
      <c r="V24" s="74"/>
      <c r="W24" s="74"/>
      <c r="X24" s="74"/>
      <c r="Y24" s="74"/>
      <c r="Z24" s="74"/>
      <c r="AA24" s="74"/>
      <c r="AB24" s="74"/>
      <c r="AC24" s="74"/>
      <c r="AD24" s="74"/>
      <c r="AE24" s="74"/>
      <c r="AF24" s="74"/>
    </row>
    <row r="25" spans="1:32" x14ac:dyDescent="0.35">
      <c r="A25" s="118" t="s">
        <v>501</v>
      </c>
      <c r="B25" s="94"/>
      <c r="C25" s="105" t="s">
        <v>2078</v>
      </c>
      <c r="D25" s="94"/>
      <c r="E25" s="94"/>
      <c r="F25" s="94"/>
      <c r="G25" s="94"/>
      <c r="H25" s="95"/>
      <c r="Q25" s="74"/>
      <c r="R25" s="74"/>
      <c r="T25" s="74"/>
      <c r="U25" s="74"/>
      <c r="V25" s="74"/>
      <c r="W25" s="74"/>
      <c r="X25" s="74"/>
      <c r="Y25" s="74"/>
      <c r="Z25" s="74"/>
      <c r="AA25" s="74"/>
      <c r="AB25" s="74"/>
      <c r="AC25" s="74"/>
      <c r="AD25" s="74"/>
      <c r="AE25" s="74"/>
      <c r="AF25" s="74"/>
    </row>
    <row r="26" spans="1:32" ht="15" thickBot="1" x14ac:dyDescent="0.4">
      <c r="A26" s="111"/>
      <c r="B26" s="99"/>
      <c r="C26" s="110" t="s">
        <v>2332</v>
      </c>
      <c r="D26" s="99"/>
      <c r="E26" s="99"/>
      <c r="F26" s="99"/>
      <c r="G26" s="99"/>
      <c r="H26" s="100"/>
      <c r="Q26" s="74"/>
      <c r="R26" s="74"/>
      <c r="T26" s="74"/>
      <c r="U26" s="74"/>
      <c r="V26" s="74"/>
      <c r="W26" s="74"/>
      <c r="X26" s="74"/>
      <c r="Y26" s="74"/>
      <c r="Z26" s="74"/>
      <c r="AA26" s="74"/>
      <c r="AB26" s="74"/>
      <c r="AC26" s="74"/>
      <c r="AD26" s="74"/>
      <c r="AE26" s="74"/>
      <c r="AF26" s="74"/>
    </row>
    <row r="27" spans="1:32" x14ac:dyDescent="0.35">
      <c r="A27" s="1062" t="s">
        <v>350</v>
      </c>
      <c r="B27" s="104">
        <v>125</v>
      </c>
      <c r="C27" s="396" t="s">
        <v>359</v>
      </c>
      <c r="D27" s="104"/>
      <c r="E27" s="104"/>
      <c r="F27" s="104"/>
      <c r="G27" s="104"/>
      <c r="H27" s="105"/>
      <c r="Q27" s="74"/>
      <c r="R27" s="74"/>
      <c r="T27" s="74"/>
      <c r="U27" s="74"/>
      <c r="V27" s="74"/>
      <c r="W27" s="74"/>
      <c r="X27" s="74"/>
      <c r="Y27" s="74"/>
      <c r="Z27" s="74"/>
      <c r="AA27" s="74"/>
      <c r="AB27" s="74"/>
      <c r="AC27" s="74"/>
      <c r="AD27" s="74"/>
      <c r="AE27" s="74"/>
      <c r="AF27" s="74"/>
    </row>
    <row r="28" spans="1:32" ht="15" thickBot="1" x14ac:dyDescent="0.4">
      <c r="A28" s="450"/>
      <c r="B28" s="109"/>
      <c r="C28" s="109" t="s">
        <v>1237</v>
      </c>
      <c r="D28" s="109"/>
      <c r="E28" s="109"/>
      <c r="F28" s="109"/>
      <c r="G28" s="109"/>
      <c r="H28" s="110"/>
      <c r="Q28" s="74"/>
      <c r="R28" s="74"/>
      <c r="T28" s="74"/>
      <c r="U28" s="74"/>
      <c r="V28" s="74"/>
      <c r="W28" s="74"/>
      <c r="X28" s="74"/>
      <c r="Y28" s="74"/>
      <c r="Z28" s="74"/>
      <c r="AA28" s="74"/>
      <c r="AB28" s="74"/>
      <c r="AC28" s="74"/>
      <c r="AD28" s="74"/>
      <c r="AE28" s="74"/>
      <c r="AF28" s="74"/>
    </row>
    <row r="29" spans="1:32" x14ac:dyDescent="0.35">
      <c r="A29" s="485" t="s">
        <v>351</v>
      </c>
      <c r="B29" s="104">
        <v>54</v>
      </c>
      <c r="C29" s="104" t="s">
        <v>360</v>
      </c>
      <c r="D29" s="104"/>
      <c r="E29" s="104"/>
      <c r="F29" s="104"/>
      <c r="G29" s="104"/>
      <c r="H29" s="105" t="s">
        <v>756</v>
      </c>
      <c r="Q29" s="74"/>
      <c r="R29" s="74"/>
      <c r="T29" s="74"/>
      <c r="U29" s="74"/>
      <c r="V29" s="74"/>
      <c r="W29" s="74"/>
      <c r="X29" s="74"/>
      <c r="Y29" s="74"/>
      <c r="Z29" s="74"/>
      <c r="AA29" s="74"/>
      <c r="AB29" s="74"/>
      <c r="AC29" s="74"/>
      <c r="AD29" s="74"/>
      <c r="AE29" s="74"/>
      <c r="AF29" s="74"/>
    </row>
    <row r="30" spans="1:32" ht="15" thickBot="1" x14ac:dyDescent="0.4">
      <c r="A30" s="450"/>
      <c r="B30" s="109"/>
      <c r="C30" s="109" t="s">
        <v>1237</v>
      </c>
      <c r="D30" s="109"/>
      <c r="E30" s="109"/>
      <c r="F30" s="109"/>
      <c r="G30" s="109"/>
      <c r="H30" s="110"/>
      <c r="Q30" s="74"/>
      <c r="R30" s="74"/>
      <c r="T30" s="74"/>
      <c r="U30" s="74"/>
      <c r="V30" s="74"/>
      <c r="W30" s="74"/>
      <c r="X30" s="74"/>
      <c r="Y30" s="74"/>
      <c r="Z30" s="74"/>
      <c r="AA30" s="74"/>
      <c r="AB30" s="74"/>
      <c r="AC30" s="74"/>
      <c r="AD30" s="74"/>
      <c r="AE30" s="74"/>
      <c r="AF30" s="74"/>
    </row>
    <row r="31" spans="1:32" x14ac:dyDescent="0.35">
      <c r="A31" s="1063" t="s">
        <v>2050</v>
      </c>
      <c r="B31" s="264" t="s">
        <v>2077</v>
      </c>
      <c r="C31" s="2241" t="s">
        <v>2079</v>
      </c>
      <c r="D31" s="2241"/>
      <c r="E31" s="2241"/>
      <c r="F31" s="2241"/>
      <c r="G31" s="2241"/>
      <c r="H31" s="2242"/>
      <c r="Q31" s="74"/>
      <c r="R31" s="74"/>
      <c r="T31" s="74"/>
      <c r="U31" s="74"/>
      <c r="V31" s="74"/>
      <c r="W31" s="74"/>
      <c r="X31" s="74"/>
      <c r="Y31" s="74"/>
      <c r="Z31" s="74"/>
      <c r="AA31" s="74"/>
      <c r="AB31" s="74"/>
      <c r="AC31" s="74"/>
      <c r="AD31" s="74"/>
      <c r="AE31" s="74"/>
      <c r="AF31" s="74"/>
    </row>
    <row r="32" spans="1:32" ht="15" thickBot="1" x14ac:dyDescent="0.4">
      <c r="A32" s="345"/>
      <c r="B32" s="184"/>
      <c r="C32" s="1064" t="s">
        <v>2080</v>
      </c>
      <c r="D32" s="184"/>
      <c r="E32" s="184"/>
      <c r="F32" s="184"/>
      <c r="G32" s="184"/>
      <c r="H32" s="347"/>
      <c r="Q32" s="74"/>
      <c r="R32" s="74"/>
      <c r="T32" s="74"/>
      <c r="U32" s="74"/>
      <c r="V32" s="74"/>
      <c r="W32" s="74"/>
      <c r="X32" s="74"/>
      <c r="Y32" s="74"/>
      <c r="Z32" s="74"/>
      <c r="AA32" s="74"/>
      <c r="AB32" s="74"/>
      <c r="AC32" s="74"/>
      <c r="AD32" s="74"/>
      <c r="AE32" s="74"/>
      <c r="AF32" s="74"/>
    </row>
    <row r="33" spans="1:32" x14ac:dyDescent="0.35">
      <c r="A33" s="1065" t="s">
        <v>2051</v>
      </c>
      <c r="B33" s="104">
        <v>8.33</v>
      </c>
      <c r="C33" s="115" t="s">
        <v>2081</v>
      </c>
      <c r="D33" s="104"/>
      <c r="E33" s="104"/>
      <c r="F33" s="104"/>
      <c r="G33" s="104"/>
      <c r="H33" s="105"/>
      <c r="Q33" s="74"/>
      <c r="R33" s="74"/>
      <c r="T33" s="74"/>
      <c r="U33" s="74"/>
      <c r="V33" s="74"/>
      <c r="W33" s="74"/>
      <c r="X33" s="74"/>
      <c r="Y33" s="74"/>
      <c r="Z33" s="74"/>
      <c r="AA33" s="74"/>
      <c r="AB33" s="74"/>
      <c r="AC33" s="74"/>
      <c r="AD33" s="74"/>
      <c r="AE33" s="74"/>
      <c r="AF33" s="74"/>
    </row>
    <row r="34" spans="1:32" ht="15" thickBot="1" x14ac:dyDescent="0.4">
      <c r="A34" s="450"/>
      <c r="B34" s="109"/>
      <c r="C34" s="109" t="s">
        <v>2082</v>
      </c>
      <c r="D34" s="109"/>
      <c r="E34" s="109"/>
      <c r="F34" s="109"/>
      <c r="G34" s="109"/>
      <c r="H34" s="110"/>
      <c r="Q34" s="74"/>
      <c r="R34" s="74"/>
      <c r="T34" s="74"/>
      <c r="U34" s="74"/>
      <c r="V34" s="74"/>
      <c r="W34" s="74"/>
      <c r="X34" s="74"/>
      <c r="Y34" s="74"/>
      <c r="Z34" s="74"/>
      <c r="AA34" s="74"/>
      <c r="AB34" s="74"/>
      <c r="AC34" s="74"/>
      <c r="AD34" s="74"/>
      <c r="AE34" s="74"/>
      <c r="AF34" s="74"/>
    </row>
    <row r="35" spans="1:32" x14ac:dyDescent="0.35">
      <c r="A35" s="1066" t="s">
        <v>2052</v>
      </c>
      <c r="B35" s="104" t="s">
        <v>2077</v>
      </c>
      <c r="C35" s="2254" t="s">
        <v>2083</v>
      </c>
      <c r="D35" s="2254"/>
      <c r="E35" s="2254"/>
      <c r="F35" s="2254"/>
      <c r="G35" s="2254"/>
      <c r="H35" s="2255"/>
      <c r="Q35" s="74"/>
      <c r="R35" s="74"/>
      <c r="T35" s="74"/>
      <c r="U35" s="74"/>
      <c r="V35" s="74"/>
      <c r="W35" s="74"/>
      <c r="X35" s="74"/>
      <c r="Y35" s="74"/>
      <c r="Z35" s="74"/>
      <c r="AA35" s="74"/>
      <c r="AB35" s="74"/>
      <c r="AC35" s="74"/>
      <c r="AD35" s="74"/>
      <c r="AE35" s="74"/>
      <c r="AF35" s="74"/>
    </row>
    <row r="36" spans="1:32" ht="15" thickBot="1" x14ac:dyDescent="0.4">
      <c r="A36" s="1014"/>
      <c r="B36" s="109"/>
      <c r="C36" s="109" t="s">
        <v>2084</v>
      </c>
      <c r="D36" s="109"/>
      <c r="E36" s="109"/>
      <c r="F36" s="109"/>
      <c r="G36" s="109"/>
      <c r="H36" s="110"/>
      <c r="Q36" s="74"/>
      <c r="R36" s="74"/>
      <c r="T36" s="74"/>
      <c r="U36" s="74"/>
      <c r="V36" s="74"/>
      <c r="W36" s="74"/>
      <c r="X36" s="74"/>
      <c r="Y36" s="74"/>
      <c r="Z36" s="74"/>
      <c r="AA36" s="74"/>
      <c r="AB36" s="74"/>
      <c r="AC36" s="74"/>
      <c r="AD36" s="74"/>
      <c r="AE36" s="74"/>
      <c r="AF36" s="74"/>
    </row>
    <row r="37" spans="1:32" x14ac:dyDescent="0.35">
      <c r="A37" s="1063" t="s">
        <v>2053</v>
      </c>
      <c r="B37" s="184"/>
      <c r="C37" s="2254" t="s">
        <v>2333</v>
      </c>
      <c r="D37" s="2254"/>
      <c r="E37" s="2254"/>
      <c r="F37" s="2254"/>
      <c r="G37" s="2254"/>
      <c r="H37" s="2255"/>
      <c r="Q37" s="74"/>
      <c r="R37" s="74"/>
      <c r="T37" s="74"/>
      <c r="U37" s="74"/>
      <c r="V37" s="74"/>
      <c r="W37" s="74"/>
      <c r="X37" s="74"/>
      <c r="Y37" s="74"/>
      <c r="Z37" s="74"/>
      <c r="AA37" s="74"/>
      <c r="AB37" s="74"/>
      <c r="AC37" s="74"/>
      <c r="AD37" s="74"/>
      <c r="AE37" s="74"/>
      <c r="AF37" s="74"/>
    </row>
    <row r="38" spans="1:32" ht="15" thickBot="1" x14ac:dyDescent="0.4">
      <c r="A38" s="1063"/>
      <c r="B38" s="184"/>
      <c r="C38" s="1067" t="s">
        <v>2085</v>
      </c>
      <c r="D38" s="1068"/>
      <c r="E38" s="1068"/>
      <c r="F38" s="1068"/>
      <c r="G38" s="1068"/>
      <c r="H38" s="1069"/>
      <c r="Q38" s="74"/>
      <c r="R38" s="74"/>
      <c r="T38" s="74"/>
      <c r="U38" s="74"/>
      <c r="V38" s="74"/>
      <c r="W38" s="74"/>
      <c r="X38" s="74"/>
      <c r="Y38" s="74"/>
      <c r="Z38" s="74"/>
      <c r="AA38" s="74"/>
      <c r="AB38" s="74"/>
      <c r="AC38" s="74"/>
      <c r="AD38" s="74"/>
      <c r="AE38" s="74"/>
      <c r="AF38" s="74"/>
    </row>
    <row r="39" spans="1:32" ht="29" x14ac:dyDescent="0.35">
      <c r="A39" s="485" t="s">
        <v>2086</v>
      </c>
      <c r="B39" s="339" t="s">
        <v>2087</v>
      </c>
      <c r="C39" s="104" t="s">
        <v>2088</v>
      </c>
      <c r="D39" s="104"/>
      <c r="E39" s="104"/>
      <c r="F39" s="104"/>
      <c r="G39" s="104"/>
      <c r="H39" s="105"/>
      <c r="Q39" s="74"/>
      <c r="R39" s="74"/>
      <c r="T39" s="74"/>
      <c r="U39" s="74"/>
      <c r="V39" s="74"/>
      <c r="W39" s="74"/>
      <c r="X39" s="74"/>
      <c r="Y39" s="74"/>
      <c r="Z39" s="74"/>
      <c r="AA39" s="74"/>
      <c r="AB39" s="74"/>
      <c r="AC39" s="74"/>
      <c r="AD39" s="74"/>
      <c r="AE39" s="74"/>
      <c r="AF39" s="74"/>
    </row>
    <row r="40" spans="1:32" ht="30" customHeight="1" thickBot="1" x14ac:dyDescent="0.4">
      <c r="A40" s="345"/>
      <c r="B40" s="184" t="s">
        <v>2089</v>
      </c>
      <c r="C40" s="184" t="s">
        <v>2090</v>
      </c>
      <c r="D40" s="184"/>
      <c r="E40" s="184"/>
      <c r="F40" s="184"/>
      <c r="G40" s="184"/>
      <c r="H40" s="347"/>
      <c r="Q40" s="74"/>
      <c r="R40" s="74"/>
      <c r="T40" s="74"/>
      <c r="U40" s="74"/>
      <c r="V40" s="74"/>
      <c r="W40" s="74"/>
      <c r="X40" s="74"/>
      <c r="Y40" s="74"/>
      <c r="Z40" s="74"/>
      <c r="AA40" s="74"/>
      <c r="AB40" s="74"/>
      <c r="AC40" s="74"/>
      <c r="AD40" s="74"/>
      <c r="AE40" s="74"/>
      <c r="AF40" s="74"/>
    </row>
    <row r="41" spans="1:32" x14ac:dyDescent="0.35">
      <c r="A41" s="485" t="s">
        <v>2057</v>
      </c>
      <c r="B41" s="104">
        <v>175000</v>
      </c>
      <c r="C41" s="1070" t="s">
        <v>2091</v>
      </c>
      <c r="D41" s="104"/>
      <c r="E41" s="104"/>
      <c r="F41" s="104"/>
      <c r="G41" s="104"/>
      <c r="H41" s="105"/>
      <c r="Q41" s="74"/>
      <c r="R41" s="74"/>
      <c r="T41" s="74"/>
      <c r="U41" s="74"/>
      <c r="V41" s="74"/>
      <c r="W41" s="74"/>
      <c r="X41" s="74"/>
      <c r="Y41" s="74"/>
      <c r="Z41" s="74"/>
      <c r="AA41" s="74"/>
      <c r="AB41" s="74"/>
      <c r="AC41" s="74"/>
      <c r="AD41" s="74"/>
      <c r="AE41" s="74"/>
      <c r="AF41" s="74"/>
    </row>
    <row r="42" spans="1:32" ht="49.5" customHeight="1" thickBot="1" x14ac:dyDescent="0.4">
      <c r="A42" s="450"/>
      <c r="B42" s="109"/>
      <c r="C42" s="878" t="s">
        <v>2092</v>
      </c>
      <c r="D42" s="109"/>
      <c r="E42" s="109"/>
      <c r="F42" s="109"/>
      <c r="G42" s="109"/>
      <c r="H42" s="110"/>
      <c r="Q42" s="74"/>
      <c r="R42" s="74"/>
      <c r="T42" s="74"/>
      <c r="U42" s="74"/>
      <c r="V42" s="74"/>
      <c r="W42" s="74"/>
      <c r="X42" s="74"/>
      <c r="Y42" s="74"/>
      <c r="Z42" s="74"/>
      <c r="AA42" s="74"/>
      <c r="AB42" s="74"/>
      <c r="AC42" s="74"/>
      <c r="AD42" s="74"/>
      <c r="AE42" s="74"/>
      <c r="AF42" s="74"/>
    </row>
    <row r="43" spans="1:32" x14ac:dyDescent="0.35">
      <c r="A43" s="1071" t="s">
        <v>2058</v>
      </c>
      <c r="B43" s="194">
        <v>100</v>
      </c>
      <c r="C43" s="1072" t="s">
        <v>2093</v>
      </c>
      <c r="D43" s="194"/>
      <c r="E43" s="194"/>
      <c r="F43" s="194"/>
      <c r="G43" s="194"/>
      <c r="H43" s="195"/>
      <c r="Q43" s="74"/>
      <c r="R43" s="74"/>
      <c r="T43" s="74"/>
      <c r="U43" s="74"/>
      <c r="V43" s="74"/>
      <c r="W43" s="74"/>
      <c r="X43" s="74"/>
      <c r="Y43" s="74"/>
      <c r="Z43" s="74"/>
      <c r="AA43" s="74"/>
      <c r="AB43" s="74"/>
      <c r="AC43" s="74"/>
      <c r="AD43" s="74"/>
      <c r="AE43" s="74"/>
      <c r="AF43" s="74"/>
    </row>
    <row r="44" spans="1:32" ht="15" thickBot="1" x14ac:dyDescent="0.4">
      <c r="A44" s="197"/>
      <c r="B44" s="198"/>
      <c r="C44" s="1073" t="s">
        <v>2094</v>
      </c>
      <c r="D44" s="198"/>
      <c r="E44" s="198"/>
      <c r="F44" s="198"/>
      <c r="G44" s="198"/>
      <c r="H44" s="199"/>
      <c r="Q44" s="74"/>
      <c r="R44" s="74"/>
      <c r="T44" s="74"/>
      <c r="U44" s="74"/>
      <c r="V44" s="74"/>
      <c r="W44" s="74"/>
      <c r="X44" s="74"/>
      <c r="Y44" s="74"/>
      <c r="Z44" s="74"/>
      <c r="AA44" s="74"/>
      <c r="AB44" s="74"/>
      <c r="AC44" s="74"/>
      <c r="AD44" s="74"/>
      <c r="AE44" s="74"/>
      <c r="AF44" s="74"/>
    </row>
    <row r="45" spans="1:32" x14ac:dyDescent="0.35">
      <c r="A45" s="485" t="s">
        <v>2059</v>
      </c>
      <c r="B45" s="104">
        <v>1000</v>
      </c>
      <c r="C45" s="1070" t="s">
        <v>2095</v>
      </c>
      <c r="D45" s="104"/>
      <c r="E45" s="104"/>
      <c r="F45" s="104"/>
      <c r="G45" s="104"/>
      <c r="H45" s="105"/>
      <c r="Q45" s="74"/>
      <c r="R45" s="74"/>
      <c r="T45" s="74"/>
      <c r="U45" s="74"/>
      <c r="V45" s="74"/>
      <c r="W45" s="74"/>
      <c r="X45" s="74"/>
      <c r="Y45" s="74"/>
      <c r="Z45" s="74"/>
      <c r="AA45" s="74"/>
      <c r="AB45" s="74"/>
      <c r="AC45" s="74"/>
      <c r="AD45" s="74"/>
      <c r="AE45" s="74"/>
      <c r="AF45" s="74"/>
    </row>
    <row r="46" spans="1:32" ht="15" thickBot="1" x14ac:dyDescent="0.4">
      <c r="A46" s="450"/>
      <c r="B46" s="109"/>
      <c r="C46" s="878"/>
      <c r="D46" s="109"/>
      <c r="E46" s="109"/>
      <c r="F46" s="109"/>
      <c r="G46" s="109"/>
      <c r="H46" s="110"/>
      <c r="Q46" s="74"/>
      <c r="R46" s="74"/>
      <c r="T46" s="74"/>
      <c r="U46" s="74"/>
      <c r="V46" s="74"/>
      <c r="W46" s="74"/>
      <c r="X46" s="74"/>
      <c r="Y46" s="74"/>
      <c r="Z46" s="74"/>
      <c r="AA46" s="74"/>
      <c r="AB46" s="74"/>
      <c r="AC46" s="74"/>
      <c r="AD46" s="74"/>
      <c r="AE46" s="74"/>
      <c r="AF46" s="74"/>
    </row>
    <row r="47" spans="1:32" x14ac:dyDescent="0.35">
      <c r="A47" s="485" t="s">
        <v>2096</v>
      </c>
      <c r="B47" s="104">
        <v>8766</v>
      </c>
      <c r="C47" s="1070" t="s">
        <v>2097</v>
      </c>
      <c r="D47" s="104"/>
      <c r="E47" s="104"/>
      <c r="F47" s="104"/>
      <c r="G47" s="104"/>
      <c r="H47" s="105"/>
      <c r="Q47" s="74"/>
      <c r="R47" s="74"/>
      <c r="T47" s="74"/>
      <c r="U47" s="74"/>
      <c r="V47" s="74"/>
      <c r="W47" s="74"/>
      <c r="X47" s="74"/>
      <c r="Y47" s="74"/>
      <c r="Z47" s="74"/>
      <c r="AA47" s="74"/>
      <c r="AB47" s="74"/>
      <c r="AC47" s="74"/>
      <c r="AD47" s="74"/>
      <c r="AE47" s="74"/>
      <c r="AF47" s="74"/>
    </row>
    <row r="48" spans="1:32" ht="15" thickBot="1" x14ac:dyDescent="0.4">
      <c r="A48" s="1074"/>
      <c r="B48" s="184">
        <v>100000</v>
      </c>
      <c r="C48" s="282" t="s">
        <v>2098</v>
      </c>
      <c r="D48" s="184"/>
      <c r="E48" s="184"/>
      <c r="F48" s="184"/>
      <c r="G48" s="184"/>
      <c r="H48" s="347"/>
      <c r="Q48" s="74"/>
      <c r="R48" s="74"/>
      <c r="T48" s="74"/>
      <c r="U48" s="74"/>
      <c r="V48" s="74"/>
      <c r="W48" s="74"/>
      <c r="X48" s="74"/>
      <c r="Y48" s="74"/>
      <c r="Z48" s="74"/>
      <c r="AA48" s="74"/>
      <c r="AB48" s="74"/>
      <c r="AC48" s="74"/>
      <c r="AD48" s="74"/>
      <c r="AE48" s="74"/>
      <c r="AF48" s="74"/>
    </row>
    <row r="49" spans="1:32" x14ac:dyDescent="0.35">
      <c r="A49" s="485" t="s">
        <v>2060</v>
      </c>
      <c r="B49" s="104"/>
      <c r="C49" s="104" t="s">
        <v>2099</v>
      </c>
      <c r="D49" s="104"/>
      <c r="E49" s="104"/>
      <c r="F49" s="104"/>
      <c r="G49" s="104"/>
      <c r="H49" s="105"/>
      <c r="Q49" s="74"/>
      <c r="R49" s="74"/>
      <c r="T49" s="74"/>
      <c r="U49" s="74"/>
      <c r="V49" s="74"/>
      <c r="W49" s="74"/>
      <c r="X49" s="74"/>
      <c r="Y49" s="74"/>
      <c r="Z49" s="74"/>
      <c r="AA49" s="74"/>
      <c r="AB49" s="74"/>
      <c r="AC49" s="74"/>
      <c r="AD49" s="74"/>
      <c r="AE49" s="74"/>
      <c r="AF49" s="74"/>
    </row>
    <row r="50" spans="1:32" x14ac:dyDescent="0.35">
      <c r="A50" s="345"/>
      <c r="B50" s="184"/>
      <c r="C50" s="1075" t="s">
        <v>2100</v>
      </c>
      <c r="D50" s="184"/>
      <c r="E50" s="184"/>
      <c r="F50" s="184"/>
      <c r="G50" s="184"/>
      <c r="H50" s="347"/>
      <c r="Q50" s="74"/>
      <c r="R50" s="74"/>
      <c r="T50" s="74"/>
      <c r="U50" s="74"/>
      <c r="V50" s="74"/>
      <c r="W50" s="74"/>
      <c r="X50" s="74"/>
      <c r="Y50" s="74"/>
      <c r="Z50" s="74"/>
      <c r="AA50" s="74"/>
      <c r="AB50" s="74"/>
      <c r="AC50" s="74"/>
      <c r="AD50" s="74"/>
      <c r="AE50" s="74"/>
      <c r="AF50" s="74"/>
    </row>
    <row r="51" spans="1:32" x14ac:dyDescent="0.35">
      <c r="A51" s="345"/>
      <c r="B51" s="184">
        <v>800</v>
      </c>
      <c r="C51" s="1075" t="s">
        <v>2101</v>
      </c>
      <c r="D51" s="184"/>
      <c r="E51" s="184"/>
      <c r="F51" s="184"/>
      <c r="G51" s="184"/>
      <c r="H51" s="347"/>
      <c r="Q51" s="74"/>
      <c r="R51" s="74"/>
      <c r="T51" s="74"/>
      <c r="U51" s="74"/>
      <c r="V51" s="74"/>
      <c r="W51" s="74"/>
      <c r="X51" s="74"/>
      <c r="Y51" s="74"/>
      <c r="Z51" s="74"/>
      <c r="AA51" s="74"/>
      <c r="AB51" s="74"/>
      <c r="AC51" s="74"/>
      <c r="AD51" s="74"/>
      <c r="AE51" s="74"/>
      <c r="AF51" s="74"/>
    </row>
    <row r="52" spans="1:32" ht="15" thickBot="1" x14ac:dyDescent="0.4">
      <c r="A52" s="450"/>
      <c r="B52" s="109">
        <v>110</v>
      </c>
      <c r="C52" s="1076" t="s">
        <v>2101</v>
      </c>
      <c r="D52" s="109"/>
      <c r="E52" s="109"/>
      <c r="F52" s="109"/>
      <c r="G52" s="109"/>
      <c r="H52" s="110"/>
      <c r="Q52" s="74"/>
      <c r="R52" s="74"/>
      <c r="T52" s="74"/>
      <c r="U52" s="74"/>
      <c r="V52" s="74"/>
      <c r="W52" s="74"/>
      <c r="X52" s="74"/>
      <c r="Y52" s="74"/>
      <c r="Z52" s="74"/>
      <c r="AA52" s="74"/>
      <c r="AB52" s="74"/>
      <c r="AC52" s="74"/>
      <c r="AD52" s="74"/>
      <c r="AE52" s="74"/>
      <c r="AF52" s="74"/>
    </row>
    <row r="53" spans="1:32" x14ac:dyDescent="0.35">
      <c r="A53" s="937"/>
      <c r="Q53" s="74"/>
      <c r="R53" s="74"/>
      <c r="T53" s="74"/>
      <c r="U53" s="74"/>
      <c r="V53" s="74"/>
      <c r="W53" s="74"/>
      <c r="X53" s="74"/>
      <c r="Y53" s="74"/>
      <c r="Z53" s="74"/>
      <c r="AA53" s="74"/>
      <c r="AB53" s="74"/>
      <c r="AC53" s="74"/>
      <c r="AD53" s="74"/>
      <c r="AE53" s="74"/>
      <c r="AF53" s="74"/>
    </row>
    <row r="54" spans="1:32" x14ac:dyDescent="0.35">
      <c r="Q54" s="74"/>
      <c r="R54" s="74"/>
      <c r="T54" s="74"/>
      <c r="U54" s="74"/>
      <c r="V54" s="74"/>
      <c r="W54" s="74"/>
      <c r="X54" s="74"/>
      <c r="Y54" s="74"/>
      <c r="Z54" s="74"/>
      <c r="AA54" s="74"/>
      <c r="AB54" s="74"/>
      <c r="AC54" s="74"/>
      <c r="AD54" s="74"/>
      <c r="AE54" s="74"/>
      <c r="AF54" s="74"/>
    </row>
    <row r="55" spans="1:32" ht="15" thickBot="1" x14ac:dyDescent="0.4">
      <c r="Q55" s="74"/>
      <c r="R55" s="74"/>
      <c r="T55" s="74"/>
      <c r="U55" s="74"/>
      <c r="V55" s="74"/>
      <c r="W55" s="74"/>
      <c r="X55" s="74"/>
      <c r="Y55" s="74"/>
      <c r="Z55" s="74"/>
      <c r="AA55" s="74"/>
      <c r="AB55" s="74"/>
      <c r="AC55" s="74"/>
      <c r="AD55" s="74"/>
      <c r="AE55" s="74"/>
      <c r="AF55" s="74"/>
    </row>
    <row r="56" spans="1:32" ht="15" thickBot="1" x14ac:dyDescent="0.4">
      <c r="A56" s="122" t="s">
        <v>539</v>
      </c>
      <c r="B56" s="123"/>
      <c r="C56" s="78"/>
      <c r="D56" s="78"/>
      <c r="E56" s="78"/>
      <c r="F56" s="78"/>
      <c r="G56" s="78"/>
      <c r="H56" s="78"/>
      <c r="I56" s="78"/>
      <c r="J56" s="78"/>
      <c r="K56" s="78"/>
      <c r="L56" s="78"/>
      <c r="M56" s="78"/>
      <c r="N56" s="79"/>
      <c r="Q56" s="74"/>
      <c r="R56" s="74"/>
      <c r="T56" s="74"/>
      <c r="U56" s="74"/>
      <c r="V56" s="74"/>
      <c r="W56" s="74"/>
      <c r="X56" s="74"/>
      <c r="Y56" s="74"/>
      <c r="Z56" s="74"/>
      <c r="AA56" s="74"/>
      <c r="AB56" s="74"/>
      <c r="AC56" s="74"/>
      <c r="AD56" s="74"/>
      <c r="AE56" s="74"/>
      <c r="AF56" s="74"/>
    </row>
    <row r="57" spans="1:32" ht="26.5" thickBot="1" x14ac:dyDescent="0.4">
      <c r="A57" s="1077" t="s">
        <v>1119</v>
      </c>
      <c r="B57" s="83" t="s">
        <v>2070</v>
      </c>
      <c r="C57" s="83"/>
      <c r="D57" s="83"/>
      <c r="E57" s="83"/>
      <c r="F57" s="83"/>
      <c r="G57" s="83"/>
      <c r="H57" s="83"/>
      <c r="I57" s="83"/>
      <c r="J57" s="83"/>
      <c r="K57" s="83"/>
      <c r="L57" s="83"/>
      <c r="M57" s="83"/>
      <c r="N57" s="125"/>
      <c r="Q57" s="74"/>
      <c r="R57" s="74"/>
      <c r="T57" s="74"/>
      <c r="U57" s="74"/>
      <c r="V57" s="74"/>
      <c r="W57" s="74"/>
      <c r="X57" s="74"/>
      <c r="Y57" s="74"/>
      <c r="Z57" s="74"/>
      <c r="AA57" s="74"/>
      <c r="AB57" s="74"/>
      <c r="AC57" s="74"/>
      <c r="AD57" s="74"/>
      <c r="AE57" s="74"/>
      <c r="AF57" s="74"/>
    </row>
    <row r="58" spans="1:32" ht="15" thickBot="1" x14ac:dyDescent="0.4">
      <c r="A58" s="360" t="s">
        <v>356</v>
      </c>
      <c r="B58" s="83" t="s">
        <v>2066</v>
      </c>
      <c r="C58" s="83"/>
      <c r="D58" s="83"/>
      <c r="E58" s="83"/>
      <c r="F58" s="83"/>
      <c r="G58" s="2256" t="s">
        <v>2102</v>
      </c>
      <c r="H58" s="2257"/>
      <c r="I58" s="2257"/>
      <c r="J58" s="2257"/>
      <c r="K58" s="2258"/>
      <c r="L58" s="83"/>
      <c r="M58" s="83"/>
      <c r="N58" s="125"/>
      <c r="Q58" s="74"/>
      <c r="R58" s="74"/>
      <c r="T58" s="74"/>
      <c r="U58" s="74"/>
      <c r="V58" s="74"/>
      <c r="W58" s="74"/>
      <c r="X58" s="74"/>
      <c r="Y58" s="74"/>
      <c r="Z58" s="74"/>
      <c r="AA58" s="74"/>
      <c r="AB58" s="74"/>
      <c r="AC58" s="74"/>
      <c r="AD58" s="74"/>
      <c r="AE58" s="74"/>
      <c r="AF58" s="74"/>
    </row>
    <row r="59" spans="1:32" ht="52.5" thickBot="1" x14ac:dyDescent="0.4">
      <c r="A59" s="360" t="s">
        <v>495</v>
      </c>
      <c r="B59" s="83" t="s">
        <v>451</v>
      </c>
      <c r="C59" s="83"/>
      <c r="D59" s="83"/>
      <c r="E59" s="83"/>
      <c r="F59" s="83"/>
      <c r="G59" s="1078" t="s">
        <v>2103</v>
      </c>
      <c r="H59" s="1396" t="s">
        <v>2104</v>
      </c>
      <c r="I59" s="1396" t="s">
        <v>2105</v>
      </c>
      <c r="J59" s="2259" t="s">
        <v>2106</v>
      </c>
      <c r="K59" s="2260"/>
      <c r="L59" s="83"/>
      <c r="M59" s="83"/>
      <c r="N59" s="125"/>
      <c r="Q59" s="74"/>
      <c r="R59" s="74"/>
      <c r="T59" s="74"/>
      <c r="U59" s="74"/>
      <c r="V59" s="74"/>
      <c r="W59" s="74"/>
      <c r="X59" s="74"/>
      <c r="Y59" s="74"/>
      <c r="Z59" s="74"/>
      <c r="AA59" s="74"/>
      <c r="AB59" s="74"/>
      <c r="AC59" s="74"/>
      <c r="AD59" s="74"/>
      <c r="AE59" s="74"/>
      <c r="AF59" s="74"/>
    </row>
    <row r="60" spans="1:32" ht="21.75" customHeight="1" x14ac:dyDescent="0.35">
      <c r="A60" s="360" t="s">
        <v>358</v>
      </c>
      <c r="B60" s="83"/>
      <c r="C60" s="83"/>
      <c r="D60" s="83"/>
      <c r="E60" s="83"/>
      <c r="F60" s="83"/>
      <c r="G60" s="1079" t="s">
        <v>2107</v>
      </c>
      <c r="H60" s="1080" t="s">
        <v>2108</v>
      </c>
      <c r="I60" s="1852" t="s">
        <v>3405</v>
      </c>
      <c r="J60" s="1852">
        <v>0.64829999999999999</v>
      </c>
      <c r="K60" s="1853">
        <v>1.6999999999999999E-3</v>
      </c>
      <c r="L60" s="1046"/>
      <c r="M60" s="1046"/>
      <c r="N60" s="125"/>
      <c r="Q60" s="74"/>
      <c r="R60" s="74"/>
      <c r="T60" s="74"/>
      <c r="U60" s="74"/>
      <c r="V60" s="74"/>
      <c r="W60" s="74"/>
      <c r="X60" s="74"/>
      <c r="Y60" s="74"/>
      <c r="Z60" s="74"/>
      <c r="AA60" s="74"/>
      <c r="AB60" s="74"/>
      <c r="AC60" s="74"/>
      <c r="AD60" s="74"/>
      <c r="AE60" s="74"/>
      <c r="AF60" s="74"/>
    </row>
    <row r="61" spans="1:32" ht="65" x14ac:dyDescent="0.35">
      <c r="A61" s="124"/>
      <c r="B61" s="83"/>
      <c r="C61" s="83"/>
      <c r="D61" s="83"/>
      <c r="E61" s="83"/>
      <c r="F61" s="83"/>
      <c r="G61" s="757" t="s">
        <v>2109</v>
      </c>
      <c r="H61" s="315" t="s">
        <v>2110</v>
      </c>
      <c r="I61" s="1854" t="s">
        <v>3406</v>
      </c>
      <c r="J61" s="1854">
        <v>0.78969999999999996</v>
      </c>
      <c r="K61" s="1855">
        <v>4.0000000000000002E-4</v>
      </c>
      <c r="L61" s="1046"/>
      <c r="M61" s="1046"/>
      <c r="N61" s="125"/>
      <c r="Q61" s="74"/>
      <c r="R61" s="74"/>
      <c r="T61" s="74"/>
      <c r="U61" s="74"/>
      <c r="V61" s="74"/>
      <c r="W61" s="74"/>
      <c r="X61" s="74"/>
      <c r="Y61" s="74"/>
      <c r="Z61" s="74"/>
      <c r="AA61" s="74"/>
      <c r="AB61" s="74"/>
      <c r="AC61" s="74"/>
      <c r="AD61" s="74"/>
      <c r="AE61" s="74"/>
      <c r="AF61" s="74"/>
    </row>
    <row r="62" spans="1:32" ht="25.5" customHeight="1" x14ac:dyDescent="0.35">
      <c r="A62" s="1081" t="s">
        <v>2111</v>
      </c>
      <c r="B62" s="1398" t="s">
        <v>344</v>
      </c>
      <c r="C62" s="1398" t="s">
        <v>2112</v>
      </c>
      <c r="D62" s="1398" t="s">
        <v>2113</v>
      </c>
      <c r="E62" s="83"/>
      <c r="F62" s="83"/>
      <c r="G62" s="757" t="s">
        <v>2107</v>
      </c>
      <c r="H62" s="315" t="s">
        <v>2114</v>
      </c>
      <c r="I62" s="1854" t="s">
        <v>3407</v>
      </c>
      <c r="J62" s="1856">
        <v>0.60019999999999996</v>
      </c>
      <c r="K62" s="1855">
        <v>1.1000000000000001E-3</v>
      </c>
      <c r="L62" s="83"/>
      <c r="M62" s="83"/>
      <c r="N62" s="125"/>
      <c r="Q62" s="74"/>
      <c r="R62" s="74"/>
      <c r="T62" s="74"/>
      <c r="U62" s="74"/>
      <c r="V62" s="74"/>
      <c r="W62" s="74"/>
      <c r="X62" s="74"/>
      <c r="Y62" s="74"/>
      <c r="Z62" s="74"/>
      <c r="AA62" s="74"/>
      <c r="AB62" s="74"/>
      <c r="AC62" s="74"/>
      <c r="AD62" s="74"/>
      <c r="AE62" s="74"/>
      <c r="AF62" s="74"/>
    </row>
    <row r="63" spans="1:32" x14ac:dyDescent="0.35">
      <c r="A63" s="796" t="s">
        <v>2067</v>
      </c>
      <c r="B63" s="143">
        <v>1050</v>
      </c>
      <c r="C63" s="1082">
        <v>1781</v>
      </c>
      <c r="D63" s="315">
        <v>0.2</v>
      </c>
      <c r="E63" s="83"/>
      <c r="F63" s="83"/>
      <c r="G63" s="757" t="s">
        <v>2115</v>
      </c>
      <c r="H63" s="315"/>
      <c r="I63" s="315"/>
      <c r="J63" s="315"/>
      <c r="K63" s="755"/>
      <c r="L63" s="83"/>
      <c r="M63" s="83"/>
      <c r="N63" s="125"/>
      <c r="Q63" s="74"/>
      <c r="R63" s="74"/>
      <c r="T63" s="74"/>
      <c r="U63" s="74"/>
      <c r="V63" s="74"/>
      <c r="W63" s="74"/>
      <c r="X63" s="74"/>
      <c r="Y63" s="74"/>
      <c r="Z63" s="74"/>
      <c r="AA63" s="74"/>
      <c r="AB63" s="74"/>
      <c r="AC63" s="74"/>
      <c r="AD63" s="74"/>
      <c r="AE63" s="74"/>
      <c r="AF63" s="74"/>
    </row>
    <row r="64" spans="1:32" ht="15" thickBot="1" x14ac:dyDescent="0.4">
      <c r="A64" s="796" t="s">
        <v>2116</v>
      </c>
      <c r="B64" s="143">
        <v>1050</v>
      </c>
      <c r="C64" s="1082">
        <v>4963</v>
      </c>
      <c r="D64" s="315">
        <v>0.56999999999999995</v>
      </c>
      <c r="E64" s="83"/>
      <c r="F64" s="83"/>
      <c r="G64" s="321"/>
      <c r="H64" s="201"/>
      <c r="I64" s="201"/>
      <c r="J64" s="201"/>
      <c r="K64" s="203"/>
      <c r="L64" s="83"/>
      <c r="M64" s="83"/>
      <c r="N64" s="125"/>
      <c r="Q64" s="74"/>
      <c r="R64" s="74"/>
      <c r="T64" s="74"/>
      <c r="U64" s="74"/>
      <c r="V64" s="74"/>
      <c r="W64" s="74"/>
      <c r="X64" s="74"/>
      <c r="Y64" s="74"/>
      <c r="Z64" s="74"/>
      <c r="AA64" s="74"/>
      <c r="AB64" s="74"/>
      <c r="AC64" s="74"/>
      <c r="AD64" s="74"/>
      <c r="AE64" s="74"/>
      <c r="AF64" s="74"/>
    </row>
    <row r="65" spans="1:32" x14ac:dyDescent="0.35">
      <c r="A65" s="796" t="s">
        <v>2071</v>
      </c>
      <c r="B65" s="143">
        <v>1950</v>
      </c>
      <c r="C65" s="1082">
        <v>8274</v>
      </c>
      <c r="D65" s="315">
        <v>0.94</v>
      </c>
      <c r="E65" s="83"/>
      <c r="F65" s="83"/>
      <c r="G65" s="83"/>
      <c r="H65" s="83"/>
      <c r="I65" s="83"/>
      <c r="J65" s="83"/>
      <c r="K65" s="83"/>
      <c r="L65" s="83"/>
      <c r="M65" s="83"/>
      <c r="N65" s="125"/>
      <c r="Q65" s="74"/>
      <c r="R65" s="74"/>
      <c r="T65" s="74"/>
      <c r="U65" s="74"/>
      <c r="V65" s="74"/>
      <c r="W65" s="74"/>
      <c r="X65" s="74"/>
      <c r="Y65" s="74"/>
      <c r="Z65" s="74"/>
      <c r="AA65" s="74"/>
      <c r="AB65" s="74"/>
      <c r="AC65" s="74"/>
      <c r="AD65" s="74"/>
      <c r="AE65" s="74"/>
      <c r="AF65" s="74"/>
    </row>
    <row r="66" spans="1:32" x14ac:dyDescent="0.35">
      <c r="A66" s="124"/>
      <c r="B66" s="83"/>
      <c r="C66" s="83"/>
      <c r="D66" s="83"/>
      <c r="E66" s="83"/>
      <c r="F66" s="83"/>
      <c r="G66" s="83"/>
      <c r="H66" s="83"/>
      <c r="I66" s="83"/>
      <c r="J66" s="83"/>
      <c r="K66" s="83"/>
      <c r="L66" s="83"/>
      <c r="M66" s="83"/>
      <c r="N66" s="125"/>
      <c r="Q66" s="74"/>
      <c r="R66" s="74"/>
      <c r="T66" s="74"/>
      <c r="U66" s="74"/>
      <c r="V66" s="74"/>
      <c r="W66" s="74"/>
      <c r="X66" s="74"/>
      <c r="Y66" s="74"/>
      <c r="Z66" s="74"/>
      <c r="AA66" s="74"/>
      <c r="AB66" s="74"/>
      <c r="AC66" s="74"/>
      <c r="AD66" s="74"/>
      <c r="AE66" s="74"/>
      <c r="AF66" s="74"/>
    </row>
    <row r="67" spans="1:32" x14ac:dyDescent="0.35">
      <c r="A67" s="124"/>
      <c r="B67" s="83"/>
      <c r="C67" s="83"/>
      <c r="D67" s="83"/>
      <c r="E67" s="83"/>
      <c r="F67" s="83"/>
      <c r="G67" s="83"/>
      <c r="H67" s="83"/>
      <c r="I67" s="83"/>
      <c r="J67" s="83"/>
      <c r="K67" s="83"/>
      <c r="L67" s="83"/>
      <c r="M67" s="83"/>
      <c r="N67" s="125"/>
      <c r="Q67" s="74"/>
      <c r="R67" s="74"/>
      <c r="T67" s="74"/>
      <c r="U67" s="74"/>
      <c r="V67" s="74"/>
      <c r="W67" s="74"/>
      <c r="X67" s="74"/>
      <c r="Y67" s="74"/>
      <c r="Z67" s="74"/>
      <c r="AA67" s="74"/>
      <c r="AB67" s="74"/>
      <c r="AC67" s="74"/>
      <c r="AD67" s="74"/>
      <c r="AE67" s="74"/>
      <c r="AF67" s="74"/>
    </row>
    <row r="68" spans="1:32" ht="15" thickBot="1" x14ac:dyDescent="0.4">
      <c r="A68" s="124"/>
      <c r="B68" s="83"/>
      <c r="C68" s="83"/>
      <c r="D68" s="83"/>
      <c r="E68" s="83"/>
      <c r="F68" s="83"/>
      <c r="G68" s="83"/>
      <c r="H68" s="83"/>
      <c r="I68" s="83"/>
      <c r="J68" s="83"/>
      <c r="K68" s="83"/>
      <c r="L68" s="83"/>
      <c r="M68" s="83"/>
      <c r="N68" s="125"/>
      <c r="Q68" s="74"/>
      <c r="R68" s="74"/>
      <c r="T68" s="74"/>
      <c r="U68" s="74"/>
      <c r="V68" s="74"/>
      <c r="W68" s="74"/>
      <c r="X68" s="74"/>
      <c r="Y68" s="74"/>
      <c r="Z68" s="74"/>
      <c r="AA68" s="74"/>
      <c r="AB68" s="74"/>
      <c r="AC68" s="74"/>
      <c r="AD68" s="74"/>
      <c r="AE68" s="74"/>
      <c r="AF68" s="74"/>
    </row>
    <row r="69" spans="1:32" ht="15" thickBot="1" x14ac:dyDescent="0.4">
      <c r="A69" s="2261" t="s">
        <v>344</v>
      </c>
      <c r="B69" s="2262"/>
      <c r="C69" s="2262"/>
      <c r="D69" s="2263"/>
      <c r="E69" s="83"/>
      <c r="F69" s="2264" t="s">
        <v>2117</v>
      </c>
      <c r="G69" s="2265"/>
      <c r="H69" s="83"/>
      <c r="I69" s="2268" t="s">
        <v>2118</v>
      </c>
      <c r="J69" s="2269"/>
      <c r="K69" s="83"/>
      <c r="L69" s="83"/>
      <c r="M69" s="83"/>
      <c r="N69" s="125"/>
      <c r="Q69" s="74"/>
      <c r="R69" s="74"/>
      <c r="T69" s="74"/>
      <c r="U69" s="74"/>
      <c r="V69" s="74"/>
      <c r="W69" s="74"/>
      <c r="X69" s="74"/>
      <c r="Y69" s="74"/>
      <c r="Z69" s="74"/>
      <c r="AA69" s="74"/>
      <c r="AB69" s="74"/>
      <c r="AC69" s="74"/>
      <c r="AD69" s="74"/>
      <c r="AE69" s="74"/>
      <c r="AF69" s="74"/>
    </row>
    <row r="70" spans="1:32" ht="26.25" customHeight="1" thickBot="1" x14ac:dyDescent="0.4">
      <c r="A70" s="1078" t="s">
        <v>2103</v>
      </c>
      <c r="B70" s="1078" t="s">
        <v>2119</v>
      </c>
      <c r="C70" s="1078" t="s">
        <v>2120</v>
      </c>
      <c r="D70" s="1078" t="s">
        <v>344</v>
      </c>
      <c r="E70" s="83"/>
      <c r="F70" s="2249" t="s">
        <v>2121</v>
      </c>
      <c r="G70" s="2250"/>
      <c r="H70" s="83"/>
      <c r="I70" s="2266" t="s">
        <v>2122</v>
      </c>
      <c r="J70" s="2267"/>
      <c r="K70" s="83"/>
      <c r="L70" s="83"/>
      <c r="M70" s="83"/>
      <c r="N70" s="125"/>
      <c r="Q70" s="74"/>
      <c r="R70" s="74"/>
      <c r="T70" s="74"/>
      <c r="U70" s="74"/>
      <c r="V70" s="74"/>
      <c r="W70" s="74"/>
      <c r="X70" s="74"/>
      <c r="Y70" s="74"/>
      <c r="Z70" s="74"/>
      <c r="AA70" s="74"/>
      <c r="AB70" s="74"/>
      <c r="AC70" s="74"/>
      <c r="AD70" s="74"/>
      <c r="AE70" s="74"/>
      <c r="AF70" s="74"/>
    </row>
    <row r="71" spans="1:32" ht="39" x14ac:dyDescent="0.35">
      <c r="A71" s="2251" t="s">
        <v>2123</v>
      </c>
      <c r="B71" s="1083" t="s">
        <v>363</v>
      </c>
      <c r="C71" s="757">
        <v>616</v>
      </c>
      <c r="D71" s="1084" t="s">
        <v>357</v>
      </c>
      <c r="E71" s="83"/>
      <c r="F71" s="1468" t="s">
        <v>838</v>
      </c>
      <c r="G71" s="1399" t="s">
        <v>2127</v>
      </c>
      <c r="H71" s="83"/>
      <c r="I71" s="1397" t="s">
        <v>838</v>
      </c>
      <c r="J71" s="1085" t="s">
        <v>2124</v>
      </c>
      <c r="K71" s="83"/>
      <c r="L71" s="83"/>
      <c r="M71" s="83"/>
      <c r="N71" s="125"/>
      <c r="Q71" s="74"/>
      <c r="R71" s="74"/>
      <c r="T71" s="74"/>
      <c r="U71" s="74"/>
      <c r="V71" s="74"/>
      <c r="W71" s="74"/>
      <c r="X71" s="74"/>
      <c r="Y71" s="74"/>
      <c r="Z71" s="74"/>
      <c r="AA71" s="74"/>
      <c r="AB71" s="74"/>
      <c r="AC71" s="74"/>
      <c r="AD71" s="74"/>
      <c r="AE71" s="74"/>
      <c r="AF71" s="74"/>
    </row>
    <row r="72" spans="1:32" ht="15" thickBot="1" x14ac:dyDescent="0.4">
      <c r="A72" s="2252"/>
      <c r="B72" s="1086" t="s">
        <v>2126</v>
      </c>
      <c r="C72" s="1087">
        <v>1055</v>
      </c>
      <c r="D72" s="1087">
        <v>440</v>
      </c>
      <c r="E72" s="83"/>
      <c r="F72" s="757" t="s">
        <v>1499</v>
      </c>
      <c r="G72" s="315">
        <v>528</v>
      </c>
      <c r="H72" s="83"/>
      <c r="I72" s="757" t="s">
        <v>1499</v>
      </c>
      <c r="J72" s="755">
        <v>4594</v>
      </c>
      <c r="K72" s="83"/>
      <c r="L72" s="83"/>
      <c r="M72" s="83"/>
      <c r="N72" s="125"/>
      <c r="Q72" s="74"/>
      <c r="R72" s="74"/>
      <c r="T72" s="74"/>
      <c r="U72" s="74"/>
      <c r="V72" s="74"/>
      <c r="W72" s="74"/>
      <c r="X72" s="74"/>
      <c r="Y72" s="74"/>
      <c r="Z72" s="74"/>
      <c r="AA72" s="74"/>
      <c r="AB72" s="74"/>
      <c r="AC72" s="74"/>
      <c r="AD72" s="74"/>
      <c r="AE72" s="74"/>
      <c r="AF72" s="74"/>
    </row>
    <row r="73" spans="1:32" x14ac:dyDescent="0.35">
      <c r="A73" s="2251" t="s">
        <v>2129</v>
      </c>
      <c r="B73" s="1088">
        <v>0.8</v>
      </c>
      <c r="C73" s="1089">
        <v>4886</v>
      </c>
      <c r="D73" s="1084" t="s">
        <v>357</v>
      </c>
      <c r="E73" s="83"/>
      <c r="F73" s="757" t="s">
        <v>2739</v>
      </c>
      <c r="G73" s="315">
        <v>568</v>
      </c>
      <c r="H73" s="83"/>
      <c r="I73" s="757" t="s">
        <v>2739</v>
      </c>
      <c r="J73" s="755">
        <v>7285</v>
      </c>
      <c r="K73" s="83"/>
      <c r="L73" s="83"/>
      <c r="M73" s="83"/>
      <c r="N73" s="125"/>
      <c r="Q73" s="74"/>
      <c r="R73" s="74"/>
      <c r="T73" s="74"/>
      <c r="U73" s="74"/>
      <c r="V73" s="74"/>
      <c r="W73" s="74"/>
      <c r="X73" s="74"/>
      <c r="Y73" s="74"/>
      <c r="Z73" s="74"/>
      <c r="AA73" s="74"/>
      <c r="AB73" s="74"/>
      <c r="AC73" s="74"/>
      <c r="AD73" s="74"/>
      <c r="AE73" s="74"/>
      <c r="AF73" s="74"/>
    </row>
    <row r="74" spans="1:32" x14ac:dyDescent="0.35">
      <c r="A74" s="2252"/>
      <c r="B74" s="1083">
        <v>0.83</v>
      </c>
      <c r="C74" s="757">
        <v>5106</v>
      </c>
      <c r="D74" s="1090">
        <v>220</v>
      </c>
      <c r="E74" s="83"/>
      <c r="F74" s="757" t="s">
        <v>1621</v>
      </c>
      <c r="G74" s="315">
        <v>528</v>
      </c>
      <c r="H74" s="83"/>
      <c r="I74" s="757" t="s">
        <v>1621</v>
      </c>
      <c r="J74" s="755">
        <v>697</v>
      </c>
      <c r="K74" s="83"/>
      <c r="L74" s="83"/>
      <c r="M74" s="83"/>
      <c r="N74" s="125"/>
      <c r="Q74" s="74"/>
      <c r="R74" s="74"/>
      <c r="T74" s="74"/>
      <c r="U74" s="74"/>
      <c r="V74" s="74"/>
      <c r="W74" s="74"/>
      <c r="X74" s="74"/>
      <c r="Y74" s="74"/>
      <c r="Z74" s="74"/>
      <c r="AA74" s="74"/>
      <c r="AB74" s="74"/>
      <c r="AC74" s="74"/>
      <c r="AD74" s="74"/>
      <c r="AE74" s="74"/>
      <c r="AF74" s="74"/>
    </row>
    <row r="75" spans="1:32" x14ac:dyDescent="0.35">
      <c r="A75" s="2252"/>
      <c r="B75" s="1083">
        <v>0.84</v>
      </c>
      <c r="C75" s="757">
        <v>5299</v>
      </c>
      <c r="D75" s="1090">
        <v>413</v>
      </c>
      <c r="E75" s="83"/>
      <c r="F75" s="757" t="s">
        <v>2136</v>
      </c>
      <c r="G75" s="315">
        <v>788</v>
      </c>
      <c r="H75" s="83"/>
      <c r="I75" s="757" t="s">
        <v>2136</v>
      </c>
      <c r="J75" s="755">
        <v>24540</v>
      </c>
      <c r="K75" s="83"/>
      <c r="L75" s="83"/>
      <c r="M75" s="83"/>
      <c r="N75" s="125"/>
      <c r="Q75" s="74"/>
      <c r="R75" s="74"/>
      <c r="T75" s="74"/>
      <c r="U75" s="74"/>
      <c r="V75" s="74"/>
      <c r="W75" s="74"/>
      <c r="X75" s="74"/>
      <c r="Y75" s="74"/>
      <c r="Z75" s="74"/>
      <c r="AA75" s="74"/>
      <c r="AB75" s="74"/>
      <c r="AC75" s="74"/>
      <c r="AD75" s="74"/>
      <c r="AE75" s="74"/>
      <c r="AF75" s="74"/>
    </row>
    <row r="76" spans="1:32" x14ac:dyDescent="0.35">
      <c r="A76" s="2252"/>
      <c r="B76" s="1083">
        <v>0.85</v>
      </c>
      <c r="C76" s="757">
        <v>5415</v>
      </c>
      <c r="D76" s="1090">
        <v>529</v>
      </c>
      <c r="E76" s="83"/>
      <c r="F76" s="757" t="s">
        <v>2130</v>
      </c>
      <c r="G76" s="315">
        <v>511</v>
      </c>
      <c r="H76" s="83"/>
      <c r="I76" s="757" t="s">
        <v>2130</v>
      </c>
      <c r="J76" s="755">
        <v>1818</v>
      </c>
      <c r="K76" s="83"/>
      <c r="L76" s="83"/>
      <c r="M76" s="83"/>
      <c r="N76" s="125"/>
      <c r="Q76" s="74"/>
      <c r="R76" s="74"/>
      <c r="T76" s="74"/>
      <c r="U76" s="74"/>
      <c r="V76" s="74"/>
      <c r="W76" s="74"/>
      <c r="X76" s="74"/>
      <c r="Y76" s="74"/>
      <c r="Z76" s="74"/>
      <c r="AA76" s="74"/>
      <c r="AB76" s="74"/>
      <c r="AC76" s="74"/>
      <c r="AD76" s="74"/>
      <c r="AE76" s="74"/>
      <c r="AF76" s="74"/>
    </row>
    <row r="77" spans="1:32" x14ac:dyDescent="0.35">
      <c r="A77" s="2252"/>
      <c r="B77" s="1083">
        <v>0.86</v>
      </c>
      <c r="C77" s="757">
        <v>5532</v>
      </c>
      <c r="D77" s="1090">
        <v>646</v>
      </c>
      <c r="E77" s="83"/>
      <c r="F77" s="757" t="s">
        <v>2740</v>
      </c>
      <c r="G77" s="315">
        <v>528</v>
      </c>
      <c r="H77" s="83"/>
      <c r="I77" s="757" t="s">
        <v>2740</v>
      </c>
      <c r="J77" s="755">
        <v>1354</v>
      </c>
      <c r="K77" s="83"/>
      <c r="L77" s="83"/>
      <c r="M77" s="83"/>
      <c r="N77" s="125"/>
      <c r="Q77" s="74"/>
      <c r="R77" s="74"/>
      <c r="T77" s="74"/>
      <c r="U77" s="74"/>
      <c r="V77" s="74"/>
      <c r="W77" s="74"/>
      <c r="X77" s="74"/>
      <c r="Y77" s="74"/>
      <c r="Z77" s="74"/>
      <c r="AA77" s="74"/>
      <c r="AB77" s="74"/>
      <c r="AC77" s="74"/>
      <c r="AD77" s="74"/>
      <c r="AE77" s="74"/>
      <c r="AF77" s="74"/>
    </row>
    <row r="78" spans="1:32" x14ac:dyDescent="0.35">
      <c r="A78" s="2252"/>
      <c r="B78" s="1083">
        <v>0.87</v>
      </c>
      <c r="C78" s="757">
        <v>5648</v>
      </c>
      <c r="D78" s="1090">
        <v>762</v>
      </c>
      <c r="E78" s="83"/>
      <c r="F78" s="757" t="s">
        <v>2741</v>
      </c>
      <c r="G78" s="315">
        <v>715</v>
      </c>
      <c r="H78" s="83"/>
      <c r="I78" s="757" t="s">
        <v>2741</v>
      </c>
      <c r="J78" s="755">
        <v>29548</v>
      </c>
      <c r="K78" s="83"/>
      <c r="L78" s="83"/>
      <c r="M78" s="83"/>
      <c r="N78" s="125"/>
      <c r="Q78" s="74"/>
      <c r="R78" s="74"/>
      <c r="T78" s="74"/>
      <c r="U78" s="74"/>
      <c r="V78" s="74"/>
      <c r="W78" s="74"/>
      <c r="X78" s="74"/>
      <c r="Y78" s="74"/>
      <c r="Z78" s="74"/>
      <c r="AA78" s="74"/>
      <c r="AB78" s="74"/>
      <c r="AC78" s="74"/>
      <c r="AD78" s="74"/>
      <c r="AE78" s="74"/>
      <c r="AF78" s="74"/>
    </row>
    <row r="79" spans="1:32" ht="26" x14ac:dyDescent="0.35">
      <c r="A79" s="2252"/>
      <c r="B79" s="1083">
        <v>0.88</v>
      </c>
      <c r="C79" s="757">
        <v>5765</v>
      </c>
      <c r="D79" s="1090">
        <v>879</v>
      </c>
      <c r="E79" s="83"/>
      <c r="F79" s="757" t="s">
        <v>2742</v>
      </c>
      <c r="G79" s="315">
        <v>341</v>
      </c>
      <c r="H79" s="83"/>
      <c r="I79" s="757" t="s">
        <v>2742</v>
      </c>
      <c r="J79" s="755">
        <v>3941</v>
      </c>
      <c r="K79" s="83"/>
      <c r="L79" s="83"/>
      <c r="M79" s="83"/>
      <c r="N79" s="125"/>
      <c r="Q79" s="74"/>
      <c r="R79" s="74"/>
      <c r="T79" s="74"/>
      <c r="U79" s="74"/>
      <c r="V79" s="74"/>
      <c r="W79" s="74"/>
      <c r="X79" s="74"/>
      <c r="Y79" s="74"/>
      <c r="Z79" s="74"/>
      <c r="AA79" s="74"/>
      <c r="AB79" s="74"/>
      <c r="AC79" s="74"/>
      <c r="AD79" s="74"/>
      <c r="AE79" s="74"/>
      <c r="AF79" s="74"/>
    </row>
    <row r="80" spans="1:32" x14ac:dyDescent="0.35">
      <c r="A80" s="2252"/>
      <c r="B80" s="1083">
        <v>0.89</v>
      </c>
      <c r="C80" s="757">
        <v>5882</v>
      </c>
      <c r="D80" s="1090">
        <v>996</v>
      </c>
      <c r="E80" s="83"/>
      <c r="F80" s="757" t="s">
        <v>1506</v>
      </c>
      <c r="G80" s="315">
        <v>622</v>
      </c>
      <c r="H80" s="83"/>
      <c r="I80" s="757" t="s">
        <v>1506</v>
      </c>
      <c r="J80" s="755">
        <v>44439</v>
      </c>
      <c r="K80" s="83"/>
      <c r="L80" s="83"/>
      <c r="M80" s="83"/>
      <c r="N80" s="125"/>
      <c r="Q80" s="74"/>
      <c r="R80" s="74"/>
      <c r="T80" s="74"/>
      <c r="U80" s="74"/>
      <c r="V80" s="74"/>
      <c r="W80" s="74"/>
      <c r="X80" s="74"/>
      <c r="Y80" s="74"/>
      <c r="Z80" s="74"/>
      <c r="AA80" s="74"/>
      <c r="AB80" s="74"/>
      <c r="AC80" s="74"/>
      <c r="AD80" s="74"/>
      <c r="AE80" s="74"/>
      <c r="AF80" s="74"/>
    </row>
    <row r="81" spans="1:32" ht="15" thickBot="1" x14ac:dyDescent="0.4">
      <c r="A81" s="2253"/>
      <c r="B81" s="1091">
        <v>0.9</v>
      </c>
      <c r="C81" s="819">
        <v>6021</v>
      </c>
      <c r="D81" s="1092">
        <v>1135</v>
      </c>
      <c r="E81" s="83"/>
      <c r="F81" s="757" t="s">
        <v>2128</v>
      </c>
      <c r="G81" s="315">
        <v>511</v>
      </c>
      <c r="H81" s="83"/>
      <c r="I81" s="757" t="s">
        <v>2128</v>
      </c>
      <c r="J81" s="755">
        <v>1540</v>
      </c>
      <c r="K81" s="83"/>
      <c r="L81" s="83"/>
      <c r="M81" s="83"/>
      <c r="N81" s="125"/>
      <c r="Q81" s="74"/>
      <c r="R81" s="74"/>
      <c r="T81" s="74"/>
      <c r="U81" s="74"/>
      <c r="V81" s="74"/>
      <c r="W81" s="74"/>
      <c r="X81" s="74"/>
      <c r="Y81" s="74"/>
      <c r="Z81" s="74"/>
      <c r="AA81" s="74"/>
      <c r="AB81" s="74"/>
      <c r="AC81" s="74"/>
      <c r="AD81" s="74"/>
      <c r="AE81" s="74"/>
      <c r="AF81" s="74"/>
    </row>
    <row r="82" spans="1:32" x14ac:dyDescent="0.35">
      <c r="A82" s="124"/>
      <c r="B82" s="83"/>
      <c r="C82" s="83"/>
      <c r="D82" s="83"/>
      <c r="E82" s="83"/>
      <c r="F82" s="757" t="s">
        <v>2743</v>
      </c>
      <c r="G82" s="315">
        <v>528</v>
      </c>
      <c r="H82" s="83"/>
      <c r="I82" s="757" t="s">
        <v>2743</v>
      </c>
      <c r="J82" s="755">
        <v>6111</v>
      </c>
      <c r="K82" s="83"/>
      <c r="L82" s="83"/>
      <c r="M82" s="83"/>
      <c r="N82" s="125"/>
      <c r="Q82" s="74"/>
      <c r="R82" s="74"/>
      <c r="T82" s="74"/>
      <c r="U82" s="74"/>
      <c r="V82" s="74"/>
      <c r="W82" s="74"/>
      <c r="X82" s="74"/>
      <c r="Y82" s="74"/>
      <c r="Z82" s="74"/>
      <c r="AA82" s="74"/>
      <c r="AB82" s="74"/>
      <c r="AC82" s="74"/>
      <c r="AD82" s="74"/>
      <c r="AE82" s="74"/>
      <c r="AF82" s="74"/>
    </row>
    <row r="83" spans="1:32" x14ac:dyDescent="0.35">
      <c r="A83" s="124"/>
      <c r="B83" s="83"/>
      <c r="C83" s="83"/>
      <c r="D83" s="83"/>
      <c r="E83" s="83"/>
      <c r="F83" s="757" t="s">
        <v>1510</v>
      </c>
      <c r="G83" s="315">
        <v>341</v>
      </c>
      <c r="H83" s="83"/>
      <c r="I83" s="757" t="s">
        <v>1510</v>
      </c>
      <c r="J83" s="755">
        <v>1239</v>
      </c>
      <c r="K83" s="83"/>
      <c r="L83" s="83"/>
      <c r="M83" s="83"/>
      <c r="N83" s="125"/>
      <c r="Q83" s="74"/>
      <c r="R83" s="74"/>
      <c r="T83" s="74"/>
      <c r="U83" s="74"/>
      <c r="V83" s="74"/>
      <c r="W83" s="74"/>
      <c r="X83" s="74"/>
      <c r="Y83" s="74"/>
      <c r="Z83" s="74"/>
      <c r="AA83" s="74"/>
      <c r="AB83" s="74"/>
      <c r="AC83" s="74"/>
      <c r="AD83" s="74"/>
      <c r="AE83" s="74"/>
      <c r="AF83" s="74"/>
    </row>
    <row r="84" spans="1:32" x14ac:dyDescent="0.35">
      <c r="A84" s="124"/>
      <c r="B84" s="83"/>
      <c r="C84" s="83"/>
      <c r="D84" s="83"/>
      <c r="E84" s="83"/>
      <c r="F84" s="757" t="s">
        <v>2744</v>
      </c>
      <c r="G84" s="315">
        <v>672</v>
      </c>
      <c r="H84" s="83"/>
      <c r="I84" s="1188" t="s">
        <v>2744</v>
      </c>
      <c r="J84" s="755">
        <v>30503</v>
      </c>
      <c r="K84" s="83"/>
      <c r="L84" s="83"/>
      <c r="M84" s="83"/>
      <c r="N84" s="125"/>
      <c r="Q84" s="74"/>
      <c r="R84" s="74"/>
      <c r="T84" s="74"/>
      <c r="U84" s="74"/>
      <c r="V84" s="74"/>
      <c r="W84" s="74"/>
      <c r="X84" s="74"/>
      <c r="Y84" s="74"/>
      <c r="Z84" s="74"/>
      <c r="AA84" s="74"/>
      <c r="AB84" s="74"/>
      <c r="AC84" s="74"/>
      <c r="AD84" s="74"/>
      <c r="AE84" s="74"/>
      <c r="AF84" s="74"/>
    </row>
    <row r="85" spans="1:32" x14ac:dyDescent="0.35">
      <c r="A85" s="124"/>
      <c r="B85" s="83"/>
      <c r="C85" s="83"/>
      <c r="D85" s="83"/>
      <c r="E85" s="83"/>
      <c r="F85" s="757" t="s">
        <v>361</v>
      </c>
      <c r="G85" s="315">
        <v>894</v>
      </c>
      <c r="H85" s="83"/>
      <c r="I85" s="1188" t="s">
        <v>361</v>
      </c>
      <c r="J85" s="755">
        <v>15434</v>
      </c>
      <c r="K85" s="83"/>
      <c r="L85" s="83"/>
      <c r="M85" s="83"/>
      <c r="N85" s="125"/>
      <c r="Q85" s="74"/>
      <c r="R85" s="74"/>
      <c r="T85" s="74"/>
      <c r="U85" s="74"/>
      <c r="V85" s="74"/>
      <c r="W85" s="74"/>
      <c r="X85" s="74"/>
      <c r="Y85" s="74"/>
      <c r="Z85" s="74"/>
      <c r="AA85" s="74"/>
      <c r="AB85" s="74"/>
      <c r="AC85" s="74"/>
      <c r="AD85" s="74"/>
      <c r="AE85" s="74"/>
      <c r="AF85" s="74"/>
    </row>
    <row r="86" spans="1:32" ht="15" thickBot="1" x14ac:dyDescent="0.4">
      <c r="A86" s="124"/>
      <c r="B86" s="83"/>
      <c r="C86" s="83"/>
      <c r="D86" s="83"/>
      <c r="E86" s="83"/>
      <c r="F86" s="757" t="s">
        <v>736</v>
      </c>
      <c r="G86" s="1469">
        <f>+AVERAGE(G72:G85)</f>
        <v>576.78571428571433</v>
      </c>
      <c r="H86" s="83"/>
      <c r="I86" s="1470" t="s">
        <v>2745</v>
      </c>
      <c r="J86" s="1471">
        <v>12360.214285714286</v>
      </c>
      <c r="K86" s="83"/>
      <c r="L86" s="83"/>
      <c r="M86" s="83"/>
      <c r="N86" s="125"/>
      <c r="Q86" s="74"/>
      <c r="R86" s="74"/>
      <c r="T86" s="74"/>
      <c r="U86" s="74"/>
      <c r="V86" s="74"/>
      <c r="W86" s="74"/>
      <c r="X86" s="74"/>
      <c r="Y86" s="74"/>
      <c r="Z86" s="74"/>
      <c r="AA86" s="74"/>
      <c r="AB86" s="74"/>
      <c r="AC86" s="74"/>
      <c r="AD86" s="74"/>
      <c r="AE86" s="74"/>
      <c r="AF86" s="74"/>
    </row>
    <row r="87" spans="1:32" x14ac:dyDescent="0.35">
      <c r="A87" s="124"/>
      <c r="B87" s="83"/>
      <c r="C87" s="83"/>
      <c r="D87" s="83"/>
      <c r="E87" s="83"/>
      <c r="F87" s="67"/>
      <c r="G87" s="67"/>
      <c r="H87" s="83"/>
      <c r="I87" s="83"/>
      <c r="J87" s="83"/>
      <c r="K87" s="83"/>
      <c r="L87" s="83"/>
      <c r="M87" s="83"/>
      <c r="N87" s="125"/>
      <c r="Q87" s="74"/>
      <c r="R87" s="74"/>
      <c r="T87" s="74"/>
      <c r="U87" s="74"/>
      <c r="V87" s="74"/>
      <c r="W87" s="74"/>
      <c r="X87" s="74"/>
      <c r="Y87" s="74"/>
      <c r="Z87" s="74"/>
      <c r="AA87" s="74"/>
      <c r="AB87" s="74"/>
      <c r="AC87" s="74"/>
      <c r="AD87" s="74"/>
      <c r="AE87" s="74"/>
      <c r="AF87" s="74"/>
    </row>
    <row r="88" spans="1:32" x14ac:dyDescent="0.35">
      <c r="A88" s="124"/>
      <c r="B88" s="83"/>
      <c r="C88" s="83"/>
      <c r="D88" s="83"/>
      <c r="E88" s="83"/>
      <c r="F88" s="83"/>
      <c r="G88" s="83"/>
      <c r="H88" s="83"/>
      <c r="I88" s="83"/>
      <c r="J88" s="83"/>
      <c r="K88" s="83"/>
      <c r="L88" s="83"/>
      <c r="M88" s="83"/>
      <c r="N88" s="125"/>
      <c r="Q88" s="74"/>
      <c r="R88" s="74"/>
      <c r="T88" s="74"/>
      <c r="U88" s="74"/>
      <c r="V88" s="74"/>
      <c r="W88" s="74"/>
      <c r="X88" s="74"/>
      <c r="Y88" s="74"/>
      <c r="Z88" s="74"/>
      <c r="AA88" s="74"/>
      <c r="AB88" s="74"/>
      <c r="AC88" s="74"/>
      <c r="AD88" s="74"/>
      <c r="AE88" s="74"/>
      <c r="AF88" s="74"/>
    </row>
    <row r="89" spans="1:32" ht="15" thickBot="1" x14ac:dyDescent="0.4">
      <c r="A89" s="321"/>
      <c r="B89" s="201"/>
      <c r="C89" s="201"/>
      <c r="D89" s="201"/>
      <c r="E89" s="201"/>
      <c r="F89" s="201"/>
      <c r="G89" s="201"/>
      <c r="H89" s="201"/>
      <c r="I89" s="201"/>
      <c r="J89" s="201"/>
      <c r="K89" s="201"/>
      <c r="L89" s="201"/>
      <c r="M89" s="201"/>
      <c r="N89" s="203"/>
      <c r="Q89" s="74"/>
      <c r="R89" s="74"/>
      <c r="T89" s="74"/>
      <c r="U89" s="74"/>
      <c r="V89" s="74"/>
      <c r="W89" s="74"/>
      <c r="X89" s="74"/>
      <c r="Y89" s="74"/>
      <c r="Z89" s="74"/>
      <c r="AA89" s="74"/>
      <c r="AB89" s="74"/>
      <c r="AC89" s="74"/>
      <c r="AD89" s="74"/>
      <c r="AE89" s="74"/>
      <c r="AF89" s="74"/>
    </row>
    <row r="90" spans="1:32" x14ac:dyDescent="0.35">
      <c r="S90"/>
      <c r="V90" s="74"/>
      <c r="W90" s="74"/>
      <c r="X90" s="74"/>
      <c r="Y90" s="74"/>
      <c r="Z90" s="74"/>
      <c r="AA90" s="74"/>
      <c r="AB90" s="74"/>
      <c r="AC90" s="74"/>
      <c r="AD90" s="74"/>
      <c r="AE90" s="74"/>
      <c r="AF90" s="74"/>
    </row>
    <row r="91" spans="1:32" x14ac:dyDescent="0.35">
      <c r="S91"/>
    </row>
    <row r="92" spans="1:32" x14ac:dyDescent="0.35">
      <c r="S92"/>
    </row>
    <row r="93" spans="1:32" x14ac:dyDescent="0.35">
      <c r="S93"/>
    </row>
    <row r="94" spans="1:32" x14ac:dyDescent="0.35">
      <c r="S94"/>
    </row>
    <row r="95" spans="1:32" x14ac:dyDescent="0.35">
      <c r="S95"/>
    </row>
    <row r="96" spans="1:32" ht="38.25" customHeight="1" x14ac:dyDescent="0.35">
      <c r="S96"/>
    </row>
    <row r="106" ht="15" customHeight="1" x14ac:dyDescent="0.35"/>
    <row r="108" ht="15" customHeight="1" x14ac:dyDescent="0.35"/>
  </sheetData>
  <customSheetViews>
    <customSheetView guid="{11DE45F5-F478-4ED6-8DFF-12002C22A637}" scale="70" showPageBreaks="1" fitToPage="1" printArea="1" view="pageBreakPreview">
      <selection activeCell="Q3" sqref="Q3"/>
      <pageMargins left="0.7" right="0.7" top="0.75" bottom="0.75" header="0.3" footer="0.3"/>
      <pageSetup scale="26" orientation="landscape" r:id="rId1"/>
    </customSheetView>
    <customSheetView guid="{ECD6FE6A-9548-414E-B8AA-6998703C57E0}" scale="70" showPageBreaks="1" fitToPage="1" printArea="1" view="pageBreakPreview">
      <selection activeCell="Q3" sqref="Q3"/>
      <pageMargins left="0.7" right="0.7" top="0.75" bottom="0.75" header="0.3" footer="0.3"/>
      <pageSetup scale="26" orientation="landscape" r:id="rId2"/>
    </customSheetView>
  </customSheetViews>
  <mergeCells count="16">
    <mergeCell ref="O1:Q1"/>
    <mergeCell ref="R1:T1"/>
    <mergeCell ref="U1:AB1"/>
    <mergeCell ref="AC1:AK1"/>
    <mergeCell ref="C31:H31"/>
    <mergeCell ref="F70:G70"/>
    <mergeCell ref="A71:A72"/>
    <mergeCell ref="A73:A81"/>
    <mergeCell ref="C35:H35"/>
    <mergeCell ref="C37:H37"/>
    <mergeCell ref="G58:K58"/>
    <mergeCell ref="J59:K59"/>
    <mergeCell ref="A69:D69"/>
    <mergeCell ref="F69:G69"/>
    <mergeCell ref="I70:J70"/>
    <mergeCell ref="I69:J69"/>
  </mergeCells>
  <dataValidations count="5">
    <dataValidation type="list" allowBlank="1" showInputMessage="1" showErrorMessage="1" sqref="I3:I5" xr:uid="{00000000-0002-0000-1000-000000000000}">
      <formula1>$A$83:$A$88</formula1>
    </dataValidation>
    <dataValidation type="list" allowBlank="1" showInputMessage="1" showErrorMessage="1" sqref="D3:D5" xr:uid="{00000000-0002-0000-1000-000001000000}">
      <formula1>MeasureType</formula1>
    </dataValidation>
    <dataValidation type="list" allowBlank="1" showInputMessage="1" showErrorMessage="1" sqref="H3:H5" xr:uid="{00000000-0002-0000-1000-000002000000}">
      <formula1>SWHr3</formula1>
    </dataValidation>
    <dataValidation type="list" allowBlank="1" showInputMessage="1" showErrorMessage="1" sqref="F3:F5" xr:uid="{00000000-0002-0000-1000-000003000000}">
      <formula1>SWHr2</formula1>
    </dataValidation>
    <dataValidation type="list" allowBlank="1" showInputMessage="1" showErrorMessage="1" sqref="E3:E5" xr:uid="{00000000-0002-0000-1000-000004000000}">
      <formula1>SWHr1</formula1>
    </dataValidation>
  </dataValidations>
  <hyperlinks>
    <hyperlink ref="I59" location="_ftn1" display="_ftn1" xr:uid="{00000000-0004-0000-1000-000000000000}"/>
  </hyperlinks>
  <pageMargins left="0.7" right="0.7" top="0.75" bottom="0.75" header="0.3" footer="0.3"/>
  <pageSetup scale="2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tint="0.79998168889431442"/>
    <pageSetUpPr fitToPage="1"/>
  </sheetPr>
  <dimension ref="A1:AG87"/>
  <sheetViews>
    <sheetView view="pageBreakPreview" zoomScale="85" zoomScaleNormal="90" zoomScaleSheetLayoutView="85" workbookViewId="0"/>
  </sheetViews>
  <sheetFormatPr defaultRowHeight="14.5" x14ac:dyDescent="0.35"/>
  <cols>
    <col min="1" max="1" width="16.453125" customWidth="1"/>
    <col min="2" max="2" width="55" customWidth="1"/>
    <col min="3" max="3" width="29.7265625" customWidth="1"/>
    <col min="4" max="4" width="20" customWidth="1"/>
    <col min="5" max="5" width="15.453125" customWidth="1"/>
    <col min="6" max="6" width="10.54296875" customWidth="1"/>
    <col min="8" max="8" width="11.1796875" customWidth="1"/>
    <col min="9" max="9" width="11.81640625" customWidth="1"/>
    <col min="10" max="10" width="27.54296875" customWidth="1"/>
    <col min="11" max="11" width="27.1796875" bestFit="1" customWidth="1"/>
    <col min="12" max="12" width="11" bestFit="1" customWidth="1"/>
    <col min="13" max="13" width="27.7265625" customWidth="1"/>
    <col min="14" max="14" width="16.1796875" bestFit="1" customWidth="1"/>
    <col min="15" max="15" width="9.7265625" bestFit="1" customWidth="1"/>
    <col min="16" max="16" width="11" bestFit="1" customWidth="1"/>
    <col min="18" max="18" width="10.54296875" customWidth="1"/>
    <col min="19" max="19" width="10.7265625" bestFit="1" customWidth="1"/>
    <col min="28" max="28" width="10.7265625" customWidth="1"/>
  </cols>
  <sheetData>
    <row r="1" spans="1:33" x14ac:dyDescent="0.35">
      <c r="A1" s="1721" t="s">
        <v>297</v>
      </c>
      <c r="B1" s="1172" t="s">
        <v>2140</v>
      </c>
      <c r="C1" s="1176"/>
      <c r="D1" s="1176"/>
      <c r="E1" s="1177"/>
      <c r="F1" s="1177"/>
      <c r="G1" s="1177"/>
      <c r="H1" s="1177"/>
      <c r="I1" s="1177"/>
      <c r="J1" s="1177"/>
      <c r="K1" s="1177"/>
      <c r="L1" s="2219" t="s">
        <v>335</v>
      </c>
      <c r="M1" s="2220"/>
      <c r="N1" s="2220"/>
      <c r="O1" s="2274"/>
      <c r="P1" s="2219" t="s">
        <v>336</v>
      </c>
      <c r="Q1" s="2220"/>
      <c r="R1" s="2220"/>
      <c r="S1" s="2220"/>
      <c r="T1" s="2275" t="s">
        <v>337</v>
      </c>
      <c r="U1" s="2276"/>
      <c r="V1" s="2276"/>
      <c r="W1" s="2276"/>
      <c r="X1" s="2276"/>
      <c r="Y1" s="2276"/>
      <c r="Z1" s="2276"/>
      <c r="AA1" s="2276"/>
      <c r="AB1" s="2276"/>
      <c r="AC1" s="2276"/>
      <c r="AD1" s="2276"/>
      <c r="AE1" s="2276"/>
      <c r="AF1" s="2276"/>
    </row>
    <row r="2" spans="1:33" s="800" customFormat="1" ht="52.5" x14ac:dyDescent="0.35">
      <c r="A2" s="1145" t="s">
        <v>338</v>
      </c>
      <c r="B2" s="1129" t="s">
        <v>1</v>
      </c>
      <c r="C2" s="1129" t="s">
        <v>339</v>
      </c>
      <c r="D2" s="1129" t="s">
        <v>688</v>
      </c>
      <c r="E2" s="1177" t="s">
        <v>602</v>
      </c>
      <c r="F2" s="1177" t="s">
        <v>342</v>
      </c>
      <c r="G2" s="1177" t="s">
        <v>838</v>
      </c>
      <c r="H2" s="1177" t="s">
        <v>343</v>
      </c>
      <c r="I2" s="1177" t="s">
        <v>344</v>
      </c>
      <c r="J2" s="1177" t="s">
        <v>367</v>
      </c>
      <c r="K2" s="1177" t="s">
        <v>345</v>
      </c>
      <c r="L2" s="1177" t="s">
        <v>347</v>
      </c>
      <c r="M2" s="1177" t="s">
        <v>348</v>
      </c>
      <c r="N2" s="1177" t="s">
        <v>349</v>
      </c>
      <c r="O2" s="1177" t="s">
        <v>604</v>
      </c>
      <c r="P2" s="1177" t="s">
        <v>347</v>
      </c>
      <c r="Q2" s="1177" t="s">
        <v>348</v>
      </c>
      <c r="R2" s="1177" t="s">
        <v>349</v>
      </c>
      <c r="S2" s="1177" t="s">
        <v>604</v>
      </c>
      <c r="T2" s="1093" t="s">
        <v>2141</v>
      </c>
      <c r="U2" s="1094" t="s">
        <v>605</v>
      </c>
      <c r="V2" s="1094" t="s">
        <v>606</v>
      </c>
      <c r="W2" s="1094" t="s">
        <v>608</v>
      </c>
      <c r="X2" s="1094" t="s">
        <v>612</v>
      </c>
      <c r="Y2" s="1094" t="s">
        <v>613</v>
      </c>
      <c r="Z2" s="1094" t="s">
        <v>614</v>
      </c>
      <c r="AA2" s="1094" t="s">
        <v>615</v>
      </c>
      <c r="AB2" s="1094" t="s">
        <v>2142</v>
      </c>
      <c r="AC2" s="1094" t="s">
        <v>617</v>
      </c>
      <c r="AD2" s="1095" t="s">
        <v>2143</v>
      </c>
      <c r="AE2" s="1096" t="s">
        <v>2144</v>
      </c>
      <c r="AF2" s="1096" t="s">
        <v>2145</v>
      </c>
    </row>
    <row r="3" spans="1:33" s="74" customFormat="1" ht="19.5" customHeight="1" x14ac:dyDescent="0.35">
      <c r="A3" s="1131" t="s">
        <v>2146</v>
      </c>
      <c r="B3" s="1190" t="str">
        <f>$B$1&amp;", "&amp;G3&amp;", "&amp;F3&amp;" "&amp;MID(C3, 19, LEN(C3)-23)</f>
        <v>Low Flow Faucet Aerators, Custom, DI Bath</v>
      </c>
      <c r="C3" s="1132" t="s">
        <v>226</v>
      </c>
      <c r="D3" s="1133" t="s">
        <v>619</v>
      </c>
      <c r="E3" s="1150" t="s">
        <v>2147</v>
      </c>
      <c r="F3" s="1179" t="s">
        <v>403</v>
      </c>
      <c r="G3" s="1148" t="s">
        <v>295</v>
      </c>
      <c r="H3" s="1179">
        <f>+$B$54</f>
        <v>9</v>
      </c>
      <c r="I3" s="1180"/>
      <c r="J3" s="1180"/>
      <c r="K3" s="1181" t="s">
        <v>2148</v>
      </c>
      <c r="L3" s="1182"/>
      <c r="M3" s="1182"/>
      <c r="N3" s="1182">
        <f>AB3*((V3-W3)/V3)*AD3*AC3*Y3</f>
        <v>5.3328738669064739</v>
      </c>
      <c r="O3" s="1182">
        <f t="shared" ref="O3:O7" si="0">((V3-W3)/V3)*AD3*Y3</f>
        <v>1343.2931654676258</v>
      </c>
      <c r="P3" s="1183"/>
      <c r="Q3" s="1184"/>
      <c r="R3" s="1191">
        <f t="shared" ref="R3:R7" si="1">N3*H3</f>
        <v>47.995864802158266</v>
      </c>
      <c r="S3" s="1182">
        <f t="shared" ref="S3:S7" si="2">O3*H3</f>
        <v>12089.638489208632</v>
      </c>
      <c r="T3" s="1097" t="s">
        <v>1251</v>
      </c>
      <c r="U3" s="1097">
        <f>VLOOKUP(E3,$B$62:$C$63,2,FALSE)</f>
        <v>0</v>
      </c>
      <c r="V3" s="1098">
        <f>+$B$20</f>
        <v>1.39</v>
      </c>
      <c r="W3" s="1098">
        <f>+$B$23</f>
        <v>0.94</v>
      </c>
      <c r="X3" s="1098">
        <f>+VLOOKUP($T3,$H$62:$I$64,2,FALSE)</f>
        <v>7.9500000000000001E-2</v>
      </c>
      <c r="Y3" s="1097">
        <f>+$B$36</f>
        <v>0.95</v>
      </c>
      <c r="Z3" s="1099">
        <f>VLOOKUP(G3,$B$72:$J$85,9,FALSE)</f>
        <v>42.666666666666664</v>
      </c>
      <c r="AA3" s="1098">
        <f>VLOOKUP(G3,$B$72:$K$85,10,FALSE)</f>
        <v>6.1333333333333335E-3</v>
      </c>
      <c r="AB3" s="1097">
        <f>1-VLOOKUP(E3,$B$62:$C$63,2,FALSE)</f>
        <v>1</v>
      </c>
      <c r="AC3" s="1100">
        <f>+VLOOKUP($T3,$E$62:$F$64,2,FALSE)</f>
        <v>3.9699999999999996E-3</v>
      </c>
      <c r="AD3" s="1101">
        <f>VLOOKUP(G3,$B$72:$I$85,8,FALSE)</f>
        <v>4367.666666666667</v>
      </c>
      <c r="AE3" s="1101"/>
      <c r="AF3" s="1101"/>
    </row>
    <row r="4" spans="1:33" s="74" customFormat="1" ht="13.5" customHeight="1" x14ac:dyDescent="0.35">
      <c r="A4" s="1131" t="s">
        <v>2149</v>
      </c>
      <c r="B4" s="1190" t="str">
        <f>$B$1&amp;", "&amp;G4&amp;", "&amp;F4&amp;" "&amp;MID(C4, 19, LEN(C4)-23)</f>
        <v xml:space="preserve">Low Flow Faucet Aerators, Custom, DI Kitchen </v>
      </c>
      <c r="C4" s="1132" t="s">
        <v>227</v>
      </c>
      <c r="D4" s="1133" t="s">
        <v>619</v>
      </c>
      <c r="E4" s="1150" t="s">
        <v>2147</v>
      </c>
      <c r="F4" s="1179" t="s">
        <v>403</v>
      </c>
      <c r="G4" s="1148" t="s">
        <v>295</v>
      </c>
      <c r="H4" s="1179">
        <f>+$B$54</f>
        <v>9</v>
      </c>
      <c r="I4" s="1180"/>
      <c r="J4" s="1180"/>
      <c r="K4" s="1181" t="s">
        <v>2148</v>
      </c>
      <c r="L4" s="1182"/>
      <c r="M4" s="1182"/>
      <c r="N4" s="1182">
        <f>AB4*((V4-W4)/V4)*AD4*AC4*Y4</f>
        <v>6.5015389208633092</v>
      </c>
      <c r="O4" s="1182">
        <f t="shared" si="0"/>
        <v>1343.2931654676258</v>
      </c>
      <c r="P4" s="1183"/>
      <c r="Q4" s="1184"/>
      <c r="R4" s="1191">
        <f t="shared" si="1"/>
        <v>58.513850287769785</v>
      </c>
      <c r="S4" s="1182">
        <f t="shared" si="2"/>
        <v>12089.638489208632</v>
      </c>
      <c r="T4" s="1097" t="s">
        <v>1247</v>
      </c>
      <c r="U4" s="1097">
        <f>VLOOKUP(E4,$B$62:$C$63,2,FALSE)</f>
        <v>0</v>
      </c>
      <c r="V4" s="1098">
        <f>+$B$20</f>
        <v>1.39</v>
      </c>
      <c r="W4" s="1098">
        <f>+$B$23</f>
        <v>0.94</v>
      </c>
      <c r="X4" s="1098">
        <f>+VLOOKUP($T4,$H$62:$I$64,2,FALSE)</f>
        <v>9.69E-2</v>
      </c>
      <c r="Y4" s="1097">
        <f>+$B$36</f>
        <v>0.95</v>
      </c>
      <c r="Z4" s="1099">
        <f>VLOOKUP(G4,$B$72:$J$85,9,FALSE)</f>
        <v>42.666666666666664</v>
      </c>
      <c r="AA4" s="1098">
        <f>VLOOKUP(G4,$B$72:$K$85,10,FALSE)</f>
        <v>6.1333333333333335E-3</v>
      </c>
      <c r="AB4" s="1097">
        <f>1-VLOOKUP(E4,$B$62:$C$63,2,FALSE)</f>
        <v>1</v>
      </c>
      <c r="AC4" s="1100">
        <f>+VLOOKUP($T4,$E$62:$F$64,2,FALSE)</f>
        <v>4.8399999999999997E-3</v>
      </c>
      <c r="AD4" s="1101">
        <f>VLOOKUP(G4,$B$72:$I$85,8,FALSE)</f>
        <v>4367.666666666667</v>
      </c>
      <c r="AE4" s="1101"/>
      <c r="AF4" s="1101"/>
    </row>
    <row r="5" spans="1:33" x14ac:dyDescent="0.35">
      <c r="A5" s="1131" t="s">
        <v>2150</v>
      </c>
      <c r="B5" s="1131" t="str">
        <f>$B$1&amp;", "&amp;G5&amp;", "&amp;F5&amp;" "&amp;C5</f>
        <v>Low Flow Faucet Aerators, Health, DI Laminar Flow</v>
      </c>
      <c r="C5" s="1132" t="s">
        <v>228</v>
      </c>
      <c r="D5" s="1133" t="s">
        <v>619</v>
      </c>
      <c r="E5" s="1150" t="s">
        <v>2147</v>
      </c>
      <c r="F5" s="1179" t="s">
        <v>403</v>
      </c>
      <c r="G5" s="1148" t="s">
        <v>2136</v>
      </c>
      <c r="H5" s="1179">
        <f>+$B$54</f>
        <v>9</v>
      </c>
      <c r="I5" s="1180"/>
      <c r="J5" s="1180"/>
      <c r="K5" s="1181" t="s">
        <v>2148</v>
      </c>
      <c r="L5" s="1182"/>
      <c r="M5" s="1182"/>
      <c r="N5" s="1183">
        <f>+AB5*(((V5*AE5)-(W5*AF5))/((V5*AE5))*AD5*AC5*Y5)</f>
        <v>35.43134997342311</v>
      </c>
      <c r="O5" s="1182">
        <f t="shared" si="0"/>
        <v>6425.073529411764</v>
      </c>
      <c r="P5" s="1183"/>
      <c r="Q5" s="1184"/>
      <c r="R5" s="1191">
        <f t="shared" si="1"/>
        <v>318.88214976080798</v>
      </c>
      <c r="S5" s="1182">
        <f t="shared" si="2"/>
        <v>57825.661764705874</v>
      </c>
      <c r="T5" s="1097" t="s">
        <v>1251</v>
      </c>
      <c r="U5" s="1097">
        <f>VLOOKUP(E5,$B$62:$C$63,2,FALSE)</f>
        <v>0</v>
      </c>
      <c r="V5" s="1098">
        <v>3.74</v>
      </c>
      <c r="W5" s="1098">
        <v>2.2000000000000002</v>
      </c>
      <c r="X5" s="1098">
        <f>+VLOOKUP($T5,$H$62:$I$64,2,FALSE)</f>
        <v>7.9500000000000001E-2</v>
      </c>
      <c r="Y5" s="1097">
        <f>+$B$36</f>
        <v>0.95</v>
      </c>
      <c r="Z5" s="1099">
        <f>VLOOKUP(G5,$B$72:$J$85,9,FALSE)</f>
        <v>160</v>
      </c>
      <c r="AA5" s="1098">
        <f>VLOOKUP(G5,$B$72:$K$85,10,FALSE)</f>
        <v>1.44E-2</v>
      </c>
      <c r="AB5" s="1097">
        <f>1-VLOOKUP(E5,$B$62:$C$63,2,FALSE)</f>
        <v>1</v>
      </c>
      <c r="AC5" s="1189">
        <f>+$F$65</f>
        <v>6.9499999999999996E-3</v>
      </c>
      <c r="AD5" s="1101">
        <f>VLOOKUP(G5,$B$72:$I$85,8,FALSE)</f>
        <v>16425</v>
      </c>
      <c r="AE5" s="1101">
        <v>0.83</v>
      </c>
      <c r="AF5" s="1101">
        <v>0.95</v>
      </c>
      <c r="AG5" s="74"/>
    </row>
    <row r="6" spans="1:33" s="74" customFormat="1" ht="29" x14ac:dyDescent="0.35">
      <c r="A6" s="1131" t="s">
        <v>2750</v>
      </c>
      <c r="B6" s="1131" t="s">
        <v>2746</v>
      </c>
      <c r="C6" s="1132" t="s">
        <v>2747</v>
      </c>
      <c r="D6" s="1133" t="s">
        <v>619</v>
      </c>
      <c r="E6" s="1150" t="s">
        <v>2147</v>
      </c>
      <c r="F6" s="1179" t="s">
        <v>403</v>
      </c>
      <c r="G6" s="1148" t="s">
        <v>295</v>
      </c>
      <c r="H6" s="1179">
        <f>+$B$54</f>
        <v>9</v>
      </c>
      <c r="I6" s="1180"/>
      <c r="J6" s="1180"/>
      <c r="K6" s="1181" t="s">
        <v>2148</v>
      </c>
      <c r="L6" s="1182"/>
      <c r="M6" s="1182"/>
      <c r="N6" s="1182">
        <f>AB6*((V6-W6)/V6)*AD6*AC6*Y6</f>
        <v>5.3328738669064739</v>
      </c>
      <c r="O6" s="1182">
        <f t="shared" si="0"/>
        <v>1343.2931654676258</v>
      </c>
      <c r="P6" s="1183"/>
      <c r="Q6" s="1184"/>
      <c r="R6" s="1191">
        <f t="shared" si="1"/>
        <v>47.995864802158266</v>
      </c>
      <c r="S6" s="1182">
        <f t="shared" si="2"/>
        <v>12089.638489208632</v>
      </c>
      <c r="T6" s="1097" t="s">
        <v>1251</v>
      </c>
      <c r="U6" s="1097">
        <f>VLOOKUP(E6,$B$62:$C$63,2,FALSE)</f>
        <v>0</v>
      </c>
      <c r="V6" s="1098">
        <f>+$B$20</f>
        <v>1.39</v>
      </c>
      <c r="W6" s="1098">
        <f>+$B$23</f>
        <v>0.94</v>
      </c>
      <c r="X6" s="1098">
        <f>+VLOOKUP($T6,$H$62:$I$64,2,FALSE)</f>
        <v>7.9500000000000001E-2</v>
      </c>
      <c r="Y6" s="1097">
        <f>+$B$36</f>
        <v>0.95</v>
      </c>
      <c r="Z6" s="1099">
        <f>VLOOKUP(G6,$B$72:$J$85,9,FALSE)</f>
        <v>42.666666666666664</v>
      </c>
      <c r="AA6" s="1098">
        <f>VLOOKUP(G6,$B$72:$K$85,10,FALSE)</f>
        <v>6.1333333333333335E-3</v>
      </c>
      <c r="AB6" s="1097">
        <f>1-VLOOKUP(E6,$B$62:$C$63,2,FALSE)</f>
        <v>1</v>
      </c>
      <c r="AC6" s="1100">
        <f>+VLOOKUP($T6,$E$62:$F$64,2,FALSE)</f>
        <v>3.9699999999999996E-3</v>
      </c>
      <c r="AD6" s="1101">
        <f>VLOOKUP(G6,$B$72:$I$85,8,FALSE)</f>
        <v>4367.666666666667</v>
      </c>
      <c r="AE6" s="1101"/>
      <c r="AF6" s="1101"/>
    </row>
    <row r="7" spans="1:33" ht="29" x14ac:dyDescent="0.35">
      <c r="A7" s="1131" t="s">
        <v>2751</v>
      </c>
      <c r="B7" s="1131" t="s">
        <v>2748</v>
      </c>
      <c r="C7" s="1132" t="s">
        <v>2749</v>
      </c>
      <c r="D7" s="1133" t="s">
        <v>619</v>
      </c>
      <c r="E7" s="1150" t="s">
        <v>2147</v>
      </c>
      <c r="F7" s="1179" t="s">
        <v>403</v>
      </c>
      <c r="G7" s="1148" t="s">
        <v>2136</v>
      </c>
      <c r="H7" s="1179">
        <f>+$B$54</f>
        <v>9</v>
      </c>
      <c r="I7" s="1180"/>
      <c r="J7" s="1180"/>
      <c r="K7" s="1181" t="s">
        <v>2148</v>
      </c>
      <c r="L7" s="1182"/>
      <c r="M7" s="1182"/>
      <c r="N7" s="1183">
        <f>+AB7*(((V7*AE7)-(W7*AF7))/((V7*AE7))*AD7*AC7*Y7)</f>
        <v>35.43134997342311</v>
      </c>
      <c r="O7" s="1182">
        <f t="shared" si="0"/>
        <v>6425.073529411764</v>
      </c>
      <c r="P7" s="1183"/>
      <c r="Q7" s="1184"/>
      <c r="R7" s="1191">
        <f t="shared" si="1"/>
        <v>318.88214976080798</v>
      </c>
      <c r="S7" s="1182">
        <f t="shared" si="2"/>
        <v>57825.661764705874</v>
      </c>
      <c r="T7" s="1097" t="s">
        <v>1251</v>
      </c>
      <c r="U7" s="1097">
        <f>VLOOKUP(E7,$B$62:$C$63,2,FALSE)</f>
        <v>0</v>
      </c>
      <c r="V7" s="1098">
        <v>3.74</v>
      </c>
      <c r="W7" s="1098">
        <v>2.2000000000000002</v>
      </c>
      <c r="X7" s="1098">
        <f>+VLOOKUP($T7,$H$62:$I$64,2,FALSE)</f>
        <v>7.9500000000000001E-2</v>
      </c>
      <c r="Y7" s="1097">
        <f>+$B$36</f>
        <v>0.95</v>
      </c>
      <c r="Z7" s="1099">
        <f>VLOOKUP(G7,$B$72:$J$85,9,FALSE)</f>
        <v>160</v>
      </c>
      <c r="AA7" s="1098">
        <f>VLOOKUP(G7,$B$72:$K$85,10,FALSE)</f>
        <v>1.44E-2</v>
      </c>
      <c r="AB7" s="1097">
        <f>1-VLOOKUP(E7,$B$62:$C$63,2,FALSE)</f>
        <v>1</v>
      </c>
      <c r="AC7" s="1189">
        <f>+$F$65</f>
        <v>6.9499999999999996E-3</v>
      </c>
      <c r="AD7" s="1101">
        <f>VLOOKUP(G7,$B$72:$I$85,8,FALSE)</f>
        <v>16425</v>
      </c>
      <c r="AE7" s="1101">
        <v>0.83</v>
      </c>
      <c r="AF7" s="1101">
        <v>0.95</v>
      </c>
      <c r="AG7" s="74"/>
    </row>
    <row r="8" spans="1:33" ht="15" thickBot="1" x14ac:dyDescent="0.4">
      <c r="B8" s="68"/>
    </row>
    <row r="9" spans="1:33" ht="15" thickBot="1" x14ac:dyDescent="0.4">
      <c r="A9" s="188" t="s">
        <v>408</v>
      </c>
      <c r="B9" s="78"/>
      <c r="C9" s="78"/>
      <c r="D9" s="78"/>
      <c r="E9" s="78"/>
      <c r="F9" s="78"/>
      <c r="G9" s="78"/>
      <c r="H9" s="78"/>
      <c r="I9" s="78"/>
      <c r="J9" s="79"/>
    </row>
    <row r="10" spans="1:33" x14ac:dyDescent="0.35">
      <c r="A10" s="1102" t="s">
        <v>2151</v>
      </c>
      <c r="B10" s="83"/>
      <c r="C10" s="83"/>
      <c r="D10" s="83"/>
      <c r="E10" s="83"/>
      <c r="F10" s="83"/>
      <c r="G10" s="83"/>
      <c r="H10" s="83"/>
      <c r="I10" s="83"/>
      <c r="J10" s="84"/>
    </row>
    <row r="11" spans="1:33" x14ac:dyDescent="0.35">
      <c r="A11" s="81" t="s">
        <v>2152</v>
      </c>
      <c r="B11" s="83"/>
      <c r="C11" s="83"/>
      <c r="D11" s="83"/>
      <c r="E11" s="83"/>
      <c r="F11" s="83"/>
      <c r="G11" s="83"/>
      <c r="H11" s="83"/>
      <c r="I11" s="83"/>
      <c r="J11" s="84"/>
    </row>
    <row r="12" spans="1:33" x14ac:dyDescent="0.35">
      <c r="A12" s="81" t="s">
        <v>2153</v>
      </c>
      <c r="B12" s="83"/>
      <c r="C12" s="83"/>
      <c r="D12" s="83"/>
      <c r="E12" s="83"/>
      <c r="F12" s="83"/>
      <c r="G12" s="83"/>
      <c r="H12" s="83"/>
      <c r="I12" s="83"/>
      <c r="J12" s="84"/>
    </row>
    <row r="13" spans="1:33" ht="15" thickBot="1" x14ac:dyDescent="0.4">
      <c r="A13" s="85" t="s">
        <v>2154</v>
      </c>
      <c r="B13" s="86"/>
      <c r="C13" s="86"/>
      <c r="D13" s="86"/>
      <c r="E13" s="86"/>
      <c r="F13" s="86"/>
      <c r="G13" s="86"/>
      <c r="H13" s="86"/>
      <c r="I13" s="86"/>
      <c r="J13" s="87"/>
    </row>
    <row r="14" spans="1:33" ht="15" thickBot="1" x14ac:dyDescent="0.4">
      <c r="A14" s="188" t="s">
        <v>2571</v>
      </c>
      <c r="B14" s="1384" t="e">
        <f>+#REF!</f>
        <v>#REF!</v>
      </c>
    </row>
    <row r="15" spans="1:33" ht="15" thickBot="1" x14ac:dyDescent="0.4">
      <c r="A15" s="188" t="s">
        <v>2572</v>
      </c>
      <c r="B15" s="701" t="s">
        <v>2791</v>
      </c>
    </row>
    <row r="16" spans="1:33" ht="15" thickBot="1" x14ac:dyDescent="0.4">
      <c r="A16" s="337"/>
    </row>
    <row r="17" spans="1:12" ht="15" thickBot="1" x14ac:dyDescent="0.4">
      <c r="A17" s="88" t="s">
        <v>413</v>
      </c>
      <c r="B17" s="89" t="s">
        <v>414</v>
      </c>
      <c r="C17" s="90" t="s">
        <v>415</v>
      </c>
      <c r="D17" s="78"/>
      <c r="E17" s="78"/>
      <c r="F17" s="78"/>
      <c r="G17" s="78"/>
      <c r="H17" s="78"/>
      <c r="I17" s="78"/>
      <c r="J17" s="78"/>
      <c r="K17" s="78"/>
      <c r="L17" s="79"/>
    </row>
    <row r="18" spans="1:12" x14ac:dyDescent="0.35">
      <c r="A18" s="1472" t="s">
        <v>605</v>
      </c>
      <c r="B18" s="1473"/>
      <c r="C18" s="1474" t="s">
        <v>631</v>
      </c>
      <c r="D18" s="1405"/>
      <c r="E18" s="1405"/>
      <c r="F18" s="1405"/>
      <c r="G18" s="1405"/>
      <c r="H18" s="1405"/>
      <c r="I18" s="1405"/>
      <c r="J18" s="1405"/>
      <c r="K18" s="1405"/>
      <c r="L18" s="1407"/>
    </row>
    <row r="19" spans="1:12" ht="15" thickBot="1" x14ac:dyDescent="0.4">
      <c r="A19" s="1412"/>
      <c r="B19" s="1409"/>
      <c r="C19" s="1409" t="s">
        <v>2155</v>
      </c>
      <c r="D19" s="1409"/>
      <c r="E19" s="1409"/>
      <c r="F19" s="1409"/>
      <c r="G19" s="1409"/>
      <c r="H19" s="1409"/>
      <c r="I19" s="1409"/>
      <c r="J19" s="1409"/>
      <c r="K19" s="1409"/>
      <c r="L19" s="1410"/>
    </row>
    <row r="20" spans="1:12" x14ac:dyDescent="0.35">
      <c r="A20" s="1472" t="s">
        <v>606</v>
      </c>
      <c r="B20" s="1405">
        <v>1.39</v>
      </c>
      <c r="C20" s="1474" t="s">
        <v>2156</v>
      </c>
      <c r="D20" s="1405"/>
      <c r="E20" s="1405"/>
      <c r="F20" s="1405"/>
      <c r="G20" s="1405"/>
      <c r="H20" s="1405"/>
      <c r="I20" s="1405"/>
      <c r="J20" s="1405"/>
      <c r="K20" s="1405"/>
      <c r="L20" s="1407"/>
    </row>
    <row r="21" spans="1:12" x14ac:dyDescent="0.35">
      <c r="A21" s="1413"/>
      <c r="B21" s="1414"/>
      <c r="C21" s="1414" t="s">
        <v>2157</v>
      </c>
      <c r="D21" s="1414"/>
      <c r="E21" s="1414"/>
      <c r="F21" s="1414"/>
      <c r="G21" s="1414"/>
      <c r="H21" s="1414"/>
      <c r="I21" s="1414"/>
      <c r="J21" s="1414"/>
      <c r="K21" s="1414"/>
      <c r="L21" s="1415"/>
    </row>
    <row r="22" spans="1:12" ht="15" thickBot="1" x14ac:dyDescent="0.4">
      <c r="A22" s="1412"/>
      <c r="B22" s="1409"/>
      <c r="C22" s="1409" t="s">
        <v>2158</v>
      </c>
      <c r="D22" s="1409"/>
      <c r="E22" s="1409"/>
      <c r="F22" s="1409"/>
      <c r="G22" s="1409"/>
      <c r="H22" s="1409"/>
      <c r="I22" s="1409"/>
      <c r="J22" s="1409"/>
      <c r="K22" s="1409"/>
      <c r="L22" s="1410"/>
    </row>
    <row r="23" spans="1:12" x14ac:dyDescent="0.35">
      <c r="A23" s="1472" t="s">
        <v>608</v>
      </c>
      <c r="B23" s="1405">
        <v>0.94</v>
      </c>
      <c r="C23" s="1474" t="s">
        <v>1209</v>
      </c>
      <c r="D23" s="1405"/>
      <c r="E23" s="1405"/>
      <c r="F23" s="1405"/>
      <c r="G23" s="1405"/>
      <c r="H23" s="1405"/>
      <c r="I23" s="1405"/>
      <c r="J23" s="1405"/>
      <c r="K23" s="1405"/>
      <c r="L23" s="1407"/>
    </row>
    <row r="24" spans="1:12" x14ac:dyDescent="0.35">
      <c r="A24" s="1413"/>
      <c r="B24" s="1414"/>
      <c r="C24" s="1414" t="s">
        <v>2159</v>
      </c>
      <c r="D24" s="1414"/>
      <c r="E24" s="1414"/>
      <c r="F24" s="1414"/>
      <c r="G24" s="1414"/>
      <c r="H24" s="1414"/>
      <c r="I24" s="1414"/>
      <c r="J24" s="1414"/>
      <c r="K24" s="1414"/>
      <c r="L24" s="1415"/>
    </row>
    <row r="25" spans="1:12" ht="15" thickBot="1" x14ac:dyDescent="0.4">
      <c r="A25" s="1412"/>
      <c r="B25" s="1409"/>
      <c r="C25" s="1409" t="s">
        <v>2160</v>
      </c>
      <c r="D25" s="1409"/>
      <c r="E25" s="1409"/>
      <c r="F25" s="1409"/>
      <c r="G25" s="1409"/>
      <c r="H25" s="1409"/>
      <c r="I25" s="1409"/>
      <c r="J25" s="1409"/>
      <c r="K25" s="1409"/>
      <c r="L25" s="1410"/>
    </row>
    <row r="26" spans="1:12" ht="15" customHeight="1" x14ac:dyDescent="0.35">
      <c r="A26" s="1472" t="s">
        <v>612</v>
      </c>
      <c r="B26" s="1475" t="s">
        <v>2161</v>
      </c>
      <c r="C26" s="1474" t="s">
        <v>2162</v>
      </c>
      <c r="D26" s="1405"/>
      <c r="E26" s="1405"/>
      <c r="F26" s="1405"/>
      <c r="G26" s="1405"/>
      <c r="H26" s="1405"/>
      <c r="I26" s="1405"/>
      <c r="J26" s="1405"/>
      <c r="K26" s="1405"/>
      <c r="L26" s="1407"/>
    </row>
    <row r="27" spans="1:12" x14ac:dyDescent="0.35">
      <c r="A27" s="1476"/>
      <c r="B27" s="1414"/>
      <c r="C27" s="1477" t="s">
        <v>2163</v>
      </c>
      <c r="D27" s="1414"/>
      <c r="E27" s="1414"/>
      <c r="F27" s="1414"/>
      <c r="G27" s="1414"/>
      <c r="H27" s="1414"/>
      <c r="I27" s="1414"/>
      <c r="J27" s="1414"/>
      <c r="K27" s="1414"/>
      <c r="L27" s="1415"/>
    </row>
    <row r="28" spans="1:12" x14ac:dyDescent="0.35">
      <c r="A28" s="1413"/>
      <c r="B28" s="1414"/>
      <c r="C28" s="1414" t="s">
        <v>2164</v>
      </c>
      <c r="D28" s="1414"/>
      <c r="E28" s="1414"/>
      <c r="F28" s="1414"/>
      <c r="G28" s="1414"/>
      <c r="H28" s="1414"/>
      <c r="I28" s="1414"/>
      <c r="J28" s="1414"/>
      <c r="K28" s="1414"/>
      <c r="L28" s="1415"/>
    </row>
    <row r="29" spans="1:12" x14ac:dyDescent="0.35">
      <c r="A29" s="1476"/>
      <c r="B29" s="1414"/>
      <c r="C29" s="1477" t="s">
        <v>2165</v>
      </c>
      <c r="D29" s="1414"/>
      <c r="E29" s="1414"/>
      <c r="F29" s="1414"/>
      <c r="G29" s="1414"/>
      <c r="H29" s="1414"/>
      <c r="I29" s="1414"/>
      <c r="J29" s="1414"/>
      <c r="K29" s="1414"/>
      <c r="L29" s="1415"/>
    </row>
    <row r="30" spans="1:12" x14ac:dyDescent="0.35">
      <c r="A30" s="1413"/>
      <c r="B30" s="1414"/>
      <c r="C30" s="1477" t="s">
        <v>2166</v>
      </c>
      <c r="D30" s="1414"/>
      <c r="E30" s="1414"/>
      <c r="F30" s="1414"/>
      <c r="G30" s="1414"/>
      <c r="H30" s="1414"/>
      <c r="I30" s="1414"/>
      <c r="J30" s="1414"/>
      <c r="K30" s="1414"/>
      <c r="L30" s="1415"/>
    </row>
    <row r="31" spans="1:12" x14ac:dyDescent="0.35">
      <c r="A31" s="1413"/>
      <c r="B31" s="1414"/>
      <c r="C31" s="1477" t="s">
        <v>2167</v>
      </c>
      <c r="D31" s="1414"/>
      <c r="E31" s="1414"/>
      <c r="F31" s="1414"/>
      <c r="G31" s="1414"/>
      <c r="H31" s="1414"/>
      <c r="I31" s="1414"/>
      <c r="J31" s="1414"/>
      <c r="K31" s="1414"/>
      <c r="L31" s="1415"/>
    </row>
    <row r="32" spans="1:12" x14ac:dyDescent="0.35">
      <c r="A32" s="1413"/>
      <c r="B32" s="1414"/>
      <c r="C32" s="1414" t="s">
        <v>2168</v>
      </c>
      <c r="D32" s="1414"/>
      <c r="E32" s="1414"/>
      <c r="F32" s="1414"/>
      <c r="G32" s="1414"/>
      <c r="H32" s="1414"/>
      <c r="I32" s="1414"/>
      <c r="J32" s="1414"/>
      <c r="K32" s="1414"/>
      <c r="L32" s="1415"/>
    </row>
    <row r="33" spans="1:12" x14ac:dyDescent="0.35">
      <c r="A33" s="1413"/>
      <c r="B33" s="1414"/>
      <c r="C33" s="1414" t="s">
        <v>2169</v>
      </c>
      <c r="D33" s="1414"/>
      <c r="E33" s="1414"/>
      <c r="F33" s="1414"/>
      <c r="G33" s="1414"/>
      <c r="H33" s="1414"/>
      <c r="I33" s="1414"/>
      <c r="J33" s="1414"/>
      <c r="K33" s="1414"/>
      <c r="L33" s="1415"/>
    </row>
    <row r="34" spans="1:12" x14ac:dyDescent="0.35">
      <c r="A34" s="1413"/>
      <c r="B34" s="1414"/>
      <c r="C34" s="1414" t="s">
        <v>2170</v>
      </c>
      <c r="D34" s="1414"/>
      <c r="E34" s="1414"/>
      <c r="F34" s="1414"/>
      <c r="G34" s="1414"/>
      <c r="H34" s="1414"/>
      <c r="I34" s="1414"/>
      <c r="J34" s="1414"/>
      <c r="K34" s="1414"/>
      <c r="L34" s="1415"/>
    </row>
    <row r="35" spans="1:12" ht="15" thickBot="1" x14ac:dyDescent="0.4">
      <c r="A35" s="1412"/>
      <c r="B35" s="1409"/>
      <c r="C35" s="1409" t="s">
        <v>2171</v>
      </c>
      <c r="D35" s="1409"/>
      <c r="E35" s="1409"/>
      <c r="F35" s="1409"/>
      <c r="G35" s="1409"/>
      <c r="H35" s="1409"/>
      <c r="I35" s="1409"/>
      <c r="J35" s="1409"/>
      <c r="K35" s="1409"/>
      <c r="L35" s="1410"/>
    </row>
    <row r="36" spans="1:12" x14ac:dyDescent="0.35">
      <c r="A36" s="1472" t="s">
        <v>613</v>
      </c>
      <c r="B36" s="1473">
        <v>0.95</v>
      </c>
      <c r="C36" s="1474" t="s">
        <v>2172</v>
      </c>
      <c r="D36" s="1405"/>
      <c r="E36" s="1405"/>
      <c r="F36" s="1405"/>
      <c r="G36" s="1405"/>
      <c r="H36" s="1405"/>
      <c r="I36" s="1405"/>
      <c r="J36" s="1405"/>
      <c r="K36" s="1405"/>
      <c r="L36" s="1407"/>
    </row>
    <row r="37" spans="1:12" ht="15" thickBot="1" x14ac:dyDescent="0.4">
      <c r="A37" s="1412"/>
      <c r="B37" s="1409"/>
      <c r="C37" s="1409" t="s">
        <v>2173</v>
      </c>
      <c r="D37" s="1409"/>
      <c r="E37" s="1409"/>
      <c r="F37" s="1409"/>
      <c r="G37" s="1409"/>
      <c r="H37" s="1409"/>
      <c r="I37" s="1409"/>
      <c r="J37" s="1409"/>
      <c r="K37" s="1409"/>
      <c r="L37" s="1410"/>
    </row>
    <row r="38" spans="1:12" x14ac:dyDescent="0.35">
      <c r="A38" s="1472" t="s">
        <v>614</v>
      </c>
      <c r="B38" s="1478" t="s">
        <v>2174</v>
      </c>
      <c r="C38" s="1474" t="s">
        <v>2175</v>
      </c>
      <c r="D38" s="1405"/>
      <c r="E38" s="1405"/>
      <c r="F38" s="1405"/>
      <c r="G38" s="1405"/>
      <c r="H38" s="1405"/>
      <c r="I38" s="1405"/>
      <c r="J38" s="1405"/>
      <c r="K38" s="1405"/>
      <c r="L38" s="1407"/>
    </row>
    <row r="39" spans="1:12" x14ac:dyDescent="0.35">
      <c r="A39" s="1413"/>
      <c r="B39" s="1414" t="s">
        <v>2077</v>
      </c>
      <c r="C39" s="1414" t="s">
        <v>2176</v>
      </c>
      <c r="D39" s="1414"/>
      <c r="E39" s="1414"/>
      <c r="F39" s="1414"/>
      <c r="G39" s="1414"/>
      <c r="H39" s="1414"/>
      <c r="I39" s="1414"/>
      <c r="J39" s="1414"/>
      <c r="K39" s="1414"/>
      <c r="L39" s="1415"/>
    </row>
    <row r="40" spans="1:12" x14ac:dyDescent="0.35">
      <c r="A40" s="1413"/>
      <c r="B40" s="1414"/>
      <c r="C40" s="1414" t="s">
        <v>2177</v>
      </c>
      <c r="D40" s="1414"/>
      <c r="E40" s="1414"/>
      <c r="F40" s="1414"/>
      <c r="G40" s="1414"/>
      <c r="H40" s="1414"/>
      <c r="I40" s="1414"/>
      <c r="J40" s="1414"/>
      <c r="K40" s="1414"/>
      <c r="L40" s="1415"/>
    </row>
    <row r="41" spans="1:12" x14ac:dyDescent="0.35">
      <c r="A41" s="1413"/>
      <c r="B41" s="1414"/>
      <c r="C41" s="1414" t="s">
        <v>2178</v>
      </c>
      <c r="D41" s="1414"/>
      <c r="E41" s="1414"/>
      <c r="F41" s="1414"/>
      <c r="G41" s="1414"/>
      <c r="H41" s="1414"/>
      <c r="I41" s="1414"/>
      <c r="J41" s="1414"/>
      <c r="K41" s="1414"/>
      <c r="L41" s="1415"/>
    </row>
    <row r="42" spans="1:12" ht="15" thickBot="1" x14ac:dyDescent="0.4">
      <c r="A42" s="1412"/>
      <c r="B42" s="1409"/>
      <c r="C42" s="1409" t="s">
        <v>2336</v>
      </c>
      <c r="D42" s="1409"/>
      <c r="E42" s="1409"/>
      <c r="F42" s="1409"/>
      <c r="G42" s="1409"/>
      <c r="H42" s="1409"/>
      <c r="I42" s="1409"/>
      <c r="J42" s="1409"/>
      <c r="K42" s="1409"/>
      <c r="L42" s="1410"/>
    </row>
    <row r="43" spans="1:12" x14ac:dyDescent="0.35">
      <c r="A43" s="1472" t="s">
        <v>615</v>
      </c>
      <c r="B43" s="1405"/>
      <c r="C43" s="1474" t="s">
        <v>658</v>
      </c>
      <c r="D43" s="1405"/>
      <c r="E43" s="1405"/>
      <c r="F43" s="1405"/>
      <c r="G43" s="1405"/>
      <c r="H43" s="1405"/>
      <c r="I43" s="1405"/>
      <c r="J43" s="1405"/>
      <c r="K43" s="1405"/>
      <c r="L43" s="1407"/>
    </row>
    <row r="44" spans="1:12" ht="15" thickBot="1" x14ac:dyDescent="0.4">
      <c r="A44" s="1412"/>
      <c r="B44" s="1409"/>
      <c r="C44" s="1409" t="s">
        <v>2179</v>
      </c>
      <c r="D44" s="1409"/>
      <c r="E44" s="1409"/>
      <c r="F44" s="1409"/>
      <c r="G44" s="1409"/>
      <c r="H44" s="1409"/>
      <c r="I44" s="1409"/>
      <c r="J44" s="1409"/>
      <c r="K44" s="1409"/>
      <c r="L44" s="1410"/>
    </row>
    <row r="45" spans="1:12" x14ac:dyDescent="0.35">
      <c r="A45" s="1472" t="s">
        <v>2142</v>
      </c>
      <c r="B45" s="1473"/>
      <c r="C45" s="1474" t="s">
        <v>2180</v>
      </c>
      <c r="D45" s="1405"/>
      <c r="E45" s="1405"/>
      <c r="F45" s="1405"/>
      <c r="G45" s="1405"/>
      <c r="H45" s="1405"/>
      <c r="I45" s="1405"/>
      <c r="J45" s="1405"/>
      <c r="K45" s="1405"/>
      <c r="L45" s="1407"/>
    </row>
    <row r="46" spans="1:12" ht="15" thickBot="1" x14ac:dyDescent="0.4">
      <c r="A46" s="1412"/>
      <c r="B46" s="1409"/>
      <c r="C46" s="1409" t="s">
        <v>2181</v>
      </c>
      <c r="D46" s="1409"/>
      <c r="E46" s="1409"/>
      <c r="F46" s="1409"/>
      <c r="G46" s="1409"/>
      <c r="H46" s="1409"/>
      <c r="I46" s="1409"/>
      <c r="J46" s="1409"/>
      <c r="K46" s="1409"/>
      <c r="L46" s="1410"/>
    </row>
    <row r="47" spans="1:12" ht="15" customHeight="1" x14ac:dyDescent="0.35">
      <c r="A47" s="1472" t="s">
        <v>617</v>
      </c>
      <c r="B47" s="1475" t="s">
        <v>2161</v>
      </c>
      <c r="C47" s="1474" t="s">
        <v>662</v>
      </c>
      <c r="D47" s="1405"/>
      <c r="E47" s="1405"/>
      <c r="F47" s="1405"/>
      <c r="G47" s="1405"/>
      <c r="H47" s="1405"/>
      <c r="I47" s="1405"/>
      <c r="J47" s="1405"/>
      <c r="K47" s="1405"/>
      <c r="L47" s="1407"/>
    </row>
    <row r="48" spans="1:12" x14ac:dyDescent="0.35">
      <c r="A48" s="1413"/>
      <c r="B48" s="1414"/>
      <c r="C48" s="1414" t="s">
        <v>2182</v>
      </c>
      <c r="D48" s="1414"/>
      <c r="E48" s="1414"/>
      <c r="F48" s="1414"/>
      <c r="G48" s="1414"/>
      <c r="H48" s="1414"/>
      <c r="I48" s="1414"/>
      <c r="J48" s="1414"/>
      <c r="K48" s="1414"/>
      <c r="L48" s="1415"/>
    </row>
    <row r="49" spans="1:12" x14ac:dyDescent="0.35">
      <c r="A49" s="1413"/>
      <c r="B49" s="1414"/>
      <c r="C49" s="1414" t="s">
        <v>2183</v>
      </c>
      <c r="D49" s="1414"/>
      <c r="E49" s="1414"/>
      <c r="F49" s="1414"/>
      <c r="G49" s="1414"/>
      <c r="H49" s="1414"/>
      <c r="I49" s="1414"/>
      <c r="J49" s="1414"/>
      <c r="K49" s="1414"/>
      <c r="L49" s="1415"/>
    </row>
    <row r="50" spans="1:12" x14ac:dyDescent="0.35">
      <c r="A50" s="1413"/>
      <c r="B50" s="1414"/>
      <c r="C50" s="1414" t="s">
        <v>2184</v>
      </c>
      <c r="D50" s="1414"/>
      <c r="E50" s="1414"/>
      <c r="F50" s="1414"/>
      <c r="G50" s="1414"/>
      <c r="H50" s="1414"/>
      <c r="I50" s="1414"/>
      <c r="J50" s="1414"/>
      <c r="K50" s="1414"/>
      <c r="L50" s="1415"/>
    </row>
    <row r="51" spans="1:12" x14ac:dyDescent="0.35">
      <c r="A51" s="1413"/>
      <c r="B51" s="1414"/>
      <c r="C51" s="1414" t="s">
        <v>2185</v>
      </c>
      <c r="D51" s="1414"/>
      <c r="E51" s="1414"/>
      <c r="F51" s="1414"/>
      <c r="G51" s="1414"/>
      <c r="H51" s="1414"/>
      <c r="I51" s="1414"/>
      <c r="J51" s="1414"/>
      <c r="K51" s="1414"/>
      <c r="L51" s="1415"/>
    </row>
    <row r="52" spans="1:12" ht="15" thickBot="1" x14ac:dyDescent="0.4">
      <c r="A52" s="1412"/>
      <c r="B52" s="1409"/>
      <c r="C52" s="1479" t="s">
        <v>2186</v>
      </c>
      <c r="D52" s="1409"/>
      <c r="E52" s="1409"/>
      <c r="F52" s="1409"/>
      <c r="G52" s="1409"/>
      <c r="H52" s="1409"/>
      <c r="I52" s="1409"/>
      <c r="J52" s="1409"/>
      <c r="K52" s="1409"/>
      <c r="L52" s="1410"/>
    </row>
    <row r="53" spans="1:12" ht="29.5" thickBot="1" x14ac:dyDescent="0.4">
      <c r="A53" s="1480" t="s">
        <v>2143</v>
      </c>
      <c r="B53" s="1481" t="s">
        <v>2187</v>
      </c>
      <c r="C53" s="1482" t="s">
        <v>2188</v>
      </c>
      <c r="D53" s="1483"/>
      <c r="E53" s="1483"/>
      <c r="F53" s="1483"/>
      <c r="G53" s="1483"/>
      <c r="H53" s="1483"/>
      <c r="I53" s="1483"/>
      <c r="J53" s="1483"/>
      <c r="K53" s="1483"/>
      <c r="L53" s="1484"/>
    </row>
    <row r="54" spans="1:12" ht="15" thickBot="1" x14ac:dyDescent="0.4">
      <c r="A54" s="789" t="s">
        <v>443</v>
      </c>
      <c r="B54" s="732">
        <v>9</v>
      </c>
      <c r="C54" s="732" t="s">
        <v>2173</v>
      </c>
      <c r="D54" s="732"/>
      <c r="E54" s="732"/>
      <c r="F54" s="732"/>
      <c r="G54" s="732"/>
      <c r="H54" s="732"/>
      <c r="I54" s="732"/>
      <c r="J54" s="732"/>
      <c r="K54" s="732"/>
      <c r="L54" s="733"/>
    </row>
    <row r="55" spans="1:12" x14ac:dyDescent="0.35">
      <c r="A55" s="467" t="s">
        <v>344</v>
      </c>
      <c r="B55" s="468"/>
      <c r="C55" s="468"/>
      <c r="D55" s="468"/>
      <c r="E55" s="468"/>
      <c r="F55" s="468"/>
      <c r="G55" s="468"/>
      <c r="H55" s="468"/>
      <c r="I55" s="468"/>
      <c r="J55" s="468"/>
      <c r="K55" s="468"/>
      <c r="L55" s="469"/>
    </row>
    <row r="56" spans="1:12" ht="15" thickBot="1" x14ac:dyDescent="0.4">
      <c r="A56" s="321"/>
      <c r="B56" s="201"/>
      <c r="C56" s="201"/>
      <c r="D56" s="201"/>
      <c r="E56" s="201"/>
      <c r="F56" s="201"/>
      <c r="G56" s="201"/>
      <c r="H56" s="201"/>
      <c r="I56" s="201"/>
      <c r="J56" s="201"/>
      <c r="K56" s="201"/>
      <c r="L56" s="203"/>
    </row>
    <row r="58" spans="1:12" ht="15" thickBot="1" x14ac:dyDescent="0.4"/>
    <row r="59" spans="1:12" ht="15" thickBot="1" x14ac:dyDescent="0.4">
      <c r="A59" s="122" t="s">
        <v>539</v>
      </c>
      <c r="B59" s="78"/>
      <c r="C59" s="78"/>
      <c r="D59" s="78"/>
      <c r="E59" s="78"/>
      <c r="F59" s="78"/>
      <c r="G59" s="78"/>
      <c r="H59" s="78"/>
      <c r="I59" s="78"/>
      <c r="J59" s="78"/>
      <c r="K59" s="78"/>
      <c r="L59" s="79"/>
    </row>
    <row r="60" spans="1:12" x14ac:dyDescent="0.35">
      <c r="A60" s="124"/>
      <c r="B60" s="83"/>
      <c r="C60" s="83"/>
      <c r="D60" s="83"/>
      <c r="E60" s="83"/>
      <c r="F60" s="83"/>
      <c r="G60" s="83"/>
      <c r="H60" s="83"/>
      <c r="I60" s="83"/>
      <c r="J60" s="83"/>
      <c r="K60" s="83"/>
      <c r="L60" s="125"/>
    </row>
    <row r="61" spans="1:12" ht="25.5" customHeight="1" x14ac:dyDescent="0.35">
      <c r="A61" s="124"/>
      <c r="B61" s="812" t="s">
        <v>672</v>
      </c>
      <c r="C61" s="812" t="s">
        <v>2189</v>
      </c>
      <c r="D61" s="83"/>
      <c r="E61" s="2272" t="s">
        <v>617</v>
      </c>
      <c r="F61" s="2273"/>
      <c r="G61" s="83"/>
      <c r="H61" s="2272" t="s">
        <v>612</v>
      </c>
      <c r="I61" s="2273"/>
      <c r="J61" s="83"/>
      <c r="K61" s="83"/>
      <c r="L61" s="125"/>
    </row>
    <row r="62" spans="1:12" x14ac:dyDescent="0.35">
      <c r="A62" s="124"/>
      <c r="B62" s="405" t="s">
        <v>451</v>
      </c>
      <c r="C62" s="127">
        <v>1</v>
      </c>
      <c r="D62" s="83"/>
      <c r="E62" s="405" t="s">
        <v>1251</v>
      </c>
      <c r="F62" s="1103">
        <v>3.9699999999999996E-3</v>
      </c>
      <c r="G62" s="83"/>
      <c r="H62" s="405" t="s">
        <v>1251</v>
      </c>
      <c r="I62" s="1103">
        <v>7.9500000000000001E-2</v>
      </c>
      <c r="J62" s="83"/>
      <c r="K62" s="83"/>
      <c r="L62" s="125"/>
    </row>
    <row r="63" spans="1:12" ht="24" customHeight="1" x14ac:dyDescent="0.35">
      <c r="A63" s="124"/>
      <c r="B63" s="405" t="s">
        <v>2147</v>
      </c>
      <c r="C63" s="127">
        <v>0</v>
      </c>
      <c r="D63" s="83"/>
      <c r="E63" s="405" t="s">
        <v>1247</v>
      </c>
      <c r="F63" s="1103">
        <v>4.8399999999999997E-3</v>
      </c>
      <c r="G63" s="83"/>
      <c r="H63" s="405" t="s">
        <v>1247</v>
      </c>
      <c r="I63" s="1103">
        <v>9.69E-2</v>
      </c>
      <c r="J63" s="83"/>
      <c r="K63" s="83"/>
      <c r="L63" s="125"/>
    </row>
    <row r="64" spans="1:12" ht="30.75" customHeight="1" x14ac:dyDescent="0.35">
      <c r="A64" s="124"/>
      <c r="B64" s="83"/>
      <c r="C64" s="83"/>
      <c r="D64" s="83"/>
      <c r="E64" s="405" t="s">
        <v>399</v>
      </c>
      <c r="F64" s="1103">
        <v>4.5900000000000003E-3</v>
      </c>
      <c r="G64" s="83"/>
      <c r="H64" s="405" t="s">
        <v>399</v>
      </c>
      <c r="I64" s="1103">
        <v>9.1899999999999996E-2</v>
      </c>
      <c r="J64" s="83"/>
      <c r="K64" s="83"/>
      <c r="L64" s="125"/>
    </row>
    <row r="65" spans="1:12" x14ac:dyDescent="0.35">
      <c r="A65" s="124"/>
      <c r="B65" s="812" t="s">
        <v>344</v>
      </c>
      <c r="C65" s="812"/>
      <c r="D65" s="83"/>
      <c r="E65" s="405" t="s">
        <v>2335</v>
      </c>
      <c r="F65" s="1103">
        <v>6.9499999999999996E-3</v>
      </c>
      <c r="G65" s="83"/>
      <c r="H65" s="83"/>
      <c r="I65" s="83"/>
      <c r="J65" s="83"/>
      <c r="K65" s="83"/>
      <c r="L65" s="125"/>
    </row>
    <row r="66" spans="1:12" x14ac:dyDescent="0.35">
      <c r="A66" s="124"/>
      <c r="B66" s="62"/>
      <c r="C66" s="143"/>
      <c r="D66" s="83"/>
      <c r="E66" s="83"/>
      <c r="F66" s="83"/>
      <c r="G66" s="83"/>
      <c r="H66" s="83"/>
      <c r="I66" s="83"/>
      <c r="J66" s="83"/>
      <c r="K66" s="83"/>
      <c r="L66" s="125"/>
    </row>
    <row r="67" spans="1:12" ht="30" customHeight="1" x14ac:dyDescent="0.35">
      <c r="A67" s="124"/>
      <c r="B67" s="62"/>
      <c r="C67" s="143"/>
      <c r="D67" s="83"/>
      <c r="E67" s="83"/>
      <c r="F67" s="83"/>
      <c r="G67" s="83"/>
      <c r="H67" s="83"/>
      <c r="I67" s="83"/>
      <c r="J67" s="83"/>
      <c r="K67" s="83"/>
      <c r="L67" s="125"/>
    </row>
    <row r="68" spans="1:12" ht="26.25" customHeight="1" x14ac:dyDescent="0.35">
      <c r="A68" s="124"/>
      <c r="B68" s="62"/>
      <c r="C68" s="143"/>
      <c r="D68" s="83"/>
      <c r="E68" s="83"/>
      <c r="F68" s="83"/>
      <c r="G68" s="83"/>
      <c r="H68" s="83"/>
      <c r="I68" s="83"/>
      <c r="J68" s="83"/>
      <c r="K68" s="83"/>
      <c r="L68" s="125"/>
    </row>
    <row r="69" spans="1:12" ht="26.25" customHeight="1" x14ac:dyDescent="0.35">
      <c r="A69" s="124"/>
      <c r="B69" s="83"/>
      <c r="C69" s="83"/>
      <c r="D69" s="83"/>
      <c r="E69" s="83"/>
      <c r="F69" s="83"/>
      <c r="G69" s="83"/>
      <c r="H69" s="83"/>
      <c r="I69" s="83"/>
      <c r="J69" s="83"/>
      <c r="K69" s="83"/>
      <c r="L69" s="125"/>
    </row>
    <row r="70" spans="1:12" ht="52" x14ac:dyDescent="0.35">
      <c r="A70" s="124"/>
      <c r="B70" s="812" t="s">
        <v>838</v>
      </c>
      <c r="C70" s="812" t="s">
        <v>2190</v>
      </c>
      <c r="D70" s="812" t="s">
        <v>163</v>
      </c>
      <c r="E70" s="812" t="s">
        <v>2191</v>
      </c>
      <c r="F70" s="812" t="s">
        <v>2192</v>
      </c>
      <c r="G70" s="812" t="s">
        <v>163</v>
      </c>
      <c r="H70" s="812" t="s">
        <v>2125</v>
      </c>
      <c r="I70" s="812" t="s">
        <v>2193</v>
      </c>
      <c r="J70" s="812" t="s">
        <v>2194</v>
      </c>
      <c r="K70" s="812" t="s">
        <v>2195</v>
      </c>
      <c r="L70" s="125"/>
    </row>
    <row r="71" spans="1:12" x14ac:dyDescent="0.35">
      <c r="A71" s="124"/>
      <c r="B71" s="812"/>
      <c r="C71" s="812" t="s">
        <v>2196</v>
      </c>
      <c r="D71" s="812"/>
      <c r="E71" s="812" t="s">
        <v>2197</v>
      </c>
      <c r="F71" s="812" t="s">
        <v>2198</v>
      </c>
      <c r="G71" s="812"/>
      <c r="H71" s="812" t="s">
        <v>2199</v>
      </c>
      <c r="I71" s="812" t="s">
        <v>2200</v>
      </c>
      <c r="J71" s="812"/>
      <c r="K71" s="812"/>
      <c r="L71" s="125"/>
    </row>
    <row r="72" spans="1:12" ht="39" x14ac:dyDescent="0.35">
      <c r="A72" s="124"/>
      <c r="B72" s="405" t="s">
        <v>2128</v>
      </c>
      <c r="C72" s="405">
        <v>1</v>
      </c>
      <c r="D72" s="405" t="s">
        <v>2201</v>
      </c>
      <c r="E72" s="405">
        <v>1</v>
      </c>
      <c r="F72" s="405">
        <v>10</v>
      </c>
      <c r="G72" s="405" t="s">
        <v>2202</v>
      </c>
      <c r="H72" s="405">
        <v>250</v>
      </c>
      <c r="I72" s="405">
        <v>2500</v>
      </c>
      <c r="J72" s="126">
        <v>24</v>
      </c>
      <c r="K72" s="126">
        <v>6.4000000000000003E-3</v>
      </c>
      <c r="L72" s="125"/>
    </row>
    <row r="73" spans="1:12" ht="39" x14ac:dyDescent="0.35">
      <c r="A73" s="124"/>
      <c r="B73" s="405" t="s">
        <v>2130</v>
      </c>
      <c r="C73" s="405">
        <v>1</v>
      </c>
      <c r="D73" s="405" t="s">
        <v>2201</v>
      </c>
      <c r="E73" s="405">
        <v>1</v>
      </c>
      <c r="F73" s="405">
        <v>45</v>
      </c>
      <c r="G73" s="405" t="s">
        <v>2202</v>
      </c>
      <c r="H73" s="405">
        <v>250</v>
      </c>
      <c r="I73" s="405">
        <v>11250</v>
      </c>
      <c r="J73" s="126">
        <v>109</v>
      </c>
      <c r="K73" s="126">
        <v>2.8799999999999999E-2</v>
      </c>
      <c r="L73" s="125"/>
    </row>
    <row r="74" spans="1:12" ht="26" x14ac:dyDescent="0.35">
      <c r="A74" s="124"/>
      <c r="B74" s="405" t="s">
        <v>2131</v>
      </c>
      <c r="C74" s="405">
        <v>0.7</v>
      </c>
      <c r="D74" s="405" t="s">
        <v>2132</v>
      </c>
      <c r="E74" s="405">
        <v>0.5</v>
      </c>
      <c r="F74" s="405">
        <v>75</v>
      </c>
      <c r="G74" s="405" t="s">
        <v>2203</v>
      </c>
      <c r="H74" s="405">
        <v>365</v>
      </c>
      <c r="I74" s="405">
        <v>9581</v>
      </c>
      <c r="J74" s="126">
        <v>93</v>
      </c>
      <c r="K74" s="126">
        <v>8.3999999999999995E-3</v>
      </c>
      <c r="L74" s="125"/>
    </row>
    <row r="75" spans="1:12" ht="30" customHeight="1" x14ac:dyDescent="0.35">
      <c r="A75" s="124"/>
      <c r="B75" s="405" t="s">
        <v>2133</v>
      </c>
      <c r="C75" s="405">
        <v>2.4</v>
      </c>
      <c r="D75" s="405" t="s">
        <v>2204</v>
      </c>
      <c r="E75" s="405">
        <v>0.5</v>
      </c>
      <c r="F75" s="405">
        <v>36</v>
      </c>
      <c r="G75" s="405" t="s">
        <v>2203</v>
      </c>
      <c r="H75" s="405">
        <v>365</v>
      </c>
      <c r="I75" s="405">
        <v>15768</v>
      </c>
      <c r="J75" s="126">
        <v>153</v>
      </c>
      <c r="K75" s="126">
        <v>1.84E-2</v>
      </c>
      <c r="L75" s="125"/>
    </row>
    <row r="76" spans="1:12" ht="39" x14ac:dyDescent="0.35">
      <c r="A76" s="124"/>
      <c r="B76" s="405" t="s">
        <v>2134</v>
      </c>
      <c r="C76" s="405">
        <v>2</v>
      </c>
      <c r="D76" s="405" t="s">
        <v>2205</v>
      </c>
      <c r="E76" s="405">
        <v>1</v>
      </c>
      <c r="F76" s="405">
        <v>5</v>
      </c>
      <c r="G76" s="405" t="s">
        <v>2202</v>
      </c>
      <c r="H76" s="405">
        <v>365</v>
      </c>
      <c r="I76" s="405">
        <v>3650</v>
      </c>
      <c r="J76" s="126">
        <v>36</v>
      </c>
      <c r="K76" s="126">
        <v>4.3E-3</v>
      </c>
      <c r="L76" s="125"/>
    </row>
    <row r="77" spans="1:12" ht="39" x14ac:dyDescent="0.35">
      <c r="A77" s="124"/>
      <c r="B77" s="405" t="s">
        <v>1621</v>
      </c>
      <c r="C77" s="405">
        <v>2</v>
      </c>
      <c r="D77" s="405" t="s">
        <v>2205</v>
      </c>
      <c r="E77" s="405">
        <v>1</v>
      </c>
      <c r="F77" s="405">
        <v>5</v>
      </c>
      <c r="G77" s="405" t="s">
        <v>2202</v>
      </c>
      <c r="H77" s="405">
        <v>365</v>
      </c>
      <c r="I77" s="405">
        <v>3650</v>
      </c>
      <c r="J77" s="126">
        <v>36</v>
      </c>
      <c r="K77" s="126">
        <v>4.3E-3</v>
      </c>
      <c r="L77" s="125"/>
    </row>
    <row r="78" spans="1:12" ht="39" x14ac:dyDescent="0.35">
      <c r="A78" s="124"/>
      <c r="B78" s="405" t="s">
        <v>1510</v>
      </c>
      <c r="C78" s="405">
        <v>2</v>
      </c>
      <c r="D78" s="405" t="s">
        <v>2205</v>
      </c>
      <c r="E78" s="405">
        <v>1</v>
      </c>
      <c r="F78" s="405">
        <v>5</v>
      </c>
      <c r="G78" s="405" t="s">
        <v>2206</v>
      </c>
      <c r="H78" s="405">
        <v>250</v>
      </c>
      <c r="I78" s="405">
        <v>2500</v>
      </c>
      <c r="J78" s="126">
        <v>24</v>
      </c>
      <c r="K78" s="126">
        <v>6.4000000000000003E-3</v>
      </c>
      <c r="L78" s="125"/>
    </row>
    <row r="79" spans="1:12" ht="26" x14ac:dyDescent="0.35">
      <c r="A79" s="124"/>
      <c r="B79" s="405" t="s">
        <v>1630</v>
      </c>
      <c r="C79" s="405">
        <v>0.6</v>
      </c>
      <c r="D79" s="405" t="s">
        <v>2201</v>
      </c>
      <c r="E79" s="405">
        <v>0.5</v>
      </c>
      <c r="F79" s="405">
        <v>50</v>
      </c>
      <c r="G79" s="405" t="s">
        <v>2207</v>
      </c>
      <c r="H79" s="405">
        <v>200</v>
      </c>
      <c r="I79" s="405">
        <v>3000</v>
      </c>
      <c r="J79" s="126">
        <v>29</v>
      </c>
      <c r="K79" s="126">
        <v>9.5999999999999992E-3</v>
      </c>
      <c r="L79" s="125"/>
    </row>
    <row r="80" spans="1:12" ht="26" x14ac:dyDescent="0.35">
      <c r="A80" s="124"/>
      <c r="B80" s="405" t="s">
        <v>2135</v>
      </c>
      <c r="C80" s="405">
        <v>1.8</v>
      </c>
      <c r="D80" s="405" t="s">
        <v>2201</v>
      </c>
      <c r="E80" s="405">
        <v>0.5</v>
      </c>
      <c r="F80" s="405">
        <v>50</v>
      </c>
      <c r="G80" s="405" t="s">
        <v>2208</v>
      </c>
      <c r="H80" s="405">
        <v>200</v>
      </c>
      <c r="I80" s="405">
        <v>9000</v>
      </c>
      <c r="J80" s="126">
        <v>88</v>
      </c>
      <c r="K80" s="126">
        <v>2.8799999999999999E-2</v>
      </c>
      <c r="L80" s="125"/>
    </row>
    <row r="81" spans="1:12" ht="26" x14ac:dyDescent="0.35">
      <c r="A81" s="124"/>
      <c r="B81" s="405" t="s">
        <v>2136</v>
      </c>
      <c r="C81" s="405">
        <v>90</v>
      </c>
      <c r="D81" s="405" t="s">
        <v>2209</v>
      </c>
      <c r="E81" s="405">
        <v>0.25</v>
      </c>
      <c r="F81" s="405">
        <v>2</v>
      </c>
      <c r="G81" s="405" t="s">
        <v>2210</v>
      </c>
      <c r="H81" s="405">
        <v>365</v>
      </c>
      <c r="I81" s="405">
        <v>16425</v>
      </c>
      <c r="J81" s="126">
        <v>160</v>
      </c>
      <c r="K81" s="126">
        <v>1.44E-2</v>
      </c>
      <c r="L81" s="125"/>
    </row>
    <row r="82" spans="1:12" ht="26" x14ac:dyDescent="0.35">
      <c r="A82" s="124"/>
      <c r="B82" s="405" t="s">
        <v>2137</v>
      </c>
      <c r="C82" s="405">
        <v>20</v>
      </c>
      <c r="D82" s="405" t="s">
        <v>2138</v>
      </c>
      <c r="E82" s="405">
        <v>0.25</v>
      </c>
      <c r="F82" s="405">
        <v>1</v>
      </c>
      <c r="G82" s="405" t="s">
        <v>2211</v>
      </c>
      <c r="H82" s="405">
        <v>365</v>
      </c>
      <c r="I82" s="405">
        <v>1825</v>
      </c>
      <c r="J82" s="126">
        <v>18</v>
      </c>
      <c r="K82" s="126">
        <v>5.9999999999999995E-4</v>
      </c>
      <c r="L82" s="125"/>
    </row>
    <row r="83" spans="1:12" ht="26" x14ac:dyDescent="0.35">
      <c r="A83" s="137"/>
      <c r="B83" s="405" t="s">
        <v>2139</v>
      </c>
      <c r="C83" s="405">
        <v>14</v>
      </c>
      <c r="D83" s="405" t="s">
        <v>2212</v>
      </c>
      <c r="E83" s="405">
        <v>0.25</v>
      </c>
      <c r="F83" s="405">
        <v>1</v>
      </c>
      <c r="G83" s="405" t="s">
        <v>2213</v>
      </c>
      <c r="H83" s="405">
        <v>365</v>
      </c>
      <c r="I83" s="405">
        <v>1278</v>
      </c>
      <c r="J83" s="126">
        <v>12</v>
      </c>
      <c r="K83" s="126">
        <v>4.0000000000000002E-4</v>
      </c>
      <c r="L83" s="125"/>
    </row>
    <row r="84" spans="1:12" ht="39" x14ac:dyDescent="0.35">
      <c r="A84" s="124"/>
      <c r="B84" s="405" t="s">
        <v>489</v>
      </c>
      <c r="C84" s="405">
        <v>1</v>
      </c>
      <c r="D84" s="405" t="s">
        <v>2205</v>
      </c>
      <c r="E84" s="405">
        <v>1</v>
      </c>
      <c r="F84" s="405">
        <v>20</v>
      </c>
      <c r="G84" s="405" t="s">
        <v>2206</v>
      </c>
      <c r="H84" s="405">
        <v>250</v>
      </c>
      <c r="I84" s="405">
        <v>5000</v>
      </c>
      <c r="J84" s="126">
        <v>49</v>
      </c>
      <c r="K84" s="126">
        <v>1.2800000000000001E-2</v>
      </c>
      <c r="L84" s="125"/>
    </row>
    <row r="85" spans="1:12" x14ac:dyDescent="0.35">
      <c r="A85" s="124"/>
      <c r="B85" s="405" t="s">
        <v>295</v>
      </c>
      <c r="C85" s="824">
        <f>AVERAGE(C72,C74,C76,C77,C82,C84)</f>
        <v>4.45</v>
      </c>
      <c r="D85" s="824"/>
      <c r="E85" s="1104">
        <f>AVERAGE(E72,E74,E76,E77,E82,E84)</f>
        <v>0.79166666666666663</v>
      </c>
      <c r="F85" s="1105">
        <f>AVERAGE(F72,F74,F76,F77,F82,F84)</f>
        <v>19.333333333333332</v>
      </c>
      <c r="G85" s="824"/>
      <c r="H85" s="1105">
        <f>AVERAGE(H72,H74,H76,H77,H82,H84)</f>
        <v>326.66666666666669</v>
      </c>
      <c r="I85" s="1105">
        <f>AVERAGE(I72,I74,I76,I77,I82,I84)</f>
        <v>4367.666666666667</v>
      </c>
      <c r="J85" s="1106">
        <f>AVERAGE(J72,J74,J76,J77,J82,J84)</f>
        <v>42.666666666666664</v>
      </c>
      <c r="K85" s="1107">
        <f>AVERAGE(K72,K74,K76,K77,K82,K84)</f>
        <v>6.1333333333333335E-3</v>
      </c>
      <c r="L85" s="125"/>
    </row>
    <row r="86" spans="1:12" x14ac:dyDescent="0.35">
      <c r="A86" s="124"/>
      <c r="B86" s="83"/>
      <c r="C86" s="83"/>
      <c r="D86" s="83"/>
      <c r="E86" s="83"/>
      <c r="F86" s="83"/>
      <c r="G86" s="83"/>
      <c r="H86" s="83"/>
      <c r="I86" s="83"/>
      <c r="J86" s="83"/>
      <c r="K86" s="83"/>
      <c r="L86" s="125"/>
    </row>
    <row r="87" spans="1:12" ht="15" thickBot="1" x14ac:dyDescent="0.4">
      <c r="A87" s="321"/>
      <c r="B87" s="201"/>
      <c r="C87" s="201"/>
      <c r="D87" s="201"/>
      <c r="E87" s="201"/>
      <c r="F87" s="201"/>
      <c r="G87" s="201"/>
      <c r="H87" s="201"/>
      <c r="I87" s="201"/>
      <c r="J87" s="201"/>
      <c r="K87" s="201"/>
      <c r="L87" s="203"/>
    </row>
  </sheetData>
  <customSheetViews>
    <customSheetView guid="{11DE45F5-F478-4ED6-8DFF-12002C22A637}" scale="85" showPageBreaks="1" fitToPage="1" printArea="1" view="pageBreakPreview">
      <pageMargins left="0.7" right="0.7" top="0.75" bottom="0.75" header="0.3" footer="0.3"/>
      <pageSetup scale="26" orientation="landscape" r:id="rId1"/>
    </customSheetView>
    <customSheetView guid="{ECD6FE6A-9548-414E-B8AA-6998703C57E0}" scale="85" showPageBreaks="1" fitToPage="1" printArea="1" view="pageBreakPreview">
      <pageMargins left="0.7" right="0.7" top="0.75" bottom="0.75" header="0.3" footer="0.3"/>
      <pageSetup scale="26" orientation="landscape" r:id="rId2"/>
    </customSheetView>
  </customSheetViews>
  <mergeCells count="5">
    <mergeCell ref="E61:F61"/>
    <mergeCell ref="H61:I61"/>
    <mergeCell ref="L1:O1"/>
    <mergeCell ref="P1:S1"/>
    <mergeCell ref="T1:AF1"/>
  </mergeCells>
  <dataValidations count="4">
    <dataValidation type="list" allowBlank="1" showInputMessage="1" showErrorMessage="1" sqref="J3:J7" xr:uid="{00000000-0002-0000-1100-000000000000}">
      <formula1>$B$66:$B$68</formula1>
    </dataValidation>
    <dataValidation type="list" allowBlank="1" showInputMessage="1" showErrorMessage="1" sqref="G3:G7" xr:uid="{00000000-0002-0000-1100-000001000000}">
      <formula1>$B$72:$B$85</formula1>
    </dataValidation>
    <dataValidation type="list" allowBlank="1" showInputMessage="1" showErrorMessage="1" sqref="D3:D7" xr:uid="{00000000-0002-0000-1100-000002000000}">
      <formula1>MeasureType</formula1>
    </dataValidation>
    <dataValidation type="list" allowBlank="1" showInputMessage="1" showErrorMessage="1" sqref="E3:E7" xr:uid="{00000000-0002-0000-1100-000003000000}">
      <formula1>Fuel2</formula1>
    </dataValidation>
  </dataValidations>
  <hyperlinks>
    <hyperlink ref="C70" location="_ftn1" display="_ftn1" xr:uid="{00000000-0004-0000-1100-000000000000}"/>
    <hyperlink ref="E70" location="_ftn2" display="_ftn2" xr:uid="{00000000-0004-0000-1100-000001000000}"/>
    <hyperlink ref="F70" location="_ftn3" display="_ftn3" xr:uid="{00000000-0004-0000-1100-000002000000}"/>
  </hyperlinks>
  <pageMargins left="0.7" right="0.7" top="0.75" bottom="0.75" header="0.3" footer="0.3"/>
  <pageSetup scale="26" orientation="landscape" r:id="rId3"/>
  <ignoredErrors>
    <ignoredError sqref="N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79998168889431442"/>
    <pageSetUpPr fitToPage="1"/>
  </sheetPr>
  <dimension ref="A1:AH78"/>
  <sheetViews>
    <sheetView view="pageBreakPreview" zoomScale="85" zoomScaleNormal="100" zoomScaleSheetLayoutView="85" workbookViewId="0"/>
  </sheetViews>
  <sheetFormatPr defaultRowHeight="14.5" x14ac:dyDescent="0.35"/>
  <cols>
    <col min="1" max="1" width="19.1796875" customWidth="1"/>
    <col min="2" max="2" width="34.7265625" bestFit="1" customWidth="1"/>
    <col min="3" max="3" width="18" customWidth="1"/>
    <col min="4" max="4" width="28" bestFit="1" customWidth="1"/>
    <col min="5" max="5" width="10.453125" customWidth="1"/>
    <col min="6" max="6" width="9.81640625" customWidth="1"/>
    <col min="9" max="9" width="11.453125" customWidth="1"/>
    <col min="10" max="10" width="11" customWidth="1"/>
    <col min="13" max="15" width="10" bestFit="1" customWidth="1"/>
    <col min="17" max="18" width="11" bestFit="1" customWidth="1"/>
    <col min="19" max="19" width="11.54296875" customWidth="1"/>
    <col min="20" max="20" width="14.81640625" customWidth="1"/>
    <col min="21" max="21" width="16.1796875" bestFit="1" customWidth="1"/>
    <col min="30" max="31" width="12.1796875" customWidth="1"/>
  </cols>
  <sheetData>
    <row r="1" spans="1:34" x14ac:dyDescent="0.35">
      <c r="A1" s="1721" t="s">
        <v>299</v>
      </c>
      <c r="B1" s="1228" t="s">
        <v>600</v>
      </c>
      <c r="C1" s="1176"/>
      <c r="D1" s="1176"/>
      <c r="E1" s="1177"/>
      <c r="F1" s="1177"/>
      <c r="G1" s="1177"/>
      <c r="H1" s="1177"/>
      <c r="I1" s="1177"/>
      <c r="J1" s="1177"/>
      <c r="K1" s="1177"/>
      <c r="L1" s="1177"/>
      <c r="M1" s="2219" t="s">
        <v>335</v>
      </c>
      <c r="N1" s="2220"/>
      <c r="O1" s="2220"/>
      <c r="P1" s="2274"/>
      <c r="Q1" s="2219" t="s">
        <v>336</v>
      </c>
      <c r="R1" s="2220"/>
      <c r="S1" s="2220"/>
      <c r="T1" s="2220"/>
      <c r="U1" s="2277" t="s">
        <v>337</v>
      </c>
      <c r="V1" s="2277"/>
      <c r="W1" s="2277"/>
      <c r="X1" s="2277"/>
      <c r="Y1" s="2277"/>
      <c r="Z1" s="2277"/>
      <c r="AA1" s="2277"/>
      <c r="AB1" s="2277"/>
      <c r="AC1" s="2277"/>
      <c r="AD1" s="2277"/>
      <c r="AE1" s="2277"/>
      <c r="AF1" s="2277"/>
    </row>
    <row r="2" spans="1:34" s="800" customFormat="1" ht="84.5" x14ac:dyDescent="0.35">
      <c r="A2" s="1145" t="s">
        <v>338</v>
      </c>
      <c r="B2" s="1129" t="s">
        <v>1</v>
      </c>
      <c r="C2" s="1129" t="s">
        <v>339</v>
      </c>
      <c r="D2" s="1129" t="s">
        <v>688</v>
      </c>
      <c r="E2" s="1177" t="s">
        <v>602</v>
      </c>
      <c r="F2" s="1177" t="s">
        <v>342</v>
      </c>
      <c r="G2" s="1192" t="s">
        <v>2214</v>
      </c>
      <c r="H2" s="1125" t="s">
        <v>675</v>
      </c>
      <c r="I2" s="1177" t="s">
        <v>343</v>
      </c>
      <c r="J2" s="1177" t="s">
        <v>344</v>
      </c>
      <c r="K2" s="1177" t="s">
        <v>367</v>
      </c>
      <c r="L2" s="1177" t="s">
        <v>345</v>
      </c>
      <c r="M2" s="1177" t="s">
        <v>347</v>
      </c>
      <c r="N2" s="1177" t="s">
        <v>348</v>
      </c>
      <c r="O2" s="1177" t="s">
        <v>349</v>
      </c>
      <c r="P2" s="1177" t="s">
        <v>604</v>
      </c>
      <c r="Q2" s="1177" t="s">
        <v>347</v>
      </c>
      <c r="R2" s="1177" t="s">
        <v>348</v>
      </c>
      <c r="S2" s="1177" t="s">
        <v>349</v>
      </c>
      <c r="T2" s="1177" t="s">
        <v>604</v>
      </c>
      <c r="U2" s="134" t="s">
        <v>2215</v>
      </c>
      <c r="V2" s="134" t="s">
        <v>606</v>
      </c>
      <c r="W2" s="134" t="s">
        <v>608</v>
      </c>
      <c r="X2" s="134" t="s">
        <v>607</v>
      </c>
      <c r="Y2" s="134" t="s">
        <v>609</v>
      </c>
      <c r="Z2" s="134" t="s">
        <v>2216</v>
      </c>
      <c r="AA2" s="134" t="s">
        <v>612</v>
      </c>
      <c r="AB2" s="134" t="s">
        <v>613</v>
      </c>
      <c r="AC2" s="134" t="s">
        <v>614</v>
      </c>
      <c r="AD2" s="134" t="s">
        <v>615</v>
      </c>
      <c r="AE2" s="134" t="s">
        <v>2142</v>
      </c>
      <c r="AF2" s="134" t="s">
        <v>617</v>
      </c>
      <c r="AG2" s="1108"/>
      <c r="AH2" s="1108"/>
    </row>
    <row r="3" spans="1:34" s="74" customFormat="1" ht="52.5" x14ac:dyDescent="0.35">
      <c r="A3" s="1131" t="s">
        <v>299</v>
      </c>
      <c r="B3" s="1131" t="str">
        <f>$B$1&amp;" "&amp;H3&amp;" GPM"&amp;" - "&amp;F3</f>
        <v>Low Flow Showerheads 1.5 GPM - DI</v>
      </c>
      <c r="C3" s="1132" t="s">
        <v>229</v>
      </c>
      <c r="D3" s="1133" t="s">
        <v>619</v>
      </c>
      <c r="E3" s="1150" t="s">
        <v>2147</v>
      </c>
      <c r="F3" s="1193" t="s">
        <v>403</v>
      </c>
      <c r="G3" s="736">
        <v>1</v>
      </c>
      <c r="H3" s="736">
        <v>1.5</v>
      </c>
      <c r="I3" s="1194">
        <f>+$B$53</f>
        <v>10</v>
      </c>
      <c r="J3" s="1180"/>
      <c r="K3" s="1180"/>
      <c r="L3" s="1181" t="s">
        <v>2148</v>
      </c>
      <c r="M3" s="1182"/>
      <c r="N3" s="1184"/>
      <c r="O3" s="1182">
        <f>(AE3*((V3*X3)-(W3*Y3))*Z3*365.25)*AF3*AB3</f>
        <v>21.634983278999997</v>
      </c>
      <c r="P3" s="1182">
        <f>((V3*X3)-(W3*Y3))*Z3*365.25*AB3</f>
        <v>3434.1243299999996</v>
      </c>
      <c r="Q3" s="1183"/>
      <c r="R3" s="1184"/>
      <c r="S3" s="1182">
        <f>O3*I3</f>
        <v>216.34983278999997</v>
      </c>
      <c r="T3" s="1182">
        <f>P3*I3</f>
        <v>34341.243299999995</v>
      </c>
      <c r="U3" s="75">
        <f>VLOOKUP(E3,$B$65:$C$67,2,FALSE)</f>
        <v>0</v>
      </c>
      <c r="V3" s="62">
        <f>+$B$18</f>
        <v>2.67</v>
      </c>
      <c r="W3" s="62">
        <f>H3</f>
        <v>1.5</v>
      </c>
      <c r="X3" s="62">
        <f>+$B$22</f>
        <v>8.1999999999999993</v>
      </c>
      <c r="Y3" s="62">
        <f>+$B$24</f>
        <v>8.1999999999999993</v>
      </c>
      <c r="Z3" s="62">
        <f>G3</f>
        <v>1</v>
      </c>
      <c r="AA3" s="62">
        <f>+$B$28</f>
        <v>0.127</v>
      </c>
      <c r="AB3" s="75">
        <f>+$B$38</f>
        <v>0.98</v>
      </c>
      <c r="AC3" s="151">
        <f>((V3*X3)*Z3*365.25)*$B$44/$B$43</f>
        <v>224.70060507088331</v>
      </c>
      <c r="AD3" s="62">
        <f>+$B$45</f>
        <v>2.7799999999999998E-2</v>
      </c>
      <c r="AE3" s="361">
        <f>+VLOOKUP(E3,$B$71:$C$73,2)</f>
        <v>1</v>
      </c>
      <c r="AF3" s="62">
        <f>+$B$49</f>
        <v>6.3E-3</v>
      </c>
      <c r="AG3" s="178"/>
      <c r="AH3" s="178"/>
    </row>
    <row r="4" spans="1:34" s="74" customFormat="1" ht="52.5" x14ac:dyDescent="0.35">
      <c r="A4" s="1131" t="s">
        <v>2752</v>
      </c>
      <c r="B4" s="1131" t="s">
        <v>2753</v>
      </c>
      <c r="C4" s="1132" t="s">
        <v>2754</v>
      </c>
      <c r="D4" s="1133" t="s">
        <v>619</v>
      </c>
      <c r="E4" s="1150" t="s">
        <v>2147</v>
      </c>
      <c r="F4" s="1193" t="s">
        <v>403</v>
      </c>
      <c r="G4" s="736">
        <v>1</v>
      </c>
      <c r="H4" s="736">
        <v>1.5</v>
      </c>
      <c r="I4" s="1194">
        <f>+$B$53</f>
        <v>10</v>
      </c>
      <c r="J4" s="1180"/>
      <c r="K4" s="1180"/>
      <c r="L4" s="1181" t="s">
        <v>2148</v>
      </c>
      <c r="M4" s="1182"/>
      <c r="N4" s="1184"/>
      <c r="O4" s="1182">
        <f>(AE4*((V4*X4)-(W4*Y4))*Z4*365.25)*AF4*AB4</f>
        <v>21.634983278999997</v>
      </c>
      <c r="P4" s="1182">
        <f>((V4*X4)-(W4*Y4))*Z4*365.25*AB4</f>
        <v>3434.1243299999996</v>
      </c>
      <c r="Q4" s="1183"/>
      <c r="R4" s="1184"/>
      <c r="S4" s="1182">
        <f>O4*I4</f>
        <v>216.34983278999997</v>
      </c>
      <c r="T4" s="1182">
        <f>P4*I4</f>
        <v>34341.243299999995</v>
      </c>
      <c r="U4" s="75">
        <f>VLOOKUP(E4,$B$65:$C$67,2,FALSE)</f>
        <v>0</v>
      </c>
      <c r="V4" s="62">
        <f>+$B$18</f>
        <v>2.67</v>
      </c>
      <c r="W4" s="62">
        <f>H4</f>
        <v>1.5</v>
      </c>
      <c r="X4" s="62">
        <f>+$B$22</f>
        <v>8.1999999999999993</v>
      </c>
      <c r="Y4" s="62">
        <f>+$B$24</f>
        <v>8.1999999999999993</v>
      </c>
      <c r="Z4" s="62">
        <f>G4</f>
        <v>1</v>
      </c>
      <c r="AA4" s="62">
        <f>+$B$28</f>
        <v>0.127</v>
      </c>
      <c r="AB4" s="75">
        <f>+$B$38</f>
        <v>0.98</v>
      </c>
      <c r="AC4" s="151">
        <f>((V4*X4)*Z4*365.25)*$B$44/$B$43</f>
        <v>224.70060507088331</v>
      </c>
      <c r="AD4" s="62">
        <f>+$B$45</f>
        <v>2.7799999999999998E-2</v>
      </c>
      <c r="AE4" s="361">
        <f>+VLOOKUP(E4,$B$71:$C$73,2)</f>
        <v>1</v>
      </c>
      <c r="AF4" s="62">
        <f>+$B$49</f>
        <v>6.3E-3</v>
      </c>
      <c r="AG4" s="178"/>
      <c r="AH4" s="178"/>
    </row>
    <row r="6" spans="1:34" ht="15" thickBot="1" x14ac:dyDescent="0.4"/>
    <row r="7" spans="1:34" ht="15" thickBot="1" x14ac:dyDescent="0.4">
      <c r="A7" s="188" t="s">
        <v>408</v>
      </c>
      <c r="B7" s="78"/>
      <c r="C7" s="78"/>
      <c r="D7" s="78"/>
      <c r="E7" s="78"/>
      <c r="F7" s="78"/>
      <c r="G7" s="78"/>
      <c r="H7" s="78"/>
      <c r="I7" s="78"/>
      <c r="J7" s="79"/>
    </row>
    <row r="8" spans="1:34" x14ac:dyDescent="0.35">
      <c r="A8" s="81" t="s">
        <v>2217</v>
      </c>
      <c r="B8" s="83"/>
      <c r="C8" s="83"/>
      <c r="D8" s="83"/>
      <c r="E8" s="83"/>
      <c r="F8" s="83"/>
      <c r="G8" s="83"/>
      <c r="H8" s="83"/>
      <c r="I8" s="83"/>
      <c r="J8" s="84"/>
    </row>
    <row r="9" spans="1:34" x14ac:dyDescent="0.35">
      <c r="A9" s="81" t="s">
        <v>628</v>
      </c>
      <c r="B9" s="83"/>
      <c r="C9" s="83"/>
      <c r="D9" s="83"/>
      <c r="E9" s="83"/>
      <c r="F9" s="83"/>
      <c r="G9" s="83"/>
      <c r="H9" s="83"/>
      <c r="I9" s="83"/>
      <c r="J9" s="84"/>
    </row>
    <row r="10" spans="1:34" x14ac:dyDescent="0.35">
      <c r="A10" s="81" t="s">
        <v>2218</v>
      </c>
      <c r="B10" s="82"/>
      <c r="C10" s="83"/>
      <c r="D10" s="83"/>
      <c r="E10" s="83"/>
      <c r="F10" s="83"/>
      <c r="G10" s="83"/>
      <c r="H10" s="83"/>
      <c r="I10" s="83"/>
      <c r="J10" s="84"/>
    </row>
    <row r="11" spans="1:34" ht="15" thickBot="1" x14ac:dyDescent="0.4">
      <c r="A11" s="85" t="s">
        <v>2219</v>
      </c>
      <c r="B11" s="305"/>
      <c r="C11" s="86"/>
      <c r="D11" s="86"/>
      <c r="E11" s="86"/>
      <c r="F11" s="86"/>
      <c r="G11" s="86"/>
      <c r="H11" s="86"/>
      <c r="I11" s="86"/>
      <c r="J11" s="87"/>
    </row>
    <row r="12" spans="1:34" ht="15" thickBot="1" x14ac:dyDescent="0.4">
      <c r="A12" s="188" t="s">
        <v>2571</v>
      </c>
      <c r="B12" s="1384" t="e">
        <f>+#REF!</f>
        <v>#REF!</v>
      </c>
    </row>
    <row r="13" spans="1:34" ht="15" thickBot="1" x14ac:dyDescent="0.4">
      <c r="A13" s="188" t="s">
        <v>2572</v>
      </c>
      <c r="B13" s="701" t="s">
        <v>2792</v>
      </c>
    </row>
    <row r="14" spans="1:34" ht="15" thickBot="1" x14ac:dyDescent="0.4">
      <c r="A14" s="69"/>
      <c r="B14" s="337"/>
    </row>
    <row r="15" spans="1:34" ht="15" thickBot="1" x14ac:dyDescent="0.4">
      <c r="A15" s="88" t="s">
        <v>413</v>
      </c>
      <c r="B15" s="89" t="s">
        <v>414</v>
      </c>
      <c r="C15" s="90" t="s">
        <v>415</v>
      </c>
      <c r="D15" s="1047"/>
      <c r="E15" s="1047"/>
      <c r="F15" s="1047"/>
      <c r="G15" s="1047"/>
      <c r="H15" s="1047"/>
      <c r="I15" s="1047"/>
      <c r="J15" s="1047"/>
      <c r="K15" s="1047"/>
      <c r="L15" s="1047"/>
      <c r="M15" s="1047"/>
      <c r="N15" s="1047"/>
      <c r="O15" s="1047"/>
      <c r="P15" s="1047"/>
      <c r="Q15" s="1047"/>
      <c r="R15" s="1047"/>
      <c r="S15" s="1047"/>
    </row>
    <row r="16" spans="1:34" x14ac:dyDescent="0.35">
      <c r="A16" s="766" t="s">
        <v>2215</v>
      </c>
      <c r="B16" s="769"/>
      <c r="C16" s="767" t="s">
        <v>631</v>
      </c>
      <c r="D16" s="468"/>
      <c r="E16" s="468"/>
      <c r="F16" s="468"/>
      <c r="G16" s="468"/>
      <c r="H16" s="468"/>
      <c r="I16" s="468"/>
      <c r="J16" s="468"/>
      <c r="K16" s="468"/>
      <c r="L16" s="468"/>
      <c r="M16" s="468"/>
      <c r="N16" s="468"/>
      <c r="O16" s="468"/>
      <c r="P16" s="468"/>
      <c r="Q16" s="468"/>
      <c r="R16" s="468"/>
      <c r="S16" s="469"/>
    </row>
    <row r="17" spans="1:19" ht="15" thickBot="1" x14ac:dyDescent="0.4">
      <c r="A17" s="321"/>
      <c r="B17" s="201"/>
      <c r="C17" s="201" t="s">
        <v>2220</v>
      </c>
      <c r="D17" s="201"/>
      <c r="E17" s="201"/>
      <c r="F17" s="201"/>
      <c r="G17" s="201"/>
      <c r="H17" s="201"/>
      <c r="I17" s="201"/>
      <c r="J17" s="201"/>
      <c r="K17" s="768"/>
      <c r="L17" s="201"/>
      <c r="M17" s="201"/>
      <c r="N17" s="201"/>
      <c r="O17" s="201"/>
      <c r="P17" s="201"/>
      <c r="Q17" s="201"/>
      <c r="R17" s="201"/>
      <c r="S17" s="203"/>
    </row>
    <row r="18" spans="1:19" x14ac:dyDescent="0.35">
      <c r="A18" s="766" t="s">
        <v>606</v>
      </c>
      <c r="B18" s="468">
        <v>2.67</v>
      </c>
      <c r="C18" s="767" t="s">
        <v>633</v>
      </c>
      <c r="D18" s="468"/>
      <c r="E18" s="468"/>
      <c r="F18" s="468"/>
      <c r="G18" s="468"/>
      <c r="H18" s="468"/>
      <c r="I18" s="468"/>
      <c r="J18" s="468"/>
      <c r="K18" s="468"/>
      <c r="L18" s="468"/>
      <c r="M18" s="468"/>
      <c r="N18" s="468"/>
      <c r="O18" s="468"/>
      <c r="P18" s="468"/>
      <c r="Q18" s="468"/>
      <c r="R18" s="468"/>
      <c r="S18" s="469"/>
    </row>
    <row r="19" spans="1:19" ht="15" thickBot="1" x14ac:dyDescent="0.4">
      <c r="A19" s="321"/>
      <c r="B19" s="201"/>
      <c r="C19" s="201" t="s">
        <v>1732</v>
      </c>
      <c r="D19" s="201"/>
      <c r="E19" s="201"/>
      <c r="F19" s="201"/>
      <c r="G19" s="201"/>
      <c r="H19" s="201"/>
      <c r="I19" s="201"/>
      <c r="J19" s="201"/>
      <c r="K19" s="201"/>
      <c r="L19" s="201"/>
      <c r="M19" s="201"/>
      <c r="N19" s="201"/>
      <c r="O19" s="201"/>
      <c r="P19" s="201"/>
      <c r="Q19" s="201"/>
      <c r="R19" s="201"/>
      <c r="S19" s="203"/>
    </row>
    <row r="20" spans="1:19" x14ac:dyDescent="0.35">
      <c r="A20" s="766" t="s">
        <v>608</v>
      </c>
      <c r="B20" s="1346" t="s">
        <v>2221</v>
      </c>
      <c r="C20" s="767" t="s">
        <v>637</v>
      </c>
      <c r="D20" s="468"/>
      <c r="E20" s="468"/>
      <c r="F20" s="468"/>
      <c r="G20" s="468"/>
      <c r="H20" s="468"/>
      <c r="I20" s="468"/>
      <c r="J20" s="468"/>
      <c r="K20" s="468"/>
      <c r="L20" s="468"/>
      <c r="M20" s="468"/>
      <c r="N20" s="468"/>
      <c r="O20" s="468"/>
      <c r="P20" s="468"/>
      <c r="Q20" s="468"/>
      <c r="R20" s="468"/>
      <c r="S20" s="469"/>
    </row>
    <row r="21" spans="1:19" ht="15" thickBot="1" x14ac:dyDescent="0.4">
      <c r="A21" s="380"/>
      <c r="B21" s="201"/>
      <c r="C21" s="768" t="s">
        <v>2222</v>
      </c>
      <c r="D21" s="201"/>
      <c r="E21" s="201"/>
      <c r="F21" s="201"/>
      <c r="G21" s="201"/>
      <c r="H21" s="201"/>
      <c r="I21" s="201"/>
      <c r="J21" s="201"/>
      <c r="K21" s="201"/>
      <c r="L21" s="201"/>
      <c r="M21" s="201"/>
      <c r="N21" s="201"/>
      <c r="O21" s="201"/>
      <c r="P21" s="201"/>
      <c r="Q21" s="201"/>
      <c r="R21" s="201"/>
      <c r="S21" s="203"/>
    </row>
    <row r="22" spans="1:19" x14ac:dyDescent="0.35">
      <c r="A22" s="766" t="s">
        <v>607</v>
      </c>
      <c r="B22" s="468">
        <v>8.1999999999999993</v>
      </c>
      <c r="C22" s="767" t="s">
        <v>635</v>
      </c>
      <c r="D22" s="468"/>
      <c r="E22" s="468"/>
      <c r="F22" s="468"/>
      <c r="G22" s="468"/>
      <c r="H22" s="468"/>
      <c r="I22" s="468"/>
      <c r="J22" s="468"/>
      <c r="K22" s="468"/>
      <c r="L22" s="468"/>
      <c r="M22" s="468"/>
      <c r="N22" s="468"/>
      <c r="O22" s="468"/>
      <c r="P22" s="468"/>
      <c r="Q22" s="468"/>
      <c r="R22" s="468"/>
      <c r="S22" s="469"/>
    </row>
    <row r="23" spans="1:19" ht="15" thickBot="1" x14ac:dyDescent="0.4">
      <c r="A23" s="380"/>
      <c r="B23" s="201"/>
      <c r="C23" s="768" t="s">
        <v>1732</v>
      </c>
      <c r="D23" s="201"/>
      <c r="E23" s="201"/>
      <c r="F23" s="201"/>
      <c r="G23" s="201"/>
      <c r="H23" s="201"/>
      <c r="I23" s="201"/>
      <c r="J23" s="201"/>
      <c r="K23" s="201"/>
      <c r="L23" s="201"/>
      <c r="M23" s="201"/>
      <c r="N23" s="201"/>
      <c r="O23" s="201"/>
      <c r="P23" s="201"/>
      <c r="Q23" s="201"/>
      <c r="R23" s="201"/>
      <c r="S23" s="203"/>
    </row>
    <row r="24" spans="1:19" x14ac:dyDescent="0.35">
      <c r="A24" s="766" t="s">
        <v>609</v>
      </c>
      <c r="B24" s="468">
        <v>8.1999999999999993</v>
      </c>
      <c r="C24" s="767" t="s">
        <v>635</v>
      </c>
      <c r="D24" s="468"/>
      <c r="E24" s="468"/>
      <c r="F24" s="468"/>
      <c r="G24" s="468"/>
      <c r="H24" s="468"/>
      <c r="I24" s="468"/>
      <c r="J24" s="468"/>
      <c r="K24" s="468"/>
      <c r="L24" s="468"/>
      <c r="M24" s="468"/>
      <c r="N24" s="468"/>
      <c r="O24" s="468"/>
      <c r="P24" s="468"/>
      <c r="Q24" s="468"/>
      <c r="R24" s="468"/>
      <c r="S24" s="469"/>
    </row>
    <row r="25" spans="1:19" ht="15" thickBot="1" x14ac:dyDescent="0.4">
      <c r="A25" s="321"/>
      <c r="B25" s="201"/>
      <c r="C25" s="768" t="s">
        <v>1732</v>
      </c>
      <c r="D25" s="201"/>
      <c r="E25" s="201"/>
      <c r="F25" s="201"/>
      <c r="G25" s="201"/>
      <c r="H25" s="201"/>
      <c r="I25" s="201"/>
      <c r="J25" s="201"/>
      <c r="K25" s="201"/>
      <c r="L25" s="201"/>
      <c r="M25" s="201"/>
      <c r="N25" s="201"/>
      <c r="O25" s="201"/>
      <c r="P25" s="201"/>
      <c r="Q25" s="201"/>
      <c r="R25" s="201"/>
      <c r="S25" s="203"/>
    </row>
    <row r="26" spans="1:19" x14ac:dyDescent="0.35">
      <c r="A26" s="766" t="s">
        <v>2216</v>
      </c>
      <c r="B26" s="468">
        <f>G3</f>
        <v>1</v>
      </c>
      <c r="C26" s="767" t="s">
        <v>2223</v>
      </c>
      <c r="D26" s="468"/>
      <c r="E26" s="468"/>
      <c r="F26" s="468"/>
      <c r="G26" s="468"/>
      <c r="H26" s="468"/>
      <c r="I26" s="1485"/>
      <c r="J26" s="468"/>
      <c r="K26" s="468"/>
      <c r="L26" s="468"/>
      <c r="M26" s="468"/>
      <c r="N26" s="468"/>
      <c r="O26" s="468"/>
      <c r="P26" s="468"/>
      <c r="Q26" s="468"/>
      <c r="R26" s="468"/>
      <c r="S26" s="469"/>
    </row>
    <row r="27" spans="1:19" ht="15" thickBot="1" x14ac:dyDescent="0.4">
      <c r="A27" s="380"/>
      <c r="B27" s="201"/>
      <c r="C27" s="768" t="s">
        <v>2224</v>
      </c>
      <c r="D27" s="201"/>
      <c r="E27" s="201"/>
      <c r="F27" s="201"/>
      <c r="G27" s="201"/>
      <c r="H27" s="201"/>
      <c r="I27" s="1032"/>
      <c r="J27" s="201"/>
      <c r="K27" s="201"/>
      <c r="L27" s="201"/>
      <c r="M27" s="201"/>
      <c r="N27" s="201"/>
      <c r="O27" s="201"/>
      <c r="P27" s="201"/>
      <c r="Q27" s="201"/>
      <c r="R27" s="201"/>
      <c r="S27" s="203"/>
    </row>
    <row r="28" spans="1:19" x14ac:dyDescent="0.35">
      <c r="A28" s="766" t="s">
        <v>612</v>
      </c>
      <c r="B28" s="468">
        <v>0.127</v>
      </c>
      <c r="C28" s="767" t="s">
        <v>2225</v>
      </c>
      <c r="D28" s="468"/>
      <c r="E28" s="468"/>
      <c r="F28" s="468"/>
      <c r="G28" s="468"/>
      <c r="H28" s="468"/>
      <c r="I28" s="1485"/>
      <c r="J28" s="468"/>
      <c r="K28" s="468"/>
      <c r="L28" s="468"/>
      <c r="M28" s="468"/>
      <c r="N28" s="468"/>
      <c r="O28" s="468"/>
      <c r="P28" s="468"/>
      <c r="Q28" s="468"/>
      <c r="R28" s="468"/>
      <c r="S28" s="469"/>
    </row>
    <row r="29" spans="1:19" x14ac:dyDescent="0.35">
      <c r="A29" s="375"/>
      <c r="B29" s="83"/>
      <c r="C29" s="65" t="s">
        <v>2226</v>
      </c>
      <c r="D29" s="83"/>
      <c r="E29" s="83"/>
      <c r="F29" s="83"/>
      <c r="G29" s="83"/>
      <c r="H29" s="83"/>
      <c r="I29" s="82"/>
      <c r="J29" s="83"/>
      <c r="K29" s="83"/>
      <c r="L29" s="83"/>
      <c r="M29" s="83"/>
      <c r="N29" s="83"/>
      <c r="O29" s="83"/>
      <c r="P29" s="83"/>
      <c r="Q29" s="83"/>
      <c r="R29" s="83"/>
      <c r="S29" s="125"/>
    </row>
    <row r="30" spans="1:19" x14ac:dyDescent="0.35">
      <c r="A30" s="375"/>
      <c r="B30" s="83"/>
      <c r="C30" s="83" t="s">
        <v>2227</v>
      </c>
      <c r="D30" s="83"/>
      <c r="E30" s="83"/>
      <c r="F30" s="83"/>
      <c r="G30" s="83"/>
      <c r="H30" s="83"/>
      <c r="I30" s="82"/>
      <c r="J30" s="83"/>
      <c r="K30" s="83"/>
      <c r="L30" s="83"/>
      <c r="M30" s="83"/>
      <c r="N30" s="83"/>
      <c r="O30" s="83"/>
      <c r="P30" s="83"/>
      <c r="Q30" s="83"/>
      <c r="R30" s="83"/>
      <c r="S30" s="125"/>
    </row>
    <row r="31" spans="1:19" x14ac:dyDescent="0.35">
      <c r="A31" s="375"/>
      <c r="B31" s="83"/>
      <c r="C31" s="65" t="s">
        <v>2228</v>
      </c>
      <c r="D31" s="83"/>
      <c r="E31" s="83"/>
      <c r="F31" s="83"/>
      <c r="G31" s="83"/>
      <c r="H31" s="83"/>
      <c r="I31" s="82"/>
      <c r="J31" s="83"/>
      <c r="K31" s="83"/>
      <c r="L31" s="83"/>
      <c r="M31" s="83"/>
      <c r="N31" s="83"/>
      <c r="O31" s="83"/>
      <c r="P31" s="83"/>
      <c r="Q31" s="83"/>
      <c r="R31" s="83"/>
      <c r="S31" s="125"/>
    </row>
    <row r="32" spans="1:19" x14ac:dyDescent="0.35">
      <c r="A32" s="375"/>
      <c r="B32" s="83"/>
      <c r="C32" s="65" t="s">
        <v>2166</v>
      </c>
      <c r="D32" s="83"/>
      <c r="E32" s="83"/>
      <c r="F32" s="83"/>
      <c r="G32" s="83"/>
      <c r="H32" s="83"/>
      <c r="I32" s="82"/>
      <c r="J32" s="83"/>
      <c r="K32" s="83"/>
      <c r="L32" s="83"/>
      <c r="M32" s="83"/>
      <c r="N32" s="83"/>
      <c r="O32" s="83"/>
      <c r="P32" s="83"/>
      <c r="Q32" s="83"/>
      <c r="R32" s="83"/>
      <c r="S32" s="125"/>
    </row>
    <row r="33" spans="1:19" x14ac:dyDescent="0.35">
      <c r="A33" s="375"/>
      <c r="B33" s="83"/>
      <c r="C33" s="65" t="s">
        <v>2167</v>
      </c>
      <c r="D33" s="83"/>
      <c r="E33" s="83"/>
      <c r="F33" s="83"/>
      <c r="G33" s="83"/>
      <c r="H33" s="83"/>
      <c r="I33" s="82"/>
      <c r="J33" s="83"/>
      <c r="K33" s="83"/>
      <c r="L33" s="83"/>
      <c r="M33" s="83"/>
      <c r="N33" s="83"/>
      <c r="O33" s="83"/>
      <c r="P33" s="83"/>
      <c r="Q33" s="83"/>
      <c r="R33" s="83"/>
      <c r="S33" s="125"/>
    </row>
    <row r="34" spans="1:19" x14ac:dyDescent="0.35">
      <c r="A34" s="375"/>
      <c r="B34" s="83"/>
      <c r="C34" s="83" t="s">
        <v>2229</v>
      </c>
      <c r="D34" s="83"/>
      <c r="E34" s="83"/>
      <c r="F34" s="83"/>
      <c r="G34" s="83"/>
      <c r="H34" s="83"/>
      <c r="I34" s="82"/>
      <c r="J34" s="83"/>
      <c r="K34" s="83"/>
      <c r="L34" s="83"/>
      <c r="M34" s="83"/>
      <c r="N34" s="83"/>
      <c r="O34" s="83"/>
      <c r="P34" s="83"/>
      <c r="Q34" s="83"/>
      <c r="R34" s="83"/>
      <c r="S34" s="125"/>
    </row>
    <row r="35" spans="1:19" x14ac:dyDescent="0.35">
      <c r="A35" s="375"/>
      <c r="B35" s="83"/>
      <c r="C35" s="83" t="s">
        <v>2337</v>
      </c>
      <c r="D35" s="83"/>
      <c r="E35" s="83"/>
      <c r="F35" s="83"/>
      <c r="G35" s="83"/>
      <c r="H35" s="83"/>
      <c r="I35" s="82"/>
      <c r="J35" s="83"/>
      <c r="K35" s="83"/>
      <c r="L35" s="83"/>
      <c r="M35" s="83"/>
      <c r="N35" s="83"/>
      <c r="O35" s="83"/>
      <c r="P35" s="83"/>
      <c r="Q35" s="83"/>
      <c r="R35" s="83"/>
      <c r="S35" s="125"/>
    </row>
    <row r="36" spans="1:19" x14ac:dyDescent="0.35">
      <c r="A36" s="375"/>
      <c r="B36" s="196"/>
      <c r="C36" s="923" t="s">
        <v>2230</v>
      </c>
      <c r="D36" s="83"/>
      <c r="E36" s="83"/>
      <c r="F36" s="83"/>
      <c r="G36" s="83"/>
      <c r="H36" s="83"/>
      <c r="I36" s="82"/>
      <c r="J36" s="83"/>
      <c r="K36" s="83"/>
      <c r="L36" s="83"/>
      <c r="M36" s="83"/>
      <c r="N36" s="83"/>
      <c r="O36" s="83"/>
      <c r="P36" s="83"/>
      <c r="Q36" s="83"/>
      <c r="R36" s="83"/>
      <c r="S36" s="125"/>
    </row>
    <row r="37" spans="1:19" ht="15" thickBot="1" x14ac:dyDescent="0.4">
      <c r="A37" s="321"/>
      <c r="B37" s="201"/>
      <c r="C37" s="201" t="s">
        <v>2171</v>
      </c>
      <c r="D37" s="201"/>
      <c r="E37" s="201"/>
      <c r="F37" s="201"/>
      <c r="G37" s="201"/>
      <c r="H37" s="201"/>
      <c r="I37" s="1032"/>
      <c r="J37" s="201"/>
      <c r="K37" s="201"/>
      <c r="L37" s="201"/>
      <c r="M37" s="201"/>
      <c r="N37" s="201"/>
      <c r="O37" s="201"/>
      <c r="P37" s="201"/>
      <c r="Q37" s="201"/>
      <c r="R37" s="201"/>
      <c r="S37" s="203"/>
    </row>
    <row r="38" spans="1:19" x14ac:dyDescent="0.35">
      <c r="A38" s="766" t="s">
        <v>613</v>
      </c>
      <c r="B38" s="769">
        <v>0.98</v>
      </c>
      <c r="C38" s="767" t="s">
        <v>654</v>
      </c>
      <c r="D38" s="468"/>
      <c r="E38" s="468"/>
      <c r="F38" s="468"/>
      <c r="G38" s="468"/>
      <c r="H38" s="468"/>
      <c r="I38" s="1485"/>
      <c r="J38" s="468"/>
      <c r="K38" s="468"/>
      <c r="L38" s="468"/>
      <c r="M38" s="468"/>
      <c r="N38" s="468"/>
      <c r="O38" s="468"/>
      <c r="P38" s="468"/>
      <c r="Q38" s="468"/>
      <c r="R38" s="468"/>
      <c r="S38" s="469"/>
    </row>
    <row r="39" spans="1:19" x14ac:dyDescent="0.35">
      <c r="A39" s="375"/>
      <c r="B39" s="536"/>
      <c r="C39" s="65" t="s">
        <v>1732</v>
      </c>
      <c r="D39" s="83"/>
      <c r="E39" s="83"/>
      <c r="F39" s="83"/>
      <c r="G39" s="83"/>
      <c r="H39" s="83"/>
      <c r="I39" s="82"/>
      <c r="J39" s="83"/>
      <c r="K39" s="83"/>
      <c r="L39" s="83"/>
      <c r="M39" s="83"/>
      <c r="N39" s="83"/>
      <c r="O39" s="83"/>
      <c r="P39" s="83"/>
      <c r="Q39" s="83"/>
      <c r="R39" s="83"/>
      <c r="S39" s="125"/>
    </row>
    <row r="40" spans="1:19" ht="15" thickBot="1" x14ac:dyDescent="0.4">
      <c r="A40" s="380"/>
      <c r="B40" s="1486"/>
      <c r="C40" s="768" t="s">
        <v>2338</v>
      </c>
      <c r="D40" s="201"/>
      <c r="E40" s="201"/>
      <c r="F40" s="201"/>
      <c r="G40" s="201"/>
      <c r="H40" s="201"/>
      <c r="I40" s="1032"/>
      <c r="J40" s="201"/>
      <c r="K40" s="201"/>
      <c r="L40" s="201"/>
      <c r="M40" s="201"/>
      <c r="N40" s="201"/>
      <c r="O40" s="201"/>
      <c r="P40" s="201"/>
      <c r="Q40" s="201"/>
      <c r="R40" s="201"/>
      <c r="S40" s="203"/>
    </row>
    <row r="41" spans="1:19" x14ac:dyDescent="0.35">
      <c r="A41" s="766" t="s">
        <v>614</v>
      </c>
      <c r="B41" s="547"/>
      <c r="C41" s="767" t="s">
        <v>656</v>
      </c>
      <c r="D41" s="468"/>
      <c r="E41" s="468"/>
      <c r="F41" s="468"/>
      <c r="G41" s="468"/>
      <c r="H41" s="468"/>
      <c r="I41" s="1485"/>
      <c r="J41" s="468"/>
      <c r="K41" s="468"/>
      <c r="L41" s="468"/>
      <c r="M41" s="468"/>
      <c r="N41" s="468"/>
      <c r="O41" s="468"/>
      <c r="P41" s="468"/>
      <c r="Q41" s="468"/>
      <c r="R41" s="468"/>
      <c r="S41" s="469"/>
    </row>
    <row r="42" spans="1:19" x14ac:dyDescent="0.35">
      <c r="A42" s="375"/>
      <c r="B42" s="536"/>
      <c r="C42" s="65" t="s">
        <v>2231</v>
      </c>
      <c r="D42" s="83"/>
      <c r="E42" s="83"/>
      <c r="F42" s="83"/>
      <c r="G42" s="83"/>
      <c r="H42" s="83"/>
      <c r="I42" s="82"/>
      <c r="J42" s="83"/>
      <c r="K42" s="83"/>
      <c r="L42" s="83"/>
      <c r="M42" s="83"/>
      <c r="N42" s="83"/>
      <c r="O42" s="83"/>
      <c r="P42" s="83"/>
      <c r="Q42" s="83"/>
      <c r="R42" s="83"/>
      <c r="S42" s="125"/>
    </row>
    <row r="43" spans="1:19" x14ac:dyDescent="0.35">
      <c r="A43" s="375"/>
      <c r="B43" s="1163">
        <v>27.51</v>
      </c>
      <c r="C43" s="705" t="s">
        <v>2232</v>
      </c>
      <c r="D43" s="83"/>
      <c r="E43" s="83"/>
      <c r="F43" s="83"/>
      <c r="G43" s="83"/>
      <c r="H43" s="83"/>
      <c r="I43" s="82"/>
      <c r="J43" s="83"/>
      <c r="K43" s="83"/>
      <c r="L43" s="83"/>
      <c r="M43" s="83"/>
      <c r="N43" s="83"/>
      <c r="O43" s="83"/>
      <c r="P43" s="83"/>
      <c r="Q43" s="83"/>
      <c r="R43" s="83"/>
      <c r="S43" s="125"/>
    </row>
    <row r="44" spans="1:19" ht="15" thickBot="1" x14ac:dyDescent="0.4">
      <c r="A44" s="380"/>
      <c r="B44" s="1487">
        <v>0.77300000000000002</v>
      </c>
      <c r="C44" s="768" t="s">
        <v>2233</v>
      </c>
      <c r="D44" s="201"/>
      <c r="E44" s="201"/>
      <c r="F44" s="201"/>
      <c r="G44" s="201"/>
      <c r="H44" s="201"/>
      <c r="I44" s="1032"/>
      <c r="J44" s="201"/>
      <c r="K44" s="201"/>
      <c r="L44" s="201"/>
      <c r="M44" s="201"/>
      <c r="N44" s="201"/>
      <c r="O44" s="201"/>
      <c r="P44" s="201"/>
      <c r="Q44" s="201"/>
      <c r="R44" s="201"/>
      <c r="S44" s="203"/>
    </row>
    <row r="45" spans="1:19" x14ac:dyDescent="0.35">
      <c r="A45" s="766" t="s">
        <v>615</v>
      </c>
      <c r="B45" s="468">
        <v>2.7799999999999998E-2</v>
      </c>
      <c r="C45" s="767" t="s">
        <v>658</v>
      </c>
      <c r="D45" s="468"/>
      <c r="E45" s="468"/>
      <c r="F45" s="468"/>
      <c r="G45" s="468"/>
      <c r="H45" s="468"/>
      <c r="I45" s="1485"/>
      <c r="J45" s="468"/>
      <c r="K45" s="468"/>
      <c r="L45" s="468"/>
      <c r="M45" s="468"/>
      <c r="N45" s="468"/>
      <c r="O45" s="468"/>
      <c r="P45" s="468"/>
      <c r="Q45" s="468"/>
      <c r="R45" s="468"/>
      <c r="S45" s="469"/>
    </row>
    <row r="46" spans="1:19" ht="15" thickBot="1" x14ac:dyDescent="0.4">
      <c r="A46" s="321"/>
      <c r="B46" s="201"/>
      <c r="C46" s="768" t="s">
        <v>1732</v>
      </c>
      <c r="D46" s="201"/>
      <c r="E46" s="201"/>
      <c r="F46" s="201"/>
      <c r="G46" s="201"/>
      <c r="H46" s="201"/>
      <c r="I46" s="1032"/>
      <c r="J46" s="201"/>
      <c r="K46" s="201"/>
      <c r="L46" s="201"/>
      <c r="M46" s="201"/>
      <c r="N46" s="201"/>
      <c r="O46" s="201"/>
      <c r="P46" s="201"/>
      <c r="Q46" s="201"/>
      <c r="R46" s="201"/>
      <c r="S46" s="203"/>
    </row>
    <row r="47" spans="1:19" x14ac:dyDescent="0.35">
      <c r="A47" s="766" t="s">
        <v>2142</v>
      </c>
      <c r="B47" s="1447"/>
      <c r="C47" s="767" t="s">
        <v>2180</v>
      </c>
      <c r="D47" s="468"/>
      <c r="E47" s="468"/>
      <c r="F47" s="468"/>
      <c r="G47" s="468"/>
      <c r="H47" s="468"/>
      <c r="I47" s="1485"/>
      <c r="J47" s="468"/>
      <c r="K47" s="468"/>
      <c r="L47" s="468"/>
      <c r="M47" s="468"/>
      <c r="N47" s="468"/>
      <c r="O47" s="468"/>
      <c r="P47" s="468"/>
      <c r="Q47" s="468"/>
      <c r="R47" s="468"/>
      <c r="S47" s="469"/>
    </row>
    <row r="48" spans="1:19" ht="15" thickBot="1" x14ac:dyDescent="0.4">
      <c r="A48" s="380"/>
      <c r="B48" s="202"/>
      <c r="C48" s="768" t="s">
        <v>2234</v>
      </c>
      <c r="D48" s="201"/>
      <c r="E48" s="201"/>
      <c r="F48" s="201"/>
      <c r="G48" s="201"/>
      <c r="H48" s="201"/>
      <c r="I48" s="1032"/>
      <c r="J48" s="201"/>
      <c r="K48" s="201"/>
      <c r="L48" s="201"/>
      <c r="M48" s="201"/>
      <c r="N48" s="201"/>
      <c r="O48" s="201"/>
      <c r="P48" s="201"/>
      <c r="Q48" s="201"/>
      <c r="R48" s="201"/>
      <c r="S48" s="203"/>
    </row>
    <row r="49" spans="1:19" x14ac:dyDescent="0.35">
      <c r="A49" s="766" t="s">
        <v>617</v>
      </c>
      <c r="B49" s="468">
        <v>6.3E-3</v>
      </c>
      <c r="C49" s="767" t="s">
        <v>662</v>
      </c>
      <c r="D49" s="468"/>
      <c r="E49" s="468"/>
      <c r="F49" s="468"/>
      <c r="G49" s="468"/>
      <c r="H49" s="468"/>
      <c r="I49" s="1485"/>
      <c r="J49" s="468"/>
      <c r="K49" s="468"/>
      <c r="L49" s="468"/>
      <c r="M49" s="468"/>
      <c r="N49" s="468"/>
      <c r="O49" s="468"/>
      <c r="P49" s="468"/>
      <c r="Q49" s="468"/>
      <c r="R49" s="468"/>
      <c r="S49" s="469"/>
    </row>
    <row r="50" spans="1:19" x14ac:dyDescent="0.35">
      <c r="A50" s="375"/>
      <c r="B50" s="196"/>
      <c r="C50" s="65" t="s">
        <v>2235</v>
      </c>
      <c r="D50" s="83"/>
      <c r="E50" s="83"/>
      <c r="F50" s="83"/>
      <c r="G50" s="83"/>
      <c r="H50" s="83"/>
      <c r="I50" s="82"/>
      <c r="J50" s="83"/>
      <c r="K50" s="83"/>
      <c r="L50" s="83"/>
      <c r="M50" s="83"/>
      <c r="N50" s="83"/>
      <c r="O50" s="83"/>
      <c r="P50" s="83"/>
      <c r="Q50" s="83"/>
      <c r="R50" s="83"/>
      <c r="S50" s="125"/>
    </row>
    <row r="51" spans="1:19" x14ac:dyDescent="0.35">
      <c r="A51" s="375"/>
      <c r="B51" s="196"/>
      <c r="C51" s="65" t="s">
        <v>2236</v>
      </c>
      <c r="D51" s="83"/>
      <c r="E51" s="83"/>
      <c r="F51" s="83"/>
      <c r="G51" s="83"/>
      <c r="H51" s="83"/>
      <c r="I51" s="82"/>
      <c r="J51" s="83"/>
      <c r="K51" s="83"/>
      <c r="L51" s="83"/>
      <c r="M51" s="83"/>
      <c r="N51" s="83"/>
      <c r="O51" s="83"/>
      <c r="P51" s="83"/>
      <c r="Q51" s="83"/>
      <c r="R51" s="83"/>
      <c r="S51" s="125"/>
    </row>
    <row r="52" spans="1:19" ht="15" thickBot="1" x14ac:dyDescent="0.4">
      <c r="A52" s="321"/>
      <c r="B52" s="201"/>
      <c r="C52" s="768" t="s">
        <v>2237</v>
      </c>
      <c r="D52" s="201"/>
      <c r="E52" s="201"/>
      <c r="F52" s="201"/>
      <c r="G52" s="201"/>
      <c r="H52" s="201"/>
      <c r="I52" s="1032"/>
      <c r="J52" s="201"/>
      <c r="K52" s="201"/>
      <c r="L52" s="201"/>
      <c r="M52" s="201"/>
      <c r="N52" s="201"/>
      <c r="O52" s="201"/>
      <c r="P52" s="201"/>
      <c r="Q52" s="201"/>
      <c r="R52" s="201"/>
      <c r="S52" s="203"/>
    </row>
    <row r="53" spans="1:19" ht="15" thickBot="1" x14ac:dyDescent="0.4">
      <c r="A53" s="467" t="s">
        <v>443</v>
      </c>
      <c r="B53" s="468">
        <v>10</v>
      </c>
      <c r="C53" s="767" t="s">
        <v>1732</v>
      </c>
      <c r="D53" s="468"/>
      <c r="E53" s="468"/>
      <c r="F53" s="468"/>
      <c r="G53" s="468"/>
      <c r="H53" s="468"/>
      <c r="I53" s="468"/>
      <c r="J53" s="468"/>
      <c r="K53" s="468"/>
      <c r="L53" s="468"/>
      <c r="M53" s="468"/>
      <c r="N53" s="468"/>
      <c r="O53" s="468"/>
      <c r="P53" s="468"/>
      <c r="Q53" s="468"/>
      <c r="R53" s="468"/>
      <c r="S53" s="469"/>
    </row>
    <row r="54" spans="1:19" x14ac:dyDescent="0.35">
      <c r="A54" s="467" t="s">
        <v>344</v>
      </c>
      <c r="B54" s="468"/>
      <c r="C54" s="468"/>
      <c r="D54" s="468"/>
      <c r="E54" s="468"/>
      <c r="F54" s="468"/>
      <c r="G54" s="468"/>
      <c r="H54" s="468"/>
      <c r="I54" s="468"/>
      <c r="J54" s="468"/>
      <c r="K54" s="468"/>
      <c r="L54" s="468"/>
      <c r="M54" s="468"/>
      <c r="N54" s="468"/>
      <c r="O54" s="468"/>
      <c r="P54" s="468"/>
      <c r="Q54" s="468"/>
      <c r="R54" s="468"/>
      <c r="S54" s="469"/>
    </row>
    <row r="55" spans="1:19" ht="15" thickBot="1" x14ac:dyDescent="0.4">
      <c r="A55" s="321"/>
      <c r="B55" s="201"/>
      <c r="C55" s="768"/>
      <c r="D55" s="201"/>
      <c r="E55" s="201"/>
      <c r="F55" s="201"/>
      <c r="G55" s="201"/>
      <c r="H55" s="201"/>
      <c r="I55" s="201"/>
      <c r="J55" s="201"/>
      <c r="K55" s="201"/>
      <c r="L55" s="201"/>
      <c r="M55" s="201"/>
      <c r="N55" s="201"/>
      <c r="O55" s="201"/>
      <c r="P55" s="201"/>
      <c r="Q55" s="201"/>
      <c r="R55" s="201"/>
      <c r="S55" s="203"/>
    </row>
    <row r="59" spans="1:19" ht="15" thickBot="1" x14ac:dyDescent="0.4"/>
    <row r="60" spans="1:19" ht="15" thickBot="1" x14ac:dyDescent="0.4">
      <c r="A60" s="122" t="s">
        <v>539</v>
      </c>
      <c r="B60" s="78"/>
      <c r="C60" s="78"/>
      <c r="D60" s="78"/>
      <c r="E60" s="78"/>
      <c r="F60" s="78"/>
      <c r="G60" s="79"/>
    </row>
    <row r="61" spans="1:19" x14ac:dyDescent="0.35">
      <c r="A61" s="124"/>
      <c r="B61" s="83"/>
      <c r="C61" s="83"/>
      <c r="D61" s="83"/>
      <c r="E61" s="83"/>
      <c r="F61" s="83"/>
      <c r="G61" s="125"/>
    </row>
    <row r="62" spans="1:19" x14ac:dyDescent="0.35">
      <c r="A62" s="124"/>
      <c r="B62" s="83"/>
      <c r="C62" s="83"/>
      <c r="D62" s="83"/>
      <c r="E62" s="83"/>
      <c r="F62" s="83"/>
      <c r="G62" s="125"/>
    </row>
    <row r="63" spans="1:19" x14ac:dyDescent="0.35">
      <c r="A63" s="124"/>
      <c r="B63" s="83"/>
      <c r="C63" s="83"/>
      <c r="D63" s="83"/>
      <c r="E63" s="83"/>
      <c r="F63" s="83"/>
      <c r="G63" s="125"/>
    </row>
    <row r="64" spans="1:19" ht="26" x14ac:dyDescent="0.35">
      <c r="A64" s="124"/>
      <c r="B64" s="812" t="s">
        <v>672</v>
      </c>
      <c r="C64" s="812" t="s">
        <v>2189</v>
      </c>
      <c r="D64" s="83"/>
      <c r="E64" s="70" t="s">
        <v>675</v>
      </c>
      <c r="F64" s="83"/>
      <c r="G64" s="125"/>
    </row>
    <row r="65" spans="1:7" x14ac:dyDescent="0.35">
      <c r="A65" s="124"/>
      <c r="B65" s="405" t="s">
        <v>451</v>
      </c>
      <c r="C65" s="127">
        <v>1</v>
      </c>
      <c r="D65" s="83"/>
      <c r="E65" s="315">
        <v>2</v>
      </c>
      <c r="F65" s="83"/>
      <c r="G65" s="125"/>
    </row>
    <row r="66" spans="1:7" ht="14.25" customHeight="1" x14ac:dyDescent="0.35">
      <c r="A66" s="124"/>
      <c r="B66" s="405" t="s">
        <v>2147</v>
      </c>
      <c r="C66" s="127">
        <v>0</v>
      </c>
      <c r="D66" s="83"/>
      <c r="E66" s="315">
        <v>1.75</v>
      </c>
      <c r="F66" s="83"/>
      <c r="G66" s="125"/>
    </row>
    <row r="67" spans="1:7" x14ac:dyDescent="0.35">
      <c r="A67" s="124"/>
      <c r="B67" s="405" t="s">
        <v>399</v>
      </c>
      <c r="C67" s="127">
        <v>0.16</v>
      </c>
      <c r="D67" s="83"/>
      <c r="E67" s="315">
        <v>1.5</v>
      </c>
      <c r="F67" s="83"/>
      <c r="G67" s="125"/>
    </row>
    <row r="68" spans="1:7" ht="29" x14ac:dyDescent="0.35">
      <c r="A68" s="124"/>
      <c r="B68" s="83"/>
      <c r="C68" s="83"/>
      <c r="D68" s="83"/>
      <c r="E68" s="317" t="s">
        <v>1260</v>
      </c>
      <c r="F68" s="83"/>
      <c r="G68" s="125"/>
    </row>
    <row r="69" spans="1:7" x14ac:dyDescent="0.35">
      <c r="A69" s="124"/>
      <c r="B69" s="83"/>
      <c r="C69" s="83"/>
      <c r="D69" s="83"/>
      <c r="E69" s="83"/>
      <c r="F69" s="83"/>
      <c r="G69" s="125"/>
    </row>
    <row r="70" spans="1:7" x14ac:dyDescent="0.35">
      <c r="A70" s="124"/>
      <c r="B70" s="812" t="s">
        <v>2238</v>
      </c>
      <c r="C70" s="812" t="s">
        <v>1242</v>
      </c>
      <c r="D70" s="83"/>
      <c r="E70" s="83"/>
      <c r="F70" s="83"/>
      <c r="G70" s="125"/>
    </row>
    <row r="71" spans="1:7" x14ac:dyDescent="0.35">
      <c r="A71" s="124"/>
      <c r="B71" s="405" t="s">
        <v>451</v>
      </c>
      <c r="C71" s="127">
        <v>0</v>
      </c>
      <c r="D71" s="83"/>
      <c r="E71" s="83"/>
      <c r="F71" s="83"/>
      <c r="G71" s="125"/>
    </row>
    <row r="72" spans="1:7" x14ac:dyDescent="0.35">
      <c r="A72" s="124"/>
      <c r="B72" s="405" t="s">
        <v>2147</v>
      </c>
      <c r="C72" s="127">
        <v>1</v>
      </c>
      <c r="D72" s="83"/>
      <c r="E72" s="83"/>
      <c r="F72" s="83"/>
      <c r="G72" s="125"/>
    </row>
    <row r="73" spans="1:7" x14ac:dyDescent="0.35">
      <c r="A73" s="124"/>
      <c r="B73" s="405" t="s">
        <v>399</v>
      </c>
      <c r="C73" s="127">
        <v>0.84</v>
      </c>
      <c r="D73" s="83"/>
      <c r="E73" s="83"/>
      <c r="F73" s="83"/>
      <c r="G73" s="125"/>
    </row>
    <row r="74" spans="1:7" x14ac:dyDescent="0.35">
      <c r="A74" s="124"/>
      <c r="B74" s="83"/>
      <c r="C74" s="83"/>
      <c r="D74" s="83"/>
      <c r="E74" s="135"/>
      <c r="F74" s="135"/>
      <c r="G74" s="125"/>
    </row>
    <row r="75" spans="1:7" x14ac:dyDescent="0.35">
      <c r="A75" s="124"/>
      <c r="B75" s="812" t="s">
        <v>344</v>
      </c>
      <c r="C75" s="812"/>
      <c r="D75" s="83"/>
      <c r="E75" s="135"/>
      <c r="F75" s="135"/>
      <c r="G75" s="125"/>
    </row>
    <row r="76" spans="1:7" x14ac:dyDescent="0.35">
      <c r="A76" s="124"/>
      <c r="B76" s="1"/>
      <c r="C76" s="1109"/>
      <c r="D76" s="83"/>
      <c r="E76" s="135"/>
      <c r="F76" s="135"/>
      <c r="G76" s="125"/>
    </row>
    <row r="77" spans="1:7" x14ac:dyDescent="0.35">
      <c r="A77" s="124"/>
      <c r="B77" s="62"/>
      <c r="C77" s="143"/>
      <c r="D77" s="83"/>
      <c r="E77" s="135"/>
      <c r="F77" s="135"/>
      <c r="G77" s="125"/>
    </row>
    <row r="78" spans="1:7" ht="15" thickBot="1" x14ac:dyDescent="0.4">
      <c r="A78" s="321"/>
      <c r="B78" s="201"/>
      <c r="C78" s="201"/>
      <c r="D78" s="201"/>
      <c r="E78" s="201"/>
      <c r="F78" s="201"/>
      <c r="G78" s="203"/>
    </row>
  </sheetData>
  <customSheetViews>
    <customSheetView guid="{11DE45F5-F478-4ED6-8DFF-12002C22A637}" scale="85" showPageBreaks="1" fitToPage="1" printArea="1" view="pageBreakPreview">
      <pageMargins left="0.7" right="0.7" top="0.75" bottom="0.75" header="0.3" footer="0.3"/>
      <pageSetup scale="32" orientation="landscape" verticalDpi="300" r:id="rId1"/>
    </customSheetView>
    <customSheetView guid="{ECD6FE6A-9548-414E-B8AA-6998703C57E0}" scale="85" showPageBreaks="1" fitToPage="1" printArea="1" view="pageBreakPreview">
      <pageMargins left="0.7" right="0.7" top="0.75" bottom="0.75" header="0.3" footer="0.3"/>
      <pageSetup scale="32" orientation="landscape" verticalDpi="300" r:id="rId2"/>
    </customSheetView>
  </customSheetViews>
  <mergeCells count="3">
    <mergeCell ref="M1:P1"/>
    <mergeCell ref="Q1:T1"/>
    <mergeCell ref="U1:AF1"/>
  </mergeCells>
  <dataValidations disablePrompts="1" count="4">
    <dataValidation type="list" allowBlank="1" showInputMessage="1" showErrorMessage="1" sqref="K3:K4" xr:uid="{00000000-0002-0000-1200-000000000000}">
      <formula1>$B$76:$B$77</formula1>
    </dataValidation>
    <dataValidation type="list" allowBlank="1" showInputMessage="1" showErrorMessage="1" sqref="D3:D4" xr:uid="{00000000-0002-0000-1200-000001000000}">
      <formula1>MeasureType</formula1>
    </dataValidation>
    <dataValidation type="list" allowBlank="1" showInputMessage="1" showErrorMessage="1" sqref="E3:E4" xr:uid="{00000000-0002-0000-1200-000002000000}">
      <formula1>Fuel3</formula1>
    </dataValidation>
    <dataValidation type="list" allowBlank="1" showInputMessage="1" showErrorMessage="1" sqref="H3:H4" xr:uid="{00000000-0002-0000-1200-000003000000}">
      <formula1>LFSh1</formula1>
    </dataValidation>
  </dataValidations>
  <pageMargins left="0.7" right="0.7" top="0.75" bottom="0.75" header="0.3" footer="0.3"/>
  <pageSetup scale="31" orientation="landscape" verticalDpi="300"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26"/>
  <sheetViews>
    <sheetView view="pageBreakPreview" zoomScale="70" zoomScaleNormal="60" zoomScaleSheetLayoutView="70" workbookViewId="0">
      <selection activeCell="A3" sqref="A3"/>
    </sheetView>
  </sheetViews>
  <sheetFormatPr defaultRowHeight="14.5" x14ac:dyDescent="0.35"/>
  <cols>
    <col min="1" max="1" width="20.54296875" customWidth="1"/>
    <col min="2" max="2" width="20.7265625" customWidth="1"/>
    <col min="3" max="3" width="18.81640625" customWidth="1"/>
    <col min="4" max="4" width="22.26953125" customWidth="1"/>
    <col min="5" max="5" width="25" customWidth="1"/>
    <col min="6" max="6" width="22.54296875" customWidth="1"/>
    <col min="7" max="7" width="19.7265625" customWidth="1"/>
    <col min="8" max="8" width="23.1796875" customWidth="1"/>
    <col min="9" max="9" width="27.7265625" customWidth="1"/>
    <col min="10" max="10" width="19.453125" customWidth="1"/>
    <col min="11" max="11" width="18.81640625" customWidth="1"/>
    <col min="12" max="12" width="23.1796875" customWidth="1"/>
    <col min="13" max="13" width="25.7265625" customWidth="1"/>
    <col min="14" max="14" width="22.1796875" customWidth="1"/>
    <col min="15" max="15" width="20.1796875" customWidth="1"/>
    <col min="16" max="16" width="23.1796875" customWidth="1"/>
    <col min="17" max="17" width="27.7265625" customWidth="1"/>
    <col min="18" max="18" width="21.1796875" customWidth="1"/>
    <col min="19" max="19" width="20.1796875" customWidth="1"/>
    <col min="20" max="20" width="22.26953125" customWidth="1"/>
    <col min="21" max="24" width="18.81640625" bestFit="1" customWidth="1"/>
    <col min="25" max="25" width="21.7265625" customWidth="1"/>
    <col min="26" max="30" width="24.453125" customWidth="1"/>
    <col min="31" max="31" width="14.453125" bestFit="1" customWidth="1"/>
  </cols>
  <sheetData>
    <row r="1" spans="1:31" ht="25.5" customHeight="1" x14ac:dyDescent="0.35">
      <c r="A1" s="58" t="s">
        <v>144</v>
      </c>
      <c r="B1" s="1592"/>
    </row>
    <row r="2" spans="1:31" ht="19.5" customHeight="1" x14ac:dyDescent="0.35">
      <c r="A2" s="27" t="s">
        <v>3530</v>
      </c>
      <c r="B2" s="1592"/>
    </row>
    <row r="3" spans="1:31" s="1389" customFormat="1" ht="19.5" customHeight="1" x14ac:dyDescent="0.35">
      <c r="A3" s="1593" t="s">
        <v>146</v>
      </c>
    </row>
    <row r="4" spans="1:31" s="11" customFormat="1" ht="34.5" customHeight="1" x14ac:dyDescent="0.4">
      <c r="A4" s="22"/>
      <c r="B4" s="2132" t="s">
        <v>2926</v>
      </c>
      <c r="C4" s="2132"/>
      <c r="D4" s="2132"/>
      <c r="E4" s="2132"/>
      <c r="F4" s="2133" t="s">
        <v>2927</v>
      </c>
      <c r="G4" s="2133"/>
      <c r="H4" s="2133"/>
      <c r="I4" s="2133"/>
      <c r="J4" s="2134" t="s">
        <v>2928</v>
      </c>
      <c r="K4" s="2134"/>
      <c r="L4" s="2134"/>
      <c r="M4" s="2134"/>
      <c r="N4" s="2135" t="s">
        <v>2929</v>
      </c>
      <c r="O4" s="2135"/>
      <c r="P4" s="2135"/>
      <c r="Q4" s="2135"/>
      <c r="R4" s="2136" t="s">
        <v>2930</v>
      </c>
      <c r="S4" s="2136"/>
      <c r="T4" s="2137"/>
      <c r="U4" s="2138" t="s">
        <v>3478</v>
      </c>
      <c r="V4" s="2138"/>
      <c r="W4" s="2138"/>
      <c r="X4" s="2138"/>
      <c r="Y4" s="2138"/>
      <c r="Z4" s="2131" t="s">
        <v>3479</v>
      </c>
      <c r="AA4" s="2131"/>
      <c r="AB4" s="2131"/>
      <c r="AC4" s="2131"/>
      <c r="AD4" s="2131"/>
    </row>
    <row r="5" spans="1:31" s="1595" customFormat="1" ht="79.5" customHeight="1" x14ac:dyDescent="0.35">
      <c r="A5" s="19"/>
      <c r="B5" s="18" t="s">
        <v>2931</v>
      </c>
      <c r="C5" s="12" t="s">
        <v>2932</v>
      </c>
      <c r="D5" s="12" t="s">
        <v>2933</v>
      </c>
      <c r="E5" s="12" t="s">
        <v>56</v>
      </c>
      <c r="F5" s="1832" t="s">
        <v>2931</v>
      </c>
      <c r="G5" s="13" t="s">
        <v>2932</v>
      </c>
      <c r="H5" s="13" t="s">
        <v>2933</v>
      </c>
      <c r="I5" s="14" t="s">
        <v>56</v>
      </c>
      <c r="J5" s="18" t="s">
        <v>2931</v>
      </c>
      <c r="K5" s="15" t="s">
        <v>2932</v>
      </c>
      <c r="L5" s="15" t="s">
        <v>2933</v>
      </c>
      <c r="M5" s="15" t="s">
        <v>56</v>
      </c>
      <c r="N5" s="18" t="s">
        <v>2931</v>
      </c>
      <c r="O5" s="1594" t="s">
        <v>2932</v>
      </c>
      <c r="P5" s="1594" t="s">
        <v>2933</v>
      </c>
      <c r="Q5" s="1594" t="s">
        <v>56</v>
      </c>
      <c r="R5" s="1832" t="s">
        <v>2931</v>
      </c>
      <c r="S5" s="52" t="s">
        <v>2932</v>
      </c>
      <c r="T5" s="52" t="s">
        <v>2933</v>
      </c>
      <c r="U5" s="2058" t="s">
        <v>3499</v>
      </c>
      <c r="V5" s="2058" t="s">
        <v>3499</v>
      </c>
      <c r="W5" s="2058" t="s">
        <v>3499</v>
      </c>
      <c r="X5" s="2058" t="s">
        <v>3499</v>
      </c>
      <c r="Y5" s="2058" t="s">
        <v>3475</v>
      </c>
      <c r="Z5" s="2060" t="s">
        <v>3471</v>
      </c>
      <c r="AA5" s="2060" t="s">
        <v>3472</v>
      </c>
      <c r="AB5" s="2060" t="s">
        <v>3473</v>
      </c>
      <c r="AC5" s="2060" t="s">
        <v>3474</v>
      </c>
      <c r="AD5" s="2060" t="s">
        <v>3355</v>
      </c>
      <c r="AE5" s="2027"/>
    </row>
    <row r="6" spans="1:31" s="1595" customFormat="1" ht="24" customHeight="1" x14ac:dyDescent="0.35">
      <c r="A6" s="16" t="s">
        <v>0</v>
      </c>
      <c r="B6" s="18">
        <v>2018</v>
      </c>
      <c r="C6" s="12">
        <v>2018</v>
      </c>
      <c r="D6" s="12">
        <v>2018</v>
      </c>
      <c r="E6" s="12">
        <v>2018</v>
      </c>
      <c r="F6" s="1832">
        <v>2019</v>
      </c>
      <c r="G6" s="13">
        <v>2019</v>
      </c>
      <c r="H6" s="13">
        <v>2019</v>
      </c>
      <c r="I6" s="14">
        <v>2019</v>
      </c>
      <c r="J6" s="18">
        <v>2020</v>
      </c>
      <c r="K6" s="15">
        <v>2020</v>
      </c>
      <c r="L6" s="15">
        <v>2020</v>
      </c>
      <c r="M6" s="15">
        <v>2020</v>
      </c>
      <c r="N6" s="18">
        <v>2021</v>
      </c>
      <c r="O6" s="1594">
        <v>2021</v>
      </c>
      <c r="P6" s="1594">
        <v>2021</v>
      </c>
      <c r="Q6" s="1594">
        <v>2021</v>
      </c>
      <c r="R6" s="1832" t="s">
        <v>2934</v>
      </c>
      <c r="S6" s="52" t="s">
        <v>2934</v>
      </c>
      <c r="T6" s="52" t="s">
        <v>2934</v>
      </c>
      <c r="U6" s="2070">
        <v>2018</v>
      </c>
      <c r="V6" s="2070">
        <v>2019</v>
      </c>
      <c r="W6" s="2070">
        <v>2020</v>
      </c>
      <c r="X6" s="2070">
        <v>2021</v>
      </c>
      <c r="Y6" s="2070" t="s">
        <v>2934</v>
      </c>
      <c r="Z6" s="2060">
        <v>2018</v>
      </c>
      <c r="AA6" s="2060">
        <v>2019</v>
      </c>
      <c r="AB6" s="2060">
        <v>2020</v>
      </c>
      <c r="AC6" s="2060">
        <v>2021</v>
      </c>
      <c r="AD6" s="2060" t="s">
        <v>2934</v>
      </c>
    </row>
    <row r="7" spans="1:31" s="10" customFormat="1" ht="22.5" customHeight="1" x14ac:dyDescent="0.35">
      <c r="A7" s="4" t="s">
        <v>4</v>
      </c>
      <c r="B7" s="20" t="s">
        <v>5</v>
      </c>
      <c r="C7" s="6" t="s">
        <v>6</v>
      </c>
      <c r="D7" s="6" t="s">
        <v>51</v>
      </c>
      <c r="E7" s="6" t="s">
        <v>8</v>
      </c>
      <c r="F7" s="5" t="s">
        <v>9</v>
      </c>
      <c r="G7" s="7" t="s">
        <v>10</v>
      </c>
      <c r="H7" s="7" t="s">
        <v>52</v>
      </c>
      <c r="I7" s="8" t="s">
        <v>12</v>
      </c>
      <c r="J7" s="20" t="s">
        <v>14</v>
      </c>
      <c r="K7" s="9" t="s">
        <v>15</v>
      </c>
      <c r="L7" s="9" t="s">
        <v>53</v>
      </c>
      <c r="M7" s="9" t="s">
        <v>17</v>
      </c>
      <c r="N7" s="20" t="s">
        <v>18</v>
      </c>
      <c r="O7" s="1596" t="s">
        <v>19</v>
      </c>
      <c r="P7" s="1596" t="s">
        <v>54</v>
      </c>
      <c r="Q7" s="1596" t="s">
        <v>26</v>
      </c>
      <c r="R7" s="5" t="s">
        <v>2935</v>
      </c>
      <c r="S7" s="53" t="s">
        <v>2936</v>
      </c>
      <c r="T7" s="53" t="s">
        <v>2937</v>
      </c>
      <c r="U7" s="2059" t="s">
        <v>3494</v>
      </c>
      <c r="V7" s="2059" t="s">
        <v>3495</v>
      </c>
      <c r="W7" s="2059" t="s">
        <v>3496</v>
      </c>
      <c r="X7" s="2059" t="s">
        <v>3497</v>
      </c>
      <c r="Y7" s="2059" t="s">
        <v>30</v>
      </c>
      <c r="Z7" s="2061" t="s">
        <v>2991</v>
      </c>
      <c r="AA7" s="2061" t="s">
        <v>2992</v>
      </c>
      <c r="AB7" s="2061" t="s">
        <v>2993</v>
      </c>
      <c r="AC7" s="2061" t="s">
        <v>3500</v>
      </c>
      <c r="AD7" s="2061" t="s">
        <v>3501</v>
      </c>
    </row>
    <row r="8" spans="1:31" s="1605" customFormat="1" ht="18" x14ac:dyDescent="0.35">
      <c r="A8" s="1597"/>
      <c r="B8" s="1598"/>
      <c r="C8" s="1598"/>
      <c r="D8" s="1599"/>
      <c r="E8" s="1600"/>
      <c r="F8" s="1598"/>
      <c r="G8" s="1598"/>
      <c r="H8" s="1599"/>
      <c r="I8" s="1601"/>
      <c r="J8" s="1602"/>
      <c r="K8" s="1598"/>
      <c r="L8" s="1599"/>
      <c r="M8" s="1600"/>
      <c r="N8" s="1602"/>
      <c r="O8" s="1598"/>
      <c r="P8" s="1599" t="str">
        <f ca="1">_xlfn.FORMULATEXT(P9)</f>
        <v>=O9-N9</v>
      </c>
      <c r="Q8" s="1600"/>
      <c r="R8" s="1603"/>
      <c r="S8" s="1604"/>
      <c r="T8" s="1597"/>
      <c r="U8" s="2029"/>
      <c r="V8" s="2029"/>
      <c r="W8" s="2029"/>
      <c r="X8" s="2029"/>
      <c r="Y8" s="2029"/>
      <c r="Z8" s="2029"/>
      <c r="AA8" s="2029"/>
      <c r="AB8" s="2029"/>
      <c r="AC8" s="2029"/>
      <c r="AD8" s="2029"/>
    </row>
    <row r="9" spans="1:31" s="1605" customFormat="1" ht="22.5" customHeight="1" x14ac:dyDescent="0.35">
      <c r="A9" s="1977" t="s">
        <v>1494</v>
      </c>
      <c r="B9" s="1980">
        <f>SUMIF('Measure-Level Adjustments'!$A$8:$A$307,$A9,'Measure-Level Adjustments'!$T$8:$T$307)</f>
        <v>2859284.8219569819</v>
      </c>
      <c r="C9" s="1980">
        <f>SUMIF('Measure-Level Adjustments'!$A$8:$A$307,$A9,'Measure-Level Adjustments'!$AC$8:$AC$307)</f>
        <v>2859284.8219569819</v>
      </c>
      <c r="D9" s="1978">
        <f>C9-B9</f>
        <v>0</v>
      </c>
      <c r="E9" s="1982" t="s">
        <v>3446</v>
      </c>
      <c r="F9" s="1980">
        <f>SUMIF('Measure-Level Adjustments'!$A$8:$A$307,$A9,'Measure-Level Adjustments'!$U$8:$U$307)</f>
        <v>2859284.8219569819</v>
      </c>
      <c r="G9" s="1980">
        <f>SUMIF('Measure-Level Adjustments'!$A$8:$A$307,$A9,'Measure-Level Adjustments'!$AI$8:$AI$307)</f>
        <v>2862428.1467027883</v>
      </c>
      <c r="H9" s="1978">
        <f>G9-F9</f>
        <v>3143.3247458063997</v>
      </c>
      <c r="I9" s="1983" t="s">
        <v>3446</v>
      </c>
      <c r="J9" s="1980">
        <f>SUMIF('Measure-Level Adjustments'!$A$8:$A$307,$A9,'Measure-Level Adjustments'!$V$8:$V$307)</f>
        <v>2859284.8219569819</v>
      </c>
      <c r="K9" s="1980">
        <f>SUMIF('Measure-Level Adjustments'!$A$8:$A$307,$A9,'Measure-Level Adjustments'!$AO$8:$AO$307)</f>
        <v>2862428.1467027883</v>
      </c>
      <c r="L9" s="1978">
        <f>K9-J9</f>
        <v>3143.3247458063997</v>
      </c>
      <c r="M9" s="1983" t="s">
        <v>3446</v>
      </c>
      <c r="N9" s="1980">
        <f>SUMIF('Measure-Level Adjustments'!$A$8:$A$307,$A9,'Measure-Level Adjustments'!$V$8:$V$307)</f>
        <v>2859284.8219569819</v>
      </c>
      <c r="O9" s="1980">
        <f>SUMIF('Measure-Level Adjustments'!$A$8:$A$307,$A9,'Measure-Level Adjustments'!$AU$8:$AU$307)</f>
        <v>2862428.1467027883</v>
      </c>
      <c r="P9" s="1978">
        <f t="shared" ref="P9:P19" si="0">O9-N9</f>
        <v>3143.3247458063997</v>
      </c>
      <c r="Q9" s="1983" t="s">
        <v>3446</v>
      </c>
      <c r="R9" s="1984">
        <f t="shared" ref="R9:R19" si="1">B9+F9+J9+N9</f>
        <v>11437139.287827928</v>
      </c>
      <c r="S9" s="1606">
        <f t="shared" ref="S9:S19" si="2">SUM(C9,G9,K9,O9)</f>
        <v>11446569.262065347</v>
      </c>
      <c r="T9" s="1978">
        <f>S9-R9</f>
        <v>9429.9742374196649</v>
      </c>
      <c r="U9" s="2030">
        <f>SUMIF('Measure-Level Adjustments'!$A$8:$A$307,'Program-Level Adjustments'!$A9,'Measure-Level Adjustments'!$BI$8:$BI$307)</f>
        <v>28313927.764132701</v>
      </c>
      <c r="V9" s="2030">
        <f>SUMIF('Measure-Level Adjustments'!$A$8:$A$307,'Program-Level Adjustments'!$A9,'Measure-Level Adjustments'!$BJ$8:$BJ$307)</f>
        <v>28313927.764132701</v>
      </c>
      <c r="W9" s="2030">
        <f>SUMIF('Measure-Level Adjustments'!$A$8:$A$307,'Program-Level Adjustments'!$A9,'Measure-Level Adjustments'!$BK$8:$BK$307)</f>
        <v>28313927.764132701</v>
      </c>
      <c r="X9" s="2030">
        <f>SUMIF('Measure-Level Adjustments'!$A$8:$A$307,'Program-Level Adjustments'!$A9,'Measure-Level Adjustments'!$BL$8:$BL$307)</f>
        <v>28313927.764132701</v>
      </c>
      <c r="Y9" s="2030">
        <f>SUM(U9:X9)</f>
        <v>113255711.0565308</v>
      </c>
      <c r="Z9" s="2030">
        <f>SUMIF('Measure-Level Adjustments'!$A$8:$A$307,'Program-Level Adjustments'!$A9,'Measure-Level Adjustments'!$BR$8:$BR$307)</f>
        <v>28313927.764132701</v>
      </c>
      <c r="AA9" s="2030">
        <f>SUMIF('Measure-Level Adjustments'!$A$8:$A$307,'Program-Level Adjustments'!$A9,'Measure-Level Adjustments'!$BS$8:$BS$307)</f>
        <v>28397308.366177797</v>
      </c>
      <c r="AB9" s="2030">
        <f>SUMIF('Measure-Level Adjustments'!$A$8:$A$307,'Program-Level Adjustments'!$A9,'Measure-Level Adjustments'!$BT$8:$BT$307)</f>
        <v>28397308.366177797</v>
      </c>
      <c r="AC9" s="2030">
        <f>SUMIF('Measure-Level Adjustments'!$A$8:$A$307,'Program-Level Adjustments'!$A9,'Measure-Level Adjustments'!$BU$8:$BU$307)</f>
        <v>28397308.366177797</v>
      </c>
      <c r="AD9" s="2030">
        <f>SUM(Z9:AC9)</f>
        <v>113505852.8626661</v>
      </c>
    </row>
    <row r="10" spans="1:31" s="1605" customFormat="1" ht="15.5" x14ac:dyDescent="0.35">
      <c r="A10" s="1977" t="s">
        <v>3023</v>
      </c>
      <c r="B10" s="1980">
        <f>SUMIF('Measure-Level Adjustments'!$A$8:$A$307,A10,'Measure-Level Adjustments'!$T$8:$T$307)</f>
        <v>314272.32466812292</v>
      </c>
      <c r="C10" s="1980">
        <f>SUMIF('Measure-Level Adjustments'!$A$8:$A$307,$A10,'Measure-Level Adjustments'!$AC$8:$AC$307)</f>
        <v>314272.32466812292</v>
      </c>
      <c r="D10" s="1978">
        <f t="shared" ref="D10:D19" si="3">C10-B10</f>
        <v>0</v>
      </c>
      <c r="E10" s="1985"/>
      <c r="F10" s="1980">
        <f>SUMIF('Measure-Level Adjustments'!$A$8:$A$307,$A10,'Measure-Level Adjustments'!$U$8:$U$307)</f>
        <v>314272.32466812292</v>
      </c>
      <c r="G10" s="1980">
        <f>SUMIF('Measure-Level Adjustments'!$A$8:$A$307,$A10,'Measure-Level Adjustments'!$AI$8:$AI$307)</f>
        <v>314272.32466812292</v>
      </c>
      <c r="H10" s="1978">
        <f t="shared" ref="H10:H19" si="4">G10-F10</f>
        <v>0</v>
      </c>
      <c r="I10" s="1983"/>
      <c r="J10" s="1980">
        <f>SUMIF('Measure-Level Adjustments'!$A$8:$A$307,$A10,'Measure-Level Adjustments'!$V$8:$V$307)</f>
        <v>314272.32466812292</v>
      </c>
      <c r="K10" s="1980">
        <f>SUMIF('Measure-Level Adjustments'!$A$8:$A$307,$A10,'Measure-Level Adjustments'!$AO$8:$AO$307)</f>
        <v>314272.32466812292</v>
      </c>
      <c r="L10" s="1978">
        <f t="shared" ref="L10:L19" si="5">K10-J10</f>
        <v>0</v>
      </c>
      <c r="M10" s="1983"/>
      <c r="N10" s="1980">
        <f>SUMIF('Measure-Level Adjustments'!$A$8:$A$307,$A10,'Measure-Level Adjustments'!$V$8:$V$307)</f>
        <v>314272.32466812292</v>
      </c>
      <c r="O10" s="1980">
        <f>SUMIF('Measure-Level Adjustments'!$A$8:$A$307,$A10,'Measure-Level Adjustments'!$AU$8:$AU$307)</f>
        <v>314272.32466812292</v>
      </c>
      <c r="P10" s="1978">
        <f t="shared" si="0"/>
        <v>0</v>
      </c>
      <c r="Q10" s="1983"/>
      <c r="R10" s="1984">
        <f t="shared" si="1"/>
        <v>1257089.2986724917</v>
      </c>
      <c r="S10" s="1606">
        <f t="shared" si="2"/>
        <v>1257089.2986724917</v>
      </c>
      <c r="T10" s="1978">
        <f t="shared" ref="T10:T19" si="6">S10-R10</f>
        <v>0</v>
      </c>
      <c r="U10" s="2030">
        <f>SUMIF('Measure-Level Adjustments'!$A$8:$A$307,'Program-Level Adjustments'!$A10,'Measure-Level Adjustments'!$BI$8:$BI$307)</f>
        <v>7856808.1167030726</v>
      </c>
      <c r="V10" s="2030">
        <f>SUMIF('Measure-Level Adjustments'!$A$8:$A$307,'Program-Level Adjustments'!$A10,'Measure-Level Adjustments'!$BJ$8:$BJ$307)</f>
        <v>7856808.1167030726</v>
      </c>
      <c r="W10" s="2030">
        <f>SUMIF('Measure-Level Adjustments'!$A$8:$A$307,'Program-Level Adjustments'!$A10,'Measure-Level Adjustments'!$BK$8:$BK$307)</f>
        <v>7856808.1167030726</v>
      </c>
      <c r="X10" s="2030">
        <f>SUMIF('Measure-Level Adjustments'!$A$8:$A$307,'Program-Level Adjustments'!$A10,'Measure-Level Adjustments'!$BL$8:$BL$307)</f>
        <v>7856808.1167030726</v>
      </c>
      <c r="Y10" s="2030">
        <f t="shared" ref="Y10:Y19" si="7">SUM(U10:X10)</f>
        <v>31427232.46681229</v>
      </c>
      <c r="Z10" s="2030">
        <f>SUMIF('Measure-Level Adjustments'!$A$8:$A$307,'Program-Level Adjustments'!$A10,'Measure-Level Adjustments'!$BR$8:$BR$307)</f>
        <v>7856808.1167030726</v>
      </c>
      <c r="AA10" s="2057">
        <f>SUMIF('Measure-Level Adjustments'!$A$8:$A$307,'Program-Level Adjustments'!$A10,'Measure-Level Adjustments'!$BS$8:$BS$307)</f>
        <v>6474009.8881633319</v>
      </c>
      <c r="AB10" s="2030">
        <f>SUMIF('Measure-Level Adjustments'!$A$8:$A$307,'Program-Level Adjustments'!$A10,'Measure-Level Adjustments'!$BT$8:$BT$307)</f>
        <v>6474009.8881633319</v>
      </c>
      <c r="AC10" s="2030">
        <f>SUMIF('Measure-Level Adjustments'!$A$8:$A$307,'Program-Level Adjustments'!$A10,'Measure-Level Adjustments'!$BU$8:$BU$307)</f>
        <v>6474009.8881633319</v>
      </c>
      <c r="AD10" s="2030">
        <f t="shared" ref="AD10:AD19" si="8">SUM(Z10:AC10)</f>
        <v>27278837.781193066</v>
      </c>
    </row>
    <row r="11" spans="1:31" s="1605" customFormat="1" ht="15.5" x14ac:dyDescent="0.35">
      <c r="A11" s="1977" t="s">
        <v>295</v>
      </c>
      <c r="B11" s="1980">
        <f>SUMIF('Measure-Level Adjustments'!$A$8:$A$307,A11,'Measure-Level Adjustments'!$T$8:$T$307)</f>
        <v>3517891.7728845696</v>
      </c>
      <c r="C11" s="1980">
        <f>SUMIF('Measure-Level Adjustments'!$A$8:$A$307,$A11,'Measure-Level Adjustments'!$AC$8:$AC$307)</f>
        <v>3517891.7728845696</v>
      </c>
      <c r="D11" s="1978">
        <f t="shared" si="3"/>
        <v>0</v>
      </c>
      <c r="E11" s="1985"/>
      <c r="F11" s="1980">
        <f>SUMIF('Measure-Level Adjustments'!$A$8:$A$307,$A11,'Measure-Level Adjustments'!$U$8:$U$307)</f>
        <v>3517891.7728845696</v>
      </c>
      <c r="G11" s="1980">
        <f>SUMIF('Measure-Level Adjustments'!$A$8:$A$307,$A11,'Measure-Level Adjustments'!$AI$8:$AI$307)</f>
        <v>3517891.7728845696</v>
      </c>
      <c r="H11" s="1978">
        <f t="shared" si="4"/>
        <v>0</v>
      </c>
      <c r="I11" s="1983"/>
      <c r="J11" s="1980">
        <f>SUMIF('Measure-Level Adjustments'!$A$8:$A$307,$A11,'Measure-Level Adjustments'!$V$8:$V$307)</f>
        <v>3517891.7728845696</v>
      </c>
      <c r="K11" s="1980">
        <f>SUMIF('Measure-Level Adjustments'!$A$8:$A$307,$A11,'Measure-Level Adjustments'!$AO$8:$AO$307)</f>
        <v>3517891.7728845696</v>
      </c>
      <c r="L11" s="1978">
        <f t="shared" si="5"/>
        <v>0</v>
      </c>
      <c r="M11" s="1983"/>
      <c r="N11" s="1980">
        <f>SUMIF('Measure-Level Adjustments'!$A$8:$A$307,$A11,'Measure-Level Adjustments'!$V$8:$V$307)</f>
        <v>3517891.7728845696</v>
      </c>
      <c r="O11" s="1980">
        <f>SUMIF('Measure-Level Adjustments'!$A$8:$A$307,$A11,'Measure-Level Adjustments'!$AU$8:$AU$307)</f>
        <v>3517891.7728845696</v>
      </c>
      <c r="P11" s="1978">
        <f t="shared" si="0"/>
        <v>0</v>
      </c>
      <c r="Q11" s="1983"/>
      <c r="R11" s="1984">
        <f t="shared" si="1"/>
        <v>14071567.091538278</v>
      </c>
      <c r="S11" s="1606">
        <f t="shared" si="2"/>
        <v>14071567.091538278</v>
      </c>
      <c r="T11" s="1978">
        <f t="shared" si="6"/>
        <v>0</v>
      </c>
      <c r="U11" s="2030">
        <f>SUMIF('Measure-Level Adjustments'!$A$8:$A$307,'Program-Level Adjustments'!$A11,'Measure-Level Adjustments'!$BI$8:$BI$307)</f>
        <v>57132949.530730605</v>
      </c>
      <c r="V11" s="2030">
        <f>SUMIF('Measure-Level Adjustments'!$A$8:$A$307,'Program-Level Adjustments'!$A11,'Measure-Level Adjustments'!$BJ$8:$BJ$307)</f>
        <v>57132949.530730605</v>
      </c>
      <c r="W11" s="2030">
        <f>SUMIF('Measure-Level Adjustments'!$A$8:$A$307,'Program-Level Adjustments'!$A11,'Measure-Level Adjustments'!$BK$8:$BK$307)</f>
        <v>57132949.530730605</v>
      </c>
      <c r="X11" s="2030">
        <f>SUMIF('Measure-Level Adjustments'!$A$8:$A$307,'Program-Level Adjustments'!$A11,'Measure-Level Adjustments'!$BL$8:$BL$307)</f>
        <v>57132949.530730605</v>
      </c>
      <c r="Y11" s="2030">
        <f t="shared" si="7"/>
        <v>228531798.12292242</v>
      </c>
      <c r="Z11" s="2030">
        <f>SUMIF('Measure-Level Adjustments'!$A$8:$A$307,'Program-Level Adjustments'!$A11,'Measure-Level Adjustments'!$BR$8:$BR$307)</f>
        <v>57132949.530730605</v>
      </c>
      <c r="AA11" s="2057">
        <f>SUMIF('Measure-Level Adjustments'!$A$8:$A$307,'Program-Level Adjustments'!$A11,'Measure-Level Adjustments'!$BS$8:$BS$307)</f>
        <v>57132949.530730605</v>
      </c>
      <c r="AB11" s="2030">
        <f>SUMIF('Measure-Level Adjustments'!$A$8:$A$307,'Program-Level Adjustments'!$A11,'Measure-Level Adjustments'!$BT$8:$BT$307)</f>
        <v>57132949.530730605</v>
      </c>
      <c r="AC11" s="2030">
        <f>SUMIF('Measure-Level Adjustments'!$A$8:$A$307,'Program-Level Adjustments'!$A11,'Measure-Level Adjustments'!$BU$8:$BU$307)</f>
        <v>57132949.530730605</v>
      </c>
      <c r="AD11" s="2030">
        <f t="shared" si="8"/>
        <v>228531798.12292242</v>
      </c>
    </row>
    <row r="12" spans="1:31" s="1605" customFormat="1" ht="15.5" x14ac:dyDescent="0.35">
      <c r="A12" s="1977" t="s">
        <v>3036</v>
      </c>
      <c r="B12" s="1980">
        <f>SUMIF('Measure-Level Adjustments'!$A$8:$A$307,A12,'Measure-Level Adjustments'!$T$8:$T$307)</f>
        <v>1569325.3180108597</v>
      </c>
      <c r="C12" s="1980">
        <f>SUMIF('Measure-Level Adjustments'!$A$8:$A$307,$A12,'Measure-Level Adjustments'!$AC$8:$AC$307)</f>
        <v>1569325.3180108597</v>
      </c>
      <c r="D12" s="1978">
        <f t="shared" si="3"/>
        <v>0</v>
      </c>
      <c r="E12" s="1985" t="s">
        <v>3446</v>
      </c>
      <c r="F12" s="1980">
        <f>SUMIF('Measure-Level Adjustments'!$A$8:$A$307,$A12,'Measure-Level Adjustments'!$U$8:$U$307)</f>
        <v>1569325.3180108597</v>
      </c>
      <c r="G12" s="1980">
        <f>SUMIF('Measure-Level Adjustments'!$A$8:$A$307,$A12,'Measure-Level Adjustments'!$AI$8:$AI$307)</f>
        <v>1609226.4026383227</v>
      </c>
      <c r="H12" s="1978">
        <f t="shared" si="4"/>
        <v>39901.084627463017</v>
      </c>
      <c r="I12" s="1983" t="s">
        <v>3446</v>
      </c>
      <c r="J12" s="1980">
        <f>SUMIF('Measure-Level Adjustments'!$A$8:$A$307,$A12,'Measure-Level Adjustments'!$V$8:$V$307)</f>
        <v>1569325.3180108597</v>
      </c>
      <c r="K12" s="1980">
        <f>SUMIF('Measure-Level Adjustments'!$A$8:$A$307,$A12,'Measure-Level Adjustments'!$AO$8:$AO$307)</f>
        <v>1609226.4026383227</v>
      </c>
      <c r="L12" s="1978">
        <f t="shared" si="5"/>
        <v>39901.084627463017</v>
      </c>
      <c r="M12" s="1983" t="s">
        <v>3446</v>
      </c>
      <c r="N12" s="1980">
        <f>SUMIF('Measure-Level Adjustments'!$A$8:$A$307,$A12,'Measure-Level Adjustments'!$V$8:$V$307)</f>
        <v>1569325.3180108597</v>
      </c>
      <c r="O12" s="1980">
        <f>SUMIF('Measure-Level Adjustments'!$A$8:$A$307,$A12,'Measure-Level Adjustments'!$AU$8:$AU$307)</f>
        <v>1609226.4026383227</v>
      </c>
      <c r="P12" s="1978">
        <f t="shared" si="0"/>
        <v>39901.084627463017</v>
      </c>
      <c r="Q12" s="1983" t="s">
        <v>3446</v>
      </c>
      <c r="R12" s="1984">
        <f t="shared" si="1"/>
        <v>6277301.2720434386</v>
      </c>
      <c r="S12" s="1606">
        <f t="shared" si="2"/>
        <v>6397004.5259258272</v>
      </c>
      <c r="T12" s="1978">
        <f t="shared" si="6"/>
        <v>119703.25388238858</v>
      </c>
      <c r="U12" s="2030">
        <f>SUMIF('Measure-Level Adjustments'!$A$8:$A$307,'Program-Level Adjustments'!$A12,'Measure-Level Adjustments'!$BI$8:$BI$307)</f>
        <v>6076010.8240880752</v>
      </c>
      <c r="V12" s="2030">
        <f>SUMIF('Measure-Level Adjustments'!$A$8:$A$307,'Program-Level Adjustments'!$A12,'Measure-Level Adjustments'!$BJ$8:$BJ$307)</f>
        <v>6076010.8240880752</v>
      </c>
      <c r="W12" s="2030">
        <f>SUMIF('Measure-Level Adjustments'!$A$8:$A$307,'Program-Level Adjustments'!$A12,'Measure-Level Adjustments'!$BK$8:$BK$307)</f>
        <v>6076010.8240880752</v>
      </c>
      <c r="X12" s="2030">
        <f>SUMIF('Measure-Level Adjustments'!$A$8:$A$307,'Program-Level Adjustments'!$A12,'Measure-Level Adjustments'!$BL$8:$BL$307)</f>
        <v>6076010.8240880752</v>
      </c>
      <c r="Y12" s="2030">
        <f t="shared" si="7"/>
        <v>24304043.296352301</v>
      </c>
      <c r="Z12" s="2030">
        <f>SUMIF('Measure-Level Adjustments'!$A$8:$A$307,'Program-Level Adjustments'!$A12,'Measure-Level Adjustments'!$BR$8:$BR$307)</f>
        <v>6076010.8240880752</v>
      </c>
      <c r="AA12" s="2057">
        <f>SUMIF('Measure-Level Adjustments'!$A$8:$A$307,'Program-Level Adjustments'!$A12,'Measure-Level Adjustments'!$BS$8:$BS$307)</f>
        <v>6709273.29424142</v>
      </c>
      <c r="AB12" s="2030">
        <f>SUMIF('Measure-Level Adjustments'!$A$8:$A$307,'Program-Level Adjustments'!$A12,'Measure-Level Adjustments'!$BT$8:$BT$307)</f>
        <v>6709273.29424142</v>
      </c>
      <c r="AC12" s="2030">
        <f>SUMIF('Measure-Level Adjustments'!$A$8:$A$307,'Program-Level Adjustments'!$A12,'Measure-Level Adjustments'!$BU$8:$BU$307)</f>
        <v>6709273.29424142</v>
      </c>
      <c r="AD12" s="2030">
        <f t="shared" si="8"/>
        <v>26203830.706812337</v>
      </c>
    </row>
    <row r="13" spans="1:31" s="1605" customFormat="1" ht="15.5" x14ac:dyDescent="0.35">
      <c r="A13" s="1977" t="s">
        <v>2818</v>
      </c>
      <c r="B13" s="1980">
        <f>SUMIF('Measure-Level Adjustments'!$A$8:$A$307,A13,'Measure-Level Adjustments'!$T$8:$T$307)</f>
        <v>3706226.3401395055</v>
      </c>
      <c r="C13" s="1980">
        <f>SUMIF('Measure-Level Adjustments'!$A$8:$A$307,$A13,'Measure-Level Adjustments'!$AC$8:$AC$307)</f>
        <v>3706226.3401395055</v>
      </c>
      <c r="D13" s="1978">
        <f t="shared" si="3"/>
        <v>0</v>
      </c>
      <c r="E13" s="1985" t="s">
        <v>3446</v>
      </c>
      <c r="F13" s="1980">
        <f>SUMIF('Measure-Level Adjustments'!$A$8:$A$307,$A13,'Measure-Level Adjustments'!$U$8:$U$307)</f>
        <v>3706226.3401395055</v>
      </c>
      <c r="G13" s="1980">
        <f>SUMIF('Measure-Level Adjustments'!$A$8:$A$307,$A13,'Measure-Level Adjustments'!$AI$8:$AI$307)</f>
        <v>3586158.1884745955</v>
      </c>
      <c r="H13" s="1978">
        <f t="shared" si="4"/>
        <v>-120068.15166490991</v>
      </c>
      <c r="I13" s="1983" t="s">
        <v>3446</v>
      </c>
      <c r="J13" s="1980">
        <f>SUMIF('Measure-Level Adjustments'!$A$8:$A$307,$A13,'Measure-Level Adjustments'!$V$8:$V$307)</f>
        <v>3706226.3401395055</v>
      </c>
      <c r="K13" s="1980">
        <f>SUMIF('Measure-Level Adjustments'!$A$8:$A$307,$A13,'Measure-Level Adjustments'!$AO$8:$AO$307)</f>
        <v>3586158.1884745955</v>
      </c>
      <c r="L13" s="1978">
        <f t="shared" si="5"/>
        <v>-120068.15166490991</v>
      </c>
      <c r="M13" s="1983" t="s">
        <v>3446</v>
      </c>
      <c r="N13" s="1980">
        <f>SUMIF('Measure-Level Adjustments'!$A$8:$A$307,$A13,'Measure-Level Adjustments'!$V$8:$V$307)</f>
        <v>3706226.3401395055</v>
      </c>
      <c r="O13" s="1980">
        <f>SUMIF('Measure-Level Adjustments'!$A$8:$A$307,$A13,'Measure-Level Adjustments'!$AU$8:$AU$307)</f>
        <v>3586158.1884745955</v>
      </c>
      <c r="P13" s="1978">
        <f t="shared" si="0"/>
        <v>-120068.15166490991</v>
      </c>
      <c r="Q13" s="1983" t="s">
        <v>3446</v>
      </c>
      <c r="R13" s="1984">
        <f t="shared" si="1"/>
        <v>14824905.360558022</v>
      </c>
      <c r="S13" s="1606">
        <f t="shared" si="2"/>
        <v>14464700.905563291</v>
      </c>
      <c r="T13" s="1978">
        <f t="shared" si="6"/>
        <v>-360204.45499473065</v>
      </c>
      <c r="U13" s="2030">
        <f>SUMIF('Measure-Level Adjustments'!$A$8:$A$307,'Program-Level Adjustments'!$A13,'Measure-Level Adjustments'!$BI$8:$BI$307)</f>
        <v>54892272.350953631</v>
      </c>
      <c r="V13" s="2030">
        <f>SUMIF('Measure-Level Adjustments'!$A$8:$A$307,'Program-Level Adjustments'!$A13,'Measure-Level Adjustments'!$BJ$8:$BJ$307)</f>
        <v>54892272.350953631</v>
      </c>
      <c r="W13" s="2030">
        <f>SUMIF('Measure-Level Adjustments'!$A$8:$A$307,'Program-Level Adjustments'!$A13,'Measure-Level Adjustments'!$BK$8:$BK$307)</f>
        <v>54892272.350953631</v>
      </c>
      <c r="X13" s="2030">
        <f>SUMIF('Measure-Level Adjustments'!$A$8:$A$307,'Program-Level Adjustments'!$A13,'Measure-Level Adjustments'!$BL$8:$BL$307)</f>
        <v>54892272.350953631</v>
      </c>
      <c r="Y13" s="2030">
        <f t="shared" si="7"/>
        <v>219569089.40381452</v>
      </c>
      <c r="Z13" s="2030">
        <f>SUMIF('Measure-Level Adjustments'!$A$8:$A$307,'Program-Level Adjustments'!$A13,'Measure-Level Adjustments'!$BR$8:$BR$307)</f>
        <v>54892272.350953631</v>
      </c>
      <c r="AA13" s="2057">
        <f>SUMIF('Measure-Level Adjustments'!$A$8:$A$307,'Program-Level Adjustments'!$A13,'Measure-Level Adjustments'!$BS$8:$BS$307)</f>
        <v>54412552.747038037</v>
      </c>
      <c r="AB13" s="2030">
        <f>SUMIF('Measure-Level Adjustments'!$A$8:$A$307,'Program-Level Adjustments'!$A13,'Measure-Level Adjustments'!$BT$8:$BT$307)</f>
        <v>54412552.747038037</v>
      </c>
      <c r="AC13" s="2030">
        <f>SUMIF('Measure-Level Adjustments'!$A$8:$A$307,'Program-Level Adjustments'!$A13,'Measure-Level Adjustments'!$BU$8:$BU$307)</f>
        <v>54412552.747038037</v>
      </c>
      <c r="AD13" s="2030">
        <f t="shared" si="8"/>
        <v>218129930.59206775</v>
      </c>
    </row>
    <row r="14" spans="1:31" s="1605" customFormat="1" ht="15.5" x14ac:dyDescent="0.35">
      <c r="A14" s="1977" t="s">
        <v>3040</v>
      </c>
      <c r="B14" s="1980">
        <f>SUMIF('Measure-Level Adjustments'!$A$8:$A$307,A14,'Measure-Level Adjustments'!$T$8:$T$307)</f>
        <v>537660.63599996513</v>
      </c>
      <c r="C14" s="1980">
        <f>SUMIF('Measure-Level Adjustments'!$A$8:$A$307,$A14,'Measure-Level Adjustments'!$AC$8:$AC$307)</f>
        <v>537660.63599996513</v>
      </c>
      <c r="D14" s="1978">
        <f t="shared" si="3"/>
        <v>0</v>
      </c>
      <c r="E14" s="1985" t="s">
        <v>3446</v>
      </c>
      <c r="F14" s="1980">
        <f>SUMIF('Measure-Level Adjustments'!$A$8:$A$307,$A14,'Measure-Level Adjustments'!$U$8:$U$307)</f>
        <v>537660.63599996513</v>
      </c>
      <c r="G14" s="1980">
        <f>SUMIF('Measure-Level Adjustments'!$A$8:$A$307,$A14,'Measure-Level Adjustments'!$AI$8:$AI$307)</f>
        <v>506317.15636917227</v>
      </c>
      <c r="H14" s="1978">
        <f t="shared" si="4"/>
        <v>-31343.479630792863</v>
      </c>
      <c r="I14" s="1983" t="s">
        <v>3446</v>
      </c>
      <c r="J14" s="1980">
        <f>SUMIF('Measure-Level Adjustments'!$A$8:$A$307,$A14,'Measure-Level Adjustments'!$V$8:$V$307)</f>
        <v>537660.63599996513</v>
      </c>
      <c r="K14" s="1980">
        <f>SUMIF('Measure-Level Adjustments'!$A$8:$A$307,$A14,'Measure-Level Adjustments'!$AO$8:$AO$307)</f>
        <v>506317.15636917227</v>
      </c>
      <c r="L14" s="1978">
        <f t="shared" si="5"/>
        <v>-31343.479630792863</v>
      </c>
      <c r="M14" s="1983" t="s">
        <v>3446</v>
      </c>
      <c r="N14" s="1980">
        <f>SUMIF('Measure-Level Adjustments'!$A$8:$A$307,$A14,'Measure-Level Adjustments'!$V$8:$V$307)</f>
        <v>537660.63599996513</v>
      </c>
      <c r="O14" s="1980">
        <f>SUMIF('Measure-Level Adjustments'!$A$8:$A$307,$A14,'Measure-Level Adjustments'!$AU$8:$AU$307)</f>
        <v>506317.15636917227</v>
      </c>
      <c r="P14" s="1978">
        <f t="shared" si="0"/>
        <v>-31343.479630792863</v>
      </c>
      <c r="Q14" s="1983" t="s">
        <v>3446</v>
      </c>
      <c r="R14" s="1984">
        <f t="shared" si="1"/>
        <v>2150642.5439998605</v>
      </c>
      <c r="S14" s="1606">
        <f t="shared" si="2"/>
        <v>2056612.1051074818</v>
      </c>
      <c r="T14" s="1978">
        <f t="shared" si="6"/>
        <v>-94030.438892378705</v>
      </c>
      <c r="U14" s="2030">
        <f>SUMIF('Measure-Level Adjustments'!$A$8:$A$307,'Program-Level Adjustments'!$A14,'Measure-Level Adjustments'!$BI$8:$BI$307)</f>
        <v>8244395.8637976125</v>
      </c>
      <c r="V14" s="2030">
        <f>SUMIF('Measure-Level Adjustments'!$A$8:$A$307,'Program-Level Adjustments'!$A14,'Measure-Level Adjustments'!$BJ$8:$BJ$307)</f>
        <v>8244395.8637976125</v>
      </c>
      <c r="W14" s="2030">
        <f>SUMIF('Measure-Level Adjustments'!$A$8:$A$307,'Program-Level Adjustments'!$A14,'Measure-Level Adjustments'!$BK$8:$BK$307)</f>
        <v>8244395.8637976125</v>
      </c>
      <c r="X14" s="2030">
        <f>SUMIF('Measure-Level Adjustments'!$A$8:$A$307,'Program-Level Adjustments'!$A14,'Measure-Level Adjustments'!$BL$8:$BL$307)</f>
        <v>8244395.8637976125</v>
      </c>
      <c r="Y14" s="2030">
        <f t="shared" si="7"/>
        <v>32977583.45519045</v>
      </c>
      <c r="Z14" s="2030">
        <f>SUMIF('Measure-Level Adjustments'!$A$8:$A$307,'Program-Level Adjustments'!$A14,'Measure-Level Adjustments'!$BR$8:$BR$307)</f>
        <v>8244395.8637976125</v>
      </c>
      <c r="AA14" s="2057">
        <f>SUMIF('Measure-Level Adjustments'!$A$8:$A$307,'Program-Level Adjustments'!$A14,'Measure-Level Adjustments'!$BS$8:$BS$307)</f>
        <v>7929419.3083420489</v>
      </c>
      <c r="AB14" s="2030">
        <f>SUMIF('Measure-Level Adjustments'!$A$8:$A$307,'Program-Level Adjustments'!$A14,'Measure-Level Adjustments'!$BT$8:$BT$307)</f>
        <v>7929419.3083420489</v>
      </c>
      <c r="AC14" s="2030">
        <f>SUMIF('Measure-Level Adjustments'!$A$8:$A$307,'Program-Level Adjustments'!$A14,'Measure-Level Adjustments'!$BU$8:$BU$307)</f>
        <v>7929419.3083420489</v>
      </c>
      <c r="AD14" s="2030">
        <f t="shared" si="8"/>
        <v>32032653.788823761</v>
      </c>
    </row>
    <row r="15" spans="1:31" s="1605" customFormat="1" ht="15.5" x14ac:dyDescent="0.35">
      <c r="A15" s="1977" t="s">
        <v>3041</v>
      </c>
      <c r="B15" s="1980">
        <f>SUMIF('Measure-Level Adjustments'!$A$8:$A$307,A15,'Measure-Level Adjustments'!$T$8:$T$307)</f>
        <v>1816458.7180496</v>
      </c>
      <c r="C15" s="1980">
        <f>SUMIF('Measure-Level Adjustments'!$A$8:$A$307,$A15,'Measure-Level Adjustments'!$AC$8:$AC$307)</f>
        <v>1816458.7180496</v>
      </c>
      <c r="D15" s="1978">
        <f t="shared" si="3"/>
        <v>0</v>
      </c>
      <c r="E15" s="1985" t="s">
        <v>3446</v>
      </c>
      <c r="F15" s="1980">
        <f>SUMIF('Measure-Level Adjustments'!$A$8:$A$307,$A15,'Measure-Level Adjustments'!$U$8:$U$307)</f>
        <v>1816458.7180496</v>
      </c>
      <c r="G15" s="1980">
        <f>SUMIF('Measure-Level Adjustments'!$A$8:$A$307,$A15,'Measure-Level Adjustments'!$AI$8:$AI$307)</f>
        <v>1820870.6709100613</v>
      </c>
      <c r="H15" s="1978">
        <f t="shared" si="4"/>
        <v>4411.9528604613151</v>
      </c>
      <c r="I15" s="1983" t="s">
        <v>3446</v>
      </c>
      <c r="J15" s="1980">
        <f>SUMIF('Measure-Level Adjustments'!$A$8:$A$307,$A15,'Measure-Level Adjustments'!$V$8:$V$307)</f>
        <v>1816458.7180496</v>
      </c>
      <c r="K15" s="1980">
        <f>SUMIF('Measure-Level Adjustments'!$A$8:$A$307,$A15,'Measure-Level Adjustments'!$AO$8:$AO$307)</f>
        <v>1820870.6709100613</v>
      </c>
      <c r="L15" s="1978">
        <f t="shared" si="5"/>
        <v>4411.9528604613151</v>
      </c>
      <c r="M15" s="1983" t="s">
        <v>3446</v>
      </c>
      <c r="N15" s="1980">
        <f>SUMIF('Measure-Level Adjustments'!$A$8:$A$307,$A15,'Measure-Level Adjustments'!$V$8:$V$307)</f>
        <v>1816458.7180496</v>
      </c>
      <c r="O15" s="1980">
        <f>SUMIF('Measure-Level Adjustments'!$A$8:$A$307,$A15,'Measure-Level Adjustments'!$AU$8:$AU$307)</f>
        <v>1820870.6709100613</v>
      </c>
      <c r="P15" s="1978">
        <f t="shared" si="0"/>
        <v>4411.9528604613151</v>
      </c>
      <c r="Q15" s="1983" t="s">
        <v>3446</v>
      </c>
      <c r="R15" s="1984">
        <f t="shared" si="1"/>
        <v>7265834.8721984001</v>
      </c>
      <c r="S15" s="1606">
        <f t="shared" si="2"/>
        <v>7279070.7307797838</v>
      </c>
      <c r="T15" s="1978">
        <f t="shared" si="6"/>
        <v>13235.858581383713</v>
      </c>
      <c r="U15" s="2030">
        <f>SUMIF('Measure-Level Adjustments'!$A$8:$A$307,'Program-Level Adjustments'!$A15,'Measure-Level Adjustments'!$BI$8:$BI$307)</f>
        <v>31539683.39974549</v>
      </c>
      <c r="V15" s="2030">
        <f>SUMIF('Measure-Level Adjustments'!$A$8:$A$307,'Program-Level Adjustments'!$A15,'Measure-Level Adjustments'!$BJ$8:$BJ$307)</f>
        <v>31539683.39974549</v>
      </c>
      <c r="W15" s="2030">
        <f>SUMIF('Measure-Level Adjustments'!$A$8:$A$307,'Program-Level Adjustments'!$A15,'Measure-Level Adjustments'!$BK$8:$BK$307)</f>
        <v>31539683.39974549</v>
      </c>
      <c r="X15" s="2030">
        <f>SUMIF('Measure-Level Adjustments'!$A$8:$A$307,'Program-Level Adjustments'!$A15,'Measure-Level Adjustments'!$BL$8:$BL$307)</f>
        <v>31539683.39974549</v>
      </c>
      <c r="Y15" s="2030">
        <f t="shared" si="7"/>
        <v>126158733.59898196</v>
      </c>
      <c r="Z15" s="2030">
        <f>SUMIF('Measure-Level Adjustments'!$A$8:$A$307,'Program-Level Adjustments'!$A15,'Measure-Level Adjustments'!$BR$8:$BR$307)</f>
        <v>31539683.39974549</v>
      </c>
      <c r="AA15" s="2057">
        <f>SUMIF('Measure-Level Adjustments'!$A$8:$A$307,'Program-Level Adjustments'!$A15,'Measure-Level Adjustments'!$BS$8:$BS$307)</f>
        <v>31350574.763244819</v>
      </c>
      <c r="AB15" s="2030">
        <f>SUMIF('Measure-Level Adjustments'!$A$8:$A$307,'Program-Level Adjustments'!$A15,'Measure-Level Adjustments'!$BT$8:$BT$307)</f>
        <v>31350574.763244819</v>
      </c>
      <c r="AC15" s="2030">
        <f>SUMIF('Measure-Level Adjustments'!$A$8:$A$307,'Program-Level Adjustments'!$A15,'Measure-Level Adjustments'!$BU$8:$BU$307)</f>
        <v>31350574.763244819</v>
      </c>
      <c r="AD15" s="2030">
        <f t="shared" si="8"/>
        <v>125591407.68947995</v>
      </c>
    </row>
    <row r="16" spans="1:31" s="1605" customFormat="1" ht="15.5" x14ac:dyDescent="0.35">
      <c r="A16" s="1977" t="s">
        <v>681</v>
      </c>
      <c r="B16" s="1980">
        <f>SUMIF('Measure-Level Adjustments'!$A$8:$A$307,A16,'Measure-Level Adjustments'!$T$8:$T$307)</f>
        <v>573562.01375758694</v>
      </c>
      <c r="C16" s="1980">
        <f>SUMIF('Measure-Level Adjustments'!$A$8:$A$307,$A16,'Measure-Level Adjustments'!$AC$8:$AC$307)</f>
        <v>573562.01375758694</v>
      </c>
      <c r="D16" s="1978">
        <f t="shared" si="3"/>
        <v>0</v>
      </c>
      <c r="E16" s="1985" t="s">
        <v>3446</v>
      </c>
      <c r="F16" s="1980">
        <f>SUMIF('Measure-Level Adjustments'!$A$8:$A$307,$A16,'Measure-Level Adjustments'!$U$8:$U$307)</f>
        <v>573562.01375758694</v>
      </c>
      <c r="G16" s="1980">
        <f>SUMIF('Measure-Level Adjustments'!$A$8:$A$307,$A16,'Measure-Level Adjustments'!$AI$8:$AI$307)</f>
        <v>564602.43090982852</v>
      </c>
      <c r="H16" s="1978">
        <f t="shared" si="4"/>
        <v>-8959.5828477584291</v>
      </c>
      <c r="I16" s="1983" t="s">
        <v>3446</v>
      </c>
      <c r="J16" s="1980">
        <f>SUMIF('Measure-Level Adjustments'!$A$8:$A$307,$A16,'Measure-Level Adjustments'!$V$8:$V$307)</f>
        <v>573562.01375758694</v>
      </c>
      <c r="K16" s="1980">
        <f>SUMIF('Measure-Level Adjustments'!$A$8:$A$307,$A16,'Measure-Level Adjustments'!$AO$8:$AO$307)</f>
        <v>564602.43090982852</v>
      </c>
      <c r="L16" s="1978">
        <f t="shared" si="5"/>
        <v>-8959.5828477584291</v>
      </c>
      <c r="M16" s="1983" t="s">
        <v>3446</v>
      </c>
      <c r="N16" s="1980">
        <f>SUMIF('Measure-Level Adjustments'!$A$8:$A$307,$A16,'Measure-Level Adjustments'!$V$8:$V$307)</f>
        <v>573562.01375758694</v>
      </c>
      <c r="O16" s="1980">
        <f>SUMIF('Measure-Level Adjustments'!$A$8:$A$307,$A16,'Measure-Level Adjustments'!$AU$8:$AU$307)</f>
        <v>564602.43090982852</v>
      </c>
      <c r="P16" s="1978">
        <f t="shared" si="0"/>
        <v>-8959.5828477584291</v>
      </c>
      <c r="Q16" s="1983" t="s">
        <v>3446</v>
      </c>
      <c r="R16" s="1984">
        <f t="shared" si="1"/>
        <v>2294248.0550303478</v>
      </c>
      <c r="S16" s="1606">
        <f t="shared" si="2"/>
        <v>2267369.3064870723</v>
      </c>
      <c r="T16" s="1978">
        <f t="shared" si="6"/>
        <v>-26878.74854327552</v>
      </c>
      <c r="U16" s="2030">
        <f>SUMIF('Measure-Level Adjustments'!$A$8:$A$307,'Program-Level Adjustments'!$A16,'Measure-Level Adjustments'!$BI$8:$BI$307)</f>
        <v>6352344.4364543669</v>
      </c>
      <c r="V16" s="2030">
        <f>SUMIF('Measure-Level Adjustments'!$A$8:$A$307,'Program-Level Adjustments'!$A16,'Measure-Level Adjustments'!$BJ$8:$BJ$307)</f>
        <v>6352344.4364543669</v>
      </c>
      <c r="W16" s="2030">
        <f>SUMIF('Measure-Level Adjustments'!$A$8:$A$307,'Program-Level Adjustments'!$A16,'Measure-Level Adjustments'!$BK$8:$BK$307)</f>
        <v>6352344.4364543669</v>
      </c>
      <c r="X16" s="2030">
        <f>SUMIF('Measure-Level Adjustments'!$A$8:$A$307,'Program-Level Adjustments'!$A16,'Measure-Level Adjustments'!$BL$8:$BL$307)</f>
        <v>6352344.4364543669</v>
      </c>
      <c r="Y16" s="2030">
        <f t="shared" si="7"/>
        <v>25409377.745817468</v>
      </c>
      <c r="Z16" s="2030">
        <f>SUMIF('Measure-Level Adjustments'!$A$8:$A$307,'Program-Level Adjustments'!$A16,'Measure-Level Adjustments'!$BR$8:$BR$307)</f>
        <v>6352344.4364543669</v>
      </c>
      <c r="AA16" s="2057">
        <f>SUMIF('Measure-Level Adjustments'!$A$8:$A$307,'Program-Level Adjustments'!$A16,'Measure-Level Adjustments'!$BS$8:$BS$307)</f>
        <v>6452350.895647523</v>
      </c>
      <c r="AB16" s="2030">
        <f>SUMIF('Measure-Level Adjustments'!$A$8:$A$307,'Program-Level Adjustments'!$A16,'Measure-Level Adjustments'!$BT$8:$BT$307)</f>
        <v>6452350.895647523</v>
      </c>
      <c r="AC16" s="2030">
        <f>SUMIF('Measure-Level Adjustments'!$A$8:$A$307,'Program-Level Adjustments'!$A16,'Measure-Level Adjustments'!$BU$8:$BU$307)</f>
        <v>6452350.895647523</v>
      </c>
      <c r="AD16" s="2030">
        <f t="shared" si="8"/>
        <v>25709397.123396933</v>
      </c>
    </row>
    <row r="17" spans="1:31" s="1605" customFormat="1" ht="15.5" x14ac:dyDescent="0.35">
      <c r="A17" s="1977" t="s">
        <v>3045</v>
      </c>
      <c r="B17" s="1980">
        <f>SUMIF('Measure-Level Adjustments'!$A$8:$A$307,A17,'Measure-Level Adjustments'!$T$8:$T$307)</f>
        <v>162337.5</v>
      </c>
      <c r="C17" s="1980">
        <f>SUMIF('Measure-Level Adjustments'!$A$8:$A$307,$A17,'Measure-Level Adjustments'!$AC$8:$AC$307)</f>
        <v>162337.5</v>
      </c>
      <c r="D17" s="1978">
        <f t="shared" si="3"/>
        <v>0</v>
      </c>
      <c r="E17" s="1985"/>
      <c r="F17" s="1980">
        <f>SUMIF('Measure-Level Adjustments'!$A$8:$A$307,$A17,'Measure-Level Adjustments'!$U$8:$U$307)</f>
        <v>162337.5</v>
      </c>
      <c r="G17" s="1980">
        <f>SUMIF('Measure-Level Adjustments'!$A$8:$A$307,$A17,'Measure-Level Adjustments'!$AI$8:$AI$307)</f>
        <v>162337.5</v>
      </c>
      <c r="H17" s="1978">
        <f t="shared" si="4"/>
        <v>0</v>
      </c>
      <c r="I17" s="1983"/>
      <c r="J17" s="1980">
        <f>SUMIF('Measure-Level Adjustments'!$A$8:$A$307,$A17,'Measure-Level Adjustments'!$V$8:$V$307)</f>
        <v>162337.5</v>
      </c>
      <c r="K17" s="1980">
        <f>SUMIF('Measure-Level Adjustments'!$A$8:$A$307,$A17,'Measure-Level Adjustments'!$AO$8:$AO$307)</f>
        <v>162337.5</v>
      </c>
      <c r="L17" s="1978">
        <f t="shared" si="5"/>
        <v>0</v>
      </c>
      <c r="M17" s="1983"/>
      <c r="N17" s="1980">
        <f>SUMIF('Measure-Level Adjustments'!$A$8:$A$307,$A17,'Measure-Level Adjustments'!$V$8:$V$307)</f>
        <v>162337.5</v>
      </c>
      <c r="O17" s="1980">
        <f>SUMIF('Measure-Level Adjustments'!$A$8:$A$307,$A17,'Measure-Level Adjustments'!$AU$8:$AU$307)</f>
        <v>162337.5</v>
      </c>
      <c r="P17" s="1978">
        <f t="shared" si="0"/>
        <v>0</v>
      </c>
      <c r="Q17" s="1983"/>
      <c r="R17" s="1984">
        <f t="shared" si="1"/>
        <v>649350</v>
      </c>
      <c r="S17" s="1606">
        <f t="shared" si="2"/>
        <v>649350</v>
      </c>
      <c r="T17" s="1978">
        <f t="shared" si="6"/>
        <v>0</v>
      </c>
      <c r="U17" s="2030">
        <f>SUMIF('Measure-Level Adjustments'!$A$8:$A$307,'Program-Level Adjustments'!$A17,'Measure-Level Adjustments'!$BI$8:$BI$307)</f>
        <v>4870125</v>
      </c>
      <c r="V17" s="2030">
        <f>SUMIF('Measure-Level Adjustments'!$A$8:$A$307,'Program-Level Adjustments'!$A17,'Measure-Level Adjustments'!$BJ$8:$BJ$307)</f>
        <v>4870125</v>
      </c>
      <c r="W17" s="2030">
        <f>SUMIF('Measure-Level Adjustments'!$A$8:$A$307,'Program-Level Adjustments'!$A17,'Measure-Level Adjustments'!$BK$8:$BK$307)</f>
        <v>4870125</v>
      </c>
      <c r="X17" s="2030">
        <f>SUMIF('Measure-Level Adjustments'!$A$8:$A$307,'Program-Level Adjustments'!$A17,'Measure-Level Adjustments'!$BL$8:$BL$307)</f>
        <v>4870125</v>
      </c>
      <c r="Y17" s="2030">
        <f t="shared" si="7"/>
        <v>19480500</v>
      </c>
      <c r="Z17" s="2030">
        <f>SUMIF('Measure-Level Adjustments'!$A$8:$A$307,'Program-Level Adjustments'!$A17,'Measure-Level Adjustments'!$BR$8:$BR$307)</f>
        <v>4870125</v>
      </c>
      <c r="AA17" s="2057">
        <f>SUMIF('Measure-Level Adjustments'!$A$8:$A$307,'Program-Level Adjustments'!$A17,'Measure-Level Adjustments'!$BS$8:$BS$307)</f>
        <v>4870125</v>
      </c>
      <c r="AB17" s="2030">
        <f>SUMIF('Measure-Level Adjustments'!$A$8:$A$307,'Program-Level Adjustments'!$A17,'Measure-Level Adjustments'!$BT$8:$BT$307)</f>
        <v>4870125</v>
      </c>
      <c r="AC17" s="2030">
        <f>SUMIF('Measure-Level Adjustments'!$A$8:$A$307,'Program-Level Adjustments'!$A17,'Measure-Level Adjustments'!$BU$8:$BU$307)</f>
        <v>4870125</v>
      </c>
      <c r="AD17" s="2030">
        <f t="shared" si="8"/>
        <v>19480500</v>
      </c>
    </row>
    <row r="18" spans="1:31" s="1605" customFormat="1" ht="15.5" x14ac:dyDescent="0.35">
      <c r="A18" s="1977" t="s">
        <v>3046</v>
      </c>
      <c r="B18" s="1980">
        <f>SUMIF('Measure-Level Adjustments'!$A$8:$A$307,A18,'Measure-Level Adjustments'!$T$8:$T$307)</f>
        <v>486826.74782111723</v>
      </c>
      <c r="C18" s="1980">
        <f>SUMIF('Measure-Level Adjustments'!$A$8:$A$307,$A18,'Measure-Level Adjustments'!$AC$8:$AC$307)</f>
        <v>486826.74782111723</v>
      </c>
      <c r="D18" s="1978">
        <f t="shared" si="3"/>
        <v>0</v>
      </c>
      <c r="E18" s="1985" t="s">
        <v>3446</v>
      </c>
      <c r="F18" s="1980">
        <f>SUMIF('Measure-Level Adjustments'!$A$8:$A$307,$A18,'Measure-Level Adjustments'!$U$8:$U$307)</f>
        <v>486826.74782111723</v>
      </c>
      <c r="G18" s="1980">
        <f>SUMIF('Measure-Level Adjustments'!$A$8:$A$307,$A18,'Measure-Level Adjustments'!$AI$8:$AI$307)</f>
        <v>487327.87962577562</v>
      </c>
      <c r="H18" s="1978">
        <f t="shared" si="4"/>
        <v>501.13180465839105</v>
      </c>
      <c r="I18" s="1983" t="s">
        <v>3446</v>
      </c>
      <c r="J18" s="1980">
        <f>SUMIF('Measure-Level Adjustments'!$A$8:$A$307,$A18,'Measure-Level Adjustments'!$V$8:$V$307)</f>
        <v>486826.74782111723</v>
      </c>
      <c r="K18" s="1980">
        <f>SUMIF('Measure-Level Adjustments'!$A$8:$A$307,$A18,'Measure-Level Adjustments'!$AO$8:$AO$307)</f>
        <v>487327.87962577562</v>
      </c>
      <c r="L18" s="1978">
        <f t="shared" si="5"/>
        <v>501.13180465839105</v>
      </c>
      <c r="M18" s="1983" t="s">
        <v>3446</v>
      </c>
      <c r="N18" s="1980">
        <f>SUMIF('Measure-Level Adjustments'!$A$8:$A$307,$A18,'Measure-Level Adjustments'!$V$8:$V$307)</f>
        <v>486826.74782111723</v>
      </c>
      <c r="O18" s="1980">
        <f>SUMIF('Measure-Level Adjustments'!$A$8:$A$307,$A18,'Measure-Level Adjustments'!$AU$8:$AU$307)</f>
        <v>487327.87962577562</v>
      </c>
      <c r="P18" s="1978">
        <f t="shared" si="0"/>
        <v>501.13180465839105</v>
      </c>
      <c r="Q18" s="1983" t="s">
        <v>3446</v>
      </c>
      <c r="R18" s="1984">
        <f t="shared" si="1"/>
        <v>1947306.9912844689</v>
      </c>
      <c r="S18" s="1606">
        <f t="shared" si="2"/>
        <v>1948810.3866984441</v>
      </c>
      <c r="T18" s="1978">
        <f t="shared" si="6"/>
        <v>1503.3954139752313</v>
      </c>
      <c r="U18" s="2030">
        <f>SUMIF('Measure-Level Adjustments'!$A$8:$A$307,'Program-Level Adjustments'!$A18,'Measure-Level Adjustments'!$BI$8:$BI$307)</f>
        <v>4908099.0273164054</v>
      </c>
      <c r="V18" s="2030">
        <f>SUMIF('Measure-Level Adjustments'!$A$8:$A$307,'Program-Level Adjustments'!$A18,'Measure-Level Adjustments'!$BJ$8:$BJ$307)</f>
        <v>4908099.0273164054</v>
      </c>
      <c r="W18" s="2030">
        <f>SUMIF('Measure-Level Adjustments'!$A$8:$A$307,'Program-Level Adjustments'!$A18,'Measure-Level Adjustments'!$BK$8:$BK$307)</f>
        <v>4908099.0273164054</v>
      </c>
      <c r="X18" s="2030">
        <f>SUMIF('Measure-Level Adjustments'!$A$8:$A$307,'Program-Level Adjustments'!$A18,'Measure-Level Adjustments'!$BL$8:$BL$307)</f>
        <v>4908099.0273164054</v>
      </c>
      <c r="Y18" s="2030">
        <f t="shared" si="7"/>
        <v>19632396.109265622</v>
      </c>
      <c r="Z18" s="2030">
        <f>SUMIF('Measure-Level Adjustments'!$A$8:$A$307,'Program-Level Adjustments'!$A18,'Measure-Level Adjustments'!$BR$8:$BR$307)</f>
        <v>4908099.0273164054</v>
      </c>
      <c r="AA18" s="2057">
        <f>SUMIF('Measure-Level Adjustments'!$A$8:$A$307,'Program-Level Adjustments'!$A18,'Measure-Level Adjustments'!$BS$8:$BS$307)</f>
        <v>4964864.9698535129</v>
      </c>
      <c r="AB18" s="2030">
        <f>SUMIF('Measure-Level Adjustments'!$A$8:$A$307,'Program-Level Adjustments'!$A18,'Measure-Level Adjustments'!$BT$8:$BT$307)</f>
        <v>4964864.9698535129</v>
      </c>
      <c r="AC18" s="2030">
        <f>SUMIF('Measure-Level Adjustments'!$A$8:$A$307,'Program-Level Adjustments'!$A18,'Measure-Level Adjustments'!$BU$8:$BU$307)</f>
        <v>4964864.9698535129</v>
      </c>
      <c r="AD18" s="2030">
        <f t="shared" si="8"/>
        <v>19802693.936876945</v>
      </c>
    </row>
    <row r="19" spans="1:31" s="1605" customFormat="1" ht="15.5" x14ac:dyDescent="0.35">
      <c r="A19" s="1977" t="s">
        <v>3049</v>
      </c>
      <c r="B19" s="1980">
        <f>SUMIF('Measure-Level Adjustments'!$A$8:$A$307,A19,'Measure-Level Adjustments'!$T$8:$T$307)</f>
        <v>965804</v>
      </c>
      <c r="C19" s="1980">
        <f>SUMIF('Measure-Level Adjustments'!$A$8:$A$307,$A19,'Measure-Level Adjustments'!$AC$8:$AC$307)</f>
        <v>965804</v>
      </c>
      <c r="D19" s="1978">
        <f t="shared" si="3"/>
        <v>0</v>
      </c>
      <c r="E19" s="1985"/>
      <c r="F19" s="1980">
        <f>SUMIF('Measure-Level Adjustments'!$A$8:$A$307,$A19,'Measure-Level Adjustments'!$U$8:$U$307)</f>
        <v>965804</v>
      </c>
      <c r="G19" s="1980">
        <f>SUMIF('Measure-Level Adjustments'!$A$8:$A$307,$A19,'Measure-Level Adjustments'!$AI$8:$AI$307)</f>
        <v>965804</v>
      </c>
      <c r="H19" s="1978">
        <f t="shared" si="4"/>
        <v>0</v>
      </c>
      <c r="I19" s="1983"/>
      <c r="J19" s="1980">
        <f>SUMIF('Measure-Level Adjustments'!$A$8:$A$307,$A19,'Measure-Level Adjustments'!$V$8:$V$307)</f>
        <v>965804</v>
      </c>
      <c r="K19" s="1980">
        <f>SUMIF('Measure-Level Adjustments'!$A$8:$A$307,$A19,'Measure-Level Adjustments'!$AO$8:$AO$307)</f>
        <v>965804</v>
      </c>
      <c r="L19" s="1978">
        <f t="shared" si="5"/>
        <v>0</v>
      </c>
      <c r="M19" s="1983"/>
      <c r="N19" s="1980">
        <f>SUMIF('Measure-Level Adjustments'!$A$8:$A$307,$A19,'Measure-Level Adjustments'!$V$8:$V$307)</f>
        <v>965804</v>
      </c>
      <c r="O19" s="1980">
        <f>SUMIF('Measure-Level Adjustments'!$A$8:$A$307,$A19,'Measure-Level Adjustments'!$AU$8:$AU$307)</f>
        <v>965804</v>
      </c>
      <c r="P19" s="1978">
        <f t="shared" si="0"/>
        <v>0</v>
      </c>
      <c r="Q19" s="1983"/>
      <c r="R19" s="1984">
        <f t="shared" si="1"/>
        <v>3863216</v>
      </c>
      <c r="S19" s="1606">
        <f t="shared" si="2"/>
        <v>3863216</v>
      </c>
      <c r="T19" s="1978">
        <f t="shared" si="6"/>
        <v>0</v>
      </c>
      <c r="U19" s="2030">
        <f>SUMIF('Measure-Level Adjustments'!$A$8:$A$307,'Program-Level Adjustments'!$A19,'Measure-Level Adjustments'!$BI$8:$BI$307)</f>
        <v>2897412</v>
      </c>
      <c r="V19" s="2030">
        <f>SUMIF('Measure-Level Adjustments'!$A$8:$A$307,'Program-Level Adjustments'!$A19,'Measure-Level Adjustments'!$BJ$8:$BJ$307)</f>
        <v>2897412</v>
      </c>
      <c r="W19" s="2030">
        <f>SUMIF('Measure-Level Adjustments'!$A$8:$A$307,'Program-Level Adjustments'!$A19,'Measure-Level Adjustments'!$BK$8:$BK$307)</f>
        <v>2897412</v>
      </c>
      <c r="X19" s="2030">
        <f>SUMIF('Measure-Level Adjustments'!$A$8:$A$307,'Program-Level Adjustments'!$A19,'Measure-Level Adjustments'!$BL$8:$BL$307)</f>
        <v>2897412</v>
      </c>
      <c r="Y19" s="2030">
        <f t="shared" si="7"/>
        <v>11589648</v>
      </c>
      <c r="Z19" s="2030">
        <f>SUMIF('Measure-Level Adjustments'!$A$8:$A$307,'Program-Level Adjustments'!$A19,'Measure-Level Adjustments'!$BR$8:$BR$307)</f>
        <v>2897412</v>
      </c>
      <c r="AA19" s="2030">
        <f>SUMIF('Measure-Level Adjustments'!$A$8:$A$307,'Program-Level Adjustments'!$A19,'Measure-Level Adjustments'!$BS$8:$BS$307)</f>
        <v>4829020</v>
      </c>
      <c r="AB19" s="2030">
        <f>SUMIF('Measure-Level Adjustments'!$A$8:$A$307,'Program-Level Adjustments'!$A19,'Measure-Level Adjustments'!$BT$8:$BT$307)</f>
        <v>4829020</v>
      </c>
      <c r="AC19" s="2030">
        <f>SUMIF('Measure-Level Adjustments'!$A$8:$A$307,'Program-Level Adjustments'!$A19,'Measure-Level Adjustments'!$BU$8:$BU$307)</f>
        <v>4829020</v>
      </c>
      <c r="AD19" s="2030">
        <f t="shared" si="8"/>
        <v>17384472</v>
      </c>
    </row>
    <row r="20" spans="1:31" s="1605" customFormat="1" ht="18" x14ac:dyDescent="0.35">
      <c r="A20" s="1597"/>
      <c r="B20" s="1598"/>
      <c r="C20" s="1598"/>
      <c r="D20" s="1599"/>
      <c r="E20" s="1600"/>
      <c r="F20" s="1598"/>
      <c r="G20" s="1598"/>
      <c r="H20" s="1599"/>
      <c r="I20" s="1601"/>
      <c r="J20" s="1598"/>
      <c r="K20" s="1598"/>
      <c r="L20" s="1599"/>
      <c r="M20" s="1600"/>
      <c r="N20" s="1598"/>
      <c r="O20" s="1598"/>
      <c r="P20" s="1599"/>
      <c r="Q20" s="1600"/>
      <c r="R20" s="1603"/>
      <c r="S20" s="1604"/>
      <c r="T20" s="1597"/>
      <c r="U20" s="2029"/>
      <c r="V20" s="2029"/>
      <c r="W20" s="2029"/>
      <c r="X20" s="2029"/>
      <c r="Y20" s="2029"/>
      <c r="Z20" s="2029"/>
      <c r="AA20" s="2029"/>
      <c r="AB20" s="2029"/>
      <c r="AC20" s="2029"/>
      <c r="AD20" s="2029"/>
    </row>
    <row r="21" spans="1:31" s="1605" customFormat="1" ht="18" x14ac:dyDescent="0.35">
      <c r="A21" s="1597"/>
      <c r="B21" s="1598"/>
      <c r="C21" s="1598"/>
      <c r="D21" s="1599"/>
      <c r="E21" s="1600"/>
      <c r="F21" s="1598"/>
      <c r="G21" s="1598"/>
      <c r="H21" s="1599"/>
      <c r="I21" s="1601"/>
      <c r="J21" s="1598"/>
      <c r="K21" s="1598"/>
      <c r="L21" s="1599"/>
      <c r="M21" s="1600"/>
      <c r="N21" s="1598"/>
      <c r="O21" s="1598"/>
      <c r="P21" s="1599"/>
      <c r="Q21" s="1600"/>
      <c r="R21" s="1603"/>
      <c r="S21" s="1604"/>
      <c r="T21" s="1597"/>
      <c r="U21" s="2029"/>
      <c r="V21" s="2029"/>
      <c r="W21" s="2029"/>
      <c r="X21" s="2029"/>
      <c r="Y21" s="2029"/>
      <c r="Z21" s="2029"/>
      <c r="AA21" s="2029"/>
      <c r="AB21" s="2029"/>
      <c r="AC21" s="2029"/>
      <c r="AD21" s="2029"/>
    </row>
    <row r="22" spans="1:31" s="474" customFormat="1" ht="18.5" x14ac:dyDescent="0.35">
      <c r="A22" s="1607"/>
      <c r="B22" s="1608"/>
      <c r="C22" s="1608"/>
      <c r="D22" s="1609"/>
      <c r="E22" s="1610"/>
      <c r="F22" s="1608"/>
      <c r="G22" s="1608"/>
      <c r="H22" s="1609"/>
      <c r="I22" s="1611"/>
      <c r="J22" s="1608"/>
      <c r="K22" s="1608"/>
      <c r="L22" s="1609"/>
      <c r="M22" s="1610"/>
      <c r="N22" s="1608"/>
      <c r="O22" s="1608"/>
      <c r="P22" s="1609"/>
      <c r="Q22" s="1610"/>
      <c r="R22" s="1612"/>
      <c r="S22" s="1613"/>
      <c r="T22" s="1607"/>
      <c r="U22" s="1985"/>
      <c r="V22" s="1985"/>
      <c r="W22" s="1985"/>
      <c r="X22" s="1985"/>
      <c r="Y22" s="1985"/>
      <c r="Z22" s="1985"/>
      <c r="AA22" s="1985"/>
      <c r="AB22" s="1985"/>
      <c r="AC22" s="1985"/>
      <c r="AD22" s="1985"/>
    </row>
    <row r="23" spans="1:31" s="474" customFormat="1" ht="18.5" x14ac:dyDescent="0.35">
      <c r="A23" s="1607"/>
      <c r="B23" s="1608"/>
      <c r="C23" s="1608"/>
      <c r="D23" s="1609"/>
      <c r="E23" s="1610"/>
      <c r="F23" s="1608"/>
      <c r="G23" s="1608"/>
      <c r="H23" s="1609"/>
      <c r="I23" s="1611"/>
      <c r="J23" s="1608"/>
      <c r="K23" s="1608"/>
      <c r="L23" s="1609"/>
      <c r="M23" s="1610"/>
      <c r="N23" s="1608"/>
      <c r="O23" s="1608"/>
      <c r="P23" s="1609"/>
      <c r="Q23" s="1610"/>
      <c r="R23" s="1612"/>
      <c r="S23" s="1613"/>
      <c r="T23" s="1607"/>
      <c r="U23" s="1985"/>
      <c r="V23" s="1985"/>
      <c r="W23" s="1985"/>
      <c r="X23" s="1985"/>
      <c r="Y23" s="1985"/>
      <c r="Z23" s="1985"/>
      <c r="AA23" s="1985"/>
      <c r="AB23" s="1985"/>
      <c r="AC23" s="1985"/>
      <c r="AD23" s="1985"/>
    </row>
    <row r="24" spans="1:31" s="474" customFormat="1" ht="19" thickBot="1" x14ac:dyDescent="0.4">
      <c r="A24" s="1614"/>
      <c r="B24" s="1615"/>
      <c r="C24" s="1615"/>
      <c r="D24" s="1616"/>
      <c r="E24" s="1617"/>
      <c r="F24" s="1615"/>
      <c r="G24" s="1615"/>
      <c r="H24" s="1616"/>
      <c r="I24" s="1618"/>
      <c r="J24" s="1615"/>
      <c r="K24" s="1615"/>
      <c r="L24" s="1616"/>
      <c r="M24" s="1617"/>
      <c r="N24" s="1615"/>
      <c r="O24" s="1615"/>
      <c r="P24" s="1616"/>
      <c r="Q24" s="1617"/>
      <c r="R24" s="1619"/>
      <c r="S24" s="1620"/>
      <c r="T24" s="1621"/>
      <c r="U24" s="1985"/>
      <c r="V24" s="1985"/>
      <c r="W24" s="1985"/>
      <c r="X24" s="1985"/>
      <c r="Y24" s="1985"/>
      <c r="Z24" s="1985"/>
      <c r="AA24" s="1985"/>
      <c r="AB24" s="1985"/>
      <c r="AC24" s="1985"/>
      <c r="AD24" s="1985"/>
    </row>
    <row r="25" spans="1:31" s="2107" customFormat="1" ht="34.5" customHeight="1" thickTop="1" x14ac:dyDescent="0.35">
      <c r="A25" s="1622" t="s">
        <v>41</v>
      </c>
      <c r="B25" s="1979">
        <f>+SUM(B9:B19)</f>
        <v>16509650.193288308</v>
      </c>
      <c r="C25" s="1979">
        <f>+SUM(C9:C19)</f>
        <v>16509650.193288308</v>
      </c>
      <c r="D25" s="2026">
        <f t="shared" ref="D25" si="9">SUM(D9)</f>
        <v>0</v>
      </c>
      <c r="E25" s="1623"/>
      <c r="F25" s="1979">
        <f>+SUM(F9:F19)</f>
        <v>16509650.193288308</v>
      </c>
      <c r="G25" s="1979">
        <f>+SUM(G9:G19)</f>
        <v>16397236.473183235</v>
      </c>
      <c r="H25" s="2026">
        <f>SUM(H9:H19)</f>
        <v>-112413.72010507208</v>
      </c>
      <c r="I25" s="1623"/>
      <c r="J25" s="1979">
        <f>+SUM(J9:J19)</f>
        <v>16509650.193288308</v>
      </c>
      <c r="K25" s="1979">
        <f>+SUM(K9:K19)</f>
        <v>16397236.473183235</v>
      </c>
      <c r="L25" s="2026">
        <f>SUM(L9:L19)</f>
        <v>-112413.72010507208</v>
      </c>
      <c r="M25" s="1623"/>
      <c r="N25" s="1979">
        <f>+SUM(N9:N19)</f>
        <v>16509650.193288308</v>
      </c>
      <c r="O25" s="1979">
        <f>+SUM(O9:O19)</f>
        <v>16397236.473183235</v>
      </c>
      <c r="P25" s="2026">
        <f>SUM(P9:P19)</f>
        <v>-112413.72010507208</v>
      </c>
      <c r="Q25" s="1623"/>
      <c r="R25" s="1979">
        <f>+SUM(R9:R19)</f>
        <v>66038600.773153231</v>
      </c>
      <c r="S25" s="1979">
        <f>+SUM(S9:S19)</f>
        <v>65701359.612838022</v>
      </c>
      <c r="T25" s="2026">
        <f>SUM(T9:T19)</f>
        <v>-337241.16031521768</v>
      </c>
      <c r="U25" s="2040">
        <f>SUM(U9:U19)</f>
        <v>213084028.31392193</v>
      </c>
      <c r="V25" s="2040">
        <f t="shared" ref="V25:Y25" si="10">SUM(V9:V19)</f>
        <v>213084028.31392193</v>
      </c>
      <c r="W25" s="2040">
        <f t="shared" si="10"/>
        <v>213084028.31392193</v>
      </c>
      <c r="X25" s="2040">
        <f t="shared" si="10"/>
        <v>213084028.31392193</v>
      </c>
      <c r="Y25" s="2040">
        <f t="shared" si="10"/>
        <v>852336113.25568771</v>
      </c>
      <c r="Z25" s="2041">
        <f>SUM(Z9:Z19)</f>
        <v>213084028.31392193</v>
      </c>
      <c r="AA25" s="2062">
        <f t="shared" ref="AA25:AD25" si="11">SUM(AA9:AA19)</f>
        <v>213522448.76343906</v>
      </c>
      <c r="AB25" s="2062">
        <f t="shared" si="11"/>
        <v>213522448.76343906</v>
      </c>
      <c r="AC25" s="2062">
        <f t="shared" si="11"/>
        <v>213522448.76343906</v>
      </c>
      <c r="AD25" s="2062">
        <f t="shared" si="11"/>
        <v>853651374.60423911</v>
      </c>
      <c r="AE25" s="2106"/>
    </row>
    <row r="26" spans="1:31" ht="18.75" customHeight="1" x14ac:dyDescent="0.5">
      <c r="A26" s="3"/>
      <c r="X26" s="2069" t="s">
        <v>3476</v>
      </c>
      <c r="Y26" s="2043">
        <f>Y25/SUM(B25,F25,J25,N25)</f>
        <v>12.906634957083906</v>
      </c>
      <c r="Z26" s="2025"/>
      <c r="AA26" s="2025"/>
      <c r="AB26" s="2025"/>
      <c r="AC26" s="2042" t="s">
        <v>3476</v>
      </c>
      <c r="AD26" s="2063">
        <f>AD25/SUM(C25,G25,K25,O25)</f>
        <v>12.992902728871931</v>
      </c>
    </row>
  </sheetData>
  <customSheetViews>
    <customSheetView guid="{11DE45F5-F478-4ED6-8DFF-12002C22A637}" scale="85" showPageBreaks="1" fitToPage="1" printArea="1" view="pageBreakPreview">
      <selection activeCell="B5" sqref="B5"/>
      <pageMargins left="0.5" right="0.5" top="0.5" bottom="0.5" header="0.3" footer="0.3"/>
      <printOptions headings="1" gridLines="1"/>
      <pageSetup scale="22" orientation="landscape" r:id="rId1"/>
      <headerFooter>
        <oddFooter>&amp;L&amp;"Arial,Regular"&amp;14&amp;A
&amp;F&amp;C&amp;"Arial,Regular"&amp;14&amp;P</oddFooter>
      </headerFooter>
    </customSheetView>
    <customSheetView guid="{ECD6FE6A-9548-414E-B8AA-6998703C57E0}" scale="85" showPageBreaks="1" fitToPage="1" printArea="1" view="pageBreakPreview">
      <selection activeCell="B5" sqref="B5"/>
      <pageMargins left="0.5" right="0.5" top="0.5" bottom="0.5" header="0.3" footer="0.3"/>
      <printOptions headings="1" gridLines="1"/>
      <pageSetup scale="22" orientation="landscape" r:id="rId2"/>
      <headerFooter>
        <oddFooter>&amp;L&amp;"Arial,Regular"&amp;14&amp;A
&amp;F&amp;C&amp;"Arial,Regular"&amp;14&amp;P</oddFooter>
      </headerFooter>
    </customSheetView>
  </customSheetViews>
  <mergeCells count="7">
    <mergeCell ref="Z4:AD4"/>
    <mergeCell ref="B4:E4"/>
    <mergeCell ref="F4:I4"/>
    <mergeCell ref="J4:M4"/>
    <mergeCell ref="N4:Q4"/>
    <mergeCell ref="R4:T4"/>
    <mergeCell ref="U4:Y4"/>
  </mergeCells>
  <conditionalFormatting sqref="T9:T19">
    <cfRule type="colorScale" priority="29">
      <colorScale>
        <cfvo type="min"/>
        <cfvo type="percentile" val="50"/>
        <cfvo type="max"/>
        <color rgb="FFF8696B"/>
        <color rgb="FFFFEB84"/>
        <color rgb="FF63BE7B"/>
      </colorScale>
    </cfRule>
  </conditionalFormatting>
  <conditionalFormatting sqref="H9:H19">
    <cfRule type="colorScale" priority="22">
      <colorScale>
        <cfvo type="min"/>
        <cfvo type="percentile" val="50"/>
        <cfvo type="max"/>
        <color rgb="FFF8696B"/>
        <color rgb="FFFFEB84"/>
        <color rgb="FF63BE7B"/>
      </colorScale>
    </cfRule>
  </conditionalFormatting>
  <conditionalFormatting sqref="L9:L19">
    <cfRule type="colorScale" priority="27">
      <colorScale>
        <cfvo type="min"/>
        <cfvo type="percentile" val="50"/>
        <cfvo type="max"/>
        <color rgb="FFF8696B"/>
        <color rgb="FFFFEB84"/>
        <color rgb="FF63BE7B"/>
      </colorScale>
    </cfRule>
  </conditionalFormatting>
  <conditionalFormatting sqref="P9:P19">
    <cfRule type="colorScale" priority="26">
      <colorScale>
        <cfvo type="min"/>
        <cfvo type="percentile" val="50"/>
        <cfvo type="max"/>
        <color rgb="FFF8696B"/>
        <color rgb="FFFFEB84"/>
        <color rgb="FF63BE7B"/>
      </colorScale>
    </cfRule>
  </conditionalFormatting>
  <conditionalFormatting sqref="B10:B19">
    <cfRule type="dataBar" priority="25">
      <dataBar>
        <cfvo type="min"/>
        <cfvo type="max"/>
        <color rgb="FF638EC6"/>
      </dataBar>
      <extLst>
        <ext xmlns:x14="http://schemas.microsoft.com/office/spreadsheetml/2009/9/main" uri="{B025F937-C7B1-47D3-B67F-A62EFF666E3E}">
          <x14:id>{86433B90-4AFD-427E-A5CE-9C509164EAD3}</x14:id>
        </ext>
      </extLst>
    </cfRule>
  </conditionalFormatting>
  <conditionalFormatting sqref="B9:C19">
    <cfRule type="dataBar" priority="24">
      <dataBar>
        <cfvo type="min"/>
        <cfvo type="max"/>
        <color rgb="FF638EC6"/>
      </dataBar>
      <extLst>
        <ext xmlns:x14="http://schemas.microsoft.com/office/spreadsheetml/2009/9/main" uri="{B025F937-C7B1-47D3-B67F-A62EFF666E3E}">
          <x14:id>{E38ABDFA-7E26-48A8-A89D-82A699591A0B}</x14:id>
        </ext>
      </extLst>
    </cfRule>
  </conditionalFormatting>
  <conditionalFormatting sqref="D9:D19">
    <cfRule type="colorScale" priority="21">
      <colorScale>
        <cfvo type="min"/>
        <cfvo type="percentile" val="50"/>
        <cfvo type="max"/>
        <color rgb="FFF8696B"/>
        <color rgb="FFFFEB84"/>
        <color rgb="FF63BE7B"/>
      </colorScale>
    </cfRule>
  </conditionalFormatting>
  <conditionalFormatting sqref="R9:R19">
    <cfRule type="dataBar" priority="18">
      <dataBar>
        <cfvo type="min"/>
        <cfvo type="max"/>
        <color rgb="FF638EC6"/>
      </dataBar>
      <extLst>
        <ext xmlns:x14="http://schemas.microsoft.com/office/spreadsheetml/2009/9/main" uri="{B025F937-C7B1-47D3-B67F-A62EFF666E3E}">
          <x14:id>{8CCEFD47-3FB9-4CAC-A915-3BB629FD7807}</x14:id>
        </ext>
      </extLst>
    </cfRule>
  </conditionalFormatting>
  <conditionalFormatting sqref="U9:Y19">
    <cfRule type="dataBar" priority="13">
      <dataBar>
        <cfvo type="min"/>
        <cfvo type="max"/>
        <color rgb="FF638EC6"/>
      </dataBar>
      <extLst>
        <ext xmlns:x14="http://schemas.microsoft.com/office/spreadsheetml/2009/9/main" uri="{B025F937-C7B1-47D3-B67F-A62EFF666E3E}">
          <x14:id>{4A727D87-64B2-419A-8212-73743B4F994A}</x14:id>
        </ext>
      </extLst>
    </cfRule>
  </conditionalFormatting>
  <conditionalFormatting sqref="Z9:AD19">
    <cfRule type="dataBar" priority="12">
      <dataBar>
        <cfvo type="min"/>
        <cfvo type="max"/>
        <color rgb="FFFFB628"/>
      </dataBar>
      <extLst>
        <ext xmlns:x14="http://schemas.microsoft.com/office/spreadsheetml/2009/9/main" uri="{B025F937-C7B1-47D3-B67F-A62EFF666E3E}">
          <x14:id>{AD14C1F7-B433-43F4-BC79-6839F1AADFF4}</x14:id>
        </ext>
      </extLst>
    </cfRule>
  </conditionalFormatting>
  <conditionalFormatting sqref="F10:F19">
    <cfRule type="dataBar" priority="11">
      <dataBar>
        <cfvo type="min"/>
        <cfvo type="max"/>
        <color rgb="FF638EC6"/>
      </dataBar>
      <extLst>
        <ext xmlns:x14="http://schemas.microsoft.com/office/spreadsheetml/2009/9/main" uri="{B025F937-C7B1-47D3-B67F-A62EFF666E3E}">
          <x14:id>{22FAEE62-DE25-4553-9FA0-F7DC4E25E192}</x14:id>
        </ext>
      </extLst>
    </cfRule>
  </conditionalFormatting>
  <conditionalFormatting sqref="F9:F19">
    <cfRule type="dataBar" priority="10">
      <dataBar>
        <cfvo type="min"/>
        <cfvo type="max"/>
        <color rgb="FF638EC6"/>
      </dataBar>
      <extLst>
        <ext xmlns:x14="http://schemas.microsoft.com/office/spreadsheetml/2009/9/main" uri="{B025F937-C7B1-47D3-B67F-A62EFF666E3E}">
          <x14:id>{D506390F-AF99-471D-AC7B-34F88BA89684}</x14:id>
        </ext>
      </extLst>
    </cfRule>
  </conditionalFormatting>
  <conditionalFormatting sqref="G9:G19">
    <cfRule type="dataBar" priority="8">
      <dataBar>
        <cfvo type="min"/>
        <cfvo type="max"/>
        <color rgb="FFFFB628"/>
      </dataBar>
      <extLst>
        <ext xmlns:x14="http://schemas.microsoft.com/office/spreadsheetml/2009/9/main" uri="{B025F937-C7B1-47D3-B67F-A62EFF666E3E}">
          <x14:id>{8BD7E245-5AA8-4052-88EA-3A8C57DCCED1}</x14:id>
        </ext>
      </extLst>
    </cfRule>
  </conditionalFormatting>
  <conditionalFormatting sqref="C9:C19">
    <cfRule type="dataBar" priority="7">
      <dataBar>
        <cfvo type="min"/>
        <cfvo type="max"/>
        <color rgb="FFFFB628"/>
      </dataBar>
      <extLst>
        <ext xmlns:x14="http://schemas.microsoft.com/office/spreadsheetml/2009/9/main" uri="{B025F937-C7B1-47D3-B67F-A62EFF666E3E}">
          <x14:id>{0DB583F9-659D-4F34-8470-DA28E11B25E4}</x14:id>
        </ext>
      </extLst>
    </cfRule>
  </conditionalFormatting>
  <conditionalFormatting sqref="J10:J19">
    <cfRule type="dataBar" priority="6">
      <dataBar>
        <cfvo type="min"/>
        <cfvo type="max"/>
        <color rgb="FF638EC6"/>
      </dataBar>
      <extLst>
        <ext xmlns:x14="http://schemas.microsoft.com/office/spreadsheetml/2009/9/main" uri="{B025F937-C7B1-47D3-B67F-A62EFF666E3E}">
          <x14:id>{D22CF904-DA98-499E-AED8-4E77B3CD699D}</x14:id>
        </ext>
      </extLst>
    </cfRule>
  </conditionalFormatting>
  <conditionalFormatting sqref="J9:J19">
    <cfRule type="dataBar" priority="5">
      <dataBar>
        <cfvo type="min"/>
        <cfvo type="max"/>
        <color rgb="FF638EC6"/>
      </dataBar>
      <extLst>
        <ext xmlns:x14="http://schemas.microsoft.com/office/spreadsheetml/2009/9/main" uri="{B025F937-C7B1-47D3-B67F-A62EFF666E3E}">
          <x14:id>{08D5FE5F-9493-4E2A-BF8A-0C284A803269}</x14:id>
        </ext>
      </extLst>
    </cfRule>
  </conditionalFormatting>
  <conditionalFormatting sqref="K9:K19">
    <cfRule type="dataBar" priority="4">
      <dataBar>
        <cfvo type="min"/>
        <cfvo type="max"/>
        <color rgb="FFFFB628"/>
      </dataBar>
      <extLst>
        <ext xmlns:x14="http://schemas.microsoft.com/office/spreadsheetml/2009/9/main" uri="{B025F937-C7B1-47D3-B67F-A62EFF666E3E}">
          <x14:id>{1FF6D6E5-3D26-4AE5-8148-8B780CE5B4AB}</x14:id>
        </ext>
      </extLst>
    </cfRule>
  </conditionalFormatting>
  <conditionalFormatting sqref="N10:N19">
    <cfRule type="dataBar" priority="3">
      <dataBar>
        <cfvo type="min"/>
        <cfvo type="max"/>
        <color rgb="FF638EC6"/>
      </dataBar>
      <extLst>
        <ext xmlns:x14="http://schemas.microsoft.com/office/spreadsheetml/2009/9/main" uri="{B025F937-C7B1-47D3-B67F-A62EFF666E3E}">
          <x14:id>{DB1B1B76-4E89-43B2-AD71-7483AC6FC780}</x14:id>
        </ext>
      </extLst>
    </cfRule>
  </conditionalFormatting>
  <conditionalFormatting sqref="N9:N19">
    <cfRule type="dataBar" priority="2">
      <dataBar>
        <cfvo type="min"/>
        <cfvo type="max"/>
        <color rgb="FF638EC6"/>
      </dataBar>
      <extLst>
        <ext xmlns:x14="http://schemas.microsoft.com/office/spreadsheetml/2009/9/main" uri="{B025F937-C7B1-47D3-B67F-A62EFF666E3E}">
          <x14:id>{2BE65B32-91FA-4834-B45C-37E952BA4BA6}</x14:id>
        </ext>
      </extLst>
    </cfRule>
  </conditionalFormatting>
  <conditionalFormatting sqref="O9:O19">
    <cfRule type="dataBar" priority="1">
      <dataBar>
        <cfvo type="min"/>
        <cfvo type="max"/>
        <color rgb="FFFFB628"/>
      </dataBar>
      <extLst>
        <ext xmlns:x14="http://schemas.microsoft.com/office/spreadsheetml/2009/9/main" uri="{B025F937-C7B1-47D3-B67F-A62EFF666E3E}">
          <x14:id>{82FF693E-868E-4FB9-85F5-C135E23B679E}</x14:id>
        </ext>
      </extLst>
    </cfRule>
  </conditionalFormatting>
  <printOptions headings="1" gridLines="1"/>
  <pageMargins left="0.5" right="0.5" top="0.5" bottom="0.5" header="0.3" footer="0.3"/>
  <pageSetup scale="17" orientation="landscape" r:id="rId3"/>
  <headerFooter>
    <oddFooter>&amp;L&amp;"Arial,Regular"&amp;14&amp;A
&amp;F&amp;C&amp;"Arial,Regular"&amp;14&amp;P</oddFooter>
  </headerFooter>
  <legacyDrawing r:id="rId4"/>
  <extLst>
    <ext xmlns:x14="http://schemas.microsoft.com/office/spreadsheetml/2009/9/main" uri="{78C0D931-6437-407d-A8EE-F0AAD7539E65}">
      <x14:conditionalFormattings>
        <x14:conditionalFormatting xmlns:xm="http://schemas.microsoft.com/office/excel/2006/main">
          <x14:cfRule type="dataBar" id="{86433B90-4AFD-427E-A5CE-9C509164EAD3}">
            <x14:dataBar minLength="0" maxLength="100" border="1" negativeBarBorderColorSameAsPositive="0">
              <x14:cfvo type="autoMin"/>
              <x14:cfvo type="autoMax"/>
              <x14:borderColor rgb="FF638EC6"/>
              <x14:negativeFillColor rgb="FFFF0000"/>
              <x14:negativeBorderColor rgb="FFFF0000"/>
              <x14:axisColor rgb="FF000000"/>
            </x14:dataBar>
          </x14:cfRule>
          <xm:sqref>B10:B19</xm:sqref>
        </x14:conditionalFormatting>
        <x14:conditionalFormatting xmlns:xm="http://schemas.microsoft.com/office/excel/2006/main">
          <x14:cfRule type="dataBar" id="{E38ABDFA-7E26-48A8-A89D-82A699591A0B}">
            <x14:dataBar minLength="0" maxLength="100" border="1" negativeBarBorderColorSameAsPositive="0">
              <x14:cfvo type="autoMin"/>
              <x14:cfvo type="autoMax"/>
              <x14:borderColor rgb="FF638EC6"/>
              <x14:negativeFillColor rgb="FFFF0000"/>
              <x14:negativeBorderColor rgb="FFFF0000"/>
              <x14:axisColor rgb="FF000000"/>
            </x14:dataBar>
          </x14:cfRule>
          <xm:sqref>B9:C19</xm:sqref>
        </x14:conditionalFormatting>
        <x14:conditionalFormatting xmlns:xm="http://schemas.microsoft.com/office/excel/2006/main">
          <x14:cfRule type="dataBar" id="{8CCEFD47-3FB9-4CAC-A915-3BB629FD7807}">
            <x14:dataBar minLength="0" maxLength="100" border="1" negativeBarBorderColorSameAsPositive="0">
              <x14:cfvo type="autoMin"/>
              <x14:cfvo type="autoMax"/>
              <x14:borderColor rgb="FF638EC6"/>
              <x14:negativeFillColor rgb="FFFF0000"/>
              <x14:negativeBorderColor rgb="FFFF0000"/>
              <x14:axisColor rgb="FF000000"/>
            </x14:dataBar>
          </x14:cfRule>
          <xm:sqref>R9:R19</xm:sqref>
        </x14:conditionalFormatting>
        <x14:conditionalFormatting xmlns:xm="http://schemas.microsoft.com/office/excel/2006/main">
          <x14:cfRule type="dataBar" id="{4A727D87-64B2-419A-8212-73743B4F994A}">
            <x14:dataBar minLength="0" maxLength="100" gradient="0">
              <x14:cfvo type="autoMin"/>
              <x14:cfvo type="autoMax"/>
              <x14:negativeFillColor rgb="FFFF0000"/>
              <x14:axisColor rgb="FF000000"/>
            </x14:dataBar>
          </x14:cfRule>
          <xm:sqref>U9:Y19</xm:sqref>
        </x14:conditionalFormatting>
        <x14:conditionalFormatting xmlns:xm="http://schemas.microsoft.com/office/excel/2006/main">
          <x14:cfRule type="dataBar" id="{AD14C1F7-B433-43F4-BC79-6839F1AADFF4}">
            <x14:dataBar minLength="0" maxLength="100" gradient="0">
              <x14:cfvo type="autoMin"/>
              <x14:cfvo type="autoMax"/>
              <x14:negativeFillColor rgb="FFFF0000"/>
              <x14:axisColor rgb="FF000000"/>
            </x14:dataBar>
          </x14:cfRule>
          <xm:sqref>Z9:AD19</xm:sqref>
        </x14:conditionalFormatting>
        <x14:conditionalFormatting xmlns:xm="http://schemas.microsoft.com/office/excel/2006/main">
          <x14:cfRule type="dataBar" id="{22FAEE62-DE25-4553-9FA0-F7DC4E25E192}">
            <x14:dataBar minLength="0" maxLength="100" border="1" negativeBarBorderColorSameAsPositive="0">
              <x14:cfvo type="autoMin"/>
              <x14:cfvo type="autoMax"/>
              <x14:borderColor rgb="FF638EC6"/>
              <x14:negativeFillColor rgb="FFFF0000"/>
              <x14:negativeBorderColor rgb="FFFF0000"/>
              <x14:axisColor rgb="FF000000"/>
            </x14:dataBar>
          </x14:cfRule>
          <xm:sqref>F10:F19</xm:sqref>
        </x14:conditionalFormatting>
        <x14:conditionalFormatting xmlns:xm="http://schemas.microsoft.com/office/excel/2006/main">
          <x14:cfRule type="dataBar" id="{D506390F-AF99-471D-AC7B-34F88BA89684}">
            <x14:dataBar minLength="0" maxLength="100" border="1" negativeBarBorderColorSameAsPositive="0">
              <x14:cfvo type="autoMin"/>
              <x14:cfvo type="autoMax"/>
              <x14:borderColor rgb="FF638EC6"/>
              <x14:negativeFillColor rgb="FFFF0000"/>
              <x14:negativeBorderColor rgb="FFFF0000"/>
              <x14:axisColor rgb="FF000000"/>
            </x14:dataBar>
          </x14:cfRule>
          <xm:sqref>F9:F19</xm:sqref>
        </x14:conditionalFormatting>
        <x14:conditionalFormatting xmlns:xm="http://schemas.microsoft.com/office/excel/2006/main">
          <x14:cfRule type="dataBar" id="{8BD7E245-5AA8-4052-88EA-3A8C57DCCED1}">
            <x14:dataBar minLength="0" maxLength="100" border="1" negativeBarBorderColorSameAsPositive="0">
              <x14:cfvo type="autoMin"/>
              <x14:cfvo type="autoMax"/>
              <x14:borderColor rgb="FFFFB628"/>
              <x14:negativeFillColor rgb="FFFF0000"/>
              <x14:negativeBorderColor rgb="FFFF0000"/>
              <x14:axisColor rgb="FF000000"/>
            </x14:dataBar>
          </x14:cfRule>
          <xm:sqref>G9:G19</xm:sqref>
        </x14:conditionalFormatting>
        <x14:conditionalFormatting xmlns:xm="http://schemas.microsoft.com/office/excel/2006/main">
          <x14:cfRule type="dataBar" id="{0DB583F9-659D-4F34-8470-DA28E11B25E4}">
            <x14:dataBar minLength="0" maxLength="100" border="1" negativeBarBorderColorSameAsPositive="0">
              <x14:cfvo type="autoMin"/>
              <x14:cfvo type="autoMax"/>
              <x14:borderColor rgb="FFFFB628"/>
              <x14:negativeFillColor rgb="FFFF0000"/>
              <x14:negativeBorderColor rgb="FFFF0000"/>
              <x14:axisColor rgb="FF000000"/>
            </x14:dataBar>
          </x14:cfRule>
          <xm:sqref>C9:C19</xm:sqref>
        </x14:conditionalFormatting>
        <x14:conditionalFormatting xmlns:xm="http://schemas.microsoft.com/office/excel/2006/main">
          <x14:cfRule type="dataBar" id="{D22CF904-DA98-499E-AED8-4E77B3CD699D}">
            <x14:dataBar minLength="0" maxLength="100" border="1" negativeBarBorderColorSameAsPositive="0">
              <x14:cfvo type="autoMin"/>
              <x14:cfvo type="autoMax"/>
              <x14:borderColor rgb="FF638EC6"/>
              <x14:negativeFillColor rgb="FFFF0000"/>
              <x14:negativeBorderColor rgb="FFFF0000"/>
              <x14:axisColor rgb="FF000000"/>
            </x14:dataBar>
          </x14:cfRule>
          <xm:sqref>J10:J19</xm:sqref>
        </x14:conditionalFormatting>
        <x14:conditionalFormatting xmlns:xm="http://schemas.microsoft.com/office/excel/2006/main">
          <x14:cfRule type="dataBar" id="{08D5FE5F-9493-4E2A-BF8A-0C284A803269}">
            <x14:dataBar minLength="0" maxLength="100" border="1" negativeBarBorderColorSameAsPositive="0">
              <x14:cfvo type="autoMin"/>
              <x14:cfvo type="autoMax"/>
              <x14:borderColor rgb="FF638EC6"/>
              <x14:negativeFillColor rgb="FFFF0000"/>
              <x14:negativeBorderColor rgb="FFFF0000"/>
              <x14:axisColor rgb="FF000000"/>
            </x14:dataBar>
          </x14:cfRule>
          <xm:sqref>J9:J19</xm:sqref>
        </x14:conditionalFormatting>
        <x14:conditionalFormatting xmlns:xm="http://schemas.microsoft.com/office/excel/2006/main">
          <x14:cfRule type="dataBar" id="{1FF6D6E5-3D26-4AE5-8148-8B780CE5B4AB}">
            <x14:dataBar minLength="0" maxLength="100" border="1" negativeBarBorderColorSameAsPositive="0">
              <x14:cfvo type="autoMin"/>
              <x14:cfvo type="autoMax"/>
              <x14:borderColor rgb="FFFFB628"/>
              <x14:negativeFillColor rgb="FFFF0000"/>
              <x14:negativeBorderColor rgb="FFFF0000"/>
              <x14:axisColor rgb="FF000000"/>
            </x14:dataBar>
          </x14:cfRule>
          <xm:sqref>K9:K19</xm:sqref>
        </x14:conditionalFormatting>
        <x14:conditionalFormatting xmlns:xm="http://schemas.microsoft.com/office/excel/2006/main">
          <x14:cfRule type="dataBar" id="{DB1B1B76-4E89-43B2-AD71-7483AC6FC780}">
            <x14:dataBar minLength="0" maxLength="100" border="1" negativeBarBorderColorSameAsPositive="0">
              <x14:cfvo type="autoMin"/>
              <x14:cfvo type="autoMax"/>
              <x14:borderColor rgb="FF638EC6"/>
              <x14:negativeFillColor rgb="FFFF0000"/>
              <x14:negativeBorderColor rgb="FFFF0000"/>
              <x14:axisColor rgb="FF000000"/>
            </x14:dataBar>
          </x14:cfRule>
          <xm:sqref>N10:N19</xm:sqref>
        </x14:conditionalFormatting>
        <x14:conditionalFormatting xmlns:xm="http://schemas.microsoft.com/office/excel/2006/main">
          <x14:cfRule type="dataBar" id="{2BE65B32-91FA-4834-B45C-37E952BA4BA6}">
            <x14:dataBar minLength="0" maxLength="100" border="1" negativeBarBorderColorSameAsPositive="0">
              <x14:cfvo type="autoMin"/>
              <x14:cfvo type="autoMax"/>
              <x14:borderColor rgb="FF638EC6"/>
              <x14:negativeFillColor rgb="FFFF0000"/>
              <x14:negativeBorderColor rgb="FFFF0000"/>
              <x14:axisColor rgb="FF000000"/>
            </x14:dataBar>
          </x14:cfRule>
          <xm:sqref>N9:N19</xm:sqref>
        </x14:conditionalFormatting>
        <x14:conditionalFormatting xmlns:xm="http://schemas.microsoft.com/office/excel/2006/main">
          <x14:cfRule type="dataBar" id="{82FF693E-868E-4FB9-85F5-C135E23B679E}">
            <x14:dataBar minLength="0" maxLength="100" border="1" negativeBarBorderColorSameAsPositive="0">
              <x14:cfvo type="autoMin"/>
              <x14:cfvo type="autoMax"/>
              <x14:borderColor rgb="FFFFB628"/>
              <x14:negativeFillColor rgb="FFFF0000"/>
              <x14:negativeBorderColor rgb="FFFF0000"/>
              <x14:axisColor rgb="FF000000"/>
            </x14:dataBar>
          </x14:cfRule>
          <xm:sqref>O9:O19</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79998168889431442"/>
    <pageSetUpPr fitToPage="1"/>
  </sheetPr>
  <dimension ref="A1:AM72"/>
  <sheetViews>
    <sheetView view="pageBreakPreview" zoomScale="85" zoomScaleNormal="100" zoomScaleSheetLayoutView="85" workbookViewId="0"/>
  </sheetViews>
  <sheetFormatPr defaultRowHeight="14.5" x14ac:dyDescent="0.35"/>
  <cols>
    <col min="1" max="1" width="19.54296875" customWidth="1"/>
    <col min="2" max="2" width="39.1796875" bestFit="1" customWidth="1"/>
    <col min="3" max="3" width="15.7265625" customWidth="1"/>
    <col min="4" max="4" width="9.453125" customWidth="1"/>
    <col min="5" max="5" width="10.453125" customWidth="1"/>
    <col min="6" max="6" width="10" customWidth="1"/>
    <col min="7" max="7" width="10" bestFit="1" customWidth="1"/>
    <col min="8" max="8" width="9.81640625" customWidth="1"/>
    <col min="9" max="9" width="15.54296875" customWidth="1"/>
    <col min="10" max="10" width="13.54296875" customWidth="1"/>
    <col min="11" max="11" width="16.26953125" customWidth="1"/>
    <col min="12" max="12" width="11" customWidth="1"/>
    <col min="13" max="13" width="12" bestFit="1" customWidth="1"/>
    <col min="14" max="14" width="11.81640625" bestFit="1" customWidth="1"/>
    <col min="15" max="15" width="11" bestFit="1" customWidth="1"/>
    <col min="17" max="17" width="11" bestFit="1" customWidth="1"/>
    <col min="18" max="18" width="14" customWidth="1"/>
    <col min="19" max="19" width="12.1796875" customWidth="1"/>
    <col min="20" max="20" width="16.1796875" bestFit="1" customWidth="1"/>
    <col min="30" max="31" width="12.1796875" customWidth="1"/>
  </cols>
  <sheetData>
    <row r="1" spans="1:39" x14ac:dyDescent="0.35">
      <c r="A1" s="1721" t="s">
        <v>302</v>
      </c>
      <c r="B1" s="1172" t="s">
        <v>2239</v>
      </c>
      <c r="C1" s="1176"/>
      <c r="D1" s="1176"/>
      <c r="E1" s="1177"/>
      <c r="F1" s="1177"/>
      <c r="G1" s="1177"/>
      <c r="H1" s="1177"/>
      <c r="I1" s="1177"/>
      <c r="J1" s="1177"/>
      <c r="K1" s="2219" t="s">
        <v>335</v>
      </c>
      <c r="L1" s="2220"/>
      <c r="M1" s="2220"/>
      <c r="N1" s="2274"/>
      <c r="O1" s="2219" t="s">
        <v>336</v>
      </c>
      <c r="P1" s="2220"/>
      <c r="Q1" s="2220"/>
      <c r="R1" s="2220"/>
      <c r="S1" s="2280" t="s">
        <v>337</v>
      </c>
      <c r="T1" s="2281"/>
    </row>
    <row r="2" spans="1:39" s="800" customFormat="1" ht="43.5" x14ac:dyDescent="0.35">
      <c r="A2" s="1145" t="s">
        <v>338</v>
      </c>
      <c r="B2" s="1129" t="s">
        <v>1</v>
      </c>
      <c r="C2" s="1129" t="s">
        <v>339</v>
      </c>
      <c r="D2" s="1129" t="s">
        <v>688</v>
      </c>
      <c r="E2" s="1177" t="s">
        <v>343</v>
      </c>
      <c r="F2" s="1177" t="s">
        <v>344</v>
      </c>
      <c r="G2" s="1177" t="s">
        <v>2240</v>
      </c>
      <c r="H2" s="1177" t="s">
        <v>345</v>
      </c>
      <c r="I2" s="1177" t="s">
        <v>1676</v>
      </c>
      <c r="J2" s="1177" t="s">
        <v>2241</v>
      </c>
      <c r="K2" s="1177" t="s">
        <v>347</v>
      </c>
      <c r="L2" s="1177" t="s">
        <v>348</v>
      </c>
      <c r="M2" s="1177" t="s">
        <v>349</v>
      </c>
      <c r="N2" s="1177" t="s">
        <v>604</v>
      </c>
      <c r="O2" s="1177" t="s">
        <v>347</v>
      </c>
      <c r="P2" s="1177" t="s">
        <v>348</v>
      </c>
      <c r="Q2" s="1177" t="s">
        <v>349</v>
      </c>
      <c r="R2" s="1177" t="s">
        <v>604</v>
      </c>
      <c r="S2" s="126" t="s">
        <v>2242</v>
      </c>
      <c r="T2" s="126" t="s">
        <v>2243</v>
      </c>
      <c r="U2" s="1108"/>
      <c r="V2" s="1108"/>
    </row>
    <row r="3" spans="1:39" s="74" customFormat="1" ht="52.5" x14ac:dyDescent="0.35">
      <c r="A3" s="1131" t="s">
        <v>2244</v>
      </c>
      <c r="B3" s="1131" t="str">
        <f>$B$1&amp;", per "&amp;FIXED(J3,0)&amp;" sf, "&amp;I3</f>
        <v>Commercial Pool Covers, per 1,000 sf, Indoor</v>
      </c>
      <c r="C3" s="1132" t="s">
        <v>203</v>
      </c>
      <c r="D3" s="1133" t="s">
        <v>354</v>
      </c>
      <c r="E3" s="1179">
        <f>+$B$16</f>
        <v>6</v>
      </c>
      <c r="F3" s="1195"/>
      <c r="G3" s="1195"/>
      <c r="H3" s="1181" t="s">
        <v>2148</v>
      </c>
      <c r="I3" s="1181" t="s">
        <v>1694</v>
      </c>
      <c r="J3" s="1182">
        <v>1000</v>
      </c>
      <c r="K3" s="1182"/>
      <c r="L3" s="1184"/>
      <c r="M3" s="1182">
        <f>S3*J3</f>
        <v>2610</v>
      </c>
      <c r="N3" s="1182">
        <f>T3*J3</f>
        <v>15280</v>
      </c>
      <c r="O3" s="1183"/>
      <c r="P3" s="1184"/>
      <c r="Q3" s="1182">
        <f>M3*E3</f>
        <v>15660</v>
      </c>
      <c r="R3" s="1182">
        <f>N3*E3</f>
        <v>91680</v>
      </c>
      <c r="S3" s="152">
        <f>VLOOKUP(I3,$B$44:$C$45,2,FALSE)</f>
        <v>2.61</v>
      </c>
      <c r="T3" s="62">
        <f>VLOOKUP(I3,$B$51:$C$52,2,FALSE)</f>
        <v>15.28</v>
      </c>
      <c r="U3" s="178"/>
      <c r="V3" s="178"/>
    </row>
    <row r="4" spans="1:39" s="74" customFormat="1" ht="52.5" x14ac:dyDescent="0.35">
      <c r="A4" s="1131" t="s">
        <v>2245</v>
      </c>
      <c r="B4" s="1131" t="str">
        <f>$B$1&amp;", per "&amp;FIXED(J4,0)&amp;" sf, "&amp;I4</f>
        <v>Commercial Pool Covers, per 1,000 sf, Outdoor</v>
      </c>
      <c r="C4" s="1131" t="s">
        <v>204</v>
      </c>
      <c r="D4" s="1133" t="s">
        <v>354</v>
      </c>
      <c r="E4" s="1179">
        <f>+$B$16</f>
        <v>6</v>
      </c>
      <c r="F4" s="1195"/>
      <c r="G4" s="1195"/>
      <c r="H4" s="1181" t="s">
        <v>2148</v>
      </c>
      <c r="I4" s="1181" t="s">
        <v>1687</v>
      </c>
      <c r="J4" s="1182">
        <v>1000</v>
      </c>
      <c r="K4" s="1182"/>
      <c r="L4" s="1184"/>
      <c r="M4" s="1182">
        <f>S4*J4</f>
        <v>1010</v>
      </c>
      <c r="N4" s="1182">
        <f>T4*J4</f>
        <v>8940</v>
      </c>
      <c r="O4" s="1183"/>
      <c r="P4" s="1184"/>
      <c r="Q4" s="1182">
        <f>M4*E4</f>
        <v>6060</v>
      </c>
      <c r="R4" s="1182">
        <f>N4*E4</f>
        <v>53640</v>
      </c>
      <c r="S4" s="152">
        <f>VLOOKUP(I4,$B$44:$C$45,2,FALSE)</f>
        <v>1.01</v>
      </c>
      <c r="T4" s="62">
        <f>VLOOKUP(I4,$B$51:$C$52,2,FALSE)</f>
        <v>8.94</v>
      </c>
      <c r="U4" s="178"/>
      <c r="V4" s="178"/>
      <c r="W4"/>
      <c r="X4"/>
      <c r="Y4"/>
      <c r="Z4"/>
      <c r="AA4"/>
      <c r="AB4"/>
      <c r="AC4"/>
      <c r="AD4"/>
      <c r="AE4"/>
      <c r="AF4"/>
      <c r="AG4"/>
      <c r="AH4"/>
      <c r="AI4"/>
      <c r="AJ4"/>
      <c r="AK4"/>
      <c r="AL4"/>
      <c r="AM4"/>
    </row>
    <row r="5" spans="1:39" ht="15" thickBot="1" x14ac:dyDescent="0.4"/>
    <row r="6" spans="1:39" ht="15" thickBot="1" x14ac:dyDescent="0.4">
      <c r="A6" s="188" t="s">
        <v>408</v>
      </c>
      <c r="B6" s="78"/>
      <c r="C6" s="78"/>
      <c r="D6" s="78"/>
      <c r="E6" s="78"/>
      <c r="F6" s="78"/>
      <c r="G6" s="78"/>
      <c r="H6" s="78"/>
      <c r="I6" s="78"/>
      <c r="J6" s="78"/>
      <c r="K6" s="78"/>
      <c r="L6" s="79"/>
    </row>
    <row r="7" spans="1:39" x14ac:dyDescent="0.35">
      <c r="A7" s="81" t="s">
        <v>2246</v>
      </c>
      <c r="B7" s="82"/>
      <c r="C7" s="83"/>
      <c r="D7" s="83"/>
      <c r="E7" s="83"/>
      <c r="F7" s="83"/>
      <c r="G7" s="83"/>
      <c r="H7" s="83"/>
      <c r="I7" s="83"/>
      <c r="J7" s="83"/>
      <c r="K7" s="83"/>
      <c r="L7" s="84"/>
    </row>
    <row r="8" spans="1:39" ht="15" thickBot="1" x14ac:dyDescent="0.4">
      <c r="A8" s="85" t="s">
        <v>2247</v>
      </c>
      <c r="B8" s="305"/>
      <c r="C8" s="86"/>
      <c r="D8" s="86"/>
      <c r="E8" s="86"/>
      <c r="F8" s="86"/>
      <c r="G8" s="86"/>
      <c r="H8" s="86"/>
      <c r="I8" s="86"/>
      <c r="J8" s="86"/>
      <c r="K8" s="86"/>
      <c r="L8" s="87"/>
    </row>
    <row r="9" spans="1:39" ht="15" thickBot="1" x14ac:dyDescent="0.4">
      <c r="A9" s="188" t="s">
        <v>2571</v>
      </c>
      <c r="B9" s="1384" t="e">
        <f>+#REF!</f>
        <v>#REF!</v>
      </c>
    </row>
    <row r="10" spans="1:39" ht="15" thickBot="1" x14ac:dyDescent="0.4">
      <c r="A10" s="188" t="s">
        <v>2572</v>
      </c>
      <c r="B10" s="701" t="s">
        <v>2793</v>
      </c>
    </row>
    <row r="11" spans="1:39" ht="15" thickBot="1" x14ac:dyDescent="0.4"/>
    <row r="12" spans="1:39" ht="15" thickBot="1" x14ac:dyDescent="0.4">
      <c r="A12" s="763" t="s">
        <v>413</v>
      </c>
      <c r="B12" s="764" t="s">
        <v>414</v>
      </c>
      <c r="C12" s="765" t="s">
        <v>415</v>
      </c>
      <c r="D12" s="472"/>
      <c r="E12" s="472"/>
      <c r="F12" s="472"/>
      <c r="G12" s="472"/>
      <c r="H12" s="472"/>
      <c r="I12" s="472"/>
      <c r="J12" s="472"/>
      <c r="K12" s="472"/>
      <c r="L12" s="472"/>
      <c r="M12" s="472"/>
      <c r="N12" s="472"/>
      <c r="O12" s="472"/>
      <c r="P12" s="472"/>
      <c r="Q12" s="472"/>
      <c r="R12" s="473"/>
    </row>
    <row r="13" spans="1:39" ht="15" thickBot="1" x14ac:dyDescent="0.4">
      <c r="A13" s="119" t="s">
        <v>2242</v>
      </c>
      <c r="B13" s="451"/>
      <c r="C13" s="451" t="s">
        <v>2339</v>
      </c>
      <c r="D13" s="451"/>
      <c r="E13" s="451"/>
      <c r="F13" s="451"/>
      <c r="G13" s="451"/>
      <c r="H13" s="451"/>
      <c r="I13" s="451"/>
      <c r="J13" s="451"/>
      <c r="K13" s="451"/>
      <c r="L13" s="451"/>
      <c r="M13" s="451"/>
      <c r="N13" s="451"/>
      <c r="O13" s="451"/>
      <c r="P13" s="451"/>
      <c r="Q13" s="451"/>
      <c r="R13" s="121"/>
    </row>
    <row r="14" spans="1:39" ht="15" thickBot="1" x14ac:dyDescent="0.4">
      <c r="A14" s="206" t="s">
        <v>2248</v>
      </c>
      <c r="B14" s="207"/>
      <c r="C14" s="207" t="s">
        <v>2249</v>
      </c>
      <c r="D14" s="207"/>
      <c r="E14" s="207"/>
      <c r="F14" s="207"/>
      <c r="G14" s="207"/>
      <c r="H14" s="207"/>
      <c r="I14" s="207"/>
      <c r="J14" s="207"/>
      <c r="K14" s="207"/>
      <c r="L14" s="207"/>
      <c r="M14" s="207"/>
      <c r="N14" s="207"/>
      <c r="O14" s="207"/>
      <c r="P14" s="207"/>
      <c r="Q14" s="207"/>
      <c r="R14" s="208"/>
    </row>
    <row r="15" spans="1:39" ht="15" thickBot="1" x14ac:dyDescent="0.4">
      <c r="A15" s="119" t="s">
        <v>2250</v>
      </c>
      <c r="B15" s="120" t="s">
        <v>2251</v>
      </c>
      <c r="C15" s="451" t="s">
        <v>2340</v>
      </c>
      <c r="D15" s="451"/>
      <c r="E15" s="451"/>
      <c r="F15" s="451"/>
      <c r="G15" s="451"/>
      <c r="H15" s="451"/>
      <c r="I15" s="451"/>
      <c r="J15" s="451"/>
      <c r="K15" s="451"/>
      <c r="L15" s="451"/>
      <c r="M15" s="451"/>
      <c r="N15" s="451"/>
      <c r="O15" s="451"/>
      <c r="P15" s="451"/>
      <c r="Q15" s="451"/>
      <c r="R15" s="121"/>
    </row>
    <row r="16" spans="1:39" ht="15" thickBot="1" x14ac:dyDescent="0.4">
      <c r="A16" s="119" t="s">
        <v>443</v>
      </c>
      <c r="B16" s="451">
        <v>6</v>
      </c>
      <c r="C16" s="451" t="s">
        <v>2252</v>
      </c>
      <c r="D16" s="451"/>
      <c r="E16" s="451"/>
      <c r="F16" s="451"/>
      <c r="G16" s="451"/>
      <c r="H16" s="451"/>
      <c r="I16" s="451"/>
      <c r="J16" s="451"/>
      <c r="K16" s="451"/>
      <c r="L16" s="451"/>
      <c r="M16" s="451"/>
      <c r="N16" s="451"/>
      <c r="O16" s="451"/>
      <c r="P16" s="451"/>
      <c r="Q16" s="451"/>
      <c r="R16" s="121"/>
    </row>
    <row r="17" spans="1:20" ht="15" thickBot="1" x14ac:dyDescent="0.4">
      <c r="A17" s="189" t="s">
        <v>344</v>
      </c>
      <c r="B17" s="190"/>
      <c r="C17" s="2282"/>
      <c r="D17" s="2282"/>
      <c r="E17" s="2282"/>
      <c r="F17" s="2282"/>
      <c r="G17" s="2282"/>
      <c r="H17" s="2282"/>
      <c r="I17" s="2282"/>
      <c r="J17" s="2282"/>
      <c r="K17" s="2282"/>
      <c r="L17" s="2282"/>
      <c r="M17" s="2282"/>
      <c r="N17" s="2282"/>
      <c r="O17" s="2282"/>
      <c r="P17" s="2282"/>
      <c r="Q17" s="2282"/>
      <c r="R17" s="2283"/>
    </row>
    <row r="18" spans="1:20" x14ac:dyDescent="0.35">
      <c r="A18" s="858" t="s">
        <v>1371</v>
      </c>
      <c r="B18" s="94"/>
      <c r="C18" s="94" t="s">
        <v>2253</v>
      </c>
      <c r="D18" s="94"/>
      <c r="E18" s="94"/>
      <c r="F18" s="94"/>
      <c r="G18" s="94"/>
      <c r="H18" s="94"/>
      <c r="I18" s="94"/>
      <c r="J18" s="94"/>
      <c r="K18" s="94"/>
      <c r="L18" s="94"/>
      <c r="M18" s="94"/>
      <c r="N18" s="94"/>
      <c r="O18" s="94"/>
      <c r="P18" s="94"/>
      <c r="Q18" s="94"/>
      <c r="R18" s="95"/>
    </row>
    <row r="19" spans="1:20" ht="15" thickBot="1" x14ac:dyDescent="0.4">
      <c r="A19" s="111"/>
      <c r="B19" s="99"/>
      <c r="C19" s="99" t="s">
        <v>2254</v>
      </c>
      <c r="D19" s="99"/>
      <c r="E19" s="99"/>
      <c r="F19" s="99"/>
      <c r="G19" s="99"/>
      <c r="H19" s="99"/>
      <c r="I19" s="99"/>
      <c r="J19" s="99"/>
      <c r="K19" s="99"/>
      <c r="L19" s="99"/>
      <c r="M19" s="99"/>
      <c r="N19" s="99"/>
      <c r="O19" s="99"/>
      <c r="P19" s="99"/>
      <c r="Q19" s="99"/>
      <c r="R19" s="100"/>
    </row>
    <row r="20" spans="1:20" x14ac:dyDescent="0.35">
      <c r="A20" s="858" t="s">
        <v>1373</v>
      </c>
      <c r="B20" s="94"/>
      <c r="C20" s="94" t="s">
        <v>2255</v>
      </c>
      <c r="D20" s="94"/>
      <c r="E20" s="94"/>
      <c r="F20" s="94"/>
      <c r="G20" s="94"/>
      <c r="H20" s="94"/>
      <c r="I20" s="94"/>
      <c r="J20" s="94"/>
      <c r="K20" s="94"/>
      <c r="L20" s="94"/>
      <c r="M20" s="94"/>
      <c r="N20" s="94"/>
      <c r="O20" s="94"/>
      <c r="P20" s="94"/>
      <c r="Q20" s="94"/>
      <c r="R20" s="95"/>
    </row>
    <row r="21" spans="1:20" ht="15" thickBot="1" x14ac:dyDescent="0.4">
      <c r="A21" s="111"/>
      <c r="B21" s="99"/>
      <c r="C21" s="99" t="s">
        <v>2256</v>
      </c>
      <c r="D21" s="99"/>
      <c r="E21" s="99"/>
      <c r="F21" s="99"/>
      <c r="G21" s="99"/>
      <c r="H21" s="99"/>
      <c r="I21" s="99"/>
      <c r="J21" s="99"/>
      <c r="K21" s="99"/>
      <c r="L21" s="99"/>
      <c r="M21" s="99"/>
      <c r="N21" s="99"/>
      <c r="O21" s="99"/>
      <c r="P21" s="99"/>
      <c r="Q21" s="99"/>
      <c r="R21" s="100"/>
    </row>
    <row r="24" spans="1:20" ht="15" thickBot="1" x14ac:dyDescent="0.4"/>
    <row r="25" spans="1:20" ht="15" thickBot="1" x14ac:dyDescent="0.4">
      <c r="A25" s="122" t="s">
        <v>539</v>
      </c>
      <c r="B25" s="78"/>
      <c r="C25" s="78"/>
      <c r="D25" s="78"/>
      <c r="E25" s="78"/>
      <c r="F25" s="78"/>
      <c r="G25" s="79"/>
    </row>
    <row r="26" spans="1:20" x14ac:dyDescent="0.35">
      <c r="A26" s="124"/>
      <c r="B26" s="941" t="s">
        <v>2257</v>
      </c>
      <c r="C26" s="83"/>
      <c r="D26" s="83"/>
      <c r="E26" s="83"/>
      <c r="F26" s="83"/>
      <c r="G26" s="125"/>
    </row>
    <row r="27" spans="1:20" x14ac:dyDescent="0.35">
      <c r="A27" s="124"/>
      <c r="B27" s="2284" t="s">
        <v>2258</v>
      </c>
      <c r="C27" s="2287" t="s">
        <v>2259</v>
      </c>
      <c r="D27" s="2287"/>
      <c r="E27" s="83"/>
      <c r="F27" s="83"/>
      <c r="G27" s="125"/>
    </row>
    <row r="28" spans="1:20" x14ac:dyDescent="0.35">
      <c r="A28" s="124"/>
      <c r="B28" s="2285"/>
      <c r="C28" s="941" t="s">
        <v>2260</v>
      </c>
      <c r="D28" s="941" t="s">
        <v>2261</v>
      </c>
      <c r="E28" s="83"/>
      <c r="F28" s="83"/>
      <c r="G28" s="125"/>
    </row>
    <row r="29" spans="1:20" x14ac:dyDescent="0.35">
      <c r="A29" s="124"/>
      <c r="B29" s="2286"/>
      <c r="C29" s="1110" t="s">
        <v>1694</v>
      </c>
      <c r="D29" s="1110" t="s">
        <v>1687</v>
      </c>
      <c r="E29" s="83"/>
      <c r="F29" s="83"/>
      <c r="G29" s="125"/>
      <c r="L29" s="24"/>
    </row>
    <row r="30" spans="1:20" x14ac:dyDescent="0.35">
      <c r="A30" s="124"/>
      <c r="B30" s="62">
        <v>1</v>
      </c>
      <c r="C30" s="921">
        <v>2.19</v>
      </c>
      <c r="D30" s="921">
        <v>2.2400000000000002</v>
      </c>
      <c r="E30" s="83"/>
      <c r="F30" s="83"/>
      <c r="G30" s="125"/>
    </row>
    <row r="31" spans="1:20" x14ac:dyDescent="0.35">
      <c r="A31" s="124"/>
      <c r="B31" s="62">
        <v>1000</v>
      </c>
      <c r="C31" s="921">
        <v>2.19</v>
      </c>
      <c r="D31" s="921">
        <v>2.2400000000000002</v>
      </c>
      <c r="E31" s="83"/>
      <c r="F31" s="83"/>
      <c r="G31" s="1111"/>
      <c r="S31" s="67"/>
      <c r="T31" s="67"/>
    </row>
    <row r="32" spans="1:20" x14ac:dyDescent="0.35">
      <c r="A32" s="124"/>
      <c r="B32" s="62">
        <v>2000</v>
      </c>
      <c r="C32" s="921">
        <v>2.0099999999999998</v>
      </c>
      <c r="D32" s="921">
        <v>2.06</v>
      </c>
      <c r="E32" s="83"/>
      <c r="F32" s="83"/>
      <c r="G32" s="125"/>
    </row>
    <row r="33" spans="1:7" x14ac:dyDescent="0.35">
      <c r="A33" s="124"/>
      <c r="B33" s="62">
        <v>3000</v>
      </c>
      <c r="C33" s="921">
        <v>1.8</v>
      </c>
      <c r="D33" s="921">
        <v>1.83</v>
      </c>
      <c r="E33" s="83"/>
      <c r="F33" s="83"/>
      <c r="G33" s="125"/>
    </row>
    <row r="34" spans="1:7" x14ac:dyDescent="0.35">
      <c r="A34" s="124"/>
      <c r="B34" s="62" t="s">
        <v>736</v>
      </c>
      <c r="C34" s="921">
        <v>2</v>
      </c>
      <c r="D34" s="921">
        <v>2.04</v>
      </c>
      <c r="E34" s="1112"/>
      <c r="F34" s="83"/>
      <c r="G34" s="125"/>
    </row>
    <row r="35" spans="1:7" x14ac:dyDescent="0.35">
      <c r="A35" s="124"/>
      <c r="B35" s="83"/>
      <c r="C35" s="1112"/>
      <c r="D35" s="83"/>
      <c r="E35" s="83"/>
      <c r="F35" s="83"/>
      <c r="G35" s="125"/>
    </row>
    <row r="36" spans="1:7" ht="15" customHeight="1" x14ac:dyDescent="0.35">
      <c r="A36" s="124"/>
      <c r="B36" s="2288" t="s">
        <v>2262</v>
      </c>
      <c r="C36" s="2289"/>
      <c r="D36" s="83"/>
      <c r="E36" s="83"/>
      <c r="F36" s="83"/>
      <c r="G36" s="125"/>
    </row>
    <row r="37" spans="1:7" x14ac:dyDescent="0.35">
      <c r="A37" s="124"/>
      <c r="B37" s="62" t="s">
        <v>1694</v>
      </c>
      <c r="C37" s="62" t="s">
        <v>394</v>
      </c>
      <c r="D37" s="83"/>
      <c r="E37" s="83"/>
      <c r="F37" s="83"/>
      <c r="G37" s="125"/>
    </row>
    <row r="38" spans="1:7" x14ac:dyDescent="0.35">
      <c r="A38" s="124"/>
      <c r="B38" s="62" t="s">
        <v>1687</v>
      </c>
      <c r="C38" s="62" t="s">
        <v>295</v>
      </c>
      <c r="D38" s="83"/>
      <c r="E38" s="83"/>
      <c r="F38" s="83"/>
      <c r="G38" s="125"/>
    </row>
    <row r="39" spans="1:7" x14ac:dyDescent="0.35">
      <c r="A39" s="124"/>
      <c r="B39" s="83"/>
      <c r="C39" s="83"/>
      <c r="D39" s="83"/>
      <c r="E39" s="83"/>
      <c r="F39" s="83"/>
      <c r="G39" s="125"/>
    </row>
    <row r="40" spans="1:7" x14ac:dyDescent="0.35">
      <c r="A40" s="124"/>
      <c r="B40" s="83"/>
      <c r="C40" s="83"/>
      <c r="D40" s="83"/>
      <c r="E40" s="83"/>
      <c r="F40" s="83"/>
      <c r="G40" s="125"/>
    </row>
    <row r="41" spans="1:7" x14ac:dyDescent="0.35">
      <c r="A41" s="124"/>
      <c r="B41" s="83"/>
      <c r="C41" s="1112"/>
      <c r="D41" s="1112"/>
      <c r="E41" s="83"/>
      <c r="F41" s="83"/>
      <c r="G41" s="125"/>
    </row>
    <row r="42" spans="1:7" ht="36.75" customHeight="1" x14ac:dyDescent="0.35">
      <c r="A42" s="124"/>
      <c r="B42" s="2278" t="s">
        <v>2341</v>
      </c>
      <c r="C42" s="2279"/>
      <c r="D42" s="1112"/>
      <c r="E42" s="83"/>
      <c r="F42" s="83"/>
      <c r="G42" s="125"/>
    </row>
    <row r="43" spans="1:7" x14ac:dyDescent="0.35">
      <c r="A43" s="124"/>
      <c r="B43" s="941" t="s">
        <v>2263</v>
      </c>
      <c r="C43" s="941" t="s">
        <v>2264</v>
      </c>
      <c r="D43" s="1112"/>
      <c r="E43" s="83"/>
      <c r="F43" s="83"/>
      <c r="G43" s="125"/>
    </row>
    <row r="44" spans="1:7" x14ac:dyDescent="0.35">
      <c r="A44" s="124"/>
      <c r="B44" s="62" t="s">
        <v>1694</v>
      </c>
      <c r="C44" s="153">
        <v>2.61</v>
      </c>
      <c r="D44" s="1112"/>
      <c r="E44" s="83"/>
      <c r="F44" s="83"/>
      <c r="G44" s="125"/>
    </row>
    <row r="45" spans="1:7" x14ac:dyDescent="0.35">
      <c r="A45" s="124"/>
      <c r="B45" s="62" t="s">
        <v>1687</v>
      </c>
      <c r="C45" s="153">
        <v>1.01</v>
      </c>
      <c r="D45" s="83"/>
      <c r="E45" s="83"/>
      <c r="F45" s="83"/>
      <c r="G45" s="125"/>
    </row>
    <row r="46" spans="1:7" x14ac:dyDescent="0.35">
      <c r="A46" s="124"/>
      <c r="B46" s="83"/>
      <c r="C46" s="83"/>
      <c r="D46" s="83"/>
      <c r="E46" s="83"/>
      <c r="F46" s="83"/>
      <c r="G46" s="125"/>
    </row>
    <row r="47" spans="1:7" s="1116" customFormat="1" ht="15" customHeight="1" x14ac:dyDescent="0.35">
      <c r="A47" s="1113"/>
      <c r="B47" s="83"/>
      <c r="C47" s="83"/>
      <c r="D47" s="83"/>
      <c r="E47" s="1114"/>
      <c r="F47" s="1114"/>
      <c r="G47" s="1115"/>
    </row>
    <row r="48" spans="1:7" ht="45.75" customHeight="1" x14ac:dyDescent="0.35">
      <c r="A48" s="124"/>
      <c r="B48" s="2278" t="s">
        <v>2342</v>
      </c>
      <c r="C48" s="2279"/>
      <c r="D48" s="1114"/>
      <c r="E48" s="83"/>
      <c r="F48" s="83"/>
      <c r="G48" s="125"/>
    </row>
    <row r="49" spans="1:13" ht="29" x14ac:dyDescent="0.35">
      <c r="A49" s="124"/>
      <c r="B49" s="941" t="s">
        <v>2263</v>
      </c>
      <c r="C49" s="1196" t="s">
        <v>2265</v>
      </c>
      <c r="D49" s="83"/>
      <c r="E49" s="83"/>
      <c r="F49" s="83"/>
      <c r="G49" s="125"/>
    </row>
    <row r="50" spans="1:13" x14ac:dyDescent="0.35">
      <c r="A50" s="375"/>
      <c r="B50" s="941"/>
      <c r="C50" s="941"/>
      <c r="D50" s="83"/>
      <c r="E50" s="83"/>
      <c r="F50" s="83"/>
      <c r="G50" s="125"/>
      <c r="M50" s="69"/>
    </row>
    <row r="51" spans="1:13" x14ac:dyDescent="0.35">
      <c r="A51" s="124"/>
      <c r="B51" s="62" t="s">
        <v>1694</v>
      </c>
      <c r="C51" s="62">
        <v>15.28</v>
      </c>
      <c r="D51" s="83"/>
      <c r="E51" s="83"/>
      <c r="F51" s="83"/>
      <c r="G51" s="125"/>
    </row>
    <row r="52" spans="1:13" x14ac:dyDescent="0.35">
      <c r="A52" s="124"/>
      <c r="B52" s="62" t="s">
        <v>1687</v>
      </c>
      <c r="C52" s="62">
        <v>8.94</v>
      </c>
      <c r="D52" s="83"/>
      <c r="E52" s="83"/>
      <c r="F52" s="83"/>
      <c r="G52" s="125"/>
    </row>
    <row r="53" spans="1:13" x14ac:dyDescent="0.35">
      <c r="A53" s="124"/>
      <c r="B53" s="83"/>
      <c r="C53" s="83"/>
      <c r="D53" s="83"/>
      <c r="E53" s="83"/>
      <c r="F53" s="83"/>
      <c r="G53" s="125"/>
    </row>
    <row r="54" spans="1:13" x14ac:dyDescent="0.35">
      <c r="A54" s="124"/>
      <c r="B54" s="83"/>
      <c r="C54" s="83"/>
      <c r="D54" s="83"/>
      <c r="E54" s="83"/>
      <c r="F54" s="83"/>
      <c r="G54" s="125"/>
    </row>
    <row r="55" spans="1:13" ht="15" thickBot="1" x14ac:dyDescent="0.4">
      <c r="A55" s="321"/>
      <c r="B55" s="201"/>
      <c r="C55" s="201"/>
      <c r="D55" s="201"/>
      <c r="E55" s="201"/>
      <c r="F55" s="201"/>
      <c r="G55" s="203"/>
    </row>
    <row r="67" spans="5:5" ht="14.25" customHeight="1" x14ac:dyDescent="0.35"/>
    <row r="72" spans="5:5" x14ac:dyDescent="0.35">
      <c r="E72" s="1117"/>
    </row>
  </sheetData>
  <customSheetViews>
    <customSheetView guid="{11DE45F5-F478-4ED6-8DFF-12002C22A637}" scale="85" showPageBreaks="1" fitToPage="1" printArea="1" view="pageBreakPreview">
      <pageMargins left="0.7" right="0.7" top="0.75" bottom="0.75" header="0.3" footer="0.3"/>
      <pageSetup scale="44" orientation="landscape" r:id="rId1"/>
    </customSheetView>
    <customSheetView guid="{ECD6FE6A-9548-414E-B8AA-6998703C57E0}" scale="85" showPageBreaks="1" fitToPage="1" printArea="1" view="pageBreakPreview">
      <pageMargins left="0.7" right="0.7" top="0.75" bottom="0.75" header="0.3" footer="0.3"/>
      <pageSetup scale="44" orientation="landscape" r:id="rId2"/>
    </customSheetView>
  </customSheetViews>
  <mergeCells count="9">
    <mergeCell ref="B42:C42"/>
    <mergeCell ref="B48:C48"/>
    <mergeCell ref="K1:N1"/>
    <mergeCell ref="O1:R1"/>
    <mergeCell ref="S1:T1"/>
    <mergeCell ref="C17:R17"/>
    <mergeCell ref="B27:B29"/>
    <mergeCell ref="C27:D27"/>
    <mergeCell ref="B36:C36"/>
  </mergeCells>
  <dataValidations disablePrompts="1" count="4">
    <dataValidation type="list" allowBlank="1" showInputMessage="1" showErrorMessage="1" sqref="G3:G4" xr:uid="{00000000-0002-0000-1300-000000000000}">
      <formula1>$C$37:$C$38</formula1>
    </dataValidation>
    <dataValidation type="list" allowBlank="1" showInputMessage="1" showErrorMessage="1" sqref="D3:D4" xr:uid="{00000000-0002-0000-1300-000001000000}">
      <formula1>MeasureType</formula1>
    </dataValidation>
    <dataValidation type="list" allowBlank="1" showInputMessage="1" showErrorMessage="1" sqref="J3:J4" xr:uid="{00000000-0002-0000-1300-000002000000}">
      <formula1>$B$30:$B$33</formula1>
    </dataValidation>
    <dataValidation type="list" allowBlank="1" showInputMessage="1" showErrorMessage="1" sqref="I3:I4" xr:uid="{00000000-0002-0000-1300-000003000000}">
      <formula1>Indoor_Outdoor</formula1>
    </dataValidation>
  </dataValidations>
  <pageMargins left="0.7" right="0.7" top="0.75" bottom="0.75" header="0.3" footer="0.3"/>
  <pageSetup scale="44" orientation="landscap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79998168889431442"/>
    <pageSetUpPr fitToPage="1"/>
  </sheetPr>
  <dimension ref="A1:AF35"/>
  <sheetViews>
    <sheetView view="pageBreakPreview" zoomScale="115" zoomScaleNormal="100" zoomScaleSheetLayoutView="115" workbookViewId="0"/>
  </sheetViews>
  <sheetFormatPr defaultRowHeight="14.5" x14ac:dyDescent="0.35"/>
  <cols>
    <col min="1" max="1" width="19.81640625" customWidth="1"/>
    <col min="2" max="2" width="31.81640625" bestFit="1" customWidth="1"/>
    <col min="3" max="3" width="20" bestFit="1" customWidth="1"/>
    <col min="4" max="4" width="19.54296875" customWidth="1"/>
    <col min="5" max="5" width="10.453125" customWidth="1"/>
    <col min="6" max="6" width="9.81640625" customWidth="1"/>
    <col min="8" max="8" width="11.54296875" bestFit="1" customWidth="1"/>
    <col min="9" max="9" width="11.453125" customWidth="1"/>
    <col min="10" max="10" width="11" customWidth="1"/>
    <col min="12" max="12" width="10.54296875" bestFit="1" customWidth="1"/>
    <col min="13" max="13" width="13.81640625" customWidth="1"/>
    <col min="14" max="14" width="11.54296875" bestFit="1" customWidth="1"/>
    <col min="15" max="15" width="10" bestFit="1" customWidth="1"/>
    <col min="16" max="16" width="12.1796875" customWidth="1"/>
    <col min="17" max="17" width="14.1796875" customWidth="1"/>
    <col min="18" max="18" width="28.54296875" style="1118" customWidth="1"/>
    <col min="19" max="19" width="28.54296875" customWidth="1"/>
    <col min="20" max="20" width="15.453125" customWidth="1"/>
    <col min="21" max="21" width="16.1796875" bestFit="1" customWidth="1"/>
    <col min="27" max="27" width="11" customWidth="1"/>
    <col min="28" max="28" width="11.1796875" customWidth="1"/>
    <col min="30" max="31" width="12.1796875" customWidth="1"/>
  </cols>
  <sheetData>
    <row r="1" spans="1:32" x14ac:dyDescent="0.35">
      <c r="A1" s="1721" t="s">
        <v>300</v>
      </c>
      <c r="B1" s="1172" t="s">
        <v>222</v>
      </c>
      <c r="C1" s="1176"/>
      <c r="D1" s="1176"/>
      <c r="E1" s="1177"/>
      <c r="F1" s="1177"/>
      <c r="G1" s="1177"/>
      <c r="H1" s="1177"/>
      <c r="I1" s="1177"/>
      <c r="J1" s="1177"/>
      <c r="K1" s="2219" t="s">
        <v>335</v>
      </c>
      <c r="L1" s="2220"/>
      <c r="M1" s="2220"/>
      <c r="N1" s="2274"/>
      <c r="O1" s="2219" t="s">
        <v>336</v>
      </c>
      <c r="P1" s="2220"/>
      <c r="Q1" s="2220"/>
      <c r="R1" s="2220"/>
      <c r="S1" s="2290" t="s">
        <v>337</v>
      </c>
      <c r="T1" s="2291"/>
      <c r="U1" s="2291"/>
      <c r="V1" s="2291"/>
      <c r="W1" s="2291"/>
      <c r="X1" s="2291"/>
      <c r="Y1" s="2291"/>
      <c r="Z1" s="2291"/>
      <c r="AA1" s="2291"/>
      <c r="AB1" s="2291"/>
      <c r="AC1" s="2292"/>
    </row>
    <row r="2" spans="1:32" s="800" customFormat="1" ht="29" x14ac:dyDescent="0.35">
      <c r="A2" s="1145" t="s">
        <v>338</v>
      </c>
      <c r="B2" s="1129" t="s">
        <v>1</v>
      </c>
      <c r="C2" s="1129" t="s">
        <v>339</v>
      </c>
      <c r="D2" s="1129" t="s">
        <v>688</v>
      </c>
      <c r="E2" s="1177" t="s">
        <v>602</v>
      </c>
      <c r="F2" s="1177" t="s">
        <v>342</v>
      </c>
      <c r="G2" s="1177" t="s">
        <v>343</v>
      </c>
      <c r="H2" s="1177" t="s">
        <v>344</v>
      </c>
      <c r="I2" s="1177" t="s">
        <v>2266</v>
      </c>
      <c r="J2" s="1177" t="s">
        <v>345</v>
      </c>
      <c r="K2" s="1177" t="s">
        <v>347</v>
      </c>
      <c r="L2" s="1177" t="s">
        <v>348</v>
      </c>
      <c r="M2" s="1177" t="s">
        <v>349</v>
      </c>
      <c r="N2" s="1177" t="s">
        <v>604</v>
      </c>
      <c r="O2" s="1177" t="s">
        <v>347</v>
      </c>
      <c r="P2" s="1177" t="s">
        <v>348</v>
      </c>
      <c r="Q2" s="1177" t="s">
        <v>349</v>
      </c>
      <c r="R2" s="1177" t="s">
        <v>604</v>
      </c>
      <c r="S2" s="1197" t="s">
        <v>2267</v>
      </c>
      <c r="T2" s="424" t="s">
        <v>2268</v>
      </c>
      <c r="U2" s="424" t="s">
        <v>614</v>
      </c>
      <c r="V2" s="372" t="s">
        <v>2269</v>
      </c>
      <c r="W2" s="372" t="s">
        <v>2270</v>
      </c>
      <c r="X2" s="372" t="s">
        <v>2271</v>
      </c>
      <c r="Y2" s="424" t="s">
        <v>2272</v>
      </c>
      <c r="Z2" s="424" t="s">
        <v>2273</v>
      </c>
      <c r="AA2" s="372" t="s">
        <v>2274</v>
      </c>
      <c r="AB2" s="372" t="s">
        <v>2275</v>
      </c>
      <c r="AC2" s="1198" t="s">
        <v>2276</v>
      </c>
      <c r="AD2" s="1108"/>
      <c r="AE2" s="1108"/>
      <c r="AF2" s="1108"/>
    </row>
    <row r="3" spans="1:32" s="74" customFormat="1" x14ac:dyDescent="0.35">
      <c r="A3" s="1131" t="s">
        <v>300</v>
      </c>
      <c r="B3" s="1131" t="str">
        <f>$B$1&amp;" - "&amp;I3&amp;" lbs capacity"</f>
        <v>Ozone Laundry - 150 lbs capacity</v>
      </c>
      <c r="C3" s="1132" t="s">
        <v>222</v>
      </c>
      <c r="D3" s="1133" t="s">
        <v>2277</v>
      </c>
      <c r="E3" s="1150" t="s">
        <v>2147</v>
      </c>
      <c r="F3" s="1193" t="s">
        <v>403</v>
      </c>
      <c r="G3" s="1194">
        <f>+$B$32</f>
        <v>10</v>
      </c>
      <c r="H3" s="1180"/>
      <c r="I3" s="1202">
        <v>150</v>
      </c>
      <c r="J3" s="1181" t="s">
        <v>2278</v>
      </c>
      <c r="K3" s="1182"/>
      <c r="L3" s="1184"/>
      <c r="M3" s="1203">
        <f>$B$31*I3</f>
        <v>4605</v>
      </c>
      <c r="N3" s="1203">
        <v>1828</v>
      </c>
      <c r="O3" s="1183"/>
      <c r="P3" s="1184"/>
      <c r="Q3" s="1182">
        <f>M3*G3</f>
        <v>46050</v>
      </c>
      <c r="R3" s="1182">
        <f>N3*G3</f>
        <v>18280</v>
      </c>
      <c r="S3" s="1199">
        <f>+$B$15</f>
        <v>5</v>
      </c>
      <c r="T3" s="62">
        <f>+$B$17</f>
        <v>0.746</v>
      </c>
      <c r="U3" s="62">
        <f>+$B$18</f>
        <v>800</v>
      </c>
      <c r="V3" s="75">
        <f>+$B$19</f>
        <v>0.25</v>
      </c>
      <c r="W3" s="62">
        <f>+$B$20</f>
        <v>254.38</v>
      </c>
      <c r="X3" s="150">
        <f>(Y3*Z3*AA3)</f>
        <v>9648.433724999999</v>
      </c>
      <c r="Y3" s="62">
        <f>+$B$22</f>
        <v>8.8500000000000002E-3</v>
      </c>
      <c r="Z3" s="1199">
        <f>+$B$25</f>
        <v>916150</v>
      </c>
      <c r="AA3" s="151">
        <f>+$B$26</f>
        <v>1.19</v>
      </c>
      <c r="AB3" s="75">
        <f>+$B$27</f>
        <v>0.81</v>
      </c>
      <c r="AC3" s="1200">
        <v>2.0299999999999998</v>
      </c>
      <c r="AD3" s="178"/>
      <c r="AE3" s="178"/>
      <c r="AF3" s="178"/>
    </row>
    <row r="4" spans="1:32" s="74" customFormat="1" ht="29" x14ac:dyDescent="0.35">
      <c r="A4" s="1131" t="s">
        <v>2755</v>
      </c>
      <c r="B4" s="1131" t="s">
        <v>2756</v>
      </c>
      <c r="C4" s="1132" t="s">
        <v>2757</v>
      </c>
      <c r="D4" s="1133" t="s">
        <v>2277</v>
      </c>
      <c r="E4" s="1150" t="s">
        <v>2147</v>
      </c>
      <c r="F4" s="1193" t="s">
        <v>403</v>
      </c>
      <c r="G4" s="1194">
        <f>+$B$32</f>
        <v>10</v>
      </c>
      <c r="H4" s="1180"/>
      <c r="I4" s="1202">
        <v>150</v>
      </c>
      <c r="J4" s="1181" t="s">
        <v>2278</v>
      </c>
      <c r="K4" s="1182"/>
      <c r="L4" s="1184"/>
      <c r="M4" s="1203">
        <f>$B$31*I4</f>
        <v>4605</v>
      </c>
      <c r="N4" s="1203">
        <v>1828</v>
      </c>
      <c r="O4" s="1183"/>
      <c r="P4" s="1184"/>
      <c r="Q4" s="1182">
        <f>M4*G4</f>
        <v>46050</v>
      </c>
      <c r="R4" s="1182">
        <f>N4*G4</f>
        <v>18280</v>
      </c>
      <c r="S4" s="1199">
        <f>+$B$15</f>
        <v>5</v>
      </c>
      <c r="T4" s="62">
        <f>+$B$17</f>
        <v>0.746</v>
      </c>
      <c r="U4" s="62">
        <f>+$B$18</f>
        <v>800</v>
      </c>
      <c r="V4" s="75">
        <f>+$B$19</f>
        <v>0.25</v>
      </c>
      <c r="W4" s="62">
        <f>+$B$20</f>
        <v>254.38</v>
      </c>
      <c r="X4" s="150">
        <f>(Y4*Z4*AA4)</f>
        <v>9648.433724999999</v>
      </c>
      <c r="Y4" s="62">
        <f>+$B$22</f>
        <v>8.8500000000000002E-3</v>
      </c>
      <c r="Z4" s="1199">
        <f>+$B$25</f>
        <v>916150</v>
      </c>
      <c r="AA4" s="151">
        <f>+$B$26</f>
        <v>1.19</v>
      </c>
      <c r="AB4" s="75">
        <f>+$B$27</f>
        <v>0.81</v>
      </c>
      <c r="AC4" s="1200">
        <v>2.0299999999999998</v>
      </c>
      <c r="AD4" s="178"/>
      <c r="AE4" s="178"/>
      <c r="AF4" s="178"/>
    </row>
    <row r="6" spans="1:32" ht="15" thickBot="1" x14ac:dyDescent="0.4">
      <c r="N6" s="556"/>
    </row>
    <row r="7" spans="1:32" ht="15" thickBot="1" x14ac:dyDescent="0.4">
      <c r="A7" s="188" t="s">
        <v>408</v>
      </c>
      <c r="B7" s="78"/>
      <c r="C7" s="78"/>
      <c r="D7" s="78"/>
      <c r="E7" s="78"/>
      <c r="F7" s="78"/>
      <c r="G7" s="78"/>
      <c r="H7" s="78"/>
      <c r="I7" s="78"/>
      <c r="J7" s="79"/>
      <c r="N7" s="368"/>
    </row>
    <row r="8" spans="1:32" x14ac:dyDescent="0.35">
      <c r="A8" s="81" t="s">
        <v>2280</v>
      </c>
      <c r="B8" s="83"/>
      <c r="C8" s="83"/>
      <c r="D8" s="83"/>
      <c r="E8" s="83"/>
      <c r="F8" s="83"/>
      <c r="G8" s="83"/>
      <c r="H8" s="83"/>
      <c r="I8" s="83"/>
      <c r="J8" s="84"/>
    </row>
    <row r="9" spans="1:32" x14ac:dyDescent="0.35">
      <c r="A9" s="81" t="s">
        <v>2281</v>
      </c>
      <c r="B9" s="82"/>
      <c r="C9" s="83"/>
      <c r="D9" s="83"/>
      <c r="E9" s="83"/>
      <c r="F9" s="83"/>
      <c r="G9" s="83"/>
      <c r="H9" s="83"/>
      <c r="I9" s="83"/>
      <c r="J9" s="84"/>
    </row>
    <row r="10" spans="1:32" ht="15" thickBot="1" x14ac:dyDescent="0.4">
      <c r="A10" s="1119" t="s">
        <v>2279</v>
      </c>
      <c r="B10" s="305"/>
      <c r="C10" s="86"/>
      <c r="D10" s="86"/>
      <c r="E10" s="86"/>
      <c r="F10" s="86"/>
      <c r="G10" s="86"/>
      <c r="H10" s="86"/>
      <c r="I10" s="86"/>
      <c r="J10" s="87"/>
    </row>
    <row r="11" spans="1:32" ht="15" thickBot="1" x14ac:dyDescent="0.4">
      <c r="A11" s="188" t="s">
        <v>2571</v>
      </c>
      <c r="B11" s="1384" t="e">
        <f>+#REF!</f>
        <v>#REF!</v>
      </c>
    </row>
    <row r="12" spans="1:32" ht="15" thickBot="1" x14ac:dyDescent="0.4">
      <c r="A12" s="188" t="s">
        <v>2572</v>
      </c>
      <c r="B12" s="701" t="s">
        <v>2794</v>
      </c>
    </row>
    <row r="13" spans="1:32" ht="15" thickBot="1" x14ac:dyDescent="0.4">
      <c r="A13" s="69"/>
      <c r="B13" s="337"/>
    </row>
    <row r="14" spans="1:32" ht="15" thickBot="1" x14ac:dyDescent="0.4">
      <c r="A14" s="88" t="s">
        <v>413</v>
      </c>
      <c r="B14" s="89" t="s">
        <v>414</v>
      </c>
      <c r="C14" s="90" t="s">
        <v>415</v>
      </c>
      <c r="D14" s="78"/>
      <c r="E14" s="78"/>
      <c r="F14" s="78"/>
      <c r="G14" s="78"/>
      <c r="H14" s="78"/>
      <c r="I14" s="78"/>
      <c r="J14" s="78"/>
      <c r="K14" s="78"/>
      <c r="L14" s="78"/>
      <c r="M14" s="78"/>
      <c r="N14" s="78"/>
      <c r="O14" s="78"/>
      <c r="P14" s="78"/>
      <c r="Q14" s="78"/>
      <c r="R14" s="1201"/>
    </row>
    <row r="15" spans="1:32" x14ac:dyDescent="0.35">
      <c r="A15" s="467" t="s">
        <v>2267</v>
      </c>
      <c r="B15" s="468">
        <v>5</v>
      </c>
      <c r="C15" s="468" t="s">
        <v>2282</v>
      </c>
      <c r="D15" s="468"/>
      <c r="E15" s="468"/>
      <c r="F15" s="468"/>
      <c r="G15" s="468"/>
      <c r="H15" s="468"/>
      <c r="I15" s="468"/>
      <c r="J15" s="468"/>
      <c r="K15" s="468"/>
      <c r="L15" s="468"/>
      <c r="M15" s="468"/>
      <c r="N15" s="468"/>
      <c r="O15" s="468"/>
      <c r="P15" s="468"/>
      <c r="Q15" s="468"/>
      <c r="R15" s="1488"/>
    </row>
    <row r="16" spans="1:32" ht="15" thickBot="1" x14ac:dyDescent="0.4">
      <c r="A16" s="321"/>
      <c r="B16" s="201"/>
      <c r="C16" s="201" t="s">
        <v>2283</v>
      </c>
      <c r="D16" s="201"/>
      <c r="E16" s="201"/>
      <c r="F16" s="201"/>
      <c r="G16" s="201"/>
      <c r="H16" s="201"/>
      <c r="I16" s="201"/>
      <c r="J16" s="201"/>
      <c r="K16" s="201"/>
      <c r="L16" s="201"/>
      <c r="M16" s="201"/>
      <c r="N16" s="201"/>
      <c r="O16" s="201"/>
      <c r="P16" s="201"/>
      <c r="Q16" s="201"/>
      <c r="R16" s="1489"/>
    </row>
    <row r="17" spans="1:18" ht="15" thickBot="1" x14ac:dyDescent="0.4">
      <c r="A17" s="789" t="s">
        <v>2284</v>
      </c>
      <c r="B17" s="732">
        <v>0.746</v>
      </c>
      <c r="C17" s="732" t="s">
        <v>2285</v>
      </c>
      <c r="D17" s="732"/>
      <c r="E17" s="732"/>
      <c r="F17" s="732"/>
      <c r="G17" s="732"/>
      <c r="H17" s="732"/>
      <c r="I17" s="732"/>
      <c r="J17" s="732"/>
      <c r="K17" s="732"/>
      <c r="L17" s="732"/>
      <c r="M17" s="732"/>
      <c r="N17" s="732"/>
      <c r="O17" s="732"/>
      <c r="P17" s="732"/>
      <c r="Q17" s="732"/>
      <c r="R17" s="1490"/>
    </row>
    <row r="18" spans="1:18" ht="15" thickBot="1" x14ac:dyDescent="0.4">
      <c r="A18" s="789" t="s">
        <v>614</v>
      </c>
      <c r="B18" s="732">
        <v>800</v>
      </c>
      <c r="C18" s="732" t="s">
        <v>2286</v>
      </c>
      <c r="D18" s="732"/>
      <c r="E18" s="732"/>
      <c r="F18" s="732"/>
      <c r="G18" s="732"/>
      <c r="H18" s="732"/>
      <c r="I18" s="732"/>
      <c r="J18" s="732"/>
      <c r="K18" s="732"/>
      <c r="L18" s="732"/>
      <c r="M18" s="732"/>
      <c r="N18" s="732"/>
      <c r="O18" s="732"/>
      <c r="P18" s="732"/>
      <c r="Q18" s="732"/>
      <c r="R18" s="1490"/>
    </row>
    <row r="19" spans="1:18" ht="15" thickBot="1" x14ac:dyDescent="0.4">
      <c r="A19" s="789" t="s">
        <v>2269</v>
      </c>
      <c r="B19" s="1491">
        <v>0.25</v>
      </c>
      <c r="C19" s="1492" t="s">
        <v>2287</v>
      </c>
      <c r="D19" s="732"/>
      <c r="E19" s="732"/>
      <c r="F19" s="732"/>
      <c r="G19" s="732"/>
      <c r="H19" s="732"/>
      <c r="I19" s="732"/>
      <c r="J19" s="732"/>
      <c r="K19" s="732"/>
      <c r="L19" s="732"/>
      <c r="M19" s="732"/>
      <c r="N19" s="732"/>
      <c r="O19" s="732"/>
      <c r="P19" s="732"/>
      <c r="Q19" s="732"/>
      <c r="R19" s="1490"/>
    </row>
    <row r="20" spans="1:18" x14ac:dyDescent="0.35">
      <c r="A20" s="467" t="s">
        <v>2288</v>
      </c>
      <c r="B20" s="468">
        <v>254.38</v>
      </c>
      <c r="C20" s="468" t="s">
        <v>2289</v>
      </c>
      <c r="D20" s="468"/>
      <c r="E20" s="468"/>
      <c r="F20" s="468"/>
      <c r="G20" s="468"/>
      <c r="H20" s="468"/>
      <c r="I20" s="468"/>
      <c r="J20" s="468"/>
      <c r="K20" s="468"/>
      <c r="L20" s="468"/>
      <c r="M20" s="468"/>
      <c r="N20" s="468"/>
      <c r="O20" s="468"/>
      <c r="P20" s="468"/>
      <c r="Q20" s="468"/>
      <c r="R20" s="1488"/>
    </row>
    <row r="21" spans="1:18" ht="15" thickBot="1" x14ac:dyDescent="0.4">
      <c r="A21" s="321"/>
      <c r="B21" s="201"/>
      <c r="C21" s="201" t="s">
        <v>1732</v>
      </c>
      <c r="D21" s="201"/>
      <c r="E21" s="201"/>
      <c r="F21" s="201"/>
      <c r="G21" s="201"/>
      <c r="H21" s="201"/>
      <c r="I21" s="201"/>
      <c r="J21" s="201"/>
      <c r="K21" s="201"/>
      <c r="L21" s="201"/>
      <c r="M21" s="201"/>
      <c r="N21" s="201"/>
      <c r="O21" s="201"/>
      <c r="P21" s="201"/>
      <c r="Q21" s="201"/>
      <c r="R21" s="1489"/>
    </row>
    <row r="22" spans="1:18" x14ac:dyDescent="0.35">
      <c r="A22" s="467" t="s">
        <v>2290</v>
      </c>
      <c r="B22" s="468">
        <v>8.8500000000000002E-3</v>
      </c>
      <c r="C22" s="468" t="s">
        <v>2291</v>
      </c>
      <c r="D22" s="468"/>
      <c r="E22" s="468"/>
      <c r="F22" s="468"/>
      <c r="G22" s="468"/>
      <c r="H22" s="1493"/>
      <c r="I22" s="468"/>
      <c r="J22" s="468"/>
      <c r="K22" s="468"/>
      <c r="L22" s="1493"/>
      <c r="M22" s="468"/>
      <c r="N22" s="468"/>
      <c r="O22" s="468"/>
      <c r="P22" s="468"/>
      <c r="Q22" s="468"/>
      <c r="R22" s="1488"/>
    </row>
    <row r="23" spans="1:18" x14ac:dyDescent="0.35">
      <c r="A23" s="124"/>
      <c r="B23" s="83"/>
      <c r="C23" s="83" t="s">
        <v>2292</v>
      </c>
      <c r="D23" s="83"/>
      <c r="E23" s="83"/>
      <c r="F23" s="83"/>
      <c r="G23" s="83"/>
      <c r="H23" s="83"/>
      <c r="I23" s="83"/>
      <c r="J23" s="83"/>
      <c r="K23" s="83"/>
      <c r="L23" s="83"/>
      <c r="M23" s="83"/>
      <c r="N23" s="83"/>
      <c r="O23" s="83"/>
      <c r="P23" s="83"/>
      <c r="Q23" s="83"/>
      <c r="R23" s="1494"/>
    </row>
    <row r="24" spans="1:18" x14ac:dyDescent="0.35">
      <c r="A24" s="124"/>
      <c r="B24" s="83"/>
      <c r="C24" s="83" t="s">
        <v>2293</v>
      </c>
      <c r="D24" s="83"/>
      <c r="E24" s="1495"/>
      <c r="F24" s="83"/>
      <c r="G24" s="83"/>
      <c r="H24" s="83"/>
      <c r="I24" s="83"/>
      <c r="J24" s="83"/>
      <c r="K24" s="83"/>
      <c r="L24" s="83"/>
      <c r="M24" s="83"/>
      <c r="N24" s="83"/>
      <c r="O24" s="83"/>
      <c r="P24" s="83"/>
      <c r="Q24" s="83"/>
      <c r="R24" s="1494"/>
    </row>
    <row r="25" spans="1:18" x14ac:dyDescent="0.35">
      <c r="A25" s="124"/>
      <c r="B25" s="83">
        <v>916150</v>
      </c>
      <c r="C25" s="83" t="s">
        <v>2343</v>
      </c>
      <c r="D25" s="83"/>
      <c r="E25" s="83"/>
      <c r="F25" s="83"/>
      <c r="G25" s="83"/>
      <c r="H25" s="83"/>
      <c r="I25" s="83"/>
      <c r="J25" s="83"/>
      <c r="K25" s="83"/>
      <c r="L25" s="83"/>
      <c r="M25" s="83"/>
      <c r="N25" s="83"/>
      <c r="O25" s="83"/>
      <c r="P25" s="83"/>
      <c r="Q25" s="83"/>
      <c r="R25" s="1494"/>
    </row>
    <row r="26" spans="1:18" ht="15" thickBot="1" x14ac:dyDescent="0.4">
      <c r="A26" s="321"/>
      <c r="B26" s="201">
        <v>1.19</v>
      </c>
      <c r="C26" s="201" t="s">
        <v>2294</v>
      </c>
      <c r="D26" s="201"/>
      <c r="E26" s="201"/>
      <c r="F26" s="201"/>
      <c r="G26" s="201"/>
      <c r="H26" s="201"/>
      <c r="I26" s="201"/>
      <c r="J26" s="201"/>
      <c r="K26" s="201"/>
      <c r="L26" s="201"/>
      <c r="M26" s="201"/>
      <c r="N26" s="201"/>
      <c r="O26" s="201"/>
      <c r="P26" s="201"/>
      <c r="Q26" s="201"/>
      <c r="R26" s="1489"/>
    </row>
    <row r="27" spans="1:18" ht="33" customHeight="1" thickBot="1" x14ac:dyDescent="0.4">
      <c r="A27" s="1496" t="s">
        <v>2275</v>
      </c>
      <c r="B27" s="1483">
        <v>0.81</v>
      </c>
      <c r="C27" s="2293" t="s">
        <v>2295</v>
      </c>
      <c r="D27" s="2293"/>
      <c r="E27" s="2293"/>
      <c r="F27" s="2293"/>
      <c r="G27" s="2293"/>
      <c r="H27" s="2293"/>
      <c r="I27" s="2293"/>
      <c r="J27" s="2293"/>
      <c r="K27" s="2293"/>
      <c r="L27" s="2293"/>
      <c r="M27" s="2293"/>
      <c r="N27" s="2293"/>
      <c r="O27" s="2293"/>
      <c r="P27" s="2293"/>
      <c r="Q27" s="2293"/>
      <c r="R27" s="2294"/>
    </row>
    <row r="28" spans="1:18" ht="15" customHeight="1" x14ac:dyDescent="0.35">
      <c r="A28" s="467" t="s">
        <v>2296</v>
      </c>
      <c r="B28" s="468"/>
      <c r="C28" s="468" t="s">
        <v>2297</v>
      </c>
      <c r="D28" s="468"/>
      <c r="E28" s="468"/>
      <c r="F28" s="468"/>
      <c r="G28" s="468"/>
      <c r="H28" s="468"/>
      <c r="I28" s="468"/>
      <c r="J28" s="468"/>
      <c r="K28" s="468"/>
      <c r="L28" s="468"/>
      <c r="M28" s="468"/>
      <c r="N28" s="468"/>
      <c r="O28" s="468"/>
      <c r="P28" s="468"/>
      <c r="Q28" s="468"/>
      <c r="R28" s="1488"/>
    </row>
    <row r="29" spans="1:18" x14ac:dyDescent="0.35">
      <c r="A29" s="124"/>
      <c r="B29" s="83">
        <f>+X3*AB3</f>
        <v>7815.2313172499998</v>
      </c>
      <c r="C29" s="470" t="s">
        <v>2298</v>
      </c>
      <c r="D29" s="83"/>
      <c r="E29" s="83"/>
      <c r="F29" s="83"/>
      <c r="G29" s="83"/>
      <c r="H29" s="83"/>
      <c r="I29" s="83"/>
      <c r="J29" s="83"/>
      <c r="K29" s="83"/>
      <c r="L29" s="83"/>
      <c r="M29" s="83"/>
      <c r="N29" s="83"/>
      <c r="O29" s="83"/>
      <c r="P29" s="83"/>
      <c r="Q29" s="83"/>
      <c r="R29" s="1494"/>
    </row>
    <row r="30" spans="1:18" x14ac:dyDescent="0.35">
      <c r="A30" s="124"/>
      <c r="B30" s="83">
        <f>+B29/B20</f>
        <v>30.722664192350027</v>
      </c>
      <c r="C30" s="83" t="s">
        <v>2299</v>
      </c>
      <c r="D30" s="83"/>
      <c r="E30" s="83"/>
      <c r="F30" s="83"/>
      <c r="G30" s="83"/>
      <c r="H30" s="83"/>
      <c r="I30" s="83"/>
      <c r="J30" s="83"/>
      <c r="K30" s="83"/>
      <c r="L30" s="83"/>
      <c r="M30" s="83"/>
      <c r="N30" s="83"/>
      <c r="O30" s="83"/>
      <c r="P30" s="83"/>
      <c r="Q30" s="83"/>
      <c r="R30" s="1494"/>
    </row>
    <row r="31" spans="1:18" ht="15" thickBot="1" x14ac:dyDescent="0.4">
      <c r="A31" s="321"/>
      <c r="B31" s="201">
        <f>+ROUND(B30,1)</f>
        <v>30.7</v>
      </c>
      <c r="C31" s="201" t="s">
        <v>2300</v>
      </c>
      <c r="D31" s="201"/>
      <c r="E31" s="201"/>
      <c r="F31" s="201"/>
      <c r="G31" s="201"/>
      <c r="H31" s="201"/>
      <c r="I31" s="201"/>
      <c r="J31" s="201"/>
      <c r="K31" s="201"/>
      <c r="L31" s="201"/>
      <c r="M31" s="201"/>
      <c r="N31" s="201"/>
      <c r="O31" s="201"/>
      <c r="P31" s="201"/>
      <c r="Q31" s="201"/>
      <c r="R31" s="1489"/>
    </row>
    <row r="32" spans="1:18" x14ac:dyDescent="0.35">
      <c r="A32" s="467" t="s">
        <v>443</v>
      </c>
      <c r="B32" s="468">
        <v>10</v>
      </c>
      <c r="C32" s="468" t="s">
        <v>2301</v>
      </c>
      <c r="D32" s="468"/>
      <c r="E32" s="468"/>
      <c r="F32" s="468"/>
      <c r="G32" s="468"/>
      <c r="H32" s="468"/>
      <c r="I32" s="468"/>
      <c r="J32" s="468"/>
      <c r="K32" s="468"/>
      <c r="L32" s="468"/>
      <c r="M32" s="468"/>
      <c r="N32" s="468"/>
      <c r="O32" s="468"/>
      <c r="P32" s="468"/>
      <c r="Q32" s="468"/>
      <c r="R32" s="1488"/>
    </row>
    <row r="33" spans="1:18" ht="15" thickBot="1" x14ac:dyDescent="0.4">
      <c r="A33" s="321"/>
      <c r="B33" s="201"/>
      <c r="C33" s="201" t="s">
        <v>1732</v>
      </c>
      <c r="D33" s="201"/>
      <c r="E33" s="201"/>
      <c r="F33" s="201"/>
      <c r="G33" s="201"/>
      <c r="H33" s="201"/>
      <c r="I33" s="201"/>
      <c r="J33" s="201"/>
      <c r="K33" s="201"/>
      <c r="L33" s="201"/>
      <c r="M33" s="201"/>
      <c r="N33" s="201"/>
      <c r="O33" s="201"/>
      <c r="P33" s="201"/>
      <c r="Q33" s="201"/>
      <c r="R33" s="1489"/>
    </row>
    <row r="34" spans="1:18" x14ac:dyDescent="0.35">
      <c r="A34" s="124" t="s">
        <v>344</v>
      </c>
      <c r="B34" s="83"/>
      <c r="C34" s="83"/>
      <c r="D34" s="83"/>
      <c r="E34" s="83"/>
      <c r="F34" s="83"/>
      <c r="G34" s="83"/>
      <c r="H34" s="83"/>
      <c r="I34" s="83"/>
      <c r="J34" s="83"/>
      <c r="K34" s="83"/>
      <c r="L34" s="83"/>
      <c r="M34" s="83"/>
      <c r="N34" s="83"/>
      <c r="O34" s="83"/>
      <c r="P34" s="83"/>
      <c r="Q34" s="83"/>
      <c r="R34" s="1494"/>
    </row>
    <row r="35" spans="1:18" ht="15" thickBot="1" x14ac:dyDescent="0.4">
      <c r="A35" s="321"/>
      <c r="B35" s="201"/>
      <c r="C35" s="201"/>
      <c r="D35" s="201"/>
      <c r="E35" s="201"/>
      <c r="F35" s="201"/>
      <c r="G35" s="201"/>
      <c r="H35" s="201"/>
      <c r="I35" s="201"/>
      <c r="J35" s="201"/>
      <c r="K35" s="201"/>
      <c r="L35" s="201"/>
      <c r="M35" s="201"/>
      <c r="N35" s="201"/>
      <c r="O35" s="201"/>
      <c r="P35" s="201"/>
      <c r="Q35" s="201"/>
      <c r="R35" s="1489"/>
    </row>
  </sheetData>
  <customSheetViews>
    <customSheetView guid="{11DE45F5-F478-4ED6-8DFF-12002C22A637}" scale="115" showPageBreaks="1" fitToPage="1" printArea="1" view="pageBreakPreview">
      <pageMargins left="0.7" right="0.7" top="0.75" bottom="0.75" header="0.3" footer="0.3"/>
      <pageSetup scale="31" orientation="landscape" verticalDpi="300" r:id="rId1"/>
    </customSheetView>
    <customSheetView guid="{ECD6FE6A-9548-414E-B8AA-6998703C57E0}" scale="115" showPageBreaks="1" fitToPage="1" printArea="1" view="pageBreakPreview">
      <pageMargins left="0.7" right="0.7" top="0.75" bottom="0.75" header="0.3" footer="0.3"/>
      <pageSetup scale="31" orientation="landscape" verticalDpi="300" r:id="rId2"/>
    </customSheetView>
  </customSheetViews>
  <mergeCells count="4">
    <mergeCell ref="K1:N1"/>
    <mergeCell ref="O1:R1"/>
    <mergeCell ref="S1:AC1"/>
    <mergeCell ref="C27:R27"/>
  </mergeCells>
  <dataValidations disablePrompts="1" count="2">
    <dataValidation type="list" allowBlank="1" showInputMessage="1" showErrorMessage="1" sqref="D3:D4" xr:uid="{00000000-0002-0000-1400-000000000000}">
      <formula1>MeasureType</formula1>
    </dataValidation>
    <dataValidation type="list" allowBlank="1" showInputMessage="1" showErrorMessage="1" sqref="E3:E4" xr:uid="{00000000-0002-0000-1400-000001000000}">
      <formula1>Fuel3</formula1>
    </dataValidation>
  </dataValidations>
  <pageMargins left="0.7" right="0.7" top="0.75" bottom="0.75" header="0.3" footer="0.3"/>
  <pageSetup scale="30" orientation="landscape"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79998168889431442"/>
    <pageSetUpPr fitToPage="1"/>
  </sheetPr>
  <dimension ref="A1:AG54"/>
  <sheetViews>
    <sheetView view="pageBreakPreview" zoomScaleNormal="100" zoomScaleSheetLayoutView="100" workbookViewId="0">
      <selection activeCell="A15" sqref="A15"/>
    </sheetView>
  </sheetViews>
  <sheetFormatPr defaultRowHeight="14.5" x14ac:dyDescent="0.35"/>
  <cols>
    <col min="1" max="1" width="20.7265625" customWidth="1"/>
    <col min="2" max="2" width="37.81640625" customWidth="1"/>
    <col min="3" max="3" width="36.26953125" customWidth="1"/>
    <col min="4" max="4" width="20" bestFit="1" customWidth="1"/>
    <col min="5" max="5" width="12.7265625" customWidth="1"/>
    <col min="6" max="6" width="37" customWidth="1"/>
    <col min="7" max="7" width="14.81640625" customWidth="1"/>
    <col min="8" max="8" width="16.1796875" bestFit="1" customWidth="1"/>
    <col min="10" max="10" width="10.7265625" bestFit="1" customWidth="1"/>
    <col min="12" max="12" width="12" bestFit="1" customWidth="1"/>
    <col min="15" max="16" width="12.54296875" customWidth="1"/>
    <col min="19" max="19" width="19.81640625" bestFit="1" customWidth="1"/>
    <col min="20" max="20" width="10" bestFit="1" customWidth="1"/>
  </cols>
  <sheetData>
    <row r="1" spans="1:33" x14ac:dyDescent="0.35">
      <c r="A1" s="1123" t="s">
        <v>304</v>
      </c>
      <c r="B1" s="1220" t="s">
        <v>1455</v>
      </c>
      <c r="C1" s="1220"/>
      <c r="D1" s="1220"/>
      <c r="E1" s="1177"/>
      <c r="F1" s="1177"/>
      <c r="G1" s="1177"/>
      <c r="H1" s="1177"/>
      <c r="I1" s="1177"/>
      <c r="J1" s="1177"/>
      <c r="K1" s="1177"/>
      <c r="L1" s="1177"/>
      <c r="M1" s="2248" t="s">
        <v>335</v>
      </c>
      <c r="N1" s="2248"/>
      <c r="O1" s="2248"/>
      <c r="P1" s="2248" t="s">
        <v>336</v>
      </c>
      <c r="Q1" s="2248"/>
      <c r="R1" s="2248"/>
      <c r="S1" s="2295" t="s">
        <v>337</v>
      </c>
      <c r="T1" s="2296"/>
      <c r="U1" s="2296"/>
      <c r="V1" s="2296"/>
      <c r="W1" s="2296"/>
    </row>
    <row r="2" spans="1:33" s="1834" customFormat="1" ht="29" x14ac:dyDescent="0.35">
      <c r="A2" s="1128" t="s">
        <v>338</v>
      </c>
      <c r="B2" s="1177" t="s">
        <v>1</v>
      </c>
      <c r="C2" s="1177" t="s">
        <v>339</v>
      </c>
      <c r="D2" s="1177" t="s">
        <v>688</v>
      </c>
      <c r="E2" s="1177" t="s">
        <v>343</v>
      </c>
      <c r="F2" s="1177" t="s">
        <v>1456</v>
      </c>
      <c r="G2" s="1177" t="s">
        <v>1457</v>
      </c>
      <c r="H2" s="1177" t="s">
        <v>1458</v>
      </c>
      <c r="I2" s="1177" t="s">
        <v>1044</v>
      </c>
      <c r="J2" s="1177" t="s">
        <v>838</v>
      </c>
      <c r="K2" s="1177" t="s">
        <v>345</v>
      </c>
      <c r="L2" s="1177" t="s">
        <v>839</v>
      </c>
      <c r="M2" s="1177" t="s">
        <v>347</v>
      </c>
      <c r="N2" s="1177" t="s">
        <v>348</v>
      </c>
      <c r="O2" s="1177" t="s">
        <v>349</v>
      </c>
      <c r="P2" s="1177" t="s">
        <v>347</v>
      </c>
      <c r="Q2" s="1177" t="s">
        <v>348</v>
      </c>
      <c r="R2" s="1178" t="s">
        <v>349</v>
      </c>
      <c r="S2" s="780" t="s">
        <v>1459</v>
      </c>
      <c r="T2" s="780" t="s">
        <v>1460</v>
      </c>
      <c r="U2" s="780" t="s">
        <v>1461</v>
      </c>
      <c r="V2" s="1833" t="s">
        <v>1462</v>
      </c>
      <c r="W2" s="1833" t="s">
        <v>1463</v>
      </c>
    </row>
    <row r="3" spans="1:33" s="74" customFormat="1" ht="29" x14ac:dyDescent="0.35">
      <c r="A3" s="1131" t="s">
        <v>1465</v>
      </c>
      <c r="B3" s="1206" t="str">
        <f>$B$1&amp;" - "&amp;F3</f>
        <v>Space Heating Boiler Tune-up - 400</v>
      </c>
      <c r="C3" s="135" t="s">
        <v>169</v>
      </c>
      <c r="D3" s="1133" t="s">
        <v>1464</v>
      </c>
      <c r="E3" s="1179">
        <f t="shared" ref="E3:E11" si="0">+$B$31</f>
        <v>3</v>
      </c>
      <c r="F3" s="1173">
        <v>400</v>
      </c>
      <c r="G3" s="1221">
        <f t="shared" ref="G3:G11" si="1">+$B$27</f>
        <v>0.8</v>
      </c>
      <c r="H3" s="1222">
        <f t="shared" ref="H3:H11" si="2">+$B$30</f>
        <v>1.6E-2</v>
      </c>
      <c r="I3" s="1148" t="s">
        <v>738</v>
      </c>
      <c r="J3" s="1148" t="s">
        <v>736</v>
      </c>
      <c r="K3" s="1179" t="s">
        <v>357</v>
      </c>
      <c r="L3" s="1204"/>
      <c r="M3" s="1182"/>
      <c r="N3" s="1182"/>
      <c r="O3" s="1191">
        <f>((T3*U3)*((V3+W3)/V3-1))/100000</f>
        <v>122.32588235294132</v>
      </c>
      <c r="P3" s="1182"/>
      <c r="Q3" s="1182"/>
      <c r="R3" s="1185">
        <f t="shared" ref="R3:R4" si="3">O3*E3</f>
        <v>366.97764705882395</v>
      </c>
      <c r="S3" s="782">
        <f>VLOOKUP(I3, List!$J$12:$K$17, 2, FALSE)</f>
        <v>7</v>
      </c>
      <c r="T3" s="782">
        <f t="shared" ref="T3:T10" si="4">+IF(F3&gt;1000,F3*$E$54,VLOOKUP(F3,$D$46:$E$54,2))</f>
        <v>400000</v>
      </c>
      <c r="U3" s="783">
        <f>VLOOKUP(J3,List!$B$7:$H$41,S3,FALSE)</f>
        <v>1529.0735294117651</v>
      </c>
      <c r="V3" s="784">
        <f t="shared" ref="V3:V10" si="5">+$B$27</f>
        <v>0.8</v>
      </c>
      <c r="W3" s="785">
        <f t="shared" ref="W3:W10" si="6">+$B$30</f>
        <v>1.6E-2</v>
      </c>
      <c r="AG3" s="262"/>
    </row>
    <row r="4" spans="1:33" s="74" customFormat="1" ht="29" x14ac:dyDescent="0.35">
      <c r="A4" s="1131" t="s">
        <v>1466</v>
      </c>
      <c r="B4" s="1206" t="str">
        <f t="shared" ref="B4" si="7">$B$1&amp;" - "&amp;F4</f>
        <v>Space Heating Boiler Tune-up - 300</v>
      </c>
      <c r="C4" s="135" t="s">
        <v>168</v>
      </c>
      <c r="D4" s="1133" t="s">
        <v>1464</v>
      </c>
      <c r="E4" s="1179">
        <f t="shared" si="0"/>
        <v>3</v>
      </c>
      <c r="F4" s="1173">
        <v>300</v>
      </c>
      <c r="G4" s="1221">
        <f t="shared" si="1"/>
        <v>0.8</v>
      </c>
      <c r="H4" s="1222">
        <f t="shared" si="2"/>
        <v>1.6E-2</v>
      </c>
      <c r="I4" s="1148" t="s">
        <v>738</v>
      </c>
      <c r="J4" s="1148" t="s">
        <v>736</v>
      </c>
      <c r="K4" s="1179" t="s">
        <v>357</v>
      </c>
      <c r="L4" s="1204"/>
      <c r="M4" s="1182"/>
      <c r="N4" s="1182"/>
      <c r="O4" s="1191">
        <f>((T4*U4)*((V4+W4)/V4-1))/100000</f>
        <v>91.744411764705987</v>
      </c>
      <c r="P4" s="1182"/>
      <c r="Q4" s="1182"/>
      <c r="R4" s="1185">
        <f t="shared" si="3"/>
        <v>275.23323529411795</v>
      </c>
      <c r="S4" s="782">
        <f>VLOOKUP(I4, List!$J$12:$K$17, 2, FALSE)</f>
        <v>7</v>
      </c>
      <c r="T4" s="782">
        <f t="shared" si="4"/>
        <v>300000</v>
      </c>
      <c r="U4" s="783">
        <f>VLOOKUP(J4,List!$B$7:$H$41,S4,FALSE)</f>
        <v>1529.0735294117651</v>
      </c>
      <c r="V4" s="784">
        <f t="shared" si="5"/>
        <v>0.8</v>
      </c>
      <c r="W4" s="785">
        <f t="shared" si="6"/>
        <v>1.6E-2</v>
      </c>
    </row>
    <row r="5" spans="1:33" s="74" customFormat="1" ht="29" hidden="1" x14ac:dyDescent="0.35">
      <c r="A5" s="1131" t="s">
        <v>2599</v>
      </c>
      <c r="B5" s="1206" t="s">
        <v>2586</v>
      </c>
      <c r="C5" s="135" t="s">
        <v>2592</v>
      </c>
      <c r="D5" s="1133" t="s">
        <v>1464</v>
      </c>
      <c r="E5" s="1179">
        <f t="shared" si="0"/>
        <v>3</v>
      </c>
      <c r="F5" s="1173">
        <v>75</v>
      </c>
      <c r="G5" s="1221">
        <f t="shared" si="1"/>
        <v>0.8</v>
      </c>
      <c r="H5" s="1222">
        <f t="shared" si="2"/>
        <v>1.6E-2</v>
      </c>
      <c r="I5" s="1148" t="s">
        <v>738</v>
      </c>
      <c r="J5" s="1148" t="s">
        <v>399</v>
      </c>
      <c r="K5" s="1179" t="s">
        <v>357</v>
      </c>
      <c r="L5" s="1204"/>
      <c r="M5" s="1182"/>
      <c r="N5" s="1182"/>
      <c r="O5" s="1191">
        <f t="shared" ref="O5:O10" si="8">((T5*U5)*((V5+W5)/V5-1))/100000</f>
        <v>22.893000000000018</v>
      </c>
      <c r="P5" s="1182"/>
      <c r="Q5" s="1182"/>
      <c r="R5" s="1185">
        <f t="shared" ref="R5:R10" si="9">O5*E5</f>
        <v>68.679000000000059</v>
      </c>
      <c r="S5" s="782">
        <f>VLOOKUP(I5, List!$J$12:$K$17, 2, FALSE)</f>
        <v>7</v>
      </c>
      <c r="T5" s="782">
        <f t="shared" si="4"/>
        <v>75000</v>
      </c>
      <c r="U5" s="783">
        <f>VLOOKUP(J5,List!$B$7:$H$41,S5,FALSE)</f>
        <v>1526.2</v>
      </c>
      <c r="V5" s="784">
        <f t="shared" si="5"/>
        <v>0.8</v>
      </c>
      <c r="W5" s="785">
        <f t="shared" si="6"/>
        <v>1.6E-2</v>
      </c>
    </row>
    <row r="6" spans="1:33" s="74" customFormat="1" ht="29" hidden="1" x14ac:dyDescent="0.35">
      <c r="A6" s="1131" t="s">
        <v>2600</v>
      </c>
      <c r="B6" s="1206" t="s">
        <v>2587</v>
      </c>
      <c r="C6" s="135" t="s">
        <v>2593</v>
      </c>
      <c r="D6" s="1133" t="s">
        <v>1464</v>
      </c>
      <c r="E6" s="1179">
        <f t="shared" si="0"/>
        <v>3</v>
      </c>
      <c r="F6" s="1173">
        <v>650</v>
      </c>
      <c r="G6" s="1221">
        <f t="shared" si="1"/>
        <v>0.8</v>
      </c>
      <c r="H6" s="1222">
        <f t="shared" si="2"/>
        <v>1.6E-2</v>
      </c>
      <c r="I6" s="1148" t="s">
        <v>738</v>
      </c>
      <c r="J6" s="1148" t="s">
        <v>399</v>
      </c>
      <c r="K6" s="1179" t="s">
        <v>357</v>
      </c>
      <c r="L6" s="1204"/>
      <c r="M6" s="1182"/>
      <c r="N6" s="1182"/>
      <c r="O6" s="1191">
        <f t="shared" si="8"/>
        <v>198.40600000000018</v>
      </c>
      <c r="P6" s="1182"/>
      <c r="Q6" s="1182"/>
      <c r="R6" s="1185">
        <f t="shared" si="9"/>
        <v>595.21800000000053</v>
      </c>
      <c r="S6" s="782">
        <f>VLOOKUP(I6, List!$J$12:$K$17, 2, FALSE)</f>
        <v>7</v>
      </c>
      <c r="T6" s="782">
        <f t="shared" si="4"/>
        <v>650000</v>
      </c>
      <c r="U6" s="783">
        <f>VLOOKUP(J6,List!$B$7:$H$41,S6,FALSE)</f>
        <v>1526.2</v>
      </c>
      <c r="V6" s="784">
        <f t="shared" si="5"/>
        <v>0.8</v>
      </c>
      <c r="W6" s="785">
        <f t="shared" si="6"/>
        <v>1.6E-2</v>
      </c>
    </row>
    <row r="7" spans="1:33" s="74" customFormat="1" ht="29" hidden="1" x14ac:dyDescent="0.35">
      <c r="A7" s="1131" t="s">
        <v>2601</v>
      </c>
      <c r="B7" s="1206" t="s">
        <v>2588</v>
      </c>
      <c r="C7" s="135" t="s">
        <v>2594</v>
      </c>
      <c r="D7" s="1133" t="s">
        <v>1464</v>
      </c>
      <c r="E7" s="1179">
        <f t="shared" si="0"/>
        <v>3</v>
      </c>
      <c r="F7" s="1173">
        <v>482</v>
      </c>
      <c r="G7" s="1221">
        <f t="shared" si="1"/>
        <v>0.8</v>
      </c>
      <c r="H7" s="1222">
        <f t="shared" si="2"/>
        <v>1.6E-2</v>
      </c>
      <c r="I7" s="1148" t="s">
        <v>738</v>
      </c>
      <c r="J7" s="1148" t="s">
        <v>399</v>
      </c>
      <c r="K7" s="1179" t="s">
        <v>357</v>
      </c>
      <c r="L7" s="1204"/>
      <c r="M7" s="1182"/>
      <c r="N7" s="1182"/>
      <c r="O7" s="1191">
        <f t="shared" si="8"/>
        <v>122.09600000000012</v>
      </c>
      <c r="P7" s="1182"/>
      <c r="Q7" s="1182"/>
      <c r="R7" s="1185">
        <f t="shared" si="9"/>
        <v>366.28800000000035</v>
      </c>
      <c r="S7" s="782">
        <f>VLOOKUP(I7, List!$J$12:$K$17, 2, FALSE)</f>
        <v>7</v>
      </c>
      <c r="T7" s="782">
        <f t="shared" si="4"/>
        <v>400000</v>
      </c>
      <c r="U7" s="783">
        <f>VLOOKUP(J7,List!$B$7:$H$41,S7,FALSE)</f>
        <v>1526.2</v>
      </c>
      <c r="V7" s="784">
        <f t="shared" si="5"/>
        <v>0.8</v>
      </c>
      <c r="W7" s="785">
        <f t="shared" si="6"/>
        <v>1.6E-2</v>
      </c>
    </row>
    <row r="8" spans="1:33" s="74" customFormat="1" ht="29" hidden="1" x14ac:dyDescent="0.35">
      <c r="A8" s="1131" t="s">
        <v>2602</v>
      </c>
      <c r="B8" s="1206" t="s">
        <v>2589</v>
      </c>
      <c r="C8" s="135" t="s">
        <v>2595</v>
      </c>
      <c r="D8" s="1133" t="s">
        <v>1464</v>
      </c>
      <c r="E8" s="1179">
        <f t="shared" si="0"/>
        <v>3</v>
      </c>
      <c r="F8" s="1173">
        <v>800</v>
      </c>
      <c r="G8" s="1221">
        <f t="shared" si="1"/>
        <v>0.8</v>
      </c>
      <c r="H8" s="1222">
        <f t="shared" si="2"/>
        <v>1.6E-2</v>
      </c>
      <c r="I8" s="1148" t="s">
        <v>738</v>
      </c>
      <c r="J8" s="1148" t="s">
        <v>399</v>
      </c>
      <c r="K8" s="1179" t="s">
        <v>357</v>
      </c>
      <c r="L8" s="1204"/>
      <c r="M8" s="1182"/>
      <c r="N8" s="1182"/>
      <c r="O8" s="1191">
        <f t="shared" si="8"/>
        <v>244.19200000000023</v>
      </c>
      <c r="P8" s="1182"/>
      <c r="Q8" s="1182"/>
      <c r="R8" s="1185">
        <f t="shared" si="9"/>
        <v>732.5760000000007</v>
      </c>
      <c r="S8" s="782">
        <f>VLOOKUP(I8, List!$J$12:$K$17, 2, FALSE)</f>
        <v>7</v>
      </c>
      <c r="T8" s="782">
        <f t="shared" si="4"/>
        <v>800000</v>
      </c>
      <c r="U8" s="783">
        <f>VLOOKUP(J8,List!$B$7:$H$41,S8,FALSE)</f>
        <v>1526.2</v>
      </c>
      <c r="V8" s="784">
        <f t="shared" si="5"/>
        <v>0.8</v>
      </c>
      <c r="W8" s="785">
        <f t="shared" si="6"/>
        <v>1.6E-2</v>
      </c>
    </row>
    <row r="9" spans="1:33" s="74" customFormat="1" ht="29" hidden="1" x14ac:dyDescent="0.35">
      <c r="A9" s="1131" t="s">
        <v>2603</v>
      </c>
      <c r="B9" s="1206" t="s">
        <v>2590</v>
      </c>
      <c r="C9" s="135" t="s">
        <v>2596</v>
      </c>
      <c r="D9" s="1133" t="s">
        <v>1464</v>
      </c>
      <c r="E9" s="1179">
        <f t="shared" si="0"/>
        <v>3</v>
      </c>
      <c r="F9" s="1173">
        <v>1000</v>
      </c>
      <c r="G9" s="1221">
        <f t="shared" si="1"/>
        <v>0.8</v>
      </c>
      <c r="H9" s="1222">
        <f t="shared" si="2"/>
        <v>1.6E-2</v>
      </c>
      <c r="I9" s="1148" t="s">
        <v>738</v>
      </c>
      <c r="J9" s="1148" t="s">
        <v>399</v>
      </c>
      <c r="K9" s="1179" t="s">
        <v>357</v>
      </c>
      <c r="L9" s="1204"/>
      <c r="M9" s="1182"/>
      <c r="N9" s="1182"/>
      <c r="O9" s="1191">
        <f t="shared" si="8"/>
        <v>305.24000000000024</v>
      </c>
      <c r="P9" s="1182"/>
      <c r="Q9" s="1182"/>
      <c r="R9" s="1185">
        <f t="shared" si="9"/>
        <v>915.72000000000071</v>
      </c>
      <c r="S9" s="782">
        <f>VLOOKUP(I9, List!$J$12:$K$17, 2, FALSE)</f>
        <v>7</v>
      </c>
      <c r="T9" s="782">
        <f t="shared" si="4"/>
        <v>1000000</v>
      </c>
      <c r="U9" s="783">
        <f>VLOOKUP(J9,List!$B$7:$H$41,S9,FALSE)</f>
        <v>1526.2</v>
      </c>
      <c r="V9" s="784">
        <f t="shared" si="5"/>
        <v>0.8</v>
      </c>
      <c r="W9" s="785">
        <f t="shared" si="6"/>
        <v>1.6E-2</v>
      </c>
    </row>
    <row r="10" spans="1:33" s="74" customFormat="1" ht="29" hidden="1" x14ac:dyDescent="0.35">
      <c r="A10" s="1131" t="s">
        <v>2604</v>
      </c>
      <c r="B10" s="1206" t="s">
        <v>2591</v>
      </c>
      <c r="C10" s="135" t="s">
        <v>2597</v>
      </c>
      <c r="D10" s="1133" t="s">
        <v>1464</v>
      </c>
      <c r="E10" s="1179">
        <f t="shared" si="0"/>
        <v>3</v>
      </c>
      <c r="F10" s="1173">
        <v>3500</v>
      </c>
      <c r="G10" s="1221">
        <f t="shared" si="1"/>
        <v>0.8</v>
      </c>
      <c r="H10" s="1222">
        <f t="shared" si="2"/>
        <v>1.6E-2</v>
      </c>
      <c r="I10" s="1148" t="s">
        <v>738</v>
      </c>
      <c r="J10" s="1148" t="s">
        <v>399</v>
      </c>
      <c r="K10" s="1179" t="s">
        <v>357</v>
      </c>
      <c r="L10" s="1204"/>
      <c r="M10" s="1182"/>
      <c r="N10" s="1182"/>
      <c r="O10" s="1191">
        <f t="shared" si="8"/>
        <v>1068.3400000000008</v>
      </c>
      <c r="P10" s="1182"/>
      <c r="Q10" s="1182"/>
      <c r="R10" s="1185">
        <f t="shared" si="9"/>
        <v>3205.0200000000023</v>
      </c>
      <c r="S10" s="782">
        <f>VLOOKUP(I10, List!$J$12:$K$17, 2, FALSE)</f>
        <v>7</v>
      </c>
      <c r="T10" s="782">
        <f t="shared" si="4"/>
        <v>3500000</v>
      </c>
      <c r="U10" s="783">
        <f>VLOOKUP(J10,List!$B$7:$H$41,S10,FALSE)</f>
        <v>1526.2</v>
      </c>
      <c r="V10" s="784">
        <f t="shared" si="5"/>
        <v>0.8</v>
      </c>
      <c r="W10" s="785">
        <f t="shared" si="6"/>
        <v>1.6E-2</v>
      </c>
    </row>
    <row r="11" spans="1:33" s="74" customFormat="1" ht="29" x14ac:dyDescent="0.35">
      <c r="A11" s="1131" t="s">
        <v>2585</v>
      </c>
      <c r="B11" s="1206" t="s">
        <v>2583</v>
      </c>
      <c r="C11" s="135" t="s">
        <v>2584</v>
      </c>
      <c r="D11" s="1133" t="s">
        <v>1464</v>
      </c>
      <c r="E11" s="1179">
        <f t="shared" si="0"/>
        <v>3</v>
      </c>
      <c r="F11" s="1173" t="s">
        <v>736</v>
      </c>
      <c r="G11" s="1221">
        <f t="shared" si="1"/>
        <v>0.8</v>
      </c>
      <c r="H11" s="1222">
        <f t="shared" si="2"/>
        <v>1.6E-2</v>
      </c>
      <c r="I11" s="1148" t="s">
        <v>738</v>
      </c>
      <c r="J11" s="1148" t="s">
        <v>736</v>
      </c>
      <c r="K11" s="1179" t="s">
        <v>357</v>
      </c>
      <c r="L11" s="1204"/>
      <c r="M11" s="1182"/>
      <c r="N11" s="1182"/>
      <c r="O11" s="1191">
        <f>+AVERAGE(O3:O10)</f>
        <v>271.90466176470613</v>
      </c>
      <c r="P11" s="1182"/>
      <c r="Q11" s="1182"/>
      <c r="R11" s="1191">
        <f>+AVERAGE(R3:R10)</f>
        <v>815.7139852941184</v>
      </c>
      <c r="S11" t="s">
        <v>2598</v>
      </c>
      <c r="T11"/>
      <c r="U11"/>
      <c r="V11"/>
      <c r="W11"/>
    </row>
    <row r="12" spans="1:33" ht="15" thickBot="1" x14ac:dyDescent="0.4"/>
    <row r="13" spans="1:33" ht="15" thickBot="1" x14ac:dyDescent="0.4">
      <c r="A13" s="88" t="s">
        <v>408</v>
      </c>
      <c r="B13" s="78"/>
      <c r="C13" s="79"/>
    </row>
    <row r="14" spans="1:33" ht="15" thickBot="1" x14ac:dyDescent="0.4">
      <c r="A14" s="786" t="s">
        <v>1467</v>
      </c>
      <c r="B14" s="787"/>
      <c r="C14" s="788"/>
    </row>
    <row r="15" spans="1:33" ht="15" thickBot="1" x14ac:dyDescent="0.4">
      <c r="A15" s="188" t="s">
        <v>2571</v>
      </c>
      <c r="B15" s="1384" t="e">
        <f>+#REF!</f>
        <v>#REF!</v>
      </c>
      <c r="R15" s="368"/>
    </row>
    <row r="16" spans="1:33" ht="15" thickBot="1" x14ac:dyDescent="0.4">
      <c r="A16" s="188" t="s">
        <v>2572</v>
      </c>
      <c r="B16" s="701" t="s">
        <v>2567</v>
      </c>
      <c r="R16" s="368"/>
    </row>
    <row r="17" spans="1:18" ht="15" thickBot="1" x14ac:dyDescent="0.4">
      <c r="R17" s="368"/>
    </row>
    <row r="18" spans="1:18" ht="15" thickBot="1" x14ac:dyDescent="0.4">
      <c r="A18" s="88" t="s">
        <v>413</v>
      </c>
      <c r="B18" s="89" t="s">
        <v>414</v>
      </c>
      <c r="C18" s="90" t="s">
        <v>415</v>
      </c>
      <c r="D18" s="78"/>
      <c r="E18" s="78"/>
      <c r="F18" s="79"/>
    </row>
    <row r="19" spans="1:18" ht="15" thickBot="1" x14ac:dyDescent="0.4">
      <c r="A19" s="789" t="s">
        <v>1459</v>
      </c>
      <c r="B19" s="732"/>
      <c r="C19" s="732" t="s">
        <v>1468</v>
      </c>
      <c r="D19" s="732"/>
      <c r="E19" s="732"/>
      <c r="F19" s="733"/>
    </row>
    <row r="20" spans="1:18" x14ac:dyDescent="0.35">
      <c r="A20" s="467" t="s">
        <v>1469</v>
      </c>
      <c r="B20" s="468"/>
      <c r="C20" s="468" t="s">
        <v>1470</v>
      </c>
      <c r="D20" s="468"/>
      <c r="E20" s="468"/>
      <c r="F20" s="469"/>
    </row>
    <row r="21" spans="1:18" ht="15" thickBot="1" x14ac:dyDescent="0.4">
      <c r="A21" s="321"/>
      <c r="B21" s="201"/>
      <c r="C21" s="201" t="s">
        <v>2355</v>
      </c>
      <c r="D21" s="201"/>
      <c r="E21" s="201"/>
      <c r="F21" s="203"/>
    </row>
    <row r="22" spans="1:18" ht="29" x14ac:dyDescent="0.35">
      <c r="A22" s="467" t="s">
        <v>1461</v>
      </c>
      <c r="B22" s="790" t="s">
        <v>1471</v>
      </c>
      <c r="C22" s="468" t="s">
        <v>1472</v>
      </c>
      <c r="D22" s="468"/>
      <c r="E22" s="468"/>
      <c r="F22" s="469"/>
    </row>
    <row r="23" spans="1:18" x14ac:dyDescent="0.35">
      <c r="A23" s="124"/>
      <c r="B23" s="83"/>
      <c r="C23" s="83" t="s">
        <v>1473</v>
      </c>
      <c r="D23" s="83"/>
      <c r="E23" s="83"/>
      <c r="F23" s="125"/>
    </row>
    <row r="24" spans="1:18" ht="15" thickBot="1" x14ac:dyDescent="0.4">
      <c r="A24" s="321"/>
      <c r="B24" s="201"/>
      <c r="C24" s="201" t="s">
        <v>1474</v>
      </c>
      <c r="D24" s="201"/>
      <c r="E24" s="201"/>
      <c r="F24" s="203"/>
    </row>
    <row r="25" spans="1:18" x14ac:dyDescent="0.35">
      <c r="A25" s="467" t="s">
        <v>1462</v>
      </c>
      <c r="B25" s="468"/>
      <c r="C25" s="468" t="s">
        <v>1475</v>
      </c>
      <c r="D25" s="468"/>
      <c r="E25" s="468"/>
      <c r="F25" s="469"/>
    </row>
    <row r="26" spans="1:18" x14ac:dyDescent="0.35">
      <c r="A26" s="124"/>
      <c r="B26" s="83"/>
      <c r="C26" s="83" t="s">
        <v>1476</v>
      </c>
      <c r="D26" s="83"/>
      <c r="E26" s="83"/>
      <c r="F26" s="125"/>
    </row>
    <row r="27" spans="1:18" ht="15" thickBot="1" x14ac:dyDescent="0.4">
      <c r="A27" s="321"/>
      <c r="B27" s="202">
        <v>0.8</v>
      </c>
      <c r="C27" s="201" t="s">
        <v>1477</v>
      </c>
      <c r="D27" s="201"/>
      <c r="E27" s="201"/>
      <c r="F27" s="203"/>
    </row>
    <row r="28" spans="1:18" x14ac:dyDescent="0.35">
      <c r="A28" s="467" t="s">
        <v>1463</v>
      </c>
      <c r="B28" s="468"/>
      <c r="C28" s="468" t="s">
        <v>1478</v>
      </c>
      <c r="D28" s="468"/>
      <c r="E28" s="468"/>
      <c r="F28" s="469"/>
    </row>
    <row r="29" spans="1:18" x14ac:dyDescent="0.35">
      <c r="A29" s="124"/>
      <c r="B29" s="83"/>
      <c r="C29" s="83" t="s">
        <v>1476</v>
      </c>
      <c r="D29" s="83"/>
      <c r="E29" s="83"/>
      <c r="F29" s="125"/>
    </row>
    <row r="30" spans="1:18" ht="15" thickBot="1" x14ac:dyDescent="0.4">
      <c r="A30" s="321"/>
      <c r="B30" s="791">
        <v>1.6E-2</v>
      </c>
      <c r="C30" s="201" t="s">
        <v>1479</v>
      </c>
      <c r="D30" s="201"/>
      <c r="E30" s="201"/>
      <c r="F30" s="203"/>
    </row>
    <row r="31" spans="1:18" ht="15" thickBot="1" x14ac:dyDescent="0.4">
      <c r="A31" s="789" t="s">
        <v>443</v>
      </c>
      <c r="B31" s="732">
        <v>3</v>
      </c>
      <c r="C31" s="732" t="s">
        <v>636</v>
      </c>
      <c r="D31" s="732"/>
      <c r="E31" s="732"/>
      <c r="F31" s="733"/>
    </row>
    <row r="32" spans="1:18" x14ac:dyDescent="0.35">
      <c r="A32" s="467" t="s">
        <v>344</v>
      </c>
      <c r="B32" s="468"/>
      <c r="C32" s="468"/>
      <c r="D32" s="468"/>
      <c r="E32" s="468"/>
      <c r="F32" s="469"/>
    </row>
    <row r="33" spans="1:6" ht="15" thickBot="1" x14ac:dyDescent="0.4">
      <c r="A33" s="321"/>
      <c r="B33" s="201"/>
      <c r="C33" s="201"/>
      <c r="D33" s="201"/>
      <c r="E33" s="201"/>
      <c r="F33" s="203"/>
    </row>
    <row r="34" spans="1:6" ht="15" thickBot="1" x14ac:dyDescent="0.4">
      <c r="A34" s="789" t="s">
        <v>1371</v>
      </c>
      <c r="B34" s="732"/>
      <c r="C34" s="732" t="s">
        <v>1480</v>
      </c>
      <c r="D34" s="732"/>
      <c r="E34" s="732"/>
      <c r="F34" s="733"/>
    </row>
    <row r="35" spans="1:6" ht="15" thickBot="1" x14ac:dyDescent="0.4">
      <c r="A35" s="789" t="s">
        <v>1373</v>
      </c>
      <c r="B35" s="732"/>
      <c r="C35" s="732" t="s">
        <v>1481</v>
      </c>
      <c r="D35" s="732"/>
      <c r="E35" s="732"/>
      <c r="F35" s="733"/>
    </row>
    <row r="36" spans="1:6" x14ac:dyDescent="0.35">
      <c r="C36" s="67"/>
    </row>
    <row r="37" spans="1:6" ht="15" thickBot="1" x14ac:dyDescent="0.4">
      <c r="C37" s="67"/>
    </row>
    <row r="38" spans="1:6" ht="15" thickBot="1" x14ac:dyDescent="0.4">
      <c r="A38" s="742" t="s">
        <v>539</v>
      </c>
      <c r="B38" s="472"/>
      <c r="C38" s="472"/>
      <c r="D38" s="472"/>
      <c r="E38" s="472"/>
      <c r="F38" s="473"/>
    </row>
    <row r="39" spans="1:6" x14ac:dyDescent="0.35">
      <c r="A39" s="792" t="s">
        <v>1482</v>
      </c>
      <c r="B39" s="793"/>
      <c r="C39" s="468" t="s">
        <v>1237</v>
      </c>
      <c r="D39" s="468"/>
      <c r="E39" s="468"/>
      <c r="F39" s="469"/>
    </row>
    <row r="40" spans="1:6" x14ac:dyDescent="0.35">
      <c r="A40" s="360" t="s">
        <v>1483</v>
      </c>
      <c r="B40" s="747">
        <f>F3</f>
        <v>400</v>
      </c>
      <c r="C40" s="65" t="s">
        <v>1484</v>
      </c>
      <c r="D40" s="83"/>
      <c r="E40" s="83"/>
      <c r="F40" s="125"/>
    </row>
    <row r="41" spans="1:6" x14ac:dyDescent="0.35">
      <c r="A41" s="360" t="s">
        <v>680</v>
      </c>
      <c r="B41" s="302">
        <f>+B30</f>
        <v>1.6E-2</v>
      </c>
      <c r="C41" s="65" t="s">
        <v>1485</v>
      </c>
      <c r="D41" s="83"/>
      <c r="E41" s="83"/>
      <c r="F41" s="125"/>
    </row>
    <row r="42" spans="1:6" x14ac:dyDescent="0.35">
      <c r="A42" s="360" t="s">
        <v>1461</v>
      </c>
      <c r="B42" s="62"/>
      <c r="C42" s="65" t="s">
        <v>1486</v>
      </c>
      <c r="D42" s="83"/>
      <c r="E42" s="83"/>
      <c r="F42" s="125"/>
    </row>
    <row r="43" spans="1:6" x14ac:dyDescent="0.35">
      <c r="A43" s="360" t="s">
        <v>1487</v>
      </c>
      <c r="B43" s="361">
        <f>+B27</f>
        <v>0.8</v>
      </c>
      <c r="C43" s="65" t="s">
        <v>1488</v>
      </c>
      <c r="D43" s="83"/>
      <c r="E43" s="83"/>
      <c r="F43" s="125"/>
    </row>
    <row r="44" spans="1:6" x14ac:dyDescent="0.35">
      <c r="A44" s="124"/>
      <c r="B44" s="83"/>
      <c r="C44" s="83"/>
      <c r="D44" s="2249" t="s">
        <v>1489</v>
      </c>
      <c r="E44" s="2297"/>
      <c r="F44" s="2298"/>
    </row>
    <row r="45" spans="1:6" ht="30" customHeight="1" x14ac:dyDescent="0.35">
      <c r="A45" s="794" t="s">
        <v>1490</v>
      </c>
      <c r="B45" s="70"/>
      <c r="C45" s="83"/>
      <c r="D45" s="70" t="s">
        <v>1491</v>
      </c>
      <c r="E45" s="70" t="s">
        <v>1492</v>
      </c>
      <c r="F45" s="795" t="s">
        <v>0</v>
      </c>
    </row>
    <row r="46" spans="1:6" x14ac:dyDescent="0.35">
      <c r="A46" s="796">
        <f>C70</f>
        <v>0</v>
      </c>
      <c r="B46" s="62">
        <v>2</v>
      </c>
      <c r="C46" s="83"/>
      <c r="D46" s="62">
        <v>1</v>
      </c>
      <c r="E46" s="62">
        <f>D46*1000</f>
        <v>1000</v>
      </c>
      <c r="F46" s="797" t="s">
        <v>681</v>
      </c>
    </row>
    <row r="47" spans="1:6" x14ac:dyDescent="0.35">
      <c r="A47" s="796">
        <f>D70</f>
        <v>0</v>
      </c>
      <c r="B47" s="62">
        <v>3</v>
      </c>
      <c r="C47" s="83"/>
      <c r="D47" s="62">
        <v>75</v>
      </c>
      <c r="E47" s="62">
        <v>75000</v>
      </c>
      <c r="F47" s="797" t="s">
        <v>681</v>
      </c>
    </row>
    <row r="48" spans="1:6" x14ac:dyDescent="0.35">
      <c r="A48" s="796">
        <f>E70</f>
        <v>0</v>
      </c>
      <c r="B48" s="62">
        <v>4</v>
      </c>
      <c r="C48" s="83"/>
      <c r="D48" s="62">
        <v>300</v>
      </c>
      <c r="E48" s="62">
        <v>300000</v>
      </c>
      <c r="F48" s="797" t="s">
        <v>681</v>
      </c>
    </row>
    <row r="49" spans="1:6" x14ac:dyDescent="0.35">
      <c r="A49" s="796">
        <f>F70</f>
        <v>0</v>
      </c>
      <c r="B49" s="62">
        <v>5</v>
      </c>
      <c r="C49" s="83"/>
      <c r="D49" s="62">
        <v>400</v>
      </c>
      <c r="E49" s="62">
        <v>400000</v>
      </c>
      <c r="F49" s="797" t="s">
        <v>681</v>
      </c>
    </row>
    <row r="50" spans="1:6" x14ac:dyDescent="0.35">
      <c r="A50" s="796">
        <f>G70</f>
        <v>0</v>
      </c>
      <c r="B50" s="62">
        <v>6</v>
      </c>
      <c r="C50" s="83"/>
      <c r="D50" s="62">
        <v>650</v>
      </c>
      <c r="E50" s="62">
        <v>650000</v>
      </c>
      <c r="F50" s="797" t="s">
        <v>681</v>
      </c>
    </row>
    <row r="51" spans="1:6" x14ac:dyDescent="0.35">
      <c r="A51" s="360" t="s">
        <v>295</v>
      </c>
      <c r="B51" s="62">
        <v>7</v>
      </c>
      <c r="C51" s="83"/>
      <c r="D51" s="62">
        <v>482</v>
      </c>
      <c r="E51" s="62">
        <v>482000</v>
      </c>
      <c r="F51" s="797" t="s">
        <v>1493</v>
      </c>
    </row>
    <row r="52" spans="1:6" x14ac:dyDescent="0.35">
      <c r="A52" s="124"/>
      <c r="B52" s="83"/>
      <c r="C52" s="83"/>
      <c r="D52" s="62">
        <v>800</v>
      </c>
      <c r="E52" s="62">
        <v>800000</v>
      </c>
      <c r="F52" s="797" t="s">
        <v>1494</v>
      </c>
    </row>
    <row r="53" spans="1:6" x14ac:dyDescent="0.35">
      <c r="A53" s="124"/>
      <c r="B53" s="83"/>
      <c r="C53" s="83"/>
      <c r="D53" s="62">
        <v>1000</v>
      </c>
      <c r="E53" s="62">
        <f>+D53*1000</f>
        <v>1000000</v>
      </c>
      <c r="F53" s="797"/>
    </row>
    <row r="54" spans="1:6" ht="58.5" thickBot="1" x14ac:dyDescent="0.4">
      <c r="A54" s="321"/>
      <c r="B54" s="201"/>
      <c r="C54" s="201"/>
      <c r="D54" s="798" t="s">
        <v>1495</v>
      </c>
      <c r="E54" s="168">
        <v>1000</v>
      </c>
      <c r="F54" s="1000"/>
    </row>
  </sheetData>
  <customSheetViews>
    <customSheetView guid="{11DE45F5-F478-4ED6-8DFF-12002C22A637}" showPageBreaks="1" fitToPage="1" hiddenRows="1" view="pageBreakPreview">
      <selection activeCell="A15" sqref="A15"/>
      <pageMargins left="0.7" right="0.7" top="0.75" bottom="0.75" header="0.3" footer="0.3"/>
      <pageSetup scale="34" orientation="landscape" r:id="rId1"/>
    </customSheetView>
    <customSheetView guid="{ECD6FE6A-9548-414E-B8AA-6998703C57E0}" showPageBreaks="1" fitToPage="1" hiddenRows="1" view="pageBreakPreview">
      <selection activeCell="A15" sqref="A15"/>
      <pageMargins left="0.7" right="0.7" top="0.75" bottom="0.75" header="0.3" footer="0.3"/>
      <pageSetup scale="34" orientation="landscape" r:id="rId2"/>
    </customSheetView>
  </customSheetViews>
  <mergeCells count="4">
    <mergeCell ref="S1:W1"/>
    <mergeCell ref="D44:F44"/>
    <mergeCell ref="M1:O1"/>
    <mergeCell ref="P1:R1"/>
  </mergeCells>
  <dataValidations disablePrompts="1" count="1">
    <dataValidation type="list" allowBlank="1" showInputMessage="1" showErrorMessage="1" sqref="D3:D11" xr:uid="{00000000-0002-0000-1500-000000000000}">
      <formula1>MeasureType</formula1>
    </dataValidation>
  </dataValidations>
  <pageMargins left="0.7" right="0.7" top="0.75" bottom="0.75" header="0.3" footer="0.3"/>
  <pageSetup scale="34" orientation="landscape"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500-000001000000}">
          <x14:formula1>
            <xm:f>'T:\EEP Planning Models\Planning Tools\Measure_Data\Custom TRM EEP 3\[HIM_CI_TRMv5 0.xlsx]List'!#REF!</xm:f>
          </x14:formula1>
          <xm:sqref>I3:I11 J3:J4 J11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79998168889431442"/>
    <pageSetUpPr fitToPage="1"/>
  </sheetPr>
  <dimension ref="A1:U39"/>
  <sheetViews>
    <sheetView view="pageBreakPreview" zoomScaleNormal="100" zoomScaleSheetLayoutView="100" workbookViewId="0"/>
  </sheetViews>
  <sheetFormatPr defaultRowHeight="14.5" x14ac:dyDescent="0.35"/>
  <cols>
    <col min="1" max="1" width="19.1796875" customWidth="1"/>
    <col min="2" max="2" width="44.81640625" customWidth="1"/>
    <col min="3" max="3" width="37.1796875" bestFit="1" customWidth="1"/>
    <col min="4" max="4" width="20" bestFit="1" customWidth="1"/>
    <col min="5" max="5" width="24.54296875" customWidth="1"/>
    <col min="6" max="6" width="19" customWidth="1"/>
    <col min="7" max="7" width="12.54296875" customWidth="1"/>
    <col min="12" max="12" width="10.81640625" customWidth="1"/>
    <col min="15" max="15" width="12" bestFit="1" customWidth="1"/>
    <col min="18" max="18" width="9.7265625" bestFit="1" customWidth="1"/>
  </cols>
  <sheetData>
    <row r="1" spans="1:21" x14ac:dyDescent="0.35">
      <c r="A1" s="1123" t="s">
        <v>305</v>
      </c>
      <c r="B1" s="1176" t="s">
        <v>2302</v>
      </c>
      <c r="C1" s="1176"/>
      <c r="D1" s="1176"/>
      <c r="E1" s="1177"/>
      <c r="F1" s="1177"/>
      <c r="G1" s="1177"/>
      <c r="H1" s="1177"/>
      <c r="I1" s="1177"/>
      <c r="J1" s="2248" t="s">
        <v>335</v>
      </c>
      <c r="K1" s="2248"/>
      <c r="L1" s="2248"/>
      <c r="M1" s="2248" t="s">
        <v>336</v>
      </c>
      <c r="N1" s="2248"/>
      <c r="O1" s="2216"/>
      <c r="P1" s="2299" t="s">
        <v>337</v>
      </c>
      <c r="Q1" s="2300"/>
      <c r="R1" s="2300"/>
      <c r="S1" s="2300"/>
      <c r="T1" s="2301"/>
    </row>
    <row r="2" spans="1:21" ht="44.5" x14ac:dyDescent="0.45">
      <c r="A2" s="1145" t="s">
        <v>338</v>
      </c>
      <c r="B2" s="1129" t="s">
        <v>1</v>
      </c>
      <c r="C2" s="1129" t="s">
        <v>339</v>
      </c>
      <c r="D2" s="1129" t="s">
        <v>688</v>
      </c>
      <c r="E2" s="1177" t="s">
        <v>343</v>
      </c>
      <c r="F2" s="1177" t="s">
        <v>2303</v>
      </c>
      <c r="G2" s="1177" t="s">
        <v>2304</v>
      </c>
      <c r="H2" s="1177" t="s">
        <v>1512</v>
      </c>
      <c r="I2" s="1177" t="s">
        <v>839</v>
      </c>
      <c r="J2" s="1177" t="s">
        <v>347</v>
      </c>
      <c r="K2" s="1177" t="s">
        <v>348</v>
      </c>
      <c r="L2" s="1177" t="s">
        <v>349</v>
      </c>
      <c r="M2" s="1177" t="s">
        <v>347</v>
      </c>
      <c r="N2" s="1177" t="s">
        <v>348</v>
      </c>
      <c r="O2" s="1177" t="s">
        <v>349</v>
      </c>
      <c r="P2" s="62" t="s">
        <v>1482</v>
      </c>
      <c r="Q2" s="62" t="s">
        <v>1483</v>
      </c>
      <c r="R2" s="62" t="s">
        <v>2305</v>
      </c>
      <c r="S2" s="62" t="s">
        <v>2306</v>
      </c>
      <c r="T2" s="62" t="s">
        <v>2307</v>
      </c>
      <c r="U2" s="1120"/>
    </row>
    <row r="3" spans="1:21" x14ac:dyDescent="0.35">
      <c r="A3" s="1131" t="s">
        <v>305</v>
      </c>
      <c r="B3" s="1206" t="str">
        <f>$B$1&amp;" - "&amp;H3&amp;" MBU"</f>
        <v>Process Boiler Tune-up - 800 MBU</v>
      </c>
      <c r="C3" s="1132" t="s">
        <v>184</v>
      </c>
      <c r="D3" s="1133" t="s">
        <v>1464</v>
      </c>
      <c r="E3" s="1179">
        <f>+$B$21</f>
        <v>3</v>
      </c>
      <c r="F3" s="1225">
        <v>0.8</v>
      </c>
      <c r="G3" s="1226">
        <f>+$B$19</f>
        <v>0.81299999999999994</v>
      </c>
      <c r="H3" s="1227">
        <v>800</v>
      </c>
      <c r="I3" s="1204"/>
      <c r="J3" s="1182"/>
      <c r="K3" s="1182"/>
      <c r="L3" s="1182">
        <f>((Q3*8766*R3)/100)*(1-(S3/T3))</f>
        <v>469.84897416973854</v>
      </c>
      <c r="M3" s="1182"/>
      <c r="N3" s="1182"/>
      <c r="O3" s="1182">
        <f>L3*E3</f>
        <v>1409.5469225092156</v>
      </c>
      <c r="P3" s="1224">
        <f>+$B$23</f>
        <v>0</v>
      </c>
      <c r="Q3" s="747">
        <f>H3</f>
        <v>800</v>
      </c>
      <c r="R3" s="302">
        <f>+$B$15</f>
        <v>0.41899999999999998</v>
      </c>
      <c r="S3" s="75">
        <f>F3</f>
        <v>0.8</v>
      </c>
      <c r="T3" s="374">
        <f>$G$3</f>
        <v>0.81299999999999994</v>
      </c>
      <c r="U3" s="74"/>
    </row>
    <row r="4" spans="1:21" x14ac:dyDescent="0.35">
      <c r="A4" s="1131" t="s">
        <v>2760</v>
      </c>
      <c r="B4" s="1206" t="s">
        <v>2758</v>
      </c>
      <c r="C4" s="1132" t="s">
        <v>2759</v>
      </c>
      <c r="D4" s="1133" t="s">
        <v>1464</v>
      </c>
      <c r="E4" s="1179">
        <f>+$B$21</f>
        <v>3</v>
      </c>
      <c r="F4" s="1225">
        <v>0.8</v>
      </c>
      <c r="G4" s="1226">
        <f>+$B$19</f>
        <v>0.81299999999999994</v>
      </c>
      <c r="H4" s="1227">
        <v>800</v>
      </c>
      <c r="I4" s="1204"/>
      <c r="J4" s="1182"/>
      <c r="K4" s="1182"/>
      <c r="L4" s="1182">
        <f>((Q4*8766*R4)/100)*(1-(S4/T4))</f>
        <v>469.84897416973854</v>
      </c>
      <c r="M4" s="1182"/>
      <c r="N4" s="1182"/>
      <c r="O4" s="1182">
        <f>L4*E4</f>
        <v>1409.5469225092156</v>
      </c>
      <c r="P4" s="1224">
        <f>+$B$23</f>
        <v>0</v>
      </c>
      <c r="Q4" s="747">
        <f>H4</f>
        <v>800</v>
      </c>
      <c r="R4" s="302">
        <f>+$B$15</f>
        <v>0.41899999999999998</v>
      </c>
      <c r="S4" s="75">
        <f>F4</f>
        <v>0.8</v>
      </c>
      <c r="T4" s="374">
        <f>$G$3</f>
        <v>0.81299999999999994</v>
      </c>
      <c r="U4" s="74"/>
    </row>
    <row r="6" spans="1:21" ht="15" thickBot="1" x14ac:dyDescent="0.4">
      <c r="B6" s="68"/>
    </row>
    <row r="7" spans="1:21" ht="15" thickBot="1" x14ac:dyDescent="0.4">
      <c r="A7" s="188" t="s">
        <v>408</v>
      </c>
      <c r="B7" s="78"/>
      <c r="C7" s="78"/>
      <c r="D7" s="78"/>
      <c r="E7" s="79"/>
    </row>
    <row r="8" spans="1:21" ht="15.5" thickBot="1" x14ac:dyDescent="0.45">
      <c r="A8" s="786" t="s">
        <v>2308</v>
      </c>
      <c r="B8" s="787"/>
      <c r="C8" s="788"/>
      <c r="D8" s="86"/>
      <c r="E8" s="87"/>
    </row>
    <row r="9" spans="1:21" ht="15" thickBot="1" x14ac:dyDescent="0.4">
      <c r="A9" s="188" t="s">
        <v>2571</v>
      </c>
      <c r="B9" s="1384" t="e">
        <f>+#REF!</f>
        <v>#REF!</v>
      </c>
    </row>
    <row r="10" spans="1:21" ht="15" thickBot="1" x14ac:dyDescent="0.4">
      <c r="A10" s="188" t="s">
        <v>2572</v>
      </c>
      <c r="B10" s="701" t="s">
        <v>2569</v>
      </c>
    </row>
    <row r="11" spans="1:21" ht="15" thickBot="1" x14ac:dyDescent="0.4"/>
    <row r="12" spans="1:21" ht="15" thickBot="1" x14ac:dyDescent="0.4">
      <c r="A12" s="88" t="s">
        <v>413</v>
      </c>
      <c r="B12" s="89" t="s">
        <v>414</v>
      </c>
      <c r="C12" s="90" t="s">
        <v>415</v>
      </c>
      <c r="D12" s="79"/>
    </row>
    <row r="13" spans="1:21" x14ac:dyDescent="0.35">
      <c r="A13" s="467" t="s">
        <v>1483</v>
      </c>
      <c r="B13" s="801"/>
      <c r="C13" s="767" t="s">
        <v>1484</v>
      </c>
      <c r="D13" s="469"/>
    </row>
    <row r="14" spans="1:21" ht="15" thickBot="1" x14ac:dyDescent="0.4">
      <c r="A14" s="321"/>
      <c r="B14" s="201"/>
      <c r="C14" s="201" t="s">
        <v>2309</v>
      </c>
      <c r="D14" s="203"/>
    </row>
    <row r="15" spans="1:21" x14ac:dyDescent="0.35">
      <c r="A15" s="467" t="s">
        <v>2305</v>
      </c>
      <c r="B15" s="802">
        <v>0.41899999999999998</v>
      </c>
      <c r="C15" s="767" t="s">
        <v>2310</v>
      </c>
      <c r="D15" s="469"/>
    </row>
    <row r="16" spans="1:21" ht="15" thickBot="1" x14ac:dyDescent="0.4">
      <c r="A16" s="321"/>
      <c r="B16" s="201"/>
      <c r="C16" s="201" t="s">
        <v>2311</v>
      </c>
      <c r="D16" s="203"/>
    </row>
    <row r="17" spans="1:4" ht="16.5" x14ac:dyDescent="0.45">
      <c r="A17" s="467" t="s">
        <v>2306</v>
      </c>
      <c r="B17" s="769"/>
      <c r="C17" s="767" t="s">
        <v>2312</v>
      </c>
      <c r="D17" s="469"/>
    </row>
    <row r="18" spans="1:4" ht="15" thickBot="1" x14ac:dyDescent="0.4">
      <c r="A18" s="321"/>
      <c r="B18" s="201"/>
      <c r="C18" s="201" t="s">
        <v>2356</v>
      </c>
      <c r="D18" s="203"/>
    </row>
    <row r="19" spans="1:4" ht="16.5" x14ac:dyDescent="0.45">
      <c r="A19" s="467" t="s">
        <v>2307</v>
      </c>
      <c r="B19" s="1503">
        <v>0.81299999999999994</v>
      </c>
      <c r="C19" s="767" t="s">
        <v>2313</v>
      </c>
      <c r="D19" s="469"/>
    </row>
    <row r="20" spans="1:4" ht="15" thickBot="1" x14ac:dyDescent="0.4">
      <c r="A20" s="321"/>
      <c r="B20" s="201"/>
      <c r="C20" s="201" t="s">
        <v>2356</v>
      </c>
      <c r="D20" s="203"/>
    </row>
    <row r="21" spans="1:4" x14ac:dyDescent="0.35">
      <c r="A21" s="467" t="s">
        <v>443</v>
      </c>
      <c r="B21" s="468">
        <v>3</v>
      </c>
      <c r="C21" s="767" t="s">
        <v>2314</v>
      </c>
      <c r="D21" s="469"/>
    </row>
    <row r="22" spans="1:4" ht="15" thickBot="1" x14ac:dyDescent="0.4">
      <c r="A22" s="321"/>
      <c r="B22" s="201"/>
      <c r="C22" s="201" t="s">
        <v>2315</v>
      </c>
      <c r="D22" s="203"/>
    </row>
    <row r="23" spans="1:4" x14ac:dyDescent="0.35">
      <c r="A23" s="124" t="s">
        <v>344</v>
      </c>
      <c r="B23" s="83"/>
      <c r="C23" s="83"/>
      <c r="D23" s="125"/>
    </row>
    <row r="24" spans="1:4" ht="15" thickBot="1" x14ac:dyDescent="0.4">
      <c r="A24" s="321"/>
      <c r="B24" s="201"/>
      <c r="C24" s="201"/>
      <c r="D24" s="203"/>
    </row>
    <row r="25" spans="1:4" x14ac:dyDescent="0.35">
      <c r="A25" s="467" t="s">
        <v>2038</v>
      </c>
      <c r="B25" s="468"/>
      <c r="C25" s="468" t="s">
        <v>2316</v>
      </c>
      <c r="D25" s="469"/>
    </row>
    <row r="26" spans="1:4" ht="15" thickBot="1" x14ac:dyDescent="0.4">
      <c r="A26" s="321" t="s">
        <v>1373</v>
      </c>
      <c r="B26" s="201"/>
      <c r="C26" s="201" t="s">
        <v>2317</v>
      </c>
      <c r="D26" s="203"/>
    </row>
    <row r="27" spans="1:4" x14ac:dyDescent="0.35">
      <c r="A27" s="67"/>
      <c r="B27" s="67"/>
      <c r="C27" s="67"/>
      <c r="D27" s="67"/>
    </row>
    <row r="39" ht="39" customHeight="1" x14ac:dyDescent="0.35"/>
  </sheetData>
  <customSheetViews>
    <customSheetView guid="{11DE45F5-F478-4ED6-8DFF-12002C22A637}" showPageBreaks="1" fitToPage="1" printArea="1" view="pageBreakPreview">
      <pageMargins left="0.7" right="0.7" top="0.75" bottom="0.75" header="0.3" footer="0.3"/>
      <pageSetup scale="40" orientation="landscape" r:id="rId1"/>
    </customSheetView>
    <customSheetView guid="{ECD6FE6A-9548-414E-B8AA-6998703C57E0}" showPageBreaks="1" fitToPage="1" printArea="1" view="pageBreakPreview">
      <pageMargins left="0.7" right="0.7" top="0.75" bottom="0.75" header="0.3" footer="0.3"/>
      <pageSetup scale="40" orientation="landscape" r:id="rId2"/>
    </customSheetView>
  </customSheetViews>
  <mergeCells count="3">
    <mergeCell ref="J1:L1"/>
    <mergeCell ref="M1:O1"/>
    <mergeCell ref="P1:T1"/>
  </mergeCells>
  <dataValidations disablePrompts="1" count="1">
    <dataValidation type="list" allowBlank="1" showInputMessage="1" showErrorMessage="1" sqref="D3:D4" xr:uid="{00000000-0002-0000-1600-000000000000}">
      <formula1>MeasureType</formula1>
    </dataValidation>
  </dataValidations>
  <pageMargins left="0.7" right="0.7" top="0.75" bottom="0.75" header="0.3" footer="0.3"/>
  <pageSetup scale="41" orientation="landscape" r:id="rId3"/>
  <legacyDrawing r:id="rId4"/>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tint="0.79998168889431442"/>
    <pageSetUpPr fitToPage="1"/>
  </sheetPr>
  <dimension ref="A1:AK34"/>
  <sheetViews>
    <sheetView view="pageBreakPreview" zoomScale="85" zoomScaleNormal="100" zoomScaleSheetLayoutView="85" workbookViewId="0"/>
  </sheetViews>
  <sheetFormatPr defaultRowHeight="14.5" x14ac:dyDescent="0.35"/>
  <cols>
    <col min="1" max="1" width="15.26953125" customWidth="1"/>
    <col min="2" max="2" width="60.54296875" customWidth="1"/>
    <col min="3" max="4" width="21.7265625" customWidth="1"/>
    <col min="5" max="5" width="10.26953125" customWidth="1"/>
    <col min="6" max="6" width="12.7265625" customWidth="1"/>
    <col min="7" max="7" width="14.26953125" customWidth="1"/>
    <col min="8" max="8" width="21.81640625" customWidth="1"/>
    <col min="9" max="9" width="24" customWidth="1"/>
    <col min="10" max="10" width="12.1796875" customWidth="1"/>
    <col min="11" max="11" width="12" customWidth="1"/>
    <col min="13" max="13" width="10" bestFit="1" customWidth="1"/>
    <col min="14" max="14" width="10.81640625" customWidth="1"/>
    <col min="15" max="15" width="10" bestFit="1" customWidth="1"/>
    <col min="17" max="17" width="12.1796875" customWidth="1"/>
    <col min="18" max="18" width="9.7265625" bestFit="1" customWidth="1"/>
    <col min="22" max="22" width="20" bestFit="1" customWidth="1"/>
    <col min="35" max="35" width="26.54296875" customWidth="1"/>
  </cols>
  <sheetData>
    <row r="1" spans="1:37" x14ac:dyDescent="0.35">
      <c r="A1" s="1721" t="s">
        <v>303</v>
      </c>
      <c r="B1" s="1172" t="s">
        <v>1511</v>
      </c>
      <c r="C1" s="1176"/>
      <c r="D1" s="1176"/>
      <c r="E1" s="1124"/>
      <c r="F1" s="1177"/>
      <c r="G1" s="1177"/>
      <c r="H1" s="1177"/>
      <c r="I1" s="1177"/>
      <c r="J1" s="1177"/>
      <c r="K1" s="1177"/>
      <c r="L1" s="2248" t="s">
        <v>335</v>
      </c>
      <c r="M1" s="2248"/>
      <c r="N1" s="2248"/>
      <c r="O1" s="2248" t="s">
        <v>336</v>
      </c>
      <c r="P1" s="2248"/>
      <c r="Q1" s="2248"/>
      <c r="R1" s="2295" t="s">
        <v>337</v>
      </c>
      <c r="S1" s="2296"/>
      <c r="T1" s="2296"/>
      <c r="U1" s="2296"/>
      <c r="V1" s="781"/>
    </row>
    <row r="2" spans="1:37" s="800" customFormat="1" ht="29" x14ac:dyDescent="0.35">
      <c r="A2" s="1145" t="s">
        <v>338</v>
      </c>
      <c r="B2" s="1129" t="s">
        <v>1</v>
      </c>
      <c r="C2" s="1129" t="s">
        <v>339</v>
      </c>
      <c r="D2" s="1129" t="s">
        <v>688</v>
      </c>
      <c r="E2" s="1177" t="s">
        <v>342</v>
      </c>
      <c r="F2" s="1177" t="s">
        <v>343</v>
      </c>
      <c r="G2" s="1177" t="s">
        <v>1512</v>
      </c>
      <c r="H2" s="1177" t="s">
        <v>1044</v>
      </c>
      <c r="I2" s="1177" t="s">
        <v>838</v>
      </c>
      <c r="J2" s="1177" t="s">
        <v>839</v>
      </c>
      <c r="K2" s="1177"/>
      <c r="L2" s="1177" t="s">
        <v>347</v>
      </c>
      <c r="M2" s="1177" t="s">
        <v>348</v>
      </c>
      <c r="N2" s="1177" t="s">
        <v>349</v>
      </c>
      <c r="O2" s="1177" t="s">
        <v>347</v>
      </c>
      <c r="P2" s="1177" t="s">
        <v>348</v>
      </c>
      <c r="Q2" s="1177" t="s">
        <v>349</v>
      </c>
      <c r="R2" s="62" t="s">
        <v>1459</v>
      </c>
      <c r="S2" s="62" t="s">
        <v>1513</v>
      </c>
      <c r="T2" s="62" t="s">
        <v>680</v>
      </c>
      <c r="U2" s="62" t="s">
        <v>1461</v>
      </c>
    </row>
    <row r="3" spans="1:37" s="781" customFormat="1" ht="29" x14ac:dyDescent="0.35">
      <c r="A3" s="1131" t="s">
        <v>3291</v>
      </c>
      <c r="B3" s="1131" t="str">
        <f t="shared" ref="B3" si="0">$B$1&amp;" - "&amp;G3&amp;" MBH"</f>
        <v>Boiler Lockout/ Reset Controls - 300 MBH</v>
      </c>
      <c r="C3" s="1148" t="s">
        <v>3047</v>
      </c>
      <c r="D3" s="1133" t="s">
        <v>1464</v>
      </c>
      <c r="E3" s="1179" t="s">
        <v>495</v>
      </c>
      <c r="F3" s="1179">
        <f>+$B$23</f>
        <v>20</v>
      </c>
      <c r="G3" s="1173">
        <v>300</v>
      </c>
      <c r="H3" s="1148" t="s">
        <v>738</v>
      </c>
      <c r="I3" s="1148" t="s">
        <v>399</v>
      </c>
      <c r="J3" s="1204"/>
      <c r="K3" s="1204"/>
      <c r="L3" s="1182"/>
      <c r="M3" s="1182"/>
      <c r="N3" s="1182">
        <f>S3*T3*U3/$B$22</f>
        <v>366.28800000000001</v>
      </c>
      <c r="O3" s="1182"/>
      <c r="P3" s="1182"/>
      <c r="Q3" s="1205">
        <f>N3*F3</f>
        <v>7325.76</v>
      </c>
      <c r="R3" s="782">
        <f>VLOOKUP(H3, List!$J$12:$K$17, 2, FALSE)</f>
        <v>7</v>
      </c>
      <c r="S3" s="782">
        <f>G3</f>
        <v>300</v>
      </c>
      <c r="T3" s="302">
        <f>+$B$17</f>
        <v>0.08</v>
      </c>
      <c r="U3" s="317">
        <f>VLOOKUP(I3,List!$B$7:$H$40,R3,FALSE)</f>
        <v>1526.2</v>
      </c>
    </row>
    <row r="4" spans="1:37" s="74" customFormat="1" ht="29" x14ac:dyDescent="0.35">
      <c r="A4" s="1131" t="s">
        <v>1514</v>
      </c>
      <c r="B4" s="1131" t="str">
        <f t="shared" ref="B4" si="1">$B$1&amp;" - "&amp;G4&amp;" MBH"</f>
        <v>Boiler Lockout/ Reset Controls - 400 MBH</v>
      </c>
      <c r="C4" s="1148" t="s">
        <v>167</v>
      </c>
      <c r="D4" s="1133" t="s">
        <v>1464</v>
      </c>
      <c r="E4" s="1179" t="s">
        <v>495</v>
      </c>
      <c r="F4" s="1179">
        <f>+$B$23</f>
        <v>20</v>
      </c>
      <c r="G4" s="1173">
        <v>400</v>
      </c>
      <c r="H4" s="1148" t="s">
        <v>738</v>
      </c>
      <c r="I4" s="1148" t="s">
        <v>399</v>
      </c>
      <c r="J4" s="1204"/>
      <c r="K4" s="1204"/>
      <c r="L4" s="1182"/>
      <c r="M4" s="1182"/>
      <c r="N4" s="1182">
        <f>S4*T4*U4/$B$22</f>
        <v>488.38400000000001</v>
      </c>
      <c r="O4" s="1182"/>
      <c r="P4" s="1182"/>
      <c r="Q4" s="1205">
        <f>N4*F4</f>
        <v>9767.68</v>
      </c>
      <c r="R4" s="782">
        <f>VLOOKUP(H4, List!$J$12:$K$17, 2, FALSE)</f>
        <v>7</v>
      </c>
      <c r="S4" s="782">
        <f>G4</f>
        <v>400</v>
      </c>
      <c r="T4" s="302">
        <f>+$B$17</f>
        <v>0.08</v>
      </c>
      <c r="U4" s="317">
        <f>VLOOKUP(I4,List!$B$7:$H$40,R4,FALSE)</f>
        <v>1526.2</v>
      </c>
      <c r="V4" s="178"/>
      <c r="W4" s="178"/>
    </row>
    <row r="5" spans="1:37" s="74" customFormat="1" ht="29" x14ac:dyDescent="0.35">
      <c r="A5" s="1131" t="s">
        <v>2605</v>
      </c>
      <c r="B5" s="1131" t="s">
        <v>2606</v>
      </c>
      <c r="C5" s="1148" t="s">
        <v>2607</v>
      </c>
      <c r="D5" s="1133" t="s">
        <v>1464</v>
      </c>
      <c r="E5" s="1179" t="s">
        <v>495</v>
      </c>
      <c r="F5" s="1179">
        <f>+$B$23</f>
        <v>20</v>
      </c>
      <c r="G5" s="1173">
        <v>400</v>
      </c>
      <c r="H5" s="1148" t="s">
        <v>738</v>
      </c>
      <c r="I5" s="1148" t="s">
        <v>2612</v>
      </c>
      <c r="J5" s="1204"/>
      <c r="K5" s="1204"/>
      <c r="L5" s="1182"/>
      <c r="M5" s="1182"/>
      <c r="N5" s="1182">
        <f>S5*T5*U5/$B$22</f>
        <v>488.03199999999998</v>
      </c>
      <c r="O5" s="1182"/>
      <c r="P5" s="1182"/>
      <c r="Q5" s="1205">
        <f>N5*F5</f>
        <v>9760.64</v>
      </c>
      <c r="R5" s="782">
        <f>VLOOKUP(H5, List!$J$12:$K$17, 2, FALSE)</f>
        <v>7</v>
      </c>
      <c r="S5" s="782">
        <f>G5</f>
        <v>400</v>
      </c>
      <c r="T5" s="302">
        <f>+$B$17</f>
        <v>0.08</v>
      </c>
      <c r="U5" s="317">
        <f>VLOOKUP(I5,List!$J$23:$P$33,R5,FALSE)</f>
        <v>1525.1</v>
      </c>
      <c r="V5" s="178"/>
      <c r="W5" s="178"/>
    </row>
    <row r="7" spans="1:37" ht="15" thickBot="1" x14ac:dyDescent="0.4"/>
    <row r="8" spans="1:37" ht="15" thickBot="1" x14ac:dyDescent="0.4">
      <c r="A8" s="88" t="s">
        <v>408</v>
      </c>
      <c r="B8" s="78"/>
      <c r="C8" s="79"/>
    </row>
    <row r="9" spans="1:37" ht="15.5" thickBot="1" x14ac:dyDescent="0.45">
      <c r="A9" s="786" t="s">
        <v>1515</v>
      </c>
      <c r="B9" s="787"/>
      <c r="C9" s="788"/>
    </row>
    <row r="10" spans="1:37" ht="15" thickBot="1" x14ac:dyDescent="0.4">
      <c r="A10" s="188" t="s">
        <v>2571</v>
      </c>
      <c r="B10" s="1384" t="e">
        <f>+#REF!</f>
        <v>#REF!</v>
      </c>
    </row>
    <row r="11" spans="1:37" ht="15" thickBot="1" x14ac:dyDescent="0.4">
      <c r="A11" s="188" t="s">
        <v>2572</v>
      </c>
      <c r="B11" s="701" t="s">
        <v>197</v>
      </c>
    </row>
    <row r="13" spans="1:37" ht="15" thickBot="1" x14ac:dyDescent="0.4"/>
    <row r="14" spans="1:37" ht="15" thickBot="1" x14ac:dyDescent="0.4">
      <c r="A14" s="88" t="s">
        <v>413</v>
      </c>
      <c r="B14" s="89" t="s">
        <v>414</v>
      </c>
      <c r="C14" s="90" t="s">
        <v>415</v>
      </c>
      <c r="D14" s="78"/>
      <c r="E14" s="78"/>
      <c r="F14" s="78"/>
      <c r="G14" s="79"/>
    </row>
    <row r="15" spans="1:37" x14ac:dyDescent="0.35">
      <c r="A15" s="467" t="s">
        <v>1513</v>
      </c>
      <c r="B15" s="801"/>
      <c r="C15" s="767" t="s">
        <v>1516</v>
      </c>
      <c r="D15" s="468"/>
      <c r="E15" s="468"/>
      <c r="F15" s="468"/>
      <c r="G15" s="469"/>
    </row>
    <row r="16" spans="1:37" ht="15" thickBot="1" x14ac:dyDescent="0.4">
      <c r="A16" s="321"/>
      <c r="B16" s="201"/>
      <c r="C16" s="201" t="s">
        <v>1517</v>
      </c>
      <c r="D16" s="201"/>
      <c r="E16" s="201"/>
      <c r="F16" s="201"/>
      <c r="G16" s="203"/>
      <c r="AJ16" s="67"/>
      <c r="AK16" s="67"/>
    </row>
    <row r="17" spans="1:37" x14ac:dyDescent="0.35">
      <c r="A17" s="467" t="s">
        <v>680</v>
      </c>
      <c r="B17" s="802">
        <v>0.08</v>
      </c>
      <c r="C17" s="767" t="s">
        <v>1485</v>
      </c>
      <c r="D17" s="468"/>
      <c r="E17" s="468"/>
      <c r="F17" s="468"/>
      <c r="G17" s="469"/>
      <c r="AJ17" s="67"/>
      <c r="AK17" s="67"/>
    </row>
    <row r="18" spans="1:37" ht="15" thickBot="1" x14ac:dyDescent="0.4">
      <c r="A18" s="321"/>
      <c r="B18" s="201"/>
      <c r="C18" s="201" t="s">
        <v>1518</v>
      </c>
      <c r="D18" s="201"/>
      <c r="E18" s="201"/>
      <c r="F18" s="201"/>
      <c r="G18" s="203"/>
      <c r="AJ18" s="67"/>
      <c r="AK18" s="67"/>
    </row>
    <row r="19" spans="1:37" x14ac:dyDescent="0.35">
      <c r="A19" s="467" t="s">
        <v>1461</v>
      </c>
      <c r="B19" s="735" t="s">
        <v>1471</v>
      </c>
      <c r="C19" s="468" t="s">
        <v>1472</v>
      </c>
      <c r="D19" s="468"/>
      <c r="E19" s="468"/>
      <c r="F19" s="468"/>
      <c r="G19" s="469"/>
      <c r="AJ19" s="67"/>
      <c r="AK19" s="67"/>
    </row>
    <row r="20" spans="1:37" x14ac:dyDescent="0.35">
      <c r="A20" s="124"/>
      <c r="B20" s="83"/>
      <c r="C20" s="83" t="s">
        <v>1473</v>
      </c>
      <c r="D20" s="83"/>
      <c r="E20" s="83"/>
      <c r="F20" s="83"/>
      <c r="G20" s="125"/>
      <c r="AJ20" s="67"/>
      <c r="AK20" s="67"/>
    </row>
    <row r="21" spans="1:37" ht="15" thickBot="1" x14ac:dyDescent="0.4">
      <c r="A21" s="321"/>
      <c r="B21" s="201"/>
      <c r="C21" s="201" t="s">
        <v>1474</v>
      </c>
      <c r="D21" s="201"/>
      <c r="E21" s="201"/>
      <c r="F21" s="201"/>
      <c r="G21" s="203"/>
      <c r="AJ21" s="67"/>
      <c r="AK21" s="67"/>
    </row>
    <row r="22" spans="1:37" ht="15" thickBot="1" x14ac:dyDescent="0.4">
      <c r="A22" s="789" t="s">
        <v>1519</v>
      </c>
      <c r="B22" s="732">
        <v>100</v>
      </c>
      <c r="C22" s="732" t="s">
        <v>1520</v>
      </c>
      <c r="D22" s="732"/>
      <c r="E22" s="732"/>
      <c r="F22" s="732"/>
      <c r="G22" s="733"/>
      <c r="AJ22" s="67"/>
      <c r="AK22" s="67"/>
    </row>
    <row r="23" spans="1:37" x14ac:dyDescent="0.35">
      <c r="A23" s="467" t="s">
        <v>443</v>
      </c>
      <c r="B23" s="468">
        <v>20</v>
      </c>
      <c r="C23" s="468" t="s">
        <v>1521</v>
      </c>
      <c r="D23" s="468"/>
      <c r="E23" s="468"/>
      <c r="F23" s="468"/>
      <c r="G23" s="469"/>
      <c r="AJ23" s="67"/>
      <c r="AK23" s="67"/>
    </row>
    <row r="24" spans="1:37" ht="15" thickBot="1" x14ac:dyDescent="0.4">
      <c r="A24" s="321"/>
      <c r="B24" s="201"/>
      <c r="C24" s="201" t="s">
        <v>787</v>
      </c>
      <c r="D24" s="803"/>
      <c r="E24" s="201"/>
      <c r="F24" s="201"/>
      <c r="G24" s="203"/>
      <c r="AJ24" s="67"/>
      <c r="AK24" s="67"/>
    </row>
    <row r="25" spans="1:37" ht="15" thickBot="1" x14ac:dyDescent="0.4">
      <c r="A25" s="321" t="s">
        <v>344</v>
      </c>
      <c r="B25" s="201"/>
      <c r="C25" s="201"/>
      <c r="D25" s="803"/>
      <c r="E25" s="201"/>
      <c r="F25" s="201"/>
      <c r="G25" s="203"/>
      <c r="AJ25" s="67"/>
      <c r="AK25" s="67"/>
    </row>
    <row r="26" spans="1:37" ht="15" thickBot="1" x14ac:dyDescent="0.4">
      <c r="A26" s="789" t="s">
        <v>1371</v>
      </c>
      <c r="B26" s="732"/>
      <c r="C26" s="732" t="s">
        <v>1522</v>
      </c>
      <c r="D26" s="804"/>
      <c r="E26" s="732"/>
      <c r="F26" s="732"/>
      <c r="G26" s="733"/>
    </row>
    <row r="27" spans="1:37" x14ac:dyDescent="0.35">
      <c r="A27" s="124" t="s">
        <v>1373</v>
      </c>
      <c r="B27" s="83"/>
      <c r="C27" s="2304" t="s">
        <v>1523</v>
      </c>
      <c r="D27" s="2304"/>
      <c r="E27" s="2304"/>
      <c r="F27" s="2304"/>
      <c r="G27" s="2305"/>
    </row>
    <row r="28" spans="1:37" ht="63" customHeight="1" thickBot="1" x14ac:dyDescent="0.4">
      <c r="A28" s="321"/>
      <c r="B28" s="201"/>
      <c r="C28" s="2206"/>
      <c r="D28" s="2206"/>
      <c r="E28" s="2206"/>
      <c r="F28" s="2206"/>
      <c r="G28" s="2207"/>
    </row>
    <row r="29" spans="1:37" ht="15" thickBot="1" x14ac:dyDescent="0.4">
      <c r="D29" s="68"/>
    </row>
    <row r="30" spans="1:37" x14ac:dyDescent="0.35">
      <c r="A30" s="742" t="s">
        <v>539</v>
      </c>
      <c r="B30" s="472"/>
      <c r="C30" s="473"/>
    </row>
    <row r="31" spans="1:37" x14ac:dyDescent="0.35">
      <c r="A31" s="2302" t="s">
        <v>344</v>
      </c>
      <c r="B31" s="2303"/>
      <c r="C31" s="125"/>
    </row>
    <row r="32" spans="1:37" x14ac:dyDescent="0.35">
      <c r="A32" s="360"/>
      <c r="B32" s="805"/>
      <c r="C32" s="125"/>
    </row>
    <row r="33" spans="1:3" x14ac:dyDescent="0.35">
      <c r="A33" s="360"/>
      <c r="B33" s="62"/>
      <c r="C33" s="125"/>
    </row>
    <row r="34" spans="1:3" ht="15" thickBot="1" x14ac:dyDescent="0.4">
      <c r="A34" s="779"/>
      <c r="B34" s="168"/>
      <c r="C34" s="203"/>
    </row>
  </sheetData>
  <customSheetViews>
    <customSheetView guid="{11DE45F5-F478-4ED6-8DFF-12002C22A637}" scale="85" showPageBreaks="1" fitToPage="1" printArea="1" view="pageBreakPreview">
      <selection activeCell="F9" sqref="F9"/>
      <pageMargins left="0.7" right="0.7" top="0.75" bottom="0.75" header="0.3" footer="0.3"/>
      <pageSetup scale="37" orientation="landscape" r:id="rId1"/>
    </customSheetView>
    <customSheetView guid="{ECD6FE6A-9548-414E-B8AA-6998703C57E0}" scale="85" showPageBreaks="1" fitToPage="1" printArea="1" view="pageBreakPreview">
      <selection activeCell="F9" sqref="F9"/>
      <pageMargins left="0.7" right="0.7" top="0.75" bottom="0.75" header="0.3" footer="0.3"/>
      <pageSetup scale="37" orientation="landscape" r:id="rId2"/>
    </customSheetView>
  </customSheetViews>
  <mergeCells count="5">
    <mergeCell ref="A31:B31"/>
    <mergeCell ref="L1:N1"/>
    <mergeCell ref="O1:Q1"/>
    <mergeCell ref="R1:U1"/>
    <mergeCell ref="C27:G28"/>
  </mergeCells>
  <dataValidations count="2">
    <dataValidation type="list" allowBlank="1" showInputMessage="1" showErrorMessage="1" sqref="K3:K5" xr:uid="{00000000-0002-0000-1700-000000000000}">
      <formula1>$A$32:$A$34</formula1>
    </dataValidation>
    <dataValidation type="list" allowBlank="1" showInputMessage="1" showErrorMessage="1" sqref="D3:D5" xr:uid="{00000000-0002-0000-1700-000001000000}">
      <formula1>MeasureType</formula1>
    </dataValidation>
  </dataValidations>
  <pageMargins left="0.7" right="0.7" top="0.75" bottom="0.75" header="0.3" footer="0.3"/>
  <pageSetup scale="37" orientation="landscape"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700-000002000000}">
          <x14:formula1>
            <xm:f>'T:\EEP Planning Models\Planning Tools\Measure_Data\Custom TRM EEP 3\[HIM_CI_TRMv5 0.xlsx]List'!#REF!</xm:f>
          </x14:formula1>
          <xm:sqref>I3:I4 H3:H5</xm:sqref>
        </x14:dataValidation>
        <x14:dataValidation type="list" allowBlank="1" showInputMessage="1" showErrorMessage="1" xr:uid="{00000000-0002-0000-1700-000003000000}">
          <x14:formula1>
            <xm:f>List!$J$23:$J$33</xm:f>
          </x14:formula1>
          <xm:sqref>I5</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tint="0.79998168889431442"/>
    <pageSetUpPr fitToPage="1"/>
  </sheetPr>
  <dimension ref="A1:M23"/>
  <sheetViews>
    <sheetView view="pageBreakPreview" zoomScaleNormal="100" zoomScaleSheetLayoutView="100" workbookViewId="0">
      <selection activeCell="M18" sqref="M18"/>
    </sheetView>
  </sheetViews>
  <sheetFormatPr defaultRowHeight="14.5" x14ac:dyDescent="0.35"/>
  <cols>
    <col min="1" max="1" width="16.1796875" bestFit="1" customWidth="1"/>
    <col min="2" max="2" width="27.81640625" customWidth="1"/>
    <col min="3" max="4" width="20" bestFit="1" customWidth="1"/>
    <col min="6" max="6" width="12.7265625" customWidth="1"/>
    <col min="9" max="9" width="16.54296875" customWidth="1"/>
    <col min="12" max="12" width="12.26953125" customWidth="1"/>
    <col min="13" max="13" width="12" bestFit="1" customWidth="1"/>
  </cols>
  <sheetData>
    <row r="1" spans="1:13" x14ac:dyDescent="0.35">
      <c r="A1" s="1721" t="s">
        <v>309</v>
      </c>
      <c r="B1" s="1124"/>
      <c r="C1" s="1124"/>
      <c r="D1" s="1124"/>
      <c r="E1" s="1177"/>
      <c r="F1" s="1177"/>
      <c r="G1" s="1177"/>
      <c r="H1" s="2248" t="s">
        <v>335</v>
      </c>
      <c r="I1" s="2248"/>
      <c r="J1" s="2248"/>
      <c r="K1" s="2248" t="s">
        <v>336</v>
      </c>
      <c r="L1" s="2248"/>
      <c r="M1" s="2248"/>
    </row>
    <row r="2" spans="1:13" ht="29" x14ac:dyDescent="0.35">
      <c r="A2" s="1145" t="s">
        <v>338</v>
      </c>
      <c r="B2" s="1129" t="s">
        <v>1</v>
      </c>
      <c r="C2" s="1129" t="s">
        <v>339</v>
      </c>
      <c r="D2" s="1129" t="s">
        <v>688</v>
      </c>
      <c r="E2" s="1177" t="s">
        <v>342</v>
      </c>
      <c r="F2" s="1177" t="s">
        <v>343</v>
      </c>
      <c r="G2" s="1177" t="s">
        <v>344</v>
      </c>
      <c r="H2" s="1177" t="s">
        <v>347</v>
      </c>
      <c r="I2" s="1177" t="s">
        <v>348</v>
      </c>
      <c r="J2" s="1177" t="s">
        <v>349</v>
      </c>
      <c r="K2" s="1177" t="s">
        <v>347</v>
      </c>
      <c r="L2" s="1177" t="s">
        <v>348</v>
      </c>
      <c r="M2" s="1177" t="s">
        <v>349</v>
      </c>
    </row>
    <row r="3" spans="1:13" x14ac:dyDescent="0.35">
      <c r="A3" s="1131"/>
      <c r="B3" s="1131"/>
      <c r="C3" s="1132"/>
      <c r="D3" s="1133"/>
      <c r="E3" s="1149"/>
      <c r="F3" s="1179"/>
      <c r="G3" s="1204"/>
      <c r="H3" s="1182"/>
      <c r="I3" s="1182"/>
      <c r="J3" s="1182"/>
      <c r="K3" s="1182"/>
      <c r="L3" s="1182"/>
      <c r="M3" s="1182"/>
    </row>
    <row r="4" spans="1:13" ht="43.5" x14ac:dyDescent="0.35">
      <c r="A4" s="1131" t="s">
        <v>309</v>
      </c>
      <c r="B4" s="1131" t="s">
        <v>2318</v>
      </c>
      <c r="C4" s="1132" t="s">
        <v>180</v>
      </c>
      <c r="D4" s="1133" t="s">
        <v>2319</v>
      </c>
      <c r="E4" s="1149" t="s">
        <v>356</v>
      </c>
      <c r="F4" s="1179">
        <f>+$B$14</f>
        <v>12</v>
      </c>
      <c r="G4" s="1204"/>
      <c r="H4" s="1182"/>
      <c r="I4" s="1182"/>
      <c r="J4" s="1182">
        <f>+$B$18</f>
        <v>266</v>
      </c>
      <c r="K4" s="1182"/>
      <c r="L4" s="1182"/>
      <c r="M4" s="1182">
        <f>J4*F4</f>
        <v>3192</v>
      </c>
    </row>
    <row r="5" spans="1:13" ht="43.5" x14ac:dyDescent="0.35">
      <c r="A5" s="1131" t="s">
        <v>2763</v>
      </c>
      <c r="B5" s="1131" t="s">
        <v>2761</v>
      </c>
      <c r="C5" s="1132" t="s">
        <v>2762</v>
      </c>
      <c r="D5" s="1133" t="s">
        <v>2319</v>
      </c>
      <c r="E5" s="1149" t="s">
        <v>356</v>
      </c>
      <c r="F5" s="1179">
        <f>+$B$14</f>
        <v>12</v>
      </c>
      <c r="G5" s="1204"/>
      <c r="H5" s="1182"/>
      <c r="I5" s="1182"/>
      <c r="J5" s="1182">
        <f>+$B$18</f>
        <v>266</v>
      </c>
      <c r="K5" s="1182"/>
      <c r="L5" s="1182"/>
      <c r="M5" s="1182">
        <f>J5*F5</f>
        <v>3192</v>
      </c>
    </row>
    <row r="7" spans="1:13" ht="15" thickBot="1" x14ac:dyDescent="0.4"/>
    <row r="8" spans="1:13" ht="15" thickBot="1" x14ac:dyDescent="0.4">
      <c r="A8" s="188" t="s">
        <v>2571</v>
      </c>
      <c r="B8" s="1384" t="e">
        <f>+#REF!</f>
        <v>#REF!</v>
      </c>
    </row>
    <row r="9" spans="1:13" ht="15" thickBot="1" x14ac:dyDescent="0.4">
      <c r="A9" s="188" t="s">
        <v>2572</v>
      </c>
      <c r="B9" s="701" t="s">
        <v>199</v>
      </c>
    </row>
    <row r="12" spans="1:13" ht="15" thickBot="1" x14ac:dyDescent="0.4"/>
    <row r="13" spans="1:13" ht="15" thickBot="1" x14ac:dyDescent="0.4">
      <c r="A13" s="88" t="s">
        <v>413</v>
      </c>
      <c r="B13" s="89" t="s">
        <v>414</v>
      </c>
      <c r="C13" s="90" t="s">
        <v>415</v>
      </c>
      <c r="D13" s="78"/>
      <c r="E13" s="78"/>
      <c r="F13" s="78"/>
      <c r="G13" s="78"/>
      <c r="H13" s="78"/>
      <c r="I13" s="79"/>
    </row>
    <row r="14" spans="1:13" x14ac:dyDescent="0.35">
      <c r="A14" s="467" t="s">
        <v>443</v>
      </c>
      <c r="B14" s="468">
        <v>12</v>
      </c>
      <c r="C14" s="468" t="s">
        <v>1369</v>
      </c>
      <c r="D14" s="468"/>
      <c r="E14" s="468"/>
      <c r="F14" s="468"/>
      <c r="G14" s="468"/>
      <c r="H14" s="468"/>
      <c r="I14" s="469"/>
    </row>
    <row r="15" spans="1:13" ht="15" thickBot="1" x14ac:dyDescent="0.4">
      <c r="A15" s="321"/>
      <c r="B15" s="201"/>
      <c r="C15" s="201" t="s">
        <v>1732</v>
      </c>
      <c r="D15" s="201"/>
      <c r="E15" s="201"/>
      <c r="F15" s="201"/>
      <c r="G15" s="201"/>
      <c r="H15" s="201"/>
      <c r="I15" s="203"/>
    </row>
    <row r="16" spans="1:13" x14ac:dyDescent="0.35">
      <c r="A16" s="467" t="s">
        <v>344</v>
      </c>
      <c r="B16" s="468"/>
      <c r="C16" s="468"/>
      <c r="D16" s="468"/>
      <c r="E16" s="468"/>
      <c r="F16" s="468"/>
      <c r="G16" s="468"/>
      <c r="H16" s="468"/>
      <c r="I16" s="469"/>
    </row>
    <row r="17" spans="1:9" ht="15" thickBot="1" x14ac:dyDescent="0.4">
      <c r="A17" s="321"/>
      <c r="B17" s="201"/>
      <c r="C17" s="201"/>
      <c r="D17" s="201"/>
      <c r="E17" s="201"/>
      <c r="F17" s="201"/>
      <c r="G17" s="201"/>
      <c r="H17" s="201"/>
      <c r="I17" s="203"/>
    </row>
    <row r="18" spans="1:9" x14ac:dyDescent="0.35">
      <c r="A18" s="467" t="s">
        <v>2044</v>
      </c>
      <c r="B18" s="468">
        <v>266</v>
      </c>
      <c r="C18" s="468" t="s">
        <v>2320</v>
      </c>
      <c r="D18" s="468"/>
      <c r="E18" s="468"/>
      <c r="F18" s="468"/>
      <c r="G18" s="468"/>
      <c r="H18" s="468"/>
      <c r="I18" s="469"/>
    </row>
    <row r="19" spans="1:9" ht="15" thickBot="1" x14ac:dyDescent="0.4">
      <c r="A19" s="321"/>
      <c r="B19" s="201"/>
      <c r="C19" s="201" t="s">
        <v>1732</v>
      </c>
      <c r="D19" s="201"/>
      <c r="E19" s="201"/>
      <c r="F19" s="201"/>
      <c r="G19" s="201"/>
      <c r="H19" s="201"/>
      <c r="I19" s="203"/>
    </row>
    <row r="21" spans="1:9" x14ac:dyDescent="0.35">
      <c r="A21" s="1121" t="s">
        <v>2321</v>
      </c>
      <c r="B21" s="1121"/>
    </row>
    <row r="22" spans="1:9" x14ac:dyDescent="0.35">
      <c r="A22" s="62" t="s">
        <v>356</v>
      </c>
      <c r="B22" s="62" t="s">
        <v>542</v>
      </c>
    </row>
    <row r="23" spans="1:9" x14ac:dyDescent="0.35">
      <c r="A23" s="62" t="s">
        <v>494</v>
      </c>
      <c r="B23" s="62" t="s">
        <v>543</v>
      </c>
    </row>
  </sheetData>
  <customSheetViews>
    <customSheetView guid="{11DE45F5-F478-4ED6-8DFF-12002C22A637}" showPageBreaks="1" fitToPage="1" view="pageBreakPreview">
      <selection activeCell="M18" sqref="M18"/>
      <pageMargins left="0.7" right="0.7" top="0.75" bottom="0.75" header="0.3" footer="0.3"/>
      <pageSetup scale="66" orientation="landscape" r:id="rId1"/>
    </customSheetView>
    <customSheetView guid="{ECD6FE6A-9548-414E-B8AA-6998703C57E0}" showPageBreaks="1" fitToPage="1" view="pageBreakPreview">
      <selection activeCell="M18" sqref="M18"/>
      <pageMargins left="0.7" right="0.7" top="0.75" bottom="0.75" header="0.3" footer="0.3"/>
      <pageSetup scale="66" orientation="landscape" r:id="rId2"/>
    </customSheetView>
  </customSheetViews>
  <mergeCells count="2">
    <mergeCell ref="H1:J1"/>
    <mergeCell ref="K1:M1"/>
  </mergeCells>
  <dataValidations disablePrompts="1" count="2">
    <dataValidation type="list" allowBlank="1" showInputMessage="1" showErrorMessage="1" sqref="D4:D5" xr:uid="{00000000-0002-0000-1800-000000000000}">
      <formula1>MeasureType</formula1>
    </dataValidation>
    <dataValidation type="list" allowBlank="1" showInputMessage="1" showErrorMessage="1" sqref="E4:E5" xr:uid="{00000000-0002-0000-1800-000001000000}">
      <formula1>CSGDRF1</formula1>
    </dataValidation>
  </dataValidations>
  <pageMargins left="0.7" right="0.7" top="0.75" bottom="0.75" header="0.3" footer="0.3"/>
  <pageSetup scale="67" orientation="landscape"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79998168889431442"/>
    <pageSetUpPr fitToPage="1"/>
  </sheetPr>
  <dimension ref="A1:AA86"/>
  <sheetViews>
    <sheetView view="pageBreakPreview" zoomScale="60" zoomScaleNormal="100" workbookViewId="0"/>
  </sheetViews>
  <sheetFormatPr defaultRowHeight="14.5" x14ac:dyDescent="0.35"/>
  <cols>
    <col min="1" max="1" width="23" customWidth="1"/>
    <col min="2" max="2" width="55.54296875" customWidth="1"/>
    <col min="3" max="3" width="25.26953125" customWidth="1"/>
    <col min="4" max="4" width="20" bestFit="1" customWidth="1"/>
    <col min="5" max="5" width="20.7265625" customWidth="1"/>
    <col min="6" max="6" width="14.7265625" customWidth="1"/>
    <col min="7" max="7" width="13.26953125" customWidth="1"/>
    <col min="8" max="8" width="39.7265625" customWidth="1"/>
    <col min="9" max="9" width="19.7265625" customWidth="1"/>
    <col min="10" max="10" width="18.81640625" customWidth="1"/>
    <col min="12" max="12" width="15.81640625" customWidth="1"/>
    <col min="13" max="13" width="14.7265625" bestFit="1" customWidth="1"/>
    <col min="14" max="14" width="15.1796875" customWidth="1"/>
    <col min="16" max="16" width="11" bestFit="1" customWidth="1"/>
    <col min="19" max="19" width="10.54296875" bestFit="1" customWidth="1"/>
    <col min="20" max="20" width="9.1796875" customWidth="1"/>
    <col min="22" max="22" width="11.54296875" customWidth="1"/>
    <col min="23" max="23" width="12" bestFit="1" customWidth="1"/>
    <col min="24" max="24" width="12.54296875" bestFit="1" customWidth="1"/>
    <col min="25" max="25" width="11.26953125" bestFit="1" customWidth="1"/>
    <col min="28" max="28" width="4.26953125" customWidth="1"/>
    <col min="29" max="29" width="37.54296875" bestFit="1" customWidth="1"/>
    <col min="30" max="30" width="7.81640625" customWidth="1"/>
    <col min="33" max="33" width="6.7265625" customWidth="1"/>
    <col min="34" max="34" width="50.7265625" bestFit="1" customWidth="1"/>
  </cols>
  <sheetData>
    <row r="1" spans="1:27" x14ac:dyDescent="0.35">
      <c r="A1" s="1721" t="s">
        <v>307</v>
      </c>
      <c r="B1" s="1172" t="s">
        <v>1524</v>
      </c>
      <c r="C1" s="1176"/>
      <c r="D1" s="1176"/>
      <c r="E1" s="1124"/>
      <c r="F1" s="1177"/>
      <c r="G1" s="1177"/>
      <c r="H1" s="1177"/>
      <c r="I1" s="1177"/>
      <c r="J1" s="1177"/>
      <c r="K1" s="1177"/>
      <c r="L1" s="1177"/>
      <c r="M1" s="1177"/>
      <c r="N1" s="2248" t="s">
        <v>335</v>
      </c>
      <c r="O1" s="2248"/>
      <c r="P1" s="2248"/>
      <c r="Q1" s="2248" t="s">
        <v>336</v>
      </c>
      <c r="R1" s="2248"/>
      <c r="S1" s="2216"/>
      <c r="T1" s="2306" t="s">
        <v>337</v>
      </c>
      <c r="U1" s="2306"/>
      <c r="V1" s="2306"/>
      <c r="W1" s="2306"/>
      <c r="X1" s="2306"/>
    </row>
    <row r="2" spans="1:27" ht="29" x14ac:dyDescent="0.35">
      <c r="A2" s="1145" t="s">
        <v>338</v>
      </c>
      <c r="B2" s="1129" t="s">
        <v>1</v>
      </c>
      <c r="C2" s="1129" t="s">
        <v>339</v>
      </c>
      <c r="D2" s="1129" t="s">
        <v>688</v>
      </c>
      <c r="E2" s="1177" t="s">
        <v>342</v>
      </c>
      <c r="F2" s="1177" t="s">
        <v>343</v>
      </c>
      <c r="G2" s="1177" t="s">
        <v>1525</v>
      </c>
      <c r="H2" s="1177" t="s">
        <v>1526</v>
      </c>
      <c r="I2" s="1177" t="s">
        <v>1527</v>
      </c>
      <c r="J2" s="1177" t="s">
        <v>1044</v>
      </c>
      <c r="K2" s="1177" t="s">
        <v>838</v>
      </c>
      <c r="L2" s="1177" t="s">
        <v>344</v>
      </c>
      <c r="M2" s="1177" t="s">
        <v>1528</v>
      </c>
      <c r="N2" s="1177" t="s">
        <v>347</v>
      </c>
      <c r="O2" s="1177" t="s">
        <v>348</v>
      </c>
      <c r="P2" s="1177" t="s">
        <v>349</v>
      </c>
      <c r="Q2" s="1177" t="s">
        <v>347</v>
      </c>
      <c r="R2" s="1177" t="s">
        <v>348</v>
      </c>
      <c r="S2" s="1178" t="s">
        <v>349</v>
      </c>
      <c r="T2" s="62" t="s">
        <v>1459</v>
      </c>
      <c r="U2" s="424" t="s">
        <v>1461</v>
      </c>
      <c r="V2" s="62" t="s">
        <v>1469</v>
      </c>
      <c r="W2" s="300" t="s">
        <v>1529</v>
      </c>
      <c r="X2" s="300" t="s">
        <v>1530</v>
      </c>
      <c r="Z2" s="24"/>
      <c r="AA2" s="24"/>
    </row>
    <row r="3" spans="1:27" ht="29" x14ac:dyDescent="0.35">
      <c r="A3" s="1131" t="s">
        <v>1533</v>
      </c>
      <c r="B3" s="1131" t="str">
        <f t="shared" ref="B3:B12" si="0">$B$1&amp;" "&amp;H3&amp;" - "&amp;FIXED(SUM(G3/1000),0)&amp;" MBH, "&amp;VLOOKUP(I3,$D$47:$E$52,2,FALSE)</f>
        <v>High Efficiency Boiler Hot Water &lt;300,000 Btu/h  ≥ June 1, 2013 - 300 MBH, Condensing</v>
      </c>
      <c r="C3" s="1148" t="s">
        <v>170</v>
      </c>
      <c r="D3" s="1133" t="s">
        <v>1464</v>
      </c>
      <c r="E3" s="135" t="s">
        <v>356</v>
      </c>
      <c r="F3" s="1179">
        <f t="shared" ref="F3:F15" si="1">+$B$32</f>
        <v>20</v>
      </c>
      <c r="G3" s="1173">
        <v>300000</v>
      </c>
      <c r="H3" s="1148" t="s">
        <v>1531</v>
      </c>
      <c r="I3" s="1148" t="s">
        <v>551</v>
      </c>
      <c r="J3" s="1148" t="s">
        <v>738</v>
      </c>
      <c r="K3" s="1148" t="s">
        <v>736</v>
      </c>
      <c r="L3" s="1204"/>
      <c r="M3" s="1204"/>
      <c r="N3" s="1182"/>
      <c r="O3" s="1182"/>
      <c r="P3" s="1182">
        <f>(U3*V3*(X3-W3)/W3)/100000</f>
        <v>447.53371592539503</v>
      </c>
      <c r="Q3" s="1182"/>
      <c r="R3" s="1182"/>
      <c r="S3" s="1205">
        <f t="shared" ref="S3:S12" si="2">P3*F3</f>
        <v>8950.6743185079013</v>
      </c>
      <c r="T3" s="62">
        <f>VLOOKUP(J3, [11]List!$J$38:$K$43, 2, FALSE)</f>
        <v>7</v>
      </c>
      <c r="U3" s="62">
        <f>VLOOKUP(K3,List!$B$7:$H$41,T3,FALSE)</f>
        <v>1529.0735294117651</v>
      </c>
      <c r="V3" s="373">
        <f t="shared" ref="V3:V12" si="3">G3</f>
        <v>300000</v>
      </c>
      <c r="W3" s="62">
        <f t="shared" ref="W3:W12" si="4">VLOOKUP(H3,$A$55:$B$64,2,FALSE)</f>
        <v>0.82</v>
      </c>
      <c r="X3" s="62">
        <f t="shared" ref="X3:X12" si="5">VLOOKUP(I3,$D$47:$G$52,3,FALSE)</f>
        <v>0.9</v>
      </c>
      <c r="Z3" s="806"/>
      <c r="AA3" s="807"/>
    </row>
    <row r="4" spans="1:27" ht="29" x14ac:dyDescent="0.35">
      <c r="A4" s="1131" t="s">
        <v>1534</v>
      </c>
      <c r="B4" s="1131" t="str">
        <f t="shared" si="0"/>
        <v>High Efficiency Boiler Hot Water &lt;300,000 Btu/h  ≥ June 1, 2013 - 499 MBH, Condensing</v>
      </c>
      <c r="C4" s="1148" t="s">
        <v>171</v>
      </c>
      <c r="D4" s="1133" t="s">
        <v>1464</v>
      </c>
      <c r="E4" s="135" t="s">
        <v>356</v>
      </c>
      <c r="F4" s="1179">
        <f t="shared" si="1"/>
        <v>20</v>
      </c>
      <c r="G4" s="1173">
        <v>499000</v>
      </c>
      <c r="H4" s="1148" t="s">
        <v>1531</v>
      </c>
      <c r="I4" s="1148" t="s">
        <v>551</v>
      </c>
      <c r="J4" s="1148" t="s">
        <v>738</v>
      </c>
      <c r="K4" s="1148" t="s">
        <v>736</v>
      </c>
      <c r="L4" s="1204"/>
      <c r="M4" s="1204"/>
      <c r="N4" s="1182"/>
      <c r="O4" s="1182"/>
      <c r="P4" s="1182">
        <f t="shared" ref="P4:P12" si="6">(U4*V4*(X4-W4)/W4)/100000</f>
        <v>744.39774748924049</v>
      </c>
      <c r="Q4" s="1182"/>
      <c r="R4" s="1182"/>
      <c r="S4" s="1205">
        <f t="shared" si="2"/>
        <v>14887.954949784809</v>
      </c>
      <c r="T4" s="62">
        <f>VLOOKUP(J4, [11]List!$J$38:$K$43, 2, FALSE)</f>
        <v>7</v>
      </c>
      <c r="U4" s="62">
        <f>VLOOKUP(K4,List!$B$7:$H$41,T4,FALSE)</f>
        <v>1529.0735294117651</v>
      </c>
      <c r="V4" s="373">
        <f t="shared" si="3"/>
        <v>499000</v>
      </c>
      <c r="W4" s="62">
        <f t="shared" si="4"/>
        <v>0.82</v>
      </c>
      <c r="X4" s="62">
        <f t="shared" si="5"/>
        <v>0.9</v>
      </c>
      <c r="Z4" s="806"/>
      <c r="AA4" s="807"/>
    </row>
    <row r="5" spans="1:27" ht="29" x14ac:dyDescent="0.35">
      <c r="A5" s="1131" t="s">
        <v>1535</v>
      </c>
      <c r="B5" s="1131" t="str">
        <f t="shared" si="0"/>
        <v>High Efficiency Boiler Hot Water &lt;300,000 Btu/h  ≥ June 1, 2013 - 999 MBH, Condensing</v>
      </c>
      <c r="C5" s="1148" t="s">
        <v>172</v>
      </c>
      <c r="D5" s="1133" t="s">
        <v>1464</v>
      </c>
      <c r="E5" s="135" t="s">
        <v>356</v>
      </c>
      <c r="F5" s="1179">
        <f t="shared" si="1"/>
        <v>20</v>
      </c>
      <c r="G5" s="1173">
        <v>999000</v>
      </c>
      <c r="H5" s="1148" t="s">
        <v>1531</v>
      </c>
      <c r="I5" s="1148" t="s">
        <v>551</v>
      </c>
      <c r="J5" s="1148" t="s">
        <v>738</v>
      </c>
      <c r="K5" s="1148" t="s">
        <v>736</v>
      </c>
      <c r="L5" s="1204"/>
      <c r="M5" s="1204"/>
      <c r="N5" s="1182"/>
      <c r="O5" s="1182"/>
      <c r="P5" s="1182">
        <f t="shared" si="6"/>
        <v>1490.2872740315654</v>
      </c>
      <c r="Q5" s="1182"/>
      <c r="R5" s="1182"/>
      <c r="S5" s="1205">
        <f t="shared" si="2"/>
        <v>29805.745480631307</v>
      </c>
      <c r="T5" s="62">
        <f>VLOOKUP(J5, [11]List!$J$38:$K$43, 2, FALSE)</f>
        <v>7</v>
      </c>
      <c r="U5" s="62">
        <f>VLOOKUP(K5,List!$B$7:$H$41,T5,FALSE)</f>
        <v>1529.0735294117651</v>
      </c>
      <c r="V5" s="373">
        <f t="shared" si="3"/>
        <v>999000</v>
      </c>
      <c r="W5" s="62">
        <f t="shared" si="4"/>
        <v>0.82</v>
      </c>
      <c r="X5" s="62">
        <f t="shared" si="5"/>
        <v>0.9</v>
      </c>
      <c r="Z5" s="806"/>
      <c r="AA5" s="807"/>
    </row>
    <row r="6" spans="1:27" ht="29" x14ac:dyDescent="0.35">
      <c r="A6" s="1131" t="s">
        <v>1536</v>
      </c>
      <c r="B6" s="1131" t="str">
        <f t="shared" si="0"/>
        <v>High Efficiency Boiler Hot Water &lt;300,000 Btu/h  ≥ June 1, 2013 - 1,700 MBH, Condensing</v>
      </c>
      <c r="C6" s="1148" t="s">
        <v>173</v>
      </c>
      <c r="D6" s="1133" t="s">
        <v>1464</v>
      </c>
      <c r="E6" s="135" t="s">
        <v>356</v>
      </c>
      <c r="F6" s="1179">
        <f t="shared" si="1"/>
        <v>20</v>
      </c>
      <c r="G6" s="1173">
        <v>1700000</v>
      </c>
      <c r="H6" s="1148" t="s">
        <v>1531</v>
      </c>
      <c r="I6" s="1148" t="s">
        <v>551</v>
      </c>
      <c r="J6" s="1148" t="s">
        <v>738</v>
      </c>
      <c r="K6" s="1148" t="s">
        <v>736</v>
      </c>
      <c r="L6" s="1204"/>
      <c r="M6" s="1204"/>
      <c r="N6" s="1182"/>
      <c r="O6" s="1182"/>
      <c r="P6" s="1182">
        <f t="shared" si="6"/>
        <v>2536.0243902439051</v>
      </c>
      <c r="Q6" s="1182"/>
      <c r="R6" s="1182"/>
      <c r="S6" s="1205">
        <f t="shared" si="2"/>
        <v>50720.487804878103</v>
      </c>
      <c r="T6" s="62">
        <f>VLOOKUP(J6, [11]List!$J$38:$K$43, 2, FALSE)</f>
        <v>7</v>
      </c>
      <c r="U6" s="62">
        <f>VLOOKUP(K6,List!$B$7:$H$41,T6,FALSE)</f>
        <v>1529.0735294117651</v>
      </c>
      <c r="V6" s="373">
        <f t="shared" si="3"/>
        <v>1700000</v>
      </c>
      <c r="W6" s="62">
        <f t="shared" si="4"/>
        <v>0.82</v>
      </c>
      <c r="X6" s="62">
        <f t="shared" si="5"/>
        <v>0.9</v>
      </c>
      <c r="Z6" s="806"/>
      <c r="AA6" s="807"/>
    </row>
    <row r="7" spans="1:27" ht="29" x14ac:dyDescent="0.35">
      <c r="A7" s="1131" t="s">
        <v>1537</v>
      </c>
      <c r="B7" s="1131" t="str">
        <f t="shared" si="0"/>
        <v>High Efficiency Boiler Hot Water &lt;300,000 Btu/h  ≥ June 1, 2013 - 2,000 MBH, Condensing</v>
      </c>
      <c r="C7" s="1148" t="s">
        <v>174</v>
      </c>
      <c r="D7" s="1133" t="s">
        <v>1464</v>
      </c>
      <c r="E7" s="135" t="s">
        <v>356</v>
      </c>
      <c r="F7" s="1179">
        <f t="shared" si="1"/>
        <v>20</v>
      </c>
      <c r="G7" s="1173">
        <v>2000000</v>
      </c>
      <c r="H7" s="1148" t="s">
        <v>1531</v>
      </c>
      <c r="I7" s="1148" t="s">
        <v>551</v>
      </c>
      <c r="J7" s="1148" t="s">
        <v>738</v>
      </c>
      <c r="K7" s="1148" t="s">
        <v>736</v>
      </c>
      <c r="L7" s="1204"/>
      <c r="M7" s="1204"/>
      <c r="N7" s="1182"/>
      <c r="O7" s="1182"/>
      <c r="P7" s="1182">
        <f t="shared" si="6"/>
        <v>2983.5581061693006</v>
      </c>
      <c r="Q7" s="1182"/>
      <c r="R7" s="1182"/>
      <c r="S7" s="1205">
        <f t="shared" si="2"/>
        <v>59671.162123386013</v>
      </c>
      <c r="T7" s="62">
        <f>VLOOKUP(J7, [11]List!$J$38:$K$43, 2, FALSE)</f>
        <v>7</v>
      </c>
      <c r="U7" s="62">
        <f>VLOOKUP(K7,List!$B$7:$H$41,T7,FALSE)</f>
        <v>1529.0735294117651</v>
      </c>
      <c r="V7" s="373">
        <f t="shared" si="3"/>
        <v>2000000</v>
      </c>
      <c r="W7" s="62">
        <f t="shared" si="4"/>
        <v>0.82</v>
      </c>
      <c r="X7" s="62">
        <f t="shared" si="5"/>
        <v>0.9</v>
      </c>
      <c r="Z7" s="806"/>
      <c r="AA7" s="807"/>
    </row>
    <row r="8" spans="1:27" ht="29" x14ac:dyDescent="0.35">
      <c r="A8" s="1131" t="s">
        <v>1538</v>
      </c>
      <c r="B8" s="1131" t="str">
        <f t="shared" si="0"/>
        <v>High Efficiency Boiler Hot Water &lt;300,000 Btu/h  ≥ June 1, 2013 - 300 MBH, Hydronic</v>
      </c>
      <c r="C8" s="1148" t="s">
        <v>175</v>
      </c>
      <c r="D8" s="1133" t="s">
        <v>1464</v>
      </c>
      <c r="E8" s="135" t="s">
        <v>356</v>
      </c>
      <c r="F8" s="1179">
        <f t="shared" si="1"/>
        <v>20</v>
      </c>
      <c r="G8" s="1173">
        <v>300000</v>
      </c>
      <c r="H8" s="1148" t="s">
        <v>1531</v>
      </c>
      <c r="I8" s="1148" t="s">
        <v>1539</v>
      </c>
      <c r="J8" s="1148" t="s">
        <v>738</v>
      </c>
      <c r="K8" s="1148" t="s">
        <v>736</v>
      </c>
      <c r="L8" s="1204"/>
      <c r="M8" s="1204"/>
      <c r="N8" s="1182"/>
      <c r="O8" s="1182"/>
      <c r="P8" s="1182">
        <f t="shared" si="6"/>
        <v>167.82514347202317</v>
      </c>
      <c r="Q8" s="1182"/>
      <c r="R8" s="1182"/>
      <c r="S8" s="1205">
        <f t="shared" si="2"/>
        <v>3356.5028694404637</v>
      </c>
      <c r="T8" s="62">
        <f>VLOOKUP(J8, [11]List!$J$38:$K$43, 2, FALSE)</f>
        <v>7</v>
      </c>
      <c r="U8" s="62">
        <f>VLOOKUP(K8,List!$B$7:$H$41,T8,FALSE)</f>
        <v>1529.0735294117651</v>
      </c>
      <c r="V8" s="373">
        <f t="shared" si="3"/>
        <v>300000</v>
      </c>
      <c r="W8" s="62">
        <f t="shared" si="4"/>
        <v>0.82</v>
      </c>
      <c r="X8" s="62">
        <f t="shared" si="5"/>
        <v>0.85</v>
      </c>
      <c r="Z8" s="806"/>
      <c r="AA8" s="807"/>
    </row>
    <row r="9" spans="1:27" ht="29" x14ac:dyDescent="0.35">
      <c r="A9" s="1131" t="s">
        <v>1540</v>
      </c>
      <c r="B9" s="1131" t="str">
        <f t="shared" si="0"/>
        <v>High Efficiency Boiler Hot Water &lt;300,000 Btu/h  ≥ June 1, 2013 - 499 MBH, Hydronic</v>
      </c>
      <c r="C9" s="1148" t="s">
        <v>176</v>
      </c>
      <c r="D9" s="1133" t="s">
        <v>1464</v>
      </c>
      <c r="E9" s="135" t="s">
        <v>356</v>
      </c>
      <c r="F9" s="1179">
        <f t="shared" si="1"/>
        <v>20</v>
      </c>
      <c r="G9" s="1173">
        <v>499000</v>
      </c>
      <c r="H9" s="1148" t="s">
        <v>1531</v>
      </c>
      <c r="I9" s="1148" t="s">
        <v>1539</v>
      </c>
      <c r="J9" s="1148" t="s">
        <v>738</v>
      </c>
      <c r="K9" s="1148" t="s">
        <v>736</v>
      </c>
      <c r="L9" s="1204"/>
      <c r="M9" s="1204"/>
      <c r="N9" s="1182"/>
      <c r="O9" s="1182"/>
      <c r="P9" s="1182">
        <f t="shared" si="6"/>
        <v>279.1491553084652</v>
      </c>
      <c r="Q9" s="1182"/>
      <c r="R9" s="1182"/>
      <c r="S9" s="1205">
        <f t="shared" si="2"/>
        <v>5582.9831061693039</v>
      </c>
      <c r="T9" s="62">
        <f>VLOOKUP(J9, [11]List!$J$38:$K$43, 2, FALSE)</f>
        <v>7</v>
      </c>
      <c r="U9" s="62">
        <f>VLOOKUP(K9,List!$B$7:$H$41,T9,FALSE)</f>
        <v>1529.0735294117651</v>
      </c>
      <c r="V9" s="373">
        <f t="shared" si="3"/>
        <v>499000</v>
      </c>
      <c r="W9" s="62">
        <f t="shared" si="4"/>
        <v>0.82</v>
      </c>
      <c r="X9" s="62">
        <f t="shared" si="5"/>
        <v>0.85</v>
      </c>
      <c r="Z9" s="806"/>
      <c r="AA9" s="807"/>
    </row>
    <row r="10" spans="1:27" ht="29" x14ac:dyDescent="0.35">
      <c r="A10" s="1131" t="s">
        <v>1541</v>
      </c>
      <c r="B10" s="1131" t="str">
        <f t="shared" si="0"/>
        <v>High Efficiency Boiler Hot Water &lt;300,000 Btu/h  ≥ June 1, 2013 - 999 MBH, Hydronic</v>
      </c>
      <c r="C10" s="1148" t="s">
        <v>177</v>
      </c>
      <c r="D10" s="1133" t="s">
        <v>1464</v>
      </c>
      <c r="E10" s="135" t="s">
        <v>356</v>
      </c>
      <c r="F10" s="1179">
        <f t="shared" si="1"/>
        <v>20</v>
      </c>
      <c r="G10" s="1173">
        <v>999000</v>
      </c>
      <c r="H10" s="1148" t="s">
        <v>1531</v>
      </c>
      <c r="I10" s="1148" t="s">
        <v>1539</v>
      </c>
      <c r="J10" s="1148" t="s">
        <v>738</v>
      </c>
      <c r="K10" s="1148" t="s">
        <v>736</v>
      </c>
      <c r="L10" s="1204"/>
      <c r="M10" s="1204"/>
      <c r="N10" s="1182"/>
      <c r="O10" s="1182"/>
      <c r="P10" s="1182">
        <f t="shared" si="6"/>
        <v>558.85772776183705</v>
      </c>
      <c r="Q10" s="1182"/>
      <c r="R10" s="1182"/>
      <c r="S10" s="1205">
        <f t="shared" si="2"/>
        <v>11177.154555236741</v>
      </c>
      <c r="T10" s="62">
        <f>VLOOKUP(J10, [11]List!$J$38:$K$43, 2, FALSE)</f>
        <v>7</v>
      </c>
      <c r="U10" s="62">
        <f>VLOOKUP(K10,List!$B$7:$H$41,T10,FALSE)</f>
        <v>1529.0735294117651</v>
      </c>
      <c r="V10" s="373">
        <f t="shared" si="3"/>
        <v>999000</v>
      </c>
      <c r="W10" s="62">
        <f t="shared" si="4"/>
        <v>0.82</v>
      </c>
      <c r="X10" s="62">
        <f t="shared" si="5"/>
        <v>0.85</v>
      </c>
      <c r="Z10" s="806"/>
      <c r="AA10" s="807"/>
    </row>
    <row r="11" spans="1:27" ht="29" x14ac:dyDescent="0.35">
      <c r="A11" s="1131" t="s">
        <v>1542</v>
      </c>
      <c r="B11" s="1131" t="str">
        <f t="shared" si="0"/>
        <v>High Efficiency Boiler Hot Water &lt;300,000 Btu/h  ≥ June 1, 2013 - 1,700 MBH, Hydronic</v>
      </c>
      <c r="C11" s="1148" t="s">
        <v>178</v>
      </c>
      <c r="D11" s="1133" t="s">
        <v>1464</v>
      </c>
      <c r="E11" s="135" t="s">
        <v>356</v>
      </c>
      <c r="F11" s="1179">
        <f t="shared" si="1"/>
        <v>20</v>
      </c>
      <c r="G11" s="1173">
        <v>1700000</v>
      </c>
      <c r="H11" s="1148" t="s">
        <v>1531</v>
      </c>
      <c r="I11" s="1148" t="s">
        <v>1539</v>
      </c>
      <c r="J11" s="1148" t="s">
        <v>738</v>
      </c>
      <c r="K11" s="1148" t="s">
        <v>736</v>
      </c>
      <c r="L11" s="1204"/>
      <c r="M11" s="1204"/>
      <c r="N11" s="1182"/>
      <c r="O11" s="1182"/>
      <c r="P11" s="1182">
        <f t="shared" si="6"/>
        <v>951.00914634146454</v>
      </c>
      <c r="Q11" s="1182"/>
      <c r="R11" s="1182"/>
      <c r="S11" s="1205">
        <f t="shared" si="2"/>
        <v>19020.182926829289</v>
      </c>
      <c r="T11" s="62">
        <f>VLOOKUP(J11, [11]List!$J$38:$K$43, 2, FALSE)</f>
        <v>7</v>
      </c>
      <c r="U11" s="62">
        <f>VLOOKUP(K11,List!$B$7:$H$41,T11,FALSE)</f>
        <v>1529.0735294117651</v>
      </c>
      <c r="V11" s="373">
        <f t="shared" si="3"/>
        <v>1700000</v>
      </c>
      <c r="W11" s="62">
        <f t="shared" si="4"/>
        <v>0.82</v>
      </c>
      <c r="X11" s="62">
        <f t="shared" si="5"/>
        <v>0.85</v>
      </c>
      <c r="Z11" s="806"/>
      <c r="AA11" s="807"/>
    </row>
    <row r="12" spans="1:27" ht="29" x14ac:dyDescent="0.35">
      <c r="A12" s="1131" t="s">
        <v>1543</v>
      </c>
      <c r="B12" s="1131" t="str">
        <f t="shared" si="0"/>
        <v>High Efficiency Boiler Hot Water &lt;300,000 Btu/h  ≥ June 1, 2013 - 2,000 MBH, Hydronic</v>
      </c>
      <c r="C12" s="1148" t="s">
        <v>179</v>
      </c>
      <c r="D12" s="1133" t="s">
        <v>1464</v>
      </c>
      <c r="E12" s="135" t="s">
        <v>356</v>
      </c>
      <c r="F12" s="1179">
        <f t="shared" si="1"/>
        <v>20</v>
      </c>
      <c r="G12" s="1173">
        <v>2000000</v>
      </c>
      <c r="H12" s="1148" t="s">
        <v>1531</v>
      </c>
      <c r="I12" s="1148" t="s">
        <v>1539</v>
      </c>
      <c r="J12" s="1148" t="s">
        <v>738</v>
      </c>
      <c r="K12" s="1148" t="s">
        <v>736</v>
      </c>
      <c r="L12" s="1204"/>
      <c r="M12" s="1204"/>
      <c r="N12" s="1182"/>
      <c r="O12" s="1182"/>
      <c r="P12" s="1182">
        <f t="shared" si="6"/>
        <v>1118.8342898134877</v>
      </c>
      <c r="Q12" s="1182"/>
      <c r="R12" s="1182"/>
      <c r="S12" s="1205">
        <f t="shared" si="2"/>
        <v>22376.685796269754</v>
      </c>
      <c r="T12" s="62">
        <f>VLOOKUP(J12, [11]List!$J$38:$K$43, 2, FALSE)</f>
        <v>7</v>
      </c>
      <c r="U12" s="62">
        <f>VLOOKUP(K12,List!$B$7:$H$41,T12,FALSE)</f>
        <v>1529.0735294117651</v>
      </c>
      <c r="V12" s="373">
        <f t="shared" si="3"/>
        <v>2000000</v>
      </c>
      <c r="W12" s="62">
        <f t="shared" si="4"/>
        <v>0.82</v>
      </c>
      <c r="X12" s="62">
        <f t="shared" si="5"/>
        <v>0.85</v>
      </c>
      <c r="Z12" s="806"/>
      <c r="AA12" s="807"/>
    </row>
    <row r="13" spans="1:27" ht="29" x14ac:dyDescent="0.35">
      <c r="A13" s="1131" t="s">
        <v>2614</v>
      </c>
      <c r="B13" s="1131" t="s">
        <v>2616</v>
      </c>
      <c r="C13" s="1148" t="s">
        <v>2617</v>
      </c>
      <c r="D13" s="1133" t="s">
        <v>1464</v>
      </c>
      <c r="E13" s="135" t="s">
        <v>356</v>
      </c>
      <c r="F13" s="1179">
        <f t="shared" si="1"/>
        <v>20</v>
      </c>
      <c r="G13" s="1173">
        <v>2000000</v>
      </c>
      <c r="H13" s="1148" t="s">
        <v>1531</v>
      </c>
      <c r="I13" s="1148" t="s">
        <v>1539</v>
      </c>
      <c r="J13" s="1148" t="s">
        <v>738</v>
      </c>
      <c r="K13" s="1148" t="s">
        <v>736</v>
      </c>
      <c r="L13" s="1204"/>
      <c r="M13" s="1204"/>
      <c r="N13" s="1182"/>
      <c r="O13" s="1182"/>
      <c r="P13" s="1182">
        <f>+AVERAGE(P10:P12)</f>
        <v>876.23372130559653</v>
      </c>
      <c r="Q13" s="1182"/>
      <c r="R13" s="1182"/>
      <c r="S13" s="1205">
        <f t="shared" ref="S13:S15" si="7">P13*F13</f>
        <v>17524.674426111931</v>
      </c>
      <c r="T13" t="s">
        <v>2624</v>
      </c>
      <c r="Z13" s="806"/>
      <c r="AA13" s="807"/>
    </row>
    <row r="14" spans="1:27" ht="43.5" x14ac:dyDescent="0.35">
      <c r="A14" s="1131" t="s">
        <v>2615</v>
      </c>
      <c r="B14" s="1131" t="s">
        <v>2618</v>
      </c>
      <c r="C14" s="1148" t="s">
        <v>2619</v>
      </c>
      <c r="D14" s="1133" t="s">
        <v>1464</v>
      </c>
      <c r="E14" s="135" t="s">
        <v>356</v>
      </c>
      <c r="F14" s="1179">
        <f t="shared" si="1"/>
        <v>20</v>
      </c>
      <c r="G14" s="1173">
        <v>2000000</v>
      </c>
      <c r="H14" s="1148" t="s">
        <v>1531</v>
      </c>
      <c r="I14" s="1148" t="s">
        <v>551</v>
      </c>
      <c r="J14" s="1148" t="s">
        <v>738</v>
      </c>
      <c r="K14" s="1148" t="s">
        <v>736</v>
      </c>
      <c r="L14" s="1204"/>
      <c r="M14" s="1204"/>
      <c r="N14" s="1182"/>
      <c r="O14" s="1182"/>
      <c r="P14" s="1182">
        <f>+AVERAGE(P5:P7)</f>
        <v>2336.6232568149239</v>
      </c>
      <c r="Q14" s="1182"/>
      <c r="R14" s="1182"/>
      <c r="S14" s="1205">
        <f t="shared" si="7"/>
        <v>46732.465136298481</v>
      </c>
      <c r="T14" t="s">
        <v>2624</v>
      </c>
      <c r="Z14" s="806"/>
      <c r="AA14" s="807"/>
    </row>
    <row r="15" spans="1:27" ht="29" x14ac:dyDescent="0.35">
      <c r="A15" s="1131" t="s">
        <v>2623</v>
      </c>
      <c r="B15" s="1131" t="s">
        <v>2620</v>
      </c>
      <c r="C15" s="1148" t="s">
        <v>2621</v>
      </c>
      <c r="D15" s="1133" t="s">
        <v>1464</v>
      </c>
      <c r="E15" s="135" t="s">
        <v>356</v>
      </c>
      <c r="F15" s="1179">
        <f t="shared" si="1"/>
        <v>20</v>
      </c>
      <c r="G15" s="1173">
        <v>2000000</v>
      </c>
      <c r="H15" s="1148" t="s">
        <v>1571</v>
      </c>
      <c r="I15" s="1148" t="s">
        <v>2622</v>
      </c>
      <c r="J15" s="1148" t="s">
        <v>738</v>
      </c>
      <c r="K15" s="1148" t="s">
        <v>736</v>
      </c>
      <c r="L15" s="1204"/>
      <c r="M15" s="1204"/>
      <c r="N15" s="1182"/>
      <c r="O15" s="1182"/>
      <c r="P15" s="1182">
        <f t="shared" ref="P15" si="8">(U15*V15*(X15-W15)/W15)/100000</f>
        <v>4258.1794489947879</v>
      </c>
      <c r="Q15" s="1182"/>
      <c r="R15" s="1182"/>
      <c r="S15" s="1205">
        <f t="shared" si="7"/>
        <v>85163.588979895751</v>
      </c>
      <c r="T15" s="62">
        <f>VLOOKUP(J15, [11]List!$J$38:$K$43, 2, FALSE)</f>
        <v>7</v>
      </c>
      <c r="U15" s="62">
        <f>VLOOKUP(K15,List!$B$7:$H$41,T15,FALSE)</f>
        <v>1529.0735294117651</v>
      </c>
      <c r="V15" s="373">
        <f t="shared" ref="V15" si="9">G15</f>
        <v>2000000</v>
      </c>
      <c r="W15" s="62">
        <f t="shared" ref="W15" si="10">VLOOKUP(H15,$A$55:$B$64,2,FALSE)</f>
        <v>0.79</v>
      </c>
      <c r="X15" s="62">
        <f>VLOOKUP(I15,$D$47:$G$52,3,FALSE)</f>
        <v>0.9</v>
      </c>
      <c r="Z15" s="806"/>
      <c r="AA15" s="807"/>
    </row>
    <row r="16" spans="1:27" x14ac:dyDescent="0.35">
      <c r="A16" s="1131"/>
      <c r="B16" s="1131"/>
      <c r="C16" s="1148"/>
      <c r="D16" s="1133"/>
      <c r="E16" s="135"/>
      <c r="F16" s="1179"/>
      <c r="G16" s="1173"/>
      <c r="H16" s="1148"/>
      <c r="I16" s="1148"/>
      <c r="J16" s="1148"/>
      <c r="K16" s="1148"/>
      <c r="L16" s="1204"/>
      <c r="M16" s="1204"/>
      <c r="N16" s="1182"/>
      <c r="O16" s="1182"/>
      <c r="P16" s="1182"/>
      <c r="Q16" s="1182"/>
      <c r="R16" s="1393"/>
      <c r="S16" s="1393"/>
      <c r="T16" s="83"/>
      <c r="U16" s="83"/>
      <c r="V16" s="1394"/>
      <c r="W16" s="83"/>
      <c r="X16" s="83"/>
      <c r="Z16" s="806"/>
      <c r="AA16" s="807"/>
    </row>
    <row r="17" spans="1:19" x14ac:dyDescent="0.35">
      <c r="A17" s="1137"/>
      <c r="B17" s="1137"/>
      <c r="C17" s="1137"/>
      <c r="D17" s="1137"/>
      <c r="E17" s="1137"/>
      <c r="F17" s="1137"/>
      <c r="G17" s="1137"/>
      <c r="H17" s="1137"/>
      <c r="I17" s="1137"/>
      <c r="J17" s="1137"/>
      <c r="K17" s="1137"/>
      <c r="L17" s="1137"/>
      <c r="M17" s="1137"/>
      <c r="N17" s="1137"/>
      <c r="O17" s="1137"/>
      <c r="P17" s="1137"/>
      <c r="Q17" s="1137"/>
      <c r="R17" s="135"/>
      <c r="S17" s="135"/>
    </row>
    <row r="18" spans="1:19" ht="15" thickBot="1" x14ac:dyDescent="0.4"/>
    <row r="19" spans="1:19" ht="15" thickBot="1" x14ac:dyDescent="0.4">
      <c r="A19" s="88" t="s">
        <v>408</v>
      </c>
      <c r="B19" s="78"/>
      <c r="C19" s="78"/>
      <c r="D19" s="78"/>
      <c r="E19" s="79"/>
    </row>
    <row r="20" spans="1:19" ht="15" thickBot="1" x14ac:dyDescent="0.4">
      <c r="A20" s="1385" t="s">
        <v>1544</v>
      </c>
      <c r="B20" s="1386"/>
      <c r="C20" s="1387"/>
      <c r="D20" s="1387"/>
      <c r="E20" s="1388"/>
      <c r="F20" s="67"/>
      <c r="G20" s="67"/>
      <c r="H20" s="67"/>
      <c r="I20" s="67"/>
    </row>
    <row r="21" spans="1:19" ht="15" thickBot="1" x14ac:dyDescent="0.4">
      <c r="A21" s="188" t="s">
        <v>2571</v>
      </c>
      <c r="B21" s="1384" t="e">
        <f>+#REF!</f>
        <v>#REF!</v>
      </c>
    </row>
    <row r="22" spans="1:19" ht="15" thickBot="1" x14ac:dyDescent="0.4">
      <c r="A22" s="188" t="s">
        <v>2572</v>
      </c>
      <c r="B22" s="701" t="s">
        <v>198</v>
      </c>
      <c r="C22" s="67"/>
      <c r="D22" s="67"/>
      <c r="E22" s="67"/>
    </row>
    <row r="23" spans="1:19" ht="15" thickBot="1" x14ac:dyDescent="0.4">
      <c r="A23" s="311"/>
      <c r="B23" s="67"/>
      <c r="C23" s="67"/>
      <c r="D23" s="67"/>
      <c r="E23" s="67"/>
      <c r="F23" s="67"/>
      <c r="G23" s="67"/>
      <c r="H23" s="67"/>
      <c r="I23" s="67"/>
    </row>
    <row r="24" spans="1:19" ht="15" thickBot="1" x14ac:dyDescent="0.4">
      <c r="A24" s="88" t="s">
        <v>413</v>
      </c>
      <c r="B24" s="89" t="s">
        <v>414</v>
      </c>
      <c r="C24" s="90" t="s">
        <v>415</v>
      </c>
      <c r="D24" s="78"/>
      <c r="E24" s="78"/>
      <c r="F24" s="78"/>
      <c r="G24" s="78"/>
      <c r="H24" s="78"/>
      <c r="I24" s="79"/>
    </row>
    <row r="25" spans="1:19" ht="15" thickBot="1" x14ac:dyDescent="0.4">
      <c r="A25" s="809" t="s">
        <v>1461</v>
      </c>
      <c r="B25" s="735" t="s">
        <v>1471</v>
      </c>
      <c r="C25" s="810" t="s">
        <v>1472</v>
      </c>
      <c r="D25" s="451"/>
      <c r="E25" s="451"/>
      <c r="F25" s="451"/>
      <c r="G25" s="451"/>
      <c r="H25" s="451"/>
      <c r="I25" s="121"/>
    </row>
    <row r="26" spans="1:19" x14ac:dyDescent="0.35">
      <c r="A26" s="118" t="s">
        <v>1469</v>
      </c>
      <c r="B26" s="447" t="s">
        <v>1545</v>
      </c>
      <c r="C26" s="93" t="s">
        <v>1546</v>
      </c>
      <c r="D26" s="94"/>
      <c r="E26" s="94"/>
      <c r="F26" s="94"/>
      <c r="G26" s="94"/>
      <c r="H26" s="94"/>
      <c r="I26" s="95"/>
    </row>
    <row r="27" spans="1:19" ht="15" thickBot="1" x14ac:dyDescent="0.4">
      <c r="A27" s="111"/>
      <c r="B27" s="99"/>
      <c r="C27" s="99" t="s">
        <v>1547</v>
      </c>
      <c r="D27" s="99"/>
      <c r="E27" s="99"/>
      <c r="F27" s="99"/>
      <c r="G27" s="99"/>
      <c r="H27" s="99"/>
      <c r="I27" s="100"/>
    </row>
    <row r="28" spans="1:19" x14ac:dyDescent="0.35">
      <c r="A28" s="306" t="s">
        <v>1529</v>
      </c>
      <c r="B28" s="92" t="s">
        <v>1548</v>
      </c>
      <c r="C28" s="93" t="s">
        <v>2345</v>
      </c>
      <c r="D28" s="94"/>
      <c r="E28" s="94"/>
      <c r="F28" s="94"/>
      <c r="G28" s="94"/>
      <c r="H28" s="94"/>
      <c r="I28" s="95"/>
    </row>
    <row r="29" spans="1:19" ht="15" thickBot="1" x14ac:dyDescent="0.4">
      <c r="A29" s="111"/>
      <c r="B29" s="99"/>
      <c r="C29" s="108" t="s">
        <v>1549</v>
      </c>
      <c r="D29" s="99"/>
      <c r="E29" s="99"/>
      <c r="F29" s="99"/>
      <c r="G29" s="99"/>
      <c r="H29" s="99"/>
      <c r="I29" s="100"/>
    </row>
    <row r="30" spans="1:19" x14ac:dyDescent="0.35">
      <c r="A30" s="306" t="s">
        <v>1530</v>
      </c>
      <c r="B30" s="92" t="s">
        <v>1548</v>
      </c>
      <c r="C30" s="93" t="s">
        <v>2346</v>
      </c>
      <c r="D30" s="94"/>
      <c r="E30" s="94"/>
      <c r="F30" s="94"/>
      <c r="G30" s="94"/>
      <c r="H30" s="94"/>
      <c r="I30" s="95"/>
    </row>
    <row r="31" spans="1:19" ht="15" thickBot="1" x14ac:dyDescent="0.4">
      <c r="A31" s="111"/>
      <c r="B31" s="99"/>
      <c r="C31" s="108" t="s">
        <v>1549</v>
      </c>
      <c r="D31" s="99"/>
      <c r="E31" s="99"/>
      <c r="F31" s="99"/>
      <c r="G31" s="99"/>
      <c r="H31" s="99"/>
      <c r="I31" s="100"/>
    </row>
    <row r="32" spans="1:19" x14ac:dyDescent="0.35">
      <c r="A32" s="118" t="s">
        <v>443</v>
      </c>
      <c r="B32" s="94">
        <v>20</v>
      </c>
      <c r="C32" s="94" t="s">
        <v>1550</v>
      </c>
      <c r="D32" s="94"/>
      <c r="E32" s="94"/>
      <c r="F32" s="94"/>
      <c r="G32" s="94"/>
      <c r="H32" s="94"/>
      <c r="I32" s="95"/>
    </row>
    <row r="33" spans="1:19" ht="15" thickBot="1" x14ac:dyDescent="0.4">
      <c r="A33" s="111"/>
      <c r="B33" s="99"/>
      <c r="C33" s="108" t="s">
        <v>1551</v>
      </c>
      <c r="D33" s="99"/>
      <c r="E33" s="99"/>
      <c r="F33" s="99"/>
      <c r="G33" s="99"/>
      <c r="H33" s="99"/>
      <c r="I33" s="100"/>
    </row>
    <row r="34" spans="1:19" x14ac:dyDescent="0.35">
      <c r="A34" s="118" t="s">
        <v>344</v>
      </c>
      <c r="B34" s="92"/>
      <c r="C34" s="94"/>
      <c r="D34" s="94"/>
      <c r="E34" s="94"/>
      <c r="F34" s="94"/>
      <c r="G34" s="94"/>
      <c r="H34" s="94"/>
      <c r="I34" s="95"/>
      <c r="R34" s="67"/>
      <c r="S34" s="67"/>
    </row>
    <row r="35" spans="1:19" ht="16.5" thickBot="1" x14ac:dyDescent="0.55000000000000004">
      <c r="A35" s="111"/>
      <c r="B35" s="99"/>
      <c r="C35" s="108"/>
      <c r="D35" s="99"/>
      <c r="E35" s="99"/>
      <c r="F35" s="99"/>
      <c r="G35" s="99"/>
      <c r="H35" s="99"/>
      <c r="I35" s="100"/>
      <c r="R35" s="811"/>
      <c r="S35" s="67"/>
    </row>
    <row r="36" spans="1:19" ht="16.5" thickBot="1" x14ac:dyDescent="0.55000000000000004">
      <c r="A36" s="118" t="s">
        <v>1371</v>
      </c>
      <c r="B36" s="94"/>
      <c r="C36" s="94" t="s">
        <v>1552</v>
      </c>
      <c r="D36" s="94"/>
      <c r="E36" s="94"/>
      <c r="F36" s="94"/>
      <c r="G36" s="94"/>
      <c r="H36" s="94"/>
      <c r="I36" s="95"/>
      <c r="R36" s="811"/>
      <c r="S36" s="67"/>
    </row>
    <row r="37" spans="1:19" ht="16" x14ac:dyDescent="0.5">
      <c r="A37" s="118" t="s">
        <v>1373</v>
      </c>
      <c r="B37" s="94"/>
      <c r="C37" s="2225" t="s">
        <v>1553</v>
      </c>
      <c r="D37" s="2225"/>
      <c r="E37" s="2225"/>
      <c r="F37" s="2225"/>
      <c r="G37" s="2225"/>
      <c r="H37" s="2225"/>
      <c r="I37" s="2226"/>
      <c r="R37" s="811"/>
      <c r="S37" s="67"/>
    </row>
    <row r="38" spans="1:19" ht="16.5" thickBot="1" x14ac:dyDescent="0.55000000000000004">
      <c r="A38" s="111"/>
      <c r="B38" s="99"/>
      <c r="C38" s="2227"/>
      <c r="D38" s="2227"/>
      <c r="E38" s="2227"/>
      <c r="F38" s="2227"/>
      <c r="G38" s="2227"/>
      <c r="H38" s="2227"/>
      <c r="I38" s="2228"/>
      <c r="R38" s="811"/>
      <c r="S38" s="67"/>
    </row>
    <row r="39" spans="1:19" ht="16.5" thickBot="1" x14ac:dyDescent="0.55000000000000004">
      <c r="R39" s="811"/>
      <c r="S39" s="67"/>
    </row>
    <row r="40" spans="1:19" ht="16" x14ac:dyDescent="0.5">
      <c r="A40" s="742" t="s">
        <v>539</v>
      </c>
      <c r="B40" s="472"/>
      <c r="C40" s="472"/>
      <c r="D40" s="472"/>
      <c r="E40" s="472"/>
      <c r="F40" s="472"/>
      <c r="G40" s="472"/>
      <c r="H40" s="473"/>
      <c r="R40" s="811"/>
      <c r="S40" s="67"/>
    </row>
    <row r="41" spans="1:19" ht="16" x14ac:dyDescent="0.5">
      <c r="A41" s="794" t="s">
        <v>1554</v>
      </c>
      <c r="B41" s="221" t="s">
        <v>1528</v>
      </c>
      <c r="C41" s="221" t="s">
        <v>342</v>
      </c>
      <c r="D41" s="83"/>
      <c r="E41" s="83"/>
      <c r="F41" s="83"/>
      <c r="G41" s="83"/>
      <c r="H41" s="125"/>
      <c r="R41" s="811"/>
      <c r="S41" s="67"/>
    </row>
    <row r="42" spans="1:19" ht="16" x14ac:dyDescent="0.5">
      <c r="A42" s="360" t="s">
        <v>1555</v>
      </c>
      <c r="B42" s="62" t="s">
        <v>512</v>
      </c>
      <c r="C42" s="62" t="s">
        <v>356</v>
      </c>
      <c r="D42" s="83"/>
      <c r="E42" s="83"/>
      <c r="F42" s="83"/>
      <c r="G42" s="83"/>
      <c r="H42" s="125"/>
      <c r="R42" s="811"/>
      <c r="S42" s="67"/>
    </row>
    <row r="43" spans="1:19" x14ac:dyDescent="0.35">
      <c r="A43" s="360" t="s">
        <v>1556</v>
      </c>
      <c r="B43" s="62" t="s">
        <v>1532</v>
      </c>
      <c r="C43" s="62" t="s">
        <v>495</v>
      </c>
      <c r="D43" s="83"/>
      <c r="E43" s="83"/>
      <c r="F43" s="83"/>
      <c r="G43" s="83"/>
      <c r="H43" s="125"/>
      <c r="R43" s="67"/>
      <c r="S43" s="67"/>
    </row>
    <row r="44" spans="1:19" x14ac:dyDescent="0.35">
      <c r="A44" s="124"/>
      <c r="B44" s="83"/>
      <c r="C44" s="83"/>
      <c r="D44" s="83"/>
      <c r="E44" s="83"/>
      <c r="F44" s="83"/>
      <c r="G44" s="83"/>
      <c r="H44" s="125"/>
      <c r="R44" s="67"/>
      <c r="S44" s="67"/>
    </row>
    <row r="45" spans="1:19" x14ac:dyDescent="0.35">
      <c r="A45" s="794" t="s">
        <v>1490</v>
      </c>
      <c r="B45" s="221"/>
      <c r="C45" s="83"/>
      <c r="D45" s="83"/>
      <c r="E45" s="83"/>
      <c r="F45" s="83"/>
      <c r="G45" s="83"/>
      <c r="H45" s="125"/>
      <c r="R45" s="67"/>
      <c r="S45" s="67"/>
    </row>
    <row r="46" spans="1:19" ht="26" x14ac:dyDescent="0.35">
      <c r="A46" s="360">
        <f>C71</f>
        <v>0</v>
      </c>
      <c r="B46" s="62">
        <v>2</v>
      </c>
      <c r="C46" s="83"/>
      <c r="D46" s="221" t="s">
        <v>340</v>
      </c>
      <c r="E46" s="221" t="s">
        <v>1554</v>
      </c>
      <c r="F46" s="365" t="s">
        <v>557</v>
      </c>
      <c r="G46" s="812" t="s">
        <v>1557</v>
      </c>
      <c r="H46" s="125"/>
      <c r="R46" s="67"/>
      <c r="S46" s="67"/>
    </row>
    <row r="47" spans="1:19" ht="26" x14ac:dyDescent="0.35">
      <c r="A47" s="360">
        <f>D71</f>
        <v>0</v>
      </c>
      <c r="B47" s="62">
        <v>3</v>
      </c>
      <c r="C47" s="83"/>
      <c r="D47" s="315" t="s">
        <v>1539</v>
      </c>
      <c r="E47" s="62" t="s">
        <v>1558</v>
      </c>
      <c r="F47" s="813">
        <v>0.85</v>
      </c>
      <c r="G47" s="814">
        <v>1470</v>
      </c>
      <c r="H47" s="125"/>
      <c r="R47" s="67"/>
      <c r="S47" s="67"/>
    </row>
    <row r="48" spans="1:19" x14ac:dyDescent="0.35">
      <c r="A48" s="360">
        <f>E71</f>
        <v>0</v>
      </c>
      <c r="B48" s="62">
        <v>4</v>
      </c>
      <c r="C48" s="83"/>
      <c r="D48" s="315" t="s">
        <v>551</v>
      </c>
      <c r="E48" s="62" t="s">
        <v>1559</v>
      </c>
      <c r="F48" s="813">
        <v>0.9</v>
      </c>
      <c r="G48" s="814">
        <v>2400</v>
      </c>
      <c r="H48" s="125"/>
      <c r="R48" s="67"/>
      <c r="S48" s="67"/>
    </row>
    <row r="49" spans="1:8" x14ac:dyDescent="0.35">
      <c r="A49" s="360">
        <f>F71</f>
        <v>0</v>
      </c>
      <c r="B49" s="62">
        <v>5</v>
      </c>
      <c r="C49" s="83"/>
      <c r="D49" s="315" t="s">
        <v>2622</v>
      </c>
      <c r="E49" s="62" t="s">
        <v>1556</v>
      </c>
      <c r="F49" s="813">
        <v>0.9</v>
      </c>
      <c r="G49" s="814">
        <v>2400</v>
      </c>
      <c r="H49" s="125"/>
    </row>
    <row r="50" spans="1:8" x14ac:dyDescent="0.35">
      <c r="A50" s="360">
        <f>G71</f>
        <v>0</v>
      </c>
      <c r="B50" s="62">
        <v>6</v>
      </c>
      <c r="C50" s="83"/>
      <c r="D50" s="315" t="s">
        <v>511</v>
      </c>
      <c r="E50" s="62"/>
      <c r="F50" s="813">
        <v>0.95</v>
      </c>
      <c r="G50" s="814">
        <v>3370</v>
      </c>
      <c r="H50" s="125"/>
    </row>
    <row r="51" spans="1:8" x14ac:dyDescent="0.35">
      <c r="A51" s="360" t="s">
        <v>738</v>
      </c>
      <c r="B51" s="62">
        <v>7</v>
      </c>
      <c r="C51" s="83"/>
      <c r="D51" s="315" t="s">
        <v>1560</v>
      </c>
      <c r="E51" s="62"/>
      <c r="F51" s="815">
        <v>0.96</v>
      </c>
      <c r="G51" s="814">
        <v>4340</v>
      </c>
      <c r="H51" s="125"/>
    </row>
    <row r="52" spans="1:8" x14ac:dyDescent="0.35">
      <c r="A52" s="124"/>
      <c r="B52" s="83"/>
      <c r="C52" s="83"/>
      <c r="D52" s="315" t="s">
        <v>295</v>
      </c>
      <c r="E52" s="62"/>
      <c r="F52" s="816">
        <v>0.95699999999999996</v>
      </c>
      <c r="G52" s="315" t="s">
        <v>295</v>
      </c>
      <c r="H52" s="125"/>
    </row>
    <row r="53" spans="1:8" x14ac:dyDescent="0.35">
      <c r="A53" s="817" t="s">
        <v>1561</v>
      </c>
      <c r="B53" s="221"/>
      <c r="C53" s="221"/>
      <c r="D53" s="83"/>
      <c r="E53" s="83"/>
      <c r="F53" s="83"/>
      <c r="G53" s="83"/>
      <c r="H53" s="125"/>
    </row>
    <row r="54" spans="1:8" ht="39" x14ac:dyDescent="0.35">
      <c r="A54" s="794" t="s">
        <v>581</v>
      </c>
      <c r="B54" s="221" t="s">
        <v>1562</v>
      </c>
      <c r="C54" s="221" t="s">
        <v>1563</v>
      </c>
      <c r="D54" s="83"/>
      <c r="E54" s="221" t="s">
        <v>1526</v>
      </c>
      <c r="F54" s="221" t="s">
        <v>1527</v>
      </c>
      <c r="G54" s="221" t="s">
        <v>2344</v>
      </c>
      <c r="H54" s="125"/>
    </row>
    <row r="55" spans="1:8" ht="29" x14ac:dyDescent="0.35">
      <c r="A55" s="757" t="s">
        <v>1564</v>
      </c>
      <c r="B55" s="127">
        <v>0.8</v>
      </c>
      <c r="C55" s="818" t="s">
        <v>547</v>
      </c>
      <c r="D55" s="83"/>
      <c r="E55" s="317" t="s">
        <v>1531</v>
      </c>
      <c r="F55" s="317" t="s">
        <v>551</v>
      </c>
      <c r="G55" s="62"/>
      <c r="H55" s="125"/>
    </row>
    <row r="56" spans="1:8" ht="29" x14ac:dyDescent="0.35">
      <c r="A56" s="757" t="s">
        <v>1565</v>
      </c>
      <c r="B56" s="127">
        <v>0.82</v>
      </c>
      <c r="C56" s="818" t="s">
        <v>547</v>
      </c>
      <c r="D56" s="83"/>
      <c r="E56" s="317" t="s">
        <v>1531</v>
      </c>
      <c r="F56" s="317" t="s">
        <v>551</v>
      </c>
      <c r="G56" s="62"/>
      <c r="H56" s="125"/>
    </row>
    <row r="57" spans="1:8" ht="29" x14ac:dyDescent="0.35">
      <c r="A57" s="757" t="s">
        <v>1566</v>
      </c>
      <c r="B57" s="127">
        <v>0.8</v>
      </c>
      <c r="C57" s="818" t="s">
        <v>1567</v>
      </c>
      <c r="D57" s="83"/>
      <c r="E57" s="317" t="s">
        <v>1531</v>
      </c>
      <c r="F57" s="317" t="s">
        <v>551</v>
      </c>
      <c r="G57" s="62"/>
      <c r="H57" s="125"/>
    </row>
    <row r="58" spans="1:8" ht="29" x14ac:dyDescent="0.35">
      <c r="A58" s="757" t="s">
        <v>1568</v>
      </c>
      <c r="B58" s="127">
        <v>0.82</v>
      </c>
      <c r="C58" s="818" t="s">
        <v>1567</v>
      </c>
      <c r="D58" s="83"/>
      <c r="E58" s="317" t="s">
        <v>1531</v>
      </c>
      <c r="F58" s="317" t="s">
        <v>551</v>
      </c>
      <c r="G58" s="62"/>
      <c r="H58" s="125"/>
    </row>
    <row r="59" spans="1:8" ht="29" x14ac:dyDescent="0.35">
      <c r="A59" s="757" t="s">
        <v>1569</v>
      </c>
      <c r="B59" s="127">
        <v>0.75</v>
      </c>
      <c r="C59" s="818" t="s">
        <v>547</v>
      </c>
      <c r="D59" s="83"/>
      <c r="E59" s="317" t="s">
        <v>1531</v>
      </c>
      <c r="F59" s="317" t="s">
        <v>551</v>
      </c>
      <c r="G59" s="62"/>
      <c r="H59" s="125"/>
    </row>
    <row r="60" spans="1:8" ht="29" x14ac:dyDescent="0.35">
      <c r="A60" s="757" t="s">
        <v>1570</v>
      </c>
      <c r="B60" s="127">
        <v>0.8</v>
      </c>
      <c r="C60" s="818" t="s">
        <v>547</v>
      </c>
      <c r="D60" s="83"/>
      <c r="E60" s="317" t="s">
        <v>1531</v>
      </c>
      <c r="F60" s="317" t="s">
        <v>1539</v>
      </c>
      <c r="G60" s="62"/>
      <c r="H60" s="125"/>
    </row>
    <row r="61" spans="1:8" ht="39" x14ac:dyDescent="0.35">
      <c r="A61" s="757" t="s">
        <v>1571</v>
      </c>
      <c r="B61" s="127">
        <v>0.79</v>
      </c>
      <c r="C61" s="818" t="s">
        <v>1567</v>
      </c>
      <c r="D61" s="83"/>
      <c r="E61" s="317" t="s">
        <v>1531</v>
      </c>
      <c r="F61" s="317" t="s">
        <v>1539</v>
      </c>
      <c r="G61" s="62"/>
      <c r="H61" s="125"/>
    </row>
    <row r="62" spans="1:8" ht="39" x14ac:dyDescent="0.35">
      <c r="A62" s="757" t="s">
        <v>1572</v>
      </c>
      <c r="B62" s="127">
        <v>0.77</v>
      </c>
      <c r="C62" s="818" t="s">
        <v>1573</v>
      </c>
      <c r="D62" s="83"/>
      <c r="E62" s="317" t="s">
        <v>1531</v>
      </c>
      <c r="F62" s="317" t="s">
        <v>1539</v>
      </c>
      <c r="G62" s="62"/>
      <c r="H62" s="125"/>
    </row>
    <row r="63" spans="1:8" ht="29" x14ac:dyDescent="0.35">
      <c r="A63" s="757" t="s">
        <v>1574</v>
      </c>
      <c r="B63" s="127">
        <v>0.79</v>
      </c>
      <c r="C63" s="818" t="s">
        <v>1567</v>
      </c>
      <c r="D63" s="83"/>
      <c r="E63" s="317" t="s">
        <v>1531</v>
      </c>
      <c r="F63" s="317" t="s">
        <v>1539</v>
      </c>
      <c r="G63" s="62"/>
      <c r="H63" s="125"/>
    </row>
    <row r="64" spans="1:8" ht="29.5" thickBot="1" x14ac:dyDescent="0.4">
      <c r="A64" s="819" t="s">
        <v>1575</v>
      </c>
      <c r="B64" s="820">
        <v>0.77</v>
      </c>
      <c r="C64" s="821" t="s">
        <v>1573</v>
      </c>
      <c r="D64" s="201"/>
      <c r="E64" s="798" t="s">
        <v>1531</v>
      </c>
      <c r="F64" s="798" t="s">
        <v>1539</v>
      </c>
      <c r="G64" s="168"/>
      <c r="H64" s="203"/>
    </row>
    <row r="86" spans="2:2" x14ac:dyDescent="0.35"/>
  </sheetData>
  <customSheetViews>
    <customSheetView guid="{11DE45F5-F478-4ED6-8DFF-12002C22A637}" scale="60" showPageBreaks="1" fitToPage="1" view="pageBreakPreview">
      <pageMargins left="0.7" right="0.7" top="0.75" bottom="0.75" header="0.3" footer="0.3"/>
      <pageSetup scale="29" orientation="landscape" r:id="rId1"/>
    </customSheetView>
    <customSheetView guid="{ECD6FE6A-9548-414E-B8AA-6998703C57E0}" scale="60" showPageBreaks="1" fitToPage="1" view="pageBreakPreview">
      <pageMargins left="0.7" right="0.7" top="0.75" bottom="0.75" header="0.3" footer="0.3"/>
      <pageSetup scale="29" orientation="landscape" r:id="rId2"/>
    </customSheetView>
  </customSheetViews>
  <mergeCells count="4">
    <mergeCell ref="N1:P1"/>
    <mergeCell ref="Q1:S1"/>
    <mergeCell ref="T1:X1"/>
    <mergeCell ref="C37:I38"/>
  </mergeCells>
  <dataValidations count="5">
    <dataValidation type="list" allowBlank="1" showInputMessage="1" showErrorMessage="1" sqref="D3:D16" xr:uid="{00000000-0002-0000-1900-000000000000}">
      <formula1>MeasureType</formula1>
    </dataValidation>
    <dataValidation type="list" allowBlank="1" showInputMessage="1" showErrorMessage="1" sqref="E55:E64 H3:H16" xr:uid="{00000000-0002-0000-1900-000001000000}">
      <formula1>HEBr5</formula1>
    </dataValidation>
    <dataValidation type="list" allowBlank="1" showInputMessage="1" showErrorMessage="1" sqref="F55:F64 I3:I16" xr:uid="{00000000-0002-0000-1900-000002000000}">
      <formula1>HEBr3</formula1>
    </dataValidation>
    <dataValidation type="list" allowBlank="1" showInputMessage="1" showErrorMessage="1" sqref="E3:E16" xr:uid="{00000000-0002-0000-1900-000003000000}">
      <formula1>HEBr1</formula1>
    </dataValidation>
    <dataValidation type="list" allowBlank="1" showInputMessage="1" showErrorMessage="1" sqref="M3:M16" xr:uid="{00000000-0002-0000-1900-000004000000}">
      <formula1>$B$42:$B$43</formula1>
    </dataValidation>
  </dataValidations>
  <pageMargins left="0.7" right="0.7" top="0.75" bottom="0.75" header="0.3" footer="0.3"/>
  <pageSetup scale="30" orientation="landscape"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5000000}">
          <x14:formula1>
            <xm:f>'T:\EEP Planning Models\Planning Tools\Measure_Data\Custom TRM EEP 3\[HIM_CI_TRMv5 0.xlsx]List'!#REF!</xm:f>
          </x14:formula1>
          <xm:sqref>J3:K16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79998168889431442"/>
    <pageSetUpPr fitToPage="1"/>
  </sheetPr>
  <dimension ref="A1:AR191"/>
  <sheetViews>
    <sheetView view="pageBreakPreview" zoomScale="85" zoomScaleNormal="100" zoomScaleSheetLayoutView="85" workbookViewId="0"/>
  </sheetViews>
  <sheetFormatPr defaultRowHeight="14.5" x14ac:dyDescent="0.35"/>
  <cols>
    <col min="1" max="1" width="17.81640625" customWidth="1"/>
    <col min="2" max="2" width="62.26953125" customWidth="1"/>
    <col min="3" max="3" width="78.7265625" bestFit="1" customWidth="1"/>
    <col min="4" max="4" width="21.7265625" customWidth="1"/>
    <col min="5" max="5" width="13.26953125" customWidth="1"/>
    <col min="6" max="6" width="12.81640625" customWidth="1"/>
    <col min="7" max="7" width="13.1796875" customWidth="1"/>
    <col min="8" max="8" width="13.26953125" customWidth="1"/>
    <col min="9" max="9" width="15.26953125" customWidth="1"/>
    <col min="10" max="10" width="26.81640625" bestFit="1" customWidth="1"/>
    <col min="11" max="11" width="18" customWidth="1"/>
    <col min="12" max="13" width="12.7265625" customWidth="1"/>
    <col min="14" max="14" width="10" bestFit="1" customWidth="1"/>
    <col min="15" max="15" width="10.54296875" customWidth="1"/>
    <col min="16" max="16" width="14.7265625" bestFit="1" customWidth="1"/>
    <col min="17" max="17" width="10.81640625" customWidth="1"/>
    <col min="19" max="19" width="11.26953125" customWidth="1"/>
    <col min="21" max="21" width="13.26953125" customWidth="1"/>
    <col min="26" max="26" width="13.1796875" customWidth="1"/>
    <col min="32" max="32" width="9.1796875" customWidth="1"/>
  </cols>
  <sheetData>
    <row r="1" spans="1:42" x14ac:dyDescent="0.35">
      <c r="A1" s="1721" t="s">
        <v>308</v>
      </c>
      <c r="B1" s="1172" t="s">
        <v>1576</v>
      </c>
      <c r="C1" s="1176"/>
      <c r="D1" s="1176"/>
      <c r="E1" s="1124"/>
      <c r="F1" s="1177"/>
      <c r="G1" s="1177"/>
      <c r="H1" s="1177"/>
      <c r="I1" s="1177"/>
      <c r="J1" s="1177"/>
      <c r="K1" s="1177"/>
      <c r="L1" s="1177"/>
      <c r="M1" s="1177"/>
      <c r="N1" s="1177"/>
      <c r="O1" s="1177"/>
      <c r="P1" s="2248" t="s">
        <v>335</v>
      </c>
      <c r="Q1" s="2248"/>
      <c r="R1" s="2248"/>
      <c r="S1" s="2248" t="s">
        <v>336</v>
      </c>
      <c r="T1" s="2248"/>
      <c r="U1" s="2216"/>
      <c r="V1" s="2312" t="s">
        <v>337</v>
      </c>
      <c r="W1" s="2312"/>
      <c r="X1" s="2312"/>
      <c r="Y1" s="2312"/>
      <c r="Z1" s="2312"/>
      <c r="AA1" s="2312"/>
      <c r="AB1" s="2312"/>
      <c r="AC1" s="2312"/>
      <c r="AD1" s="2312"/>
      <c r="AE1" s="2312"/>
      <c r="AF1" s="2312"/>
    </row>
    <row r="2" spans="1:42" ht="43.5" x14ac:dyDescent="0.35">
      <c r="A2" s="1145" t="s">
        <v>338</v>
      </c>
      <c r="B2" s="1129" t="s">
        <v>1</v>
      </c>
      <c r="C2" s="1129" t="s">
        <v>339</v>
      </c>
      <c r="D2" s="1129" t="s">
        <v>688</v>
      </c>
      <c r="E2" s="1177" t="s">
        <v>342</v>
      </c>
      <c r="F2" s="1177" t="s">
        <v>343</v>
      </c>
      <c r="G2" s="1177" t="s">
        <v>1577</v>
      </c>
      <c r="H2" s="1177" t="s">
        <v>1578</v>
      </c>
      <c r="I2" s="1177" t="s">
        <v>1527</v>
      </c>
      <c r="J2" s="1177" t="s">
        <v>838</v>
      </c>
      <c r="K2" s="1177" t="s">
        <v>1044</v>
      </c>
      <c r="L2" s="1177" t="s">
        <v>1579</v>
      </c>
      <c r="M2" s="1177" t="s">
        <v>346</v>
      </c>
      <c r="N2" s="1177" t="s">
        <v>345</v>
      </c>
      <c r="O2" s="1177" t="s">
        <v>1580</v>
      </c>
      <c r="P2" s="1177" t="s">
        <v>347</v>
      </c>
      <c r="Q2" s="1177" t="s">
        <v>348</v>
      </c>
      <c r="R2" s="1177" t="s">
        <v>349</v>
      </c>
      <c r="S2" s="1177" t="s">
        <v>347</v>
      </c>
      <c r="T2" s="1177" t="s">
        <v>348</v>
      </c>
      <c r="U2" s="1177" t="s">
        <v>349</v>
      </c>
      <c r="V2" s="822" t="s">
        <v>1581</v>
      </c>
      <c r="W2" s="822" t="s">
        <v>1582</v>
      </c>
      <c r="X2" s="822" t="s">
        <v>1583</v>
      </c>
      <c r="Y2" s="823" t="s">
        <v>1584</v>
      </c>
      <c r="Z2" s="824" t="s">
        <v>1585</v>
      </c>
      <c r="AA2" s="824" t="s">
        <v>1586</v>
      </c>
      <c r="AB2" s="822" t="s">
        <v>615</v>
      </c>
      <c r="AC2" s="822" t="s">
        <v>1461</v>
      </c>
      <c r="AD2" s="822" t="s">
        <v>1469</v>
      </c>
      <c r="AE2" s="822" t="s">
        <v>541</v>
      </c>
      <c r="AF2" s="822" t="s">
        <v>1587</v>
      </c>
      <c r="AH2" s="825"/>
      <c r="AI2" s="825"/>
    </row>
    <row r="3" spans="1:42" ht="15.75" customHeight="1" x14ac:dyDescent="0.35">
      <c r="A3" s="1131" t="s">
        <v>1588</v>
      </c>
      <c r="B3" s="1131" t="str">
        <f t="shared" ref="B3:B4" si="0">$B$1&amp;"- "&amp;FIXED(I3*100,1)&amp;"%, Install Yr. "&amp;G3&amp;", Building Type: "&amp;J3</f>
        <v>High Efficiency Furnace- 92.0%, Install Yr. 2012, Building Type: Unknown</v>
      </c>
      <c r="C3" s="135" t="s">
        <v>181</v>
      </c>
      <c r="D3" s="1133" t="s">
        <v>510</v>
      </c>
      <c r="E3" s="135" t="s">
        <v>356</v>
      </c>
      <c r="F3" s="1179">
        <f>+$B$36</f>
        <v>16.5</v>
      </c>
      <c r="G3" s="1207">
        <v>2012</v>
      </c>
      <c r="H3" s="1150" t="s">
        <v>399</v>
      </c>
      <c r="I3" s="1208">
        <v>0.92</v>
      </c>
      <c r="J3" s="1148" t="s">
        <v>399</v>
      </c>
      <c r="K3" s="1148" t="s">
        <v>738</v>
      </c>
      <c r="L3" s="1173">
        <v>150000</v>
      </c>
      <c r="M3" s="135"/>
      <c r="N3" s="1179" t="s">
        <v>357</v>
      </c>
      <c r="O3" s="1204"/>
      <c r="P3" s="1182"/>
      <c r="Q3" s="1184"/>
      <c r="R3" s="1182">
        <f>(AC3*AD3*(AF3-AE3)/AE3)/100000</f>
        <v>387.06877840909084</v>
      </c>
      <c r="S3" s="1182"/>
      <c r="T3" s="1182"/>
      <c r="U3" s="1182">
        <f t="shared" ref="U3:U4" si="1">R3*F3</f>
        <v>6386.6348437499992</v>
      </c>
      <c r="V3" s="62">
        <f>VLOOKUP(K3, List!$J$12:$K$17, 2, FALSE)</f>
        <v>7</v>
      </c>
      <c r="W3" s="62">
        <f>+$B$17</f>
        <v>418</v>
      </c>
      <c r="X3" s="62">
        <f>VLOOKUP(H3,$B$52:$C$54,2,FALSE)</f>
        <v>241</v>
      </c>
      <c r="Y3" s="62">
        <f>+$B$21</f>
        <v>51</v>
      </c>
      <c r="Z3" s="62">
        <f>VLOOKUP(J3,$B$157:$C$188,2,FALSE)</f>
        <v>2718</v>
      </c>
      <c r="AA3" s="62">
        <f>+$B$25</f>
        <v>365.25</v>
      </c>
      <c r="AB3" s="62">
        <f>VLOOKUP(J3,$B$157:$D$188,3,FALSE)</f>
        <v>0.42399999999999999</v>
      </c>
      <c r="AC3" s="62">
        <f>VLOOKUP(J3,$A$112:$G$147,V3,FALSE)</f>
        <v>1529.1606060606059</v>
      </c>
      <c r="AD3" s="373">
        <f>L3</f>
        <v>150000</v>
      </c>
      <c r="AE3" s="62">
        <f>IF(G3&lt;=$B$76,$C$76,$C$77)</f>
        <v>0.8</v>
      </c>
      <c r="AF3" s="374">
        <f>IF(I3=B$62,$C$62,$C$63)</f>
        <v>0.93500000000000005</v>
      </c>
      <c r="AH3" s="184"/>
      <c r="AI3" s="184"/>
    </row>
    <row r="4" spans="1:42" ht="15.75" customHeight="1" x14ac:dyDescent="0.35">
      <c r="A4" s="1131" t="s">
        <v>1589</v>
      </c>
      <c r="B4" s="1131" t="str">
        <f t="shared" si="0"/>
        <v>High Efficiency Furnace- 95.0%, Install Yr. 2012, Building Type: Unknown</v>
      </c>
      <c r="C4" s="135" t="s">
        <v>182</v>
      </c>
      <c r="D4" s="1133" t="s">
        <v>510</v>
      </c>
      <c r="E4" s="135" t="s">
        <v>356</v>
      </c>
      <c r="F4" s="1179">
        <f>+$B$36</f>
        <v>16.5</v>
      </c>
      <c r="G4" s="1207">
        <v>2012</v>
      </c>
      <c r="H4" s="1150" t="s">
        <v>399</v>
      </c>
      <c r="I4" s="1208">
        <v>0.95</v>
      </c>
      <c r="J4" s="1148" t="s">
        <v>399</v>
      </c>
      <c r="K4" s="1148" t="s">
        <v>738</v>
      </c>
      <c r="L4" s="1173">
        <v>150000</v>
      </c>
      <c r="M4" s="135"/>
      <c r="N4" s="1179" t="s">
        <v>357</v>
      </c>
      <c r="O4" s="1204"/>
      <c r="P4" s="1182"/>
      <c r="Q4" s="1184"/>
      <c r="R4" s="1182">
        <f t="shared" ref="R4" si="2">(AC4*AD4*(AF4-AE4)/AE4)/100000</f>
        <v>458.74818181818148</v>
      </c>
      <c r="S4" s="1182"/>
      <c r="T4" s="1182"/>
      <c r="U4" s="1182">
        <f t="shared" si="1"/>
        <v>7569.3449999999948</v>
      </c>
      <c r="V4" s="62">
        <f>VLOOKUP(K4, List!$J$12:$K$17, 2, FALSE)</f>
        <v>7</v>
      </c>
      <c r="W4" s="62">
        <f>+$B$17</f>
        <v>418</v>
      </c>
      <c r="X4" s="62">
        <f>VLOOKUP(H4,$B$52:$C$54,2,FALSE)</f>
        <v>241</v>
      </c>
      <c r="Y4" s="62">
        <f>+$B$21</f>
        <v>51</v>
      </c>
      <c r="Z4" s="62">
        <f>VLOOKUP(J4,$B$157:$C$188,2,FALSE)</f>
        <v>2718</v>
      </c>
      <c r="AA4" s="62">
        <f>+$B$25</f>
        <v>365.25</v>
      </c>
      <c r="AB4" s="62">
        <f>VLOOKUP(J4,$B$157:$D$188,3,FALSE)</f>
        <v>0.42399999999999999</v>
      </c>
      <c r="AC4" s="62">
        <f>VLOOKUP(J4,$A$112:$G$147,V4,FALSE)</f>
        <v>1529.1606060606059</v>
      </c>
      <c r="AD4" s="373">
        <f>L4</f>
        <v>150000</v>
      </c>
      <c r="AE4" s="62">
        <f>IF(G4&lt;=$B$76,$C$76,$C$77)</f>
        <v>0.8</v>
      </c>
      <c r="AF4" s="374">
        <f>IF(I4=B$62,$C$62,$C$63)</f>
        <v>0.96</v>
      </c>
      <c r="AH4" s="184"/>
      <c r="AI4" s="184"/>
    </row>
    <row r="5" spans="1:42" ht="30.75" customHeight="1" x14ac:dyDescent="0.35">
      <c r="A5" s="1131" t="s">
        <v>2629</v>
      </c>
      <c r="B5" s="1131" t="s">
        <v>2625</v>
      </c>
      <c r="C5" s="135" t="s">
        <v>2626</v>
      </c>
      <c r="D5" s="1133" t="s">
        <v>510</v>
      </c>
      <c r="E5" s="135" t="s">
        <v>356</v>
      </c>
      <c r="F5" s="1179">
        <f>+$B$36</f>
        <v>16.5</v>
      </c>
      <c r="G5" s="1207">
        <v>2012</v>
      </c>
      <c r="H5" s="1150" t="s">
        <v>399</v>
      </c>
      <c r="I5" s="1208">
        <v>0.92</v>
      </c>
      <c r="J5" s="1148" t="s">
        <v>2612</v>
      </c>
      <c r="K5" s="1148" t="s">
        <v>738</v>
      </c>
      <c r="L5" s="1173">
        <v>150000</v>
      </c>
      <c r="M5" s="135"/>
      <c r="N5" s="1179" t="s">
        <v>357</v>
      </c>
      <c r="O5" s="1204"/>
      <c r="P5" s="1182"/>
      <c r="Q5" s="1184"/>
      <c r="R5" s="1182">
        <f t="shared" ref="R5:R6" si="3">(AC5*AD5*(AF5-AE5)/AE5)/100000</f>
        <v>386.04093749999998</v>
      </c>
      <c r="S5" s="1182"/>
      <c r="T5" s="1182"/>
      <c r="U5" s="1182">
        <f t="shared" ref="U5:U6" si="4">R5*F5</f>
        <v>6369.6754687499997</v>
      </c>
      <c r="V5" s="62">
        <f>VLOOKUP(K5, List!$J$12:$K$17, 2, FALSE)</f>
        <v>7</v>
      </c>
      <c r="W5" s="62">
        <f>+$B$17</f>
        <v>418</v>
      </c>
      <c r="X5" s="62">
        <f>VLOOKUP(H5,$B$52:$C$54,2,FALSE)</f>
        <v>241</v>
      </c>
      <c r="Y5" s="62">
        <f>+$B$21</f>
        <v>51</v>
      </c>
      <c r="Z5" s="62">
        <v>2718</v>
      </c>
      <c r="AA5" s="62">
        <f>+$B$25</f>
        <v>365.25</v>
      </c>
      <c r="AB5" s="62">
        <v>0.42399999999999999</v>
      </c>
      <c r="AC5" s="62">
        <f>VLOOKUP(J5,List!$J$23:$P$33,V5,FALSE)</f>
        <v>1525.1</v>
      </c>
      <c r="AD5" s="373">
        <f t="shared" ref="AD5:AD6" si="5">L5</f>
        <v>150000</v>
      </c>
      <c r="AE5" s="62">
        <f>IF(G5&lt;=$B$76,$C$76,$C$77)</f>
        <v>0.8</v>
      </c>
      <c r="AF5" s="374">
        <f>IF(I5=B$62,$C$62,$C$63)</f>
        <v>0.93500000000000005</v>
      </c>
      <c r="AH5" s="184"/>
      <c r="AI5" s="184"/>
    </row>
    <row r="6" spans="1:42" ht="30.75" customHeight="1" x14ac:dyDescent="0.35">
      <c r="A6" s="1131" t="s">
        <v>2630</v>
      </c>
      <c r="B6" s="1131" t="s">
        <v>2627</v>
      </c>
      <c r="C6" s="135" t="s">
        <v>2628</v>
      </c>
      <c r="D6" s="1133" t="s">
        <v>510</v>
      </c>
      <c r="E6" s="135" t="s">
        <v>356</v>
      </c>
      <c r="F6" s="1179">
        <f>+$B$36</f>
        <v>16.5</v>
      </c>
      <c r="G6" s="1207">
        <v>2012</v>
      </c>
      <c r="H6" s="1150" t="s">
        <v>399</v>
      </c>
      <c r="I6" s="1208">
        <v>0.95</v>
      </c>
      <c r="J6" s="1148" t="s">
        <v>2612</v>
      </c>
      <c r="K6" s="1148" t="s">
        <v>738</v>
      </c>
      <c r="L6" s="1173">
        <v>150000</v>
      </c>
      <c r="M6" s="135"/>
      <c r="N6" s="1179" t="s">
        <v>357</v>
      </c>
      <c r="O6" s="1204"/>
      <c r="P6" s="1182"/>
      <c r="Q6" s="1184"/>
      <c r="R6" s="1182">
        <f t="shared" si="3"/>
        <v>457.5299999999998</v>
      </c>
      <c r="S6" s="1182"/>
      <c r="T6" s="1182"/>
      <c r="U6" s="1182">
        <f t="shared" si="4"/>
        <v>7549.2449999999972</v>
      </c>
      <c r="V6" s="62">
        <f>VLOOKUP(K6, List!$J$12:$K$17, 2, FALSE)</f>
        <v>7</v>
      </c>
      <c r="W6" s="62">
        <f>+$B$17</f>
        <v>418</v>
      </c>
      <c r="X6" s="62">
        <f>VLOOKUP(H6,$B$52:$C$54,2,FALSE)</f>
        <v>241</v>
      </c>
      <c r="Y6" s="62">
        <f>+$B$21</f>
        <v>51</v>
      </c>
      <c r="Z6" s="62">
        <v>2718</v>
      </c>
      <c r="AA6" s="62">
        <f>+$B$25</f>
        <v>365.25</v>
      </c>
      <c r="AB6" s="62">
        <v>0.42399999999999999</v>
      </c>
      <c r="AC6" s="62">
        <f>VLOOKUP(J6,List!$J$23:$P$33,V6,FALSE)</f>
        <v>1525.1</v>
      </c>
      <c r="AD6" s="373">
        <f t="shared" si="5"/>
        <v>150000</v>
      </c>
      <c r="AE6" s="62">
        <f>IF(G6&lt;=$B$76,$C$76,$C$77)</f>
        <v>0.8</v>
      </c>
      <c r="AF6" s="374">
        <f>IF(I6=B$62,$C$62,$C$63)</f>
        <v>0.96</v>
      </c>
      <c r="AH6" s="184"/>
      <c r="AI6" s="184"/>
    </row>
    <row r="7" spans="1:42" x14ac:dyDescent="0.35">
      <c r="A7" s="1137"/>
      <c r="B7" s="1137"/>
      <c r="C7" s="1137"/>
      <c r="D7" s="1137"/>
      <c r="E7" s="1137"/>
      <c r="F7" s="1137"/>
      <c r="G7" s="1137"/>
      <c r="H7" s="1137"/>
      <c r="I7" s="1137"/>
      <c r="J7" s="1137"/>
      <c r="K7" s="1137"/>
      <c r="L7" s="1137"/>
      <c r="M7" s="1137"/>
      <c r="N7" s="1137"/>
      <c r="O7" s="1137"/>
      <c r="P7" s="1137"/>
      <c r="Q7" s="1137"/>
      <c r="R7" s="1137"/>
      <c r="S7" s="1137"/>
      <c r="T7" s="1137"/>
      <c r="U7" s="1137"/>
    </row>
    <row r="8" spans="1:42" ht="15" thickBot="1" x14ac:dyDescent="0.4"/>
    <row r="9" spans="1:42" ht="15" thickBot="1" x14ac:dyDescent="0.4">
      <c r="A9" s="88" t="s">
        <v>408</v>
      </c>
      <c r="B9" s="78"/>
      <c r="C9" s="78"/>
      <c r="D9" s="78"/>
      <c r="E9" s="78"/>
      <c r="F9" s="79"/>
      <c r="Z9" s="67"/>
      <c r="AA9" s="67"/>
      <c r="AB9" s="67"/>
      <c r="AC9" s="67"/>
      <c r="AD9" s="67"/>
      <c r="AE9" s="67"/>
      <c r="AF9" s="67"/>
      <c r="AG9" s="67"/>
      <c r="AH9" s="67"/>
      <c r="AI9" s="67"/>
      <c r="AJ9" s="67"/>
      <c r="AK9" s="67"/>
      <c r="AL9" s="67"/>
      <c r="AM9" s="67"/>
      <c r="AN9" s="67"/>
      <c r="AO9" s="67"/>
      <c r="AP9" s="67"/>
    </row>
    <row r="10" spans="1:42" x14ac:dyDescent="0.35">
      <c r="A10" s="81" t="s">
        <v>1590</v>
      </c>
      <c r="B10" s="83"/>
      <c r="C10" s="83"/>
      <c r="D10" s="83"/>
      <c r="E10" s="83"/>
      <c r="F10" s="84"/>
      <c r="Z10" s="67"/>
      <c r="AA10" s="67"/>
      <c r="AB10" s="67"/>
      <c r="AC10" s="67"/>
      <c r="AD10" s="67"/>
      <c r="AE10" s="67"/>
      <c r="AF10" s="67"/>
      <c r="AG10" s="67"/>
      <c r="AH10" s="67"/>
      <c r="AI10" s="67"/>
      <c r="AJ10" s="67"/>
      <c r="AK10" s="67"/>
      <c r="AL10" s="67"/>
      <c r="AM10" s="67"/>
      <c r="AN10" s="67"/>
      <c r="AO10" s="67"/>
      <c r="AP10" s="67"/>
    </row>
    <row r="11" spans="1:42" ht="15.75" customHeight="1" x14ac:dyDescent="0.55000000000000004">
      <c r="A11" s="81" t="s">
        <v>1591</v>
      </c>
      <c r="B11" s="83"/>
      <c r="C11" s="83"/>
      <c r="D11" s="83"/>
      <c r="E11" s="83"/>
      <c r="F11" s="84"/>
      <c r="H11" s="826"/>
      <c r="Z11" s="67"/>
      <c r="AA11" s="67"/>
      <c r="AB11" s="67"/>
      <c r="AC11" s="67"/>
      <c r="AD11" s="67"/>
      <c r="AE11" s="67"/>
      <c r="AF11" s="67"/>
      <c r="AG11" s="67"/>
      <c r="AH11" s="67"/>
      <c r="AI11" s="67"/>
      <c r="AJ11" s="67"/>
      <c r="AK11" s="67"/>
      <c r="AL11" s="67"/>
      <c r="AM11" s="67"/>
      <c r="AN11" s="67"/>
      <c r="AO11" s="67"/>
      <c r="AP11" s="67"/>
    </row>
    <row r="12" spans="1:42" ht="15" thickBot="1" x14ac:dyDescent="0.4">
      <c r="A12" s="85" t="s">
        <v>1592</v>
      </c>
      <c r="B12" s="305"/>
      <c r="C12" s="86"/>
      <c r="D12" s="86"/>
      <c r="E12" s="86"/>
      <c r="F12" s="87"/>
      <c r="Z12" s="67"/>
      <c r="AA12" s="67"/>
      <c r="AB12" s="67"/>
      <c r="AC12" s="67"/>
      <c r="AD12" s="67"/>
      <c r="AE12" s="67"/>
      <c r="AF12" s="67"/>
      <c r="AG12" s="67"/>
      <c r="AH12" s="67"/>
      <c r="AI12" s="67"/>
      <c r="AJ12" s="67"/>
      <c r="AK12" s="67"/>
      <c r="AL12" s="67"/>
      <c r="AM12" s="67"/>
      <c r="AN12" s="67"/>
      <c r="AO12" s="67"/>
      <c r="AP12" s="67"/>
    </row>
    <row r="13" spans="1:42" ht="15" thickBot="1" x14ac:dyDescent="0.4">
      <c r="A13" s="188" t="s">
        <v>2571</v>
      </c>
      <c r="B13" s="1384" t="e">
        <f>+#REF!</f>
        <v>#REF!</v>
      </c>
      <c r="K13" s="68"/>
      <c r="U13" s="67"/>
      <c r="Z13" s="67"/>
      <c r="AA13" s="67"/>
      <c r="AB13" s="67"/>
      <c r="AC13" s="67"/>
      <c r="AD13" s="67"/>
      <c r="AE13" s="67"/>
      <c r="AF13" s="67"/>
      <c r="AG13" s="67"/>
      <c r="AH13" s="67"/>
      <c r="AI13" s="67"/>
      <c r="AJ13" s="67"/>
      <c r="AK13" s="67"/>
      <c r="AL13" s="67"/>
      <c r="AM13" s="67"/>
      <c r="AN13" s="67"/>
      <c r="AO13" s="67"/>
      <c r="AP13" s="67"/>
    </row>
    <row r="14" spans="1:42" ht="15" thickBot="1" x14ac:dyDescent="0.4">
      <c r="A14" s="188" t="s">
        <v>2572</v>
      </c>
      <c r="B14" s="701" t="s">
        <v>2795</v>
      </c>
      <c r="K14" s="68"/>
      <c r="U14" s="67"/>
      <c r="Z14" s="67"/>
      <c r="AA14" s="67"/>
      <c r="AB14" s="67"/>
      <c r="AC14" s="67"/>
      <c r="AD14" s="67"/>
      <c r="AE14" s="67"/>
      <c r="AF14" s="67"/>
      <c r="AG14" s="67"/>
      <c r="AH14" s="67"/>
      <c r="AI14" s="67"/>
      <c r="AJ14" s="67"/>
      <c r="AK14" s="67"/>
      <c r="AL14" s="67"/>
      <c r="AM14" s="67"/>
      <c r="AN14" s="67"/>
      <c r="AO14" s="67"/>
      <c r="AP14" s="67"/>
    </row>
    <row r="15" spans="1:42" ht="15" thickBot="1" x14ac:dyDescent="0.4">
      <c r="A15" s="69"/>
      <c r="K15" s="68"/>
      <c r="U15" s="67"/>
      <c r="Z15" s="67"/>
      <c r="AA15" s="67"/>
      <c r="AB15" s="67"/>
      <c r="AC15" s="67"/>
      <c r="AD15" s="67"/>
      <c r="AE15" s="67"/>
      <c r="AF15" s="67"/>
      <c r="AG15" s="67"/>
      <c r="AH15" s="67"/>
      <c r="AI15" s="67"/>
      <c r="AJ15" s="67"/>
      <c r="AK15" s="67"/>
      <c r="AL15" s="67"/>
      <c r="AM15" s="67"/>
      <c r="AN15" s="67"/>
      <c r="AO15" s="67"/>
      <c r="AP15" s="67"/>
    </row>
    <row r="16" spans="1:42" ht="15" thickBot="1" x14ac:dyDescent="0.4">
      <c r="A16" s="88" t="s">
        <v>413</v>
      </c>
      <c r="B16" s="89" t="s">
        <v>414</v>
      </c>
      <c r="C16" s="90" t="s">
        <v>415</v>
      </c>
      <c r="D16" s="78"/>
      <c r="E16" s="78"/>
      <c r="F16" s="78"/>
      <c r="G16" s="79"/>
      <c r="U16" s="67"/>
      <c r="Z16" s="67"/>
      <c r="AA16" s="67"/>
      <c r="AB16" s="67"/>
      <c r="AC16" s="67"/>
      <c r="AD16" s="67"/>
      <c r="AE16" s="67"/>
      <c r="AF16" s="67"/>
      <c r="AG16" s="67"/>
      <c r="AH16" s="67"/>
      <c r="AI16" s="67"/>
      <c r="AJ16" s="67"/>
      <c r="AK16" s="67"/>
      <c r="AL16" s="67"/>
      <c r="AM16" s="67"/>
      <c r="AN16" s="67"/>
      <c r="AO16" s="67"/>
      <c r="AP16" s="67"/>
    </row>
    <row r="17" spans="1:42" x14ac:dyDescent="0.35">
      <c r="A17" s="827" t="s">
        <v>1582</v>
      </c>
      <c r="B17" s="94">
        <v>418</v>
      </c>
      <c r="C17" s="93" t="s">
        <v>1593</v>
      </c>
      <c r="D17" s="94"/>
      <c r="E17" s="94"/>
      <c r="F17" s="94"/>
      <c r="G17" s="95"/>
      <c r="Z17" s="67"/>
      <c r="AA17" s="67"/>
      <c r="AB17" s="67"/>
      <c r="AC17" s="67"/>
      <c r="AD17" s="67"/>
      <c r="AE17" s="67"/>
      <c r="AF17" s="67"/>
      <c r="AG17" s="67"/>
      <c r="AH17" s="67"/>
      <c r="AI17" s="67"/>
      <c r="AJ17" s="67"/>
      <c r="AK17" s="67"/>
      <c r="AL17" s="67"/>
      <c r="AM17" s="67"/>
      <c r="AN17" s="67"/>
      <c r="AO17" s="67"/>
      <c r="AP17" s="67"/>
    </row>
    <row r="18" spans="1:42" ht="15" thickBot="1" x14ac:dyDescent="0.4">
      <c r="A18" s="111"/>
      <c r="B18" s="99"/>
      <c r="C18" s="99" t="s">
        <v>1237</v>
      </c>
      <c r="D18" s="99"/>
      <c r="E18" s="99"/>
      <c r="F18" s="99"/>
      <c r="G18" s="100"/>
      <c r="Z18" s="67"/>
      <c r="AA18" s="67"/>
      <c r="AB18" s="67"/>
      <c r="AC18" s="67"/>
      <c r="AD18" s="67"/>
      <c r="AE18" s="67"/>
      <c r="AF18" s="67"/>
      <c r="AG18" s="67"/>
      <c r="AH18" s="67"/>
      <c r="AI18" s="67"/>
      <c r="AJ18" s="67"/>
      <c r="AK18" s="67"/>
      <c r="AL18" s="67"/>
      <c r="AM18" s="67"/>
      <c r="AN18" s="67"/>
      <c r="AO18" s="67"/>
      <c r="AP18" s="67"/>
    </row>
    <row r="19" spans="1:42" x14ac:dyDescent="0.35">
      <c r="A19" s="827" t="s">
        <v>1583</v>
      </c>
      <c r="B19" s="481" t="s">
        <v>1085</v>
      </c>
      <c r="C19" s="93" t="s">
        <v>1594</v>
      </c>
      <c r="D19" s="94"/>
      <c r="E19" s="94"/>
      <c r="F19" s="94"/>
      <c r="G19" s="95"/>
      <c r="Z19" s="67"/>
      <c r="AA19" s="67"/>
      <c r="AB19" s="67"/>
      <c r="AC19" s="67"/>
      <c r="AD19" s="67"/>
      <c r="AE19" s="67"/>
      <c r="AF19" s="67"/>
      <c r="AG19" s="67"/>
      <c r="AH19" s="67"/>
      <c r="AI19" s="67"/>
      <c r="AJ19" s="67"/>
      <c r="AK19" s="67"/>
      <c r="AL19" s="67"/>
      <c r="AM19" s="67"/>
      <c r="AN19" s="67"/>
      <c r="AO19" s="67"/>
      <c r="AP19" s="67"/>
    </row>
    <row r="20" spans="1:42" ht="15" thickBot="1" x14ac:dyDescent="0.4">
      <c r="A20" s="111"/>
      <c r="B20" s="99"/>
      <c r="C20" s="99" t="s">
        <v>1595</v>
      </c>
      <c r="D20" s="99"/>
      <c r="E20" s="99"/>
      <c r="F20" s="99"/>
      <c r="G20" s="100"/>
      <c r="Z20" s="67"/>
      <c r="AA20" s="67"/>
      <c r="AB20" s="67"/>
      <c r="AC20" s="67"/>
      <c r="AD20" s="67"/>
      <c r="AE20" s="67"/>
      <c r="AF20" s="67"/>
      <c r="AG20" s="67"/>
      <c r="AH20" s="67"/>
      <c r="AI20" s="67"/>
      <c r="AJ20" s="67"/>
      <c r="AK20" s="67"/>
      <c r="AL20" s="67"/>
      <c r="AM20" s="67"/>
      <c r="AN20" s="67"/>
      <c r="AO20" s="67"/>
      <c r="AP20" s="67"/>
    </row>
    <row r="21" spans="1:42" ht="26.5" x14ac:dyDescent="0.35">
      <c r="A21" s="828" t="s">
        <v>1584</v>
      </c>
      <c r="B21" s="94">
        <v>51</v>
      </c>
      <c r="C21" s="93" t="s">
        <v>1596</v>
      </c>
      <c r="D21" s="94"/>
      <c r="E21" s="94"/>
      <c r="F21" s="94"/>
      <c r="G21" s="95"/>
      <c r="Z21" s="67"/>
      <c r="AA21" s="67"/>
      <c r="AB21" s="67"/>
      <c r="AC21" s="67"/>
      <c r="AD21" s="67"/>
      <c r="AE21" s="67"/>
      <c r="AF21" s="67"/>
      <c r="AG21" s="67"/>
      <c r="AH21" s="67"/>
      <c r="AI21" s="67"/>
      <c r="AJ21" s="67"/>
      <c r="AK21" s="67"/>
      <c r="AL21" s="67"/>
      <c r="AM21" s="67"/>
      <c r="AN21" s="67"/>
      <c r="AO21" s="67"/>
      <c r="AP21" s="67"/>
    </row>
    <row r="22" spans="1:42" ht="15" thickBot="1" x14ac:dyDescent="0.4">
      <c r="A22" s="111"/>
      <c r="B22" s="99"/>
      <c r="C22" s="99" t="s">
        <v>1237</v>
      </c>
      <c r="D22" s="99"/>
      <c r="E22" s="99"/>
      <c r="F22" s="99"/>
      <c r="G22" s="100"/>
      <c r="Z22" s="67"/>
      <c r="AA22" s="67"/>
      <c r="AB22" s="67"/>
      <c r="AC22" s="67"/>
      <c r="AD22" s="67"/>
      <c r="AE22" s="67"/>
      <c r="AF22" s="67"/>
      <c r="AG22" s="67"/>
      <c r="AH22" s="67"/>
      <c r="AI22" s="67"/>
      <c r="AJ22" s="67"/>
      <c r="AK22" s="67"/>
      <c r="AL22" s="67"/>
      <c r="AM22" s="67"/>
      <c r="AN22" s="67"/>
      <c r="AO22" s="67"/>
      <c r="AP22" s="67"/>
    </row>
    <row r="23" spans="1:42" x14ac:dyDescent="0.35">
      <c r="A23" s="827" t="s">
        <v>1585</v>
      </c>
      <c r="B23" s="481" t="s">
        <v>1085</v>
      </c>
      <c r="C23" s="93" t="s">
        <v>1597</v>
      </c>
      <c r="D23" s="94"/>
      <c r="E23" s="94"/>
      <c r="F23" s="94"/>
      <c r="G23" s="95"/>
      <c r="Z23" s="67"/>
      <c r="AA23" s="67"/>
      <c r="AB23" s="67"/>
      <c r="AC23" s="67"/>
      <c r="AD23" s="67"/>
      <c r="AE23" s="67"/>
      <c r="AF23" s="67"/>
      <c r="AG23" s="67"/>
      <c r="AH23" s="67"/>
      <c r="AI23" s="67"/>
      <c r="AJ23" s="67"/>
      <c r="AK23" s="67"/>
      <c r="AL23" s="67"/>
      <c r="AM23" s="67"/>
      <c r="AN23" s="67"/>
      <c r="AO23" s="67"/>
      <c r="AP23" s="67"/>
    </row>
    <row r="24" spans="1:42" ht="15" thickBot="1" x14ac:dyDescent="0.4">
      <c r="A24" s="111"/>
      <c r="B24" s="99"/>
      <c r="C24" s="109" t="s">
        <v>1598</v>
      </c>
      <c r="D24" s="99"/>
      <c r="E24" s="99"/>
      <c r="F24" s="99"/>
      <c r="G24" s="100"/>
      <c r="Z24" s="67"/>
      <c r="AA24" s="67"/>
      <c r="AB24" s="67"/>
      <c r="AC24" s="67"/>
      <c r="AD24" s="67"/>
      <c r="AE24" s="67"/>
      <c r="AF24" s="67"/>
      <c r="AG24" s="67"/>
      <c r="AH24" s="67"/>
      <c r="AI24" s="67"/>
      <c r="AJ24" s="67"/>
      <c r="AK24" s="67"/>
      <c r="AL24" s="67"/>
      <c r="AM24" s="67"/>
      <c r="AN24" s="67"/>
      <c r="AO24" s="67"/>
      <c r="AP24" s="67"/>
    </row>
    <row r="25" spans="1:42" ht="15" thickBot="1" x14ac:dyDescent="0.4">
      <c r="A25" s="829" t="s">
        <v>1586</v>
      </c>
      <c r="B25" s="451">
        <v>365.25</v>
      </c>
      <c r="C25" s="451"/>
      <c r="D25" s="451"/>
      <c r="E25" s="451"/>
      <c r="F25" s="451"/>
      <c r="G25" s="121"/>
      <c r="Z25" s="67"/>
      <c r="AA25" s="67"/>
      <c r="AB25" s="67"/>
      <c r="AC25" s="67"/>
      <c r="AD25" s="67"/>
      <c r="AE25" s="67"/>
      <c r="AF25" s="67"/>
      <c r="AG25" s="67"/>
      <c r="AH25" s="67"/>
      <c r="AI25" s="67"/>
      <c r="AJ25" s="67"/>
      <c r="AK25" s="67"/>
      <c r="AL25" s="67"/>
      <c r="AM25" s="67"/>
      <c r="AN25" s="67"/>
      <c r="AO25" s="67"/>
      <c r="AP25" s="67"/>
    </row>
    <row r="26" spans="1:42" x14ac:dyDescent="0.35">
      <c r="A26" s="830" t="s">
        <v>615</v>
      </c>
      <c r="B26" s="481" t="s">
        <v>1085</v>
      </c>
      <c r="C26" s="93" t="s">
        <v>1599</v>
      </c>
      <c r="D26" s="94"/>
      <c r="E26" s="94"/>
      <c r="F26" s="94"/>
      <c r="G26" s="95"/>
      <c r="Z26" s="67"/>
      <c r="AA26" s="67"/>
      <c r="AB26" s="67"/>
      <c r="AC26" s="67"/>
      <c r="AD26" s="67"/>
      <c r="AE26" s="67"/>
      <c r="AF26" s="67"/>
      <c r="AG26" s="67"/>
      <c r="AH26" s="67"/>
      <c r="AI26" s="67"/>
      <c r="AJ26" s="67"/>
      <c r="AK26" s="67"/>
      <c r="AL26" s="67"/>
      <c r="AM26" s="67"/>
      <c r="AN26" s="67"/>
      <c r="AO26" s="67"/>
      <c r="AP26" s="67"/>
    </row>
    <row r="27" spans="1:42" ht="15" thickBot="1" x14ac:dyDescent="0.4">
      <c r="A27" s="111"/>
      <c r="B27" s="99"/>
      <c r="C27" s="99" t="s">
        <v>1600</v>
      </c>
      <c r="D27" s="99"/>
      <c r="E27" s="99"/>
      <c r="F27" s="99"/>
      <c r="G27" s="100"/>
      <c r="Z27" s="67"/>
      <c r="AA27" s="67"/>
      <c r="AB27" s="67"/>
      <c r="AC27" s="67"/>
      <c r="AD27" s="67"/>
      <c r="AE27" s="67"/>
      <c r="AF27" s="67"/>
      <c r="AG27" s="67"/>
      <c r="AH27" s="67"/>
      <c r="AI27" s="67"/>
      <c r="AJ27" s="67"/>
      <c r="AK27" s="67"/>
      <c r="AL27" s="67"/>
      <c r="AM27" s="67"/>
      <c r="AN27" s="67"/>
      <c r="AO27" s="67"/>
      <c r="AP27" s="67"/>
    </row>
    <row r="28" spans="1:42" x14ac:dyDescent="0.35">
      <c r="A28" s="830" t="s">
        <v>1601</v>
      </c>
      <c r="B28" s="481" t="s">
        <v>1085</v>
      </c>
      <c r="C28" s="93" t="s">
        <v>1472</v>
      </c>
      <c r="D28" s="94"/>
      <c r="E28" s="94"/>
      <c r="F28" s="94"/>
      <c r="G28" s="95"/>
      <c r="Z28" s="67"/>
      <c r="AA28" s="67"/>
      <c r="AB28" s="67"/>
      <c r="AC28" s="67"/>
      <c r="AD28" s="67"/>
      <c r="AE28" s="67"/>
      <c r="AF28" s="67"/>
      <c r="AG28" s="67"/>
      <c r="AH28" s="67"/>
      <c r="AI28" s="67"/>
      <c r="AJ28" s="67"/>
      <c r="AK28" s="67"/>
      <c r="AL28" s="67"/>
      <c r="AM28" s="67"/>
      <c r="AN28" s="67"/>
      <c r="AO28" s="67"/>
      <c r="AP28" s="67"/>
    </row>
    <row r="29" spans="1:42" ht="15" thickBot="1" x14ac:dyDescent="0.4">
      <c r="A29" s="111"/>
      <c r="B29" s="99"/>
      <c r="C29" s="99" t="s">
        <v>1600</v>
      </c>
      <c r="D29" s="99"/>
      <c r="E29" s="99"/>
      <c r="F29" s="99"/>
      <c r="G29" s="100"/>
      <c r="Z29" s="67"/>
      <c r="AA29" s="67"/>
      <c r="AB29" s="67"/>
      <c r="AC29" s="67"/>
      <c r="AD29" s="67"/>
      <c r="AE29" s="67"/>
      <c r="AF29" s="67"/>
      <c r="AG29" s="67"/>
      <c r="AH29" s="67"/>
      <c r="AI29" s="67"/>
      <c r="AJ29" s="67"/>
      <c r="AK29" s="67"/>
      <c r="AL29" s="67"/>
      <c r="AM29" s="67"/>
      <c r="AN29" s="67"/>
      <c r="AO29" s="67"/>
      <c r="AP29" s="67"/>
    </row>
    <row r="30" spans="1:42" x14ac:dyDescent="0.35">
      <c r="A30" s="830" t="s">
        <v>1469</v>
      </c>
      <c r="B30" s="447" t="s">
        <v>295</v>
      </c>
      <c r="C30" s="93" t="s">
        <v>1602</v>
      </c>
      <c r="D30" s="94"/>
      <c r="E30" s="94"/>
      <c r="F30" s="94"/>
      <c r="G30" s="95"/>
      <c r="Z30" s="67"/>
      <c r="AA30" s="67"/>
      <c r="AB30" s="67"/>
      <c r="AC30" s="67"/>
      <c r="AD30" s="67"/>
      <c r="AE30" s="67"/>
      <c r="AF30" s="67"/>
      <c r="AG30" s="67"/>
      <c r="AH30" s="67"/>
      <c r="AI30" s="67"/>
      <c r="AJ30" s="67"/>
      <c r="AK30" s="67"/>
      <c r="AL30" s="67"/>
      <c r="AM30" s="67"/>
      <c r="AN30" s="67"/>
      <c r="AO30" s="67"/>
      <c r="AP30" s="67"/>
    </row>
    <row r="31" spans="1:42" ht="15" thickBot="1" x14ac:dyDescent="0.4">
      <c r="A31" s="111"/>
      <c r="B31" s="99"/>
      <c r="C31" s="99" t="s">
        <v>1603</v>
      </c>
      <c r="D31" s="99"/>
      <c r="E31" s="99"/>
      <c r="F31" s="99"/>
      <c r="G31" s="100"/>
      <c r="Z31" s="67"/>
      <c r="AA31" s="67"/>
      <c r="AB31" s="67"/>
      <c r="AC31" s="67"/>
      <c r="AD31" s="67"/>
      <c r="AE31" s="67"/>
      <c r="AF31" s="67"/>
      <c r="AG31" s="67"/>
      <c r="AH31" s="67"/>
      <c r="AI31" s="67"/>
      <c r="AJ31" s="67"/>
      <c r="AK31" s="67"/>
      <c r="AL31" s="67"/>
      <c r="AM31" s="67"/>
      <c r="AN31" s="67"/>
      <c r="AO31" s="67"/>
      <c r="AP31" s="67"/>
    </row>
    <row r="32" spans="1:42" x14ac:dyDescent="0.35">
      <c r="A32" s="830" t="s">
        <v>541</v>
      </c>
      <c r="B32" s="481" t="s">
        <v>1085</v>
      </c>
      <c r="C32" s="93" t="s">
        <v>2348</v>
      </c>
      <c r="D32" s="94"/>
      <c r="E32" s="94"/>
      <c r="F32" s="94"/>
      <c r="G32" s="95"/>
      <c r="Z32" s="67"/>
      <c r="AA32" s="67"/>
      <c r="AB32" s="67"/>
      <c r="AC32" s="67"/>
      <c r="AD32" s="67"/>
      <c r="AE32" s="67"/>
      <c r="AF32" s="67"/>
      <c r="AG32" s="67"/>
      <c r="AH32" s="67"/>
      <c r="AI32" s="67"/>
      <c r="AJ32" s="67"/>
      <c r="AK32" s="67"/>
      <c r="AL32" s="67"/>
      <c r="AM32" s="67"/>
      <c r="AN32" s="67"/>
      <c r="AO32" s="67"/>
      <c r="AP32" s="67"/>
    </row>
    <row r="33" spans="1:42" ht="15" thickBot="1" x14ac:dyDescent="0.4">
      <c r="A33" s="111"/>
      <c r="B33" s="99"/>
      <c r="C33" s="109" t="s">
        <v>1600</v>
      </c>
      <c r="D33" s="99"/>
      <c r="E33" s="99"/>
      <c r="F33" s="99"/>
      <c r="G33" s="100"/>
      <c r="Z33" s="67"/>
      <c r="AA33" s="67"/>
      <c r="AB33" s="67"/>
      <c r="AC33" s="67"/>
      <c r="AD33" s="67"/>
      <c r="AE33" s="67"/>
      <c r="AF33" s="67"/>
      <c r="AG33" s="67"/>
      <c r="AH33" s="67"/>
      <c r="AI33" s="67"/>
      <c r="AJ33" s="67"/>
      <c r="AK33" s="67"/>
      <c r="AL33" s="67"/>
      <c r="AM33" s="67"/>
      <c r="AN33" s="67"/>
      <c r="AO33" s="67"/>
      <c r="AP33" s="67"/>
    </row>
    <row r="34" spans="1:42" x14ac:dyDescent="0.35">
      <c r="A34" s="830" t="s">
        <v>1587</v>
      </c>
      <c r="B34" s="112"/>
      <c r="C34" s="93" t="s">
        <v>2349</v>
      </c>
      <c r="D34" s="94"/>
      <c r="E34" s="94"/>
      <c r="F34" s="94"/>
      <c r="G34" s="95"/>
      <c r="Z34" s="67"/>
      <c r="AA34" s="67"/>
      <c r="AB34" s="67"/>
      <c r="AC34" s="67"/>
      <c r="AD34" s="67"/>
      <c r="AE34" s="67"/>
      <c r="AF34" s="67"/>
      <c r="AG34" s="67"/>
      <c r="AH34" s="67"/>
      <c r="AI34" s="67"/>
      <c r="AJ34" s="67"/>
      <c r="AK34" s="67"/>
      <c r="AL34" s="67"/>
      <c r="AM34" s="67"/>
      <c r="AN34" s="67"/>
      <c r="AO34" s="67"/>
      <c r="AP34" s="67"/>
    </row>
    <row r="35" spans="1:42" ht="15" thickBot="1" x14ac:dyDescent="0.4">
      <c r="A35" s="111"/>
      <c r="B35" s="99"/>
      <c r="C35" s="99" t="s">
        <v>1604</v>
      </c>
      <c r="D35" s="99"/>
      <c r="E35" s="99"/>
      <c r="F35" s="99"/>
      <c r="G35" s="100"/>
      <c r="Z35" s="67"/>
      <c r="AA35" s="67"/>
      <c r="AB35" s="67"/>
      <c r="AC35" s="67"/>
      <c r="AD35" s="67"/>
      <c r="AE35" s="67"/>
      <c r="AF35" s="67"/>
      <c r="AG35" s="67"/>
      <c r="AH35" s="67"/>
      <c r="AI35" s="67"/>
      <c r="AJ35" s="67"/>
      <c r="AK35" s="67"/>
      <c r="AL35" s="67"/>
      <c r="AM35" s="67"/>
      <c r="AN35" s="67"/>
      <c r="AO35" s="67"/>
      <c r="AP35" s="67"/>
    </row>
    <row r="36" spans="1:42" x14ac:dyDescent="0.35">
      <c r="A36" s="118" t="s">
        <v>443</v>
      </c>
      <c r="B36" s="94">
        <v>16.5</v>
      </c>
      <c r="C36" s="94" t="s">
        <v>1605</v>
      </c>
      <c r="D36" s="94"/>
      <c r="E36" s="94"/>
      <c r="F36" s="94"/>
      <c r="G36" s="95"/>
      <c r="Z36" s="67"/>
      <c r="AA36" s="67"/>
      <c r="AB36" s="67"/>
      <c r="AC36" s="67"/>
      <c r="AD36" s="67"/>
      <c r="AE36" s="67"/>
      <c r="AF36" s="67"/>
      <c r="AG36" s="67"/>
      <c r="AH36" s="67"/>
      <c r="AI36" s="67"/>
      <c r="AJ36" s="67"/>
      <c r="AK36" s="67"/>
      <c r="AL36" s="67"/>
      <c r="AM36" s="67"/>
      <c r="AN36" s="67"/>
      <c r="AO36" s="67"/>
      <c r="AP36" s="67"/>
    </row>
    <row r="37" spans="1:42" x14ac:dyDescent="0.35">
      <c r="A37" s="311"/>
      <c r="B37" s="67">
        <v>5.5</v>
      </c>
      <c r="C37" s="67" t="s">
        <v>1606</v>
      </c>
      <c r="D37" s="67"/>
      <c r="E37" s="67"/>
      <c r="F37" s="67"/>
      <c r="G37" s="310"/>
      <c r="Z37" s="67"/>
      <c r="AA37" s="67"/>
      <c r="AB37" s="67"/>
      <c r="AC37" s="67"/>
      <c r="AD37" s="67"/>
      <c r="AE37" s="67"/>
      <c r="AF37" s="67"/>
      <c r="AG37" s="67"/>
      <c r="AH37" s="67"/>
      <c r="AI37" s="67"/>
      <c r="AJ37" s="67"/>
      <c r="AK37" s="67"/>
      <c r="AL37" s="67"/>
      <c r="AM37" s="67"/>
      <c r="AN37" s="67"/>
      <c r="AO37" s="67"/>
      <c r="AP37" s="67"/>
    </row>
    <row r="38" spans="1:42" ht="15" thickBot="1" x14ac:dyDescent="0.4">
      <c r="A38" s="111"/>
      <c r="B38" s="99"/>
      <c r="C38" s="99" t="s">
        <v>1607</v>
      </c>
      <c r="D38" s="99"/>
      <c r="E38" s="99"/>
      <c r="F38" s="99"/>
      <c r="G38" s="100"/>
      <c r="Z38" s="67"/>
      <c r="AA38" s="67"/>
      <c r="AB38" s="67"/>
      <c r="AC38" s="67"/>
      <c r="AD38" s="67"/>
      <c r="AE38" s="67"/>
      <c r="AF38" s="67"/>
      <c r="AG38" s="67"/>
      <c r="AH38" s="67"/>
      <c r="AI38" s="67"/>
      <c r="AJ38" s="67"/>
      <c r="AK38" s="67"/>
      <c r="AL38" s="67"/>
      <c r="AM38" s="67"/>
      <c r="AN38" s="67"/>
      <c r="AO38" s="67"/>
      <c r="AP38" s="67"/>
    </row>
    <row r="39" spans="1:42" x14ac:dyDescent="0.35">
      <c r="A39" s="118" t="s">
        <v>344</v>
      </c>
      <c r="B39" s="481"/>
      <c r="C39" s="94"/>
      <c r="D39" s="94"/>
      <c r="E39" s="94"/>
      <c r="F39" s="94"/>
      <c r="G39" s="95"/>
      <c r="Z39" s="67"/>
      <c r="AA39" s="67"/>
      <c r="AB39" s="67"/>
      <c r="AC39" s="67"/>
      <c r="AD39" s="67"/>
      <c r="AE39" s="67"/>
      <c r="AF39" s="67"/>
      <c r="AG39" s="67"/>
      <c r="AH39" s="67"/>
      <c r="AI39" s="67"/>
      <c r="AJ39" s="67"/>
      <c r="AK39" s="67"/>
      <c r="AL39" s="67"/>
      <c r="AM39" s="67"/>
      <c r="AN39" s="67"/>
      <c r="AO39" s="67"/>
      <c r="AP39" s="67"/>
    </row>
    <row r="40" spans="1:42" x14ac:dyDescent="0.35">
      <c r="A40" s="311"/>
      <c r="B40" s="67"/>
      <c r="C40" s="2313"/>
      <c r="D40" s="2313"/>
      <c r="E40" s="2313"/>
      <c r="F40" s="2313"/>
      <c r="G40" s="2314"/>
      <c r="Z40" s="67"/>
      <c r="AA40" s="67"/>
      <c r="AB40" s="67"/>
      <c r="AC40" s="67"/>
      <c r="AD40" s="67"/>
      <c r="AE40" s="67"/>
      <c r="AF40" s="67"/>
      <c r="AG40" s="67"/>
      <c r="AH40" s="67"/>
      <c r="AI40" s="67"/>
      <c r="AJ40" s="67"/>
      <c r="AK40" s="67"/>
      <c r="AL40" s="67"/>
      <c r="AM40" s="67"/>
      <c r="AN40" s="67"/>
      <c r="AO40" s="67"/>
      <c r="AP40" s="67"/>
    </row>
    <row r="41" spans="1:42" ht="36" customHeight="1" x14ac:dyDescent="0.35">
      <c r="A41" s="311"/>
      <c r="B41" s="67"/>
      <c r="C41" s="2313"/>
      <c r="D41" s="2313"/>
      <c r="E41" s="2313"/>
      <c r="F41" s="2313"/>
      <c r="G41" s="2314"/>
      <c r="Z41" s="67"/>
      <c r="AA41" s="67"/>
      <c r="AB41" s="67"/>
      <c r="AC41" s="67"/>
      <c r="AD41" s="67"/>
      <c r="AE41" s="67"/>
      <c r="AF41" s="67"/>
      <c r="AG41" s="67"/>
      <c r="AH41" s="67"/>
      <c r="AI41" s="67"/>
      <c r="AJ41" s="67"/>
      <c r="AK41" s="67"/>
      <c r="AL41" s="67"/>
      <c r="AM41" s="67"/>
      <c r="AN41" s="67"/>
      <c r="AO41" s="67"/>
      <c r="AP41" s="67"/>
    </row>
    <row r="42" spans="1:42" ht="15" thickBot="1" x14ac:dyDescent="0.4">
      <c r="A42" s="111"/>
      <c r="B42" s="99"/>
      <c r="C42" s="831"/>
      <c r="D42" s="832"/>
      <c r="E42" s="832"/>
      <c r="F42" s="832"/>
      <c r="G42" s="833"/>
      <c r="Z42" s="67"/>
      <c r="AA42" s="67"/>
      <c r="AB42" s="67"/>
      <c r="AC42" s="67"/>
      <c r="AD42" s="67"/>
      <c r="AE42" s="67"/>
      <c r="AF42" s="67"/>
      <c r="AG42" s="67"/>
      <c r="AH42" s="67"/>
      <c r="AI42" s="67"/>
      <c r="AJ42" s="67"/>
      <c r="AK42" s="67"/>
      <c r="AL42" s="67"/>
      <c r="AM42" s="67"/>
      <c r="AN42" s="67"/>
      <c r="AO42" s="67"/>
      <c r="AP42" s="67"/>
    </row>
    <row r="43" spans="1:42" x14ac:dyDescent="0.35">
      <c r="A43" s="118" t="s">
        <v>1608</v>
      </c>
      <c r="B43" s="94"/>
      <c r="C43" s="834" t="s">
        <v>1609</v>
      </c>
      <c r="D43" s="835"/>
      <c r="E43" s="835"/>
      <c r="F43" s="835"/>
      <c r="G43" s="836"/>
      <c r="Z43" s="67"/>
      <c r="AA43" s="67"/>
      <c r="AB43" s="67"/>
      <c r="AC43" s="67"/>
      <c r="AD43" s="67"/>
      <c r="AE43" s="67"/>
      <c r="AF43" s="67"/>
      <c r="AG43" s="67"/>
      <c r="AH43" s="67"/>
      <c r="AI43" s="67"/>
      <c r="AJ43" s="67"/>
      <c r="AK43" s="67"/>
      <c r="AL43" s="67"/>
      <c r="AM43" s="67"/>
      <c r="AN43" s="67"/>
      <c r="AO43" s="67"/>
      <c r="AP43" s="67"/>
    </row>
    <row r="44" spans="1:42" ht="15" thickBot="1" x14ac:dyDescent="0.4">
      <c r="A44" s="111" t="s">
        <v>1610</v>
      </c>
      <c r="B44" s="99"/>
      <c r="C44" s="831" t="s">
        <v>1611</v>
      </c>
      <c r="D44" s="832"/>
      <c r="E44" s="832"/>
      <c r="F44" s="832"/>
      <c r="G44" s="833"/>
      <c r="Z44" s="67"/>
      <c r="AA44" s="67"/>
      <c r="AB44" s="67"/>
      <c r="AC44" s="67"/>
      <c r="AD44" s="67"/>
      <c r="AE44" s="67"/>
      <c r="AF44" s="67"/>
      <c r="AG44" s="67"/>
      <c r="AH44" s="67"/>
      <c r="AI44" s="67"/>
      <c r="AJ44" s="67"/>
      <c r="AK44" s="67"/>
      <c r="AL44" s="67"/>
      <c r="AM44" s="67"/>
      <c r="AN44" s="67"/>
      <c r="AO44" s="67"/>
      <c r="AP44" s="67"/>
    </row>
    <row r="45" spans="1:42" x14ac:dyDescent="0.35">
      <c r="A45" s="67"/>
      <c r="B45" s="67"/>
      <c r="C45" s="741"/>
      <c r="D45" s="837"/>
      <c r="E45" s="837"/>
      <c r="F45" s="837"/>
      <c r="G45" s="837"/>
      <c r="Z45" s="67"/>
      <c r="AA45" s="67"/>
      <c r="AB45" s="67"/>
      <c r="AC45" s="67"/>
      <c r="AD45" s="67"/>
      <c r="AE45" s="67"/>
      <c r="AF45" s="67"/>
      <c r="AG45" s="67"/>
      <c r="AH45" s="67"/>
      <c r="AI45" s="67"/>
      <c r="AJ45" s="67"/>
      <c r="AK45" s="67"/>
      <c r="AL45" s="67"/>
      <c r="AM45" s="67"/>
      <c r="AN45" s="67"/>
      <c r="AO45" s="67"/>
      <c r="AP45" s="67"/>
    </row>
    <row r="46" spans="1:42" x14ac:dyDescent="0.35">
      <c r="A46" s="67"/>
      <c r="B46" s="67"/>
      <c r="C46" s="741"/>
      <c r="D46" s="837"/>
      <c r="E46" s="837"/>
      <c r="F46" s="837"/>
      <c r="G46" s="837"/>
      <c r="Z46" s="67"/>
      <c r="AA46" s="67"/>
      <c r="AB46" s="67"/>
      <c r="AC46" s="67"/>
      <c r="AD46" s="67"/>
      <c r="AE46" s="67"/>
      <c r="AF46" s="67"/>
      <c r="AG46" s="67"/>
      <c r="AH46" s="67"/>
      <c r="AI46" s="67"/>
      <c r="AJ46" s="67"/>
      <c r="AK46" s="67"/>
      <c r="AL46" s="67"/>
      <c r="AM46" s="67"/>
      <c r="AN46" s="67"/>
      <c r="AO46" s="67"/>
      <c r="AP46" s="67"/>
    </row>
    <row r="47" spans="1:42" x14ac:dyDescent="0.35">
      <c r="A47" s="67"/>
      <c r="B47" s="67"/>
      <c r="C47" s="741"/>
      <c r="D47" s="837"/>
      <c r="E47" s="837"/>
      <c r="F47" s="837"/>
      <c r="G47" s="837"/>
      <c r="Z47" s="67"/>
      <c r="AA47" s="67"/>
      <c r="AB47" s="67"/>
      <c r="AC47" s="67"/>
      <c r="AD47" s="67"/>
      <c r="AE47" s="67"/>
      <c r="AF47" s="67"/>
      <c r="AG47" s="67"/>
      <c r="AH47" s="67"/>
      <c r="AI47" s="67"/>
      <c r="AJ47" s="67"/>
      <c r="AK47" s="67"/>
      <c r="AL47" s="67"/>
      <c r="AM47" s="67"/>
      <c r="AN47" s="67"/>
      <c r="AO47" s="67"/>
      <c r="AP47" s="67"/>
    </row>
    <row r="48" spans="1:42" x14ac:dyDescent="0.35">
      <c r="A48" s="67"/>
      <c r="B48" s="67"/>
      <c r="C48" s="741"/>
      <c r="D48" s="837"/>
      <c r="E48" s="837"/>
      <c r="F48" s="837"/>
      <c r="G48" s="837"/>
      <c r="Z48" s="67"/>
      <c r="AA48" s="67"/>
      <c r="AB48" s="67"/>
      <c r="AC48" s="67"/>
      <c r="AD48" s="67"/>
      <c r="AE48" s="67"/>
      <c r="AF48" s="67"/>
      <c r="AG48" s="67"/>
      <c r="AH48" s="67"/>
      <c r="AI48" s="67"/>
      <c r="AJ48" s="67"/>
      <c r="AK48" s="67"/>
      <c r="AL48" s="67"/>
      <c r="AM48" s="67"/>
      <c r="AN48" s="67"/>
      <c r="AO48" s="67"/>
      <c r="AP48" s="67"/>
    </row>
    <row r="49" spans="1:42" ht="15" thickBot="1" x14ac:dyDescent="0.4">
      <c r="A49" s="67"/>
      <c r="B49" s="67"/>
      <c r="C49" s="741"/>
      <c r="D49" s="837"/>
      <c r="E49" s="837"/>
      <c r="F49" s="837"/>
      <c r="G49" s="837"/>
      <c r="Z49" s="67"/>
      <c r="AA49" s="67"/>
      <c r="AB49" s="67"/>
      <c r="AC49" s="67"/>
      <c r="AD49" s="67"/>
      <c r="AE49" s="67"/>
      <c r="AF49" s="67"/>
      <c r="AG49" s="67"/>
      <c r="AH49" s="67"/>
      <c r="AI49" s="67"/>
      <c r="AJ49" s="67"/>
      <c r="AK49" s="67"/>
      <c r="AL49" s="67"/>
      <c r="AM49" s="67"/>
      <c r="AN49" s="67"/>
      <c r="AO49" s="67"/>
      <c r="AP49" s="67"/>
    </row>
    <row r="50" spans="1:42" ht="36" customHeight="1" x14ac:dyDescent="0.35">
      <c r="A50" s="742" t="s">
        <v>539</v>
      </c>
      <c r="B50" s="472"/>
      <c r="C50" s="838"/>
      <c r="D50" s="838"/>
      <c r="E50" s="838"/>
      <c r="F50" s="838"/>
      <c r="G50" s="838"/>
      <c r="H50" s="472"/>
      <c r="I50" s="472"/>
      <c r="J50" s="472"/>
      <c r="K50" s="472"/>
      <c r="L50" s="473"/>
      <c r="Z50" s="67"/>
      <c r="AA50" s="67"/>
      <c r="AB50" s="67"/>
      <c r="AC50" s="67"/>
      <c r="AD50" s="67"/>
      <c r="AE50" s="67"/>
      <c r="AF50" s="67"/>
      <c r="AG50" s="67"/>
      <c r="AH50" s="67"/>
      <c r="AI50" s="67"/>
      <c r="AJ50" s="67"/>
      <c r="AK50" s="67"/>
      <c r="AL50" s="67"/>
      <c r="AM50" s="67"/>
      <c r="AN50" s="67"/>
      <c r="AO50" s="67"/>
      <c r="AP50" s="67"/>
    </row>
    <row r="51" spans="1:42" ht="25.5" customHeight="1" x14ac:dyDescent="0.35">
      <c r="A51" s="124"/>
      <c r="B51" s="221"/>
      <c r="C51" s="221" t="s">
        <v>1583</v>
      </c>
      <c r="D51" s="83"/>
      <c r="E51" s="2249" t="s">
        <v>1118</v>
      </c>
      <c r="F51" s="2250"/>
      <c r="G51" s="83"/>
      <c r="H51" s="2311" t="s">
        <v>1612</v>
      </c>
      <c r="I51" s="2311"/>
      <c r="J51" s="2311"/>
      <c r="K51" s="83"/>
      <c r="L51" s="125"/>
      <c r="N51" s="32"/>
      <c r="Z51" s="67"/>
      <c r="AA51" s="67"/>
      <c r="AB51" s="67"/>
      <c r="AC51" s="67"/>
      <c r="AD51" s="67"/>
      <c r="AE51" s="67"/>
      <c r="AF51" s="67"/>
      <c r="AG51" s="67"/>
      <c r="AH51" s="67"/>
      <c r="AI51" s="67"/>
      <c r="AJ51" s="67"/>
      <c r="AK51" s="67"/>
      <c r="AL51" s="67"/>
      <c r="AM51" s="67"/>
      <c r="AN51" s="67"/>
      <c r="AO51" s="67"/>
      <c r="AP51" s="67"/>
    </row>
    <row r="52" spans="1:42" x14ac:dyDescent="0.35">
      <c r="A52" s="124"/>
      <c r="B52" s="839" t="s">
        <v>1613</v>
      </c>
      <c r="C52" s="62">
        <v>263</v>
      </c>
      <c r="D52" s="83"/>
      <c r="E52" s="320" t="str">
        <f>B87</f>
        <v>1 (Rockford)</v>
      </c>
      <c r="F52" s="62">
        <v>2</v>
      </c>
      <c r="G52" s="83"/>
      <c r="H52" s="221" t="s">
        <v>547</v>
      </c>
      <c r="I52" s="221" t="s">
        <v>572</v>
      </c>
      <c r="J52" s="221" t="s">
        <v>344</v>
      </c>
      <c r="K52" s="83"/>
      <c r="L52" s="125"/>
      <c r="N52" s="32"/>
      <c r="Z52" s="67"/>
      <c r="AA52" s="67"/>
      <c r="AB52" s="67"/>
      <c r="AC52" s="67"/>
      <c r="AD52" s="67"/>
      <c r="AE52" s="67"/>
      <c r="AF52" s="67"/>
      <c r="AG52" s="67"/>
      <c r="AH52" s="67"/>
      <c r="AI52" s="67"/>
      <c r="AJ52" s="67"/>
      <c r="AK52" s="67"/>
      <c r="AL52" s="67"/>
      <c r="AM52" s="67"/>
      <c r="AN52" s="67"/>
      <c r="AO52" s="67"/>
      <c r="AP52" s="67"/>
    </row>
    <row r="53" spans="1:42" x14ac:dyDescent="0.35">
      <c r="A53" s="124"/>
      <c r="B53" s="839" t="s">
        <v>1614</v>
      </c>
      <c r="C53" s="62">
        <v>175</v>
      </c>
      <c r="D53" s="83"/>
      <c r="E53" s="320" t="str">
        <f>C87</f>
        <v>2 (Chicago)</v>
      </c>
      <c r="F53" s="62">
        <v>3</v>
      </c>
      <c r="G53" s="83"/>
      <c r="H53" s="361">
        <v>0.8</v>
      </c>
      <c r="I53" s="840">
        <v>2011</v>
      </c>
      <c r="J53" s="62" t="s">
        <v>568</v>
      </c>
      <c r="K53" s="83"/>
      <c r="L53" s="125"/>
      <c r="N53" s="32"/>
      <c r="Z53" s="67"/>
      <c r="AA53" s="67"/>
      <c r="AB53" s="67"/>
      <c r="AC53" s="67"/>
      <c r="AD53" s="67"/>
      <c r="AE53" s="67"/>
      <c r="AF53" s="67"/>
      <c r="AG53" s="67"/>
      <c r="AH53" s="67"/>
      <c r="AI53" s="67"/>
      <c r="AJ53" s="67"/>
      <c r="AK53" s="67"/>
      <c r="AL53" s="67"/>
      <c r="AM53" s="67"/>
      <c r="AN53" s="67"/>
      <c r="AO53" s="67"/>
      <c r="AP53" s="67"/>
    </row>
    <row r="54" spans="1:42" x14ac:dyDescent="0.35">
      <c r="A54" s="124"/>
      <c r="B54" s="839" t="s">
        <v>399</v>
      </c>
      <c r="C54" s="62">
        <v>241</v>
      </c>
      <c r="D54" s="83"/>
      <c r="E54" s="320" t="str">
        <f>D87</f>
        <v>3 (Springfield)</v>
      </c>
      <c r="F54" s="62">
        <v>4</v>
      </c>
      <c r="G54" s="83"/>
      <c r="H54" s="361">
        <v>0.9</v>
      </c>
      <c r="I54" s="840">
        <v>2641</v>
      </c>
      <c r="J54" s="840">
        <v>630</v>
      </c>
      <c r="K54" s="83"/>
      <c r="L54" s="125"/>
      <c r="N54" s="32"/>
      <c r="Z54" s="67"/>
      <c r="AA54" s="67"/>
      <c r="AB54" s="67"/>
      <c r="AC54" s="67"/>
      <c r="AD54" s="67"/>
      <c r="AE54" s="67"/>
      <c r="AF54" s="67"/>
      <c r="AG54" s="67"/>
      <c r="AH54" s="67"/>
      <c r="AI54" s="67"/>
      <c r="AJ54" s="67"/>
      <c r="AK54" s="67"/>
      <c r="AL54" s="67"/>
      <c r="AM54" s="67"/>
      <c r="AN54" s="67"/>
      <c r="AO54" s="67"/>
      <c r="AP54" s="67"/>
    </row>
    <row r="55" spans="1:42" x14ac:dyDescent="0.35">
      <c r="A55" s="124"/>
      <c r="B55" s="839" t="s">
        <v>2350</v>
      </c>
      <c r="C55" s="62"/>
      <c r="D55" s="83"/>
      <c r="E55" s="320" t="str">
        <f>E87</f>
        <v>4 (Belleville)</v>
      </c>
      <c r="F55" s="62">
        <v>5</v>
      </c>
      <c r="G55" s="83"/>
      <c r="H55" s="361">
        <v>0.91</v>
      </c>
      <c r="I55" s="840">
        <v>2727</v>
      </c>
      <c r="J55" s="840">
        <v>716</v>
      </c>
      <c r="K55" s="83"/>
      <c r="L55" s="125"/>
      <c r="N55" s="32"/>
      <c r="Z55" s="67"/>
      <c r="AA55" s="67"/>
      <c r="AB55" s="67"/>
      <c r="AC55" s="67"/>
      <c r="AD55" s="67"/>
      <c r="AE55" s="67"/>
      <c r="AF55" s="67"/>
      <c r="AG55" s="67"/>
      <c r="AH55" s="67"/>
      <c r="AI55" s="67"/>
      <c r="AJ55" s="67"/>
      <c r="AK55" s="67"/>
      <c r="AL55" s="67"/>
      <c r="AM55" s="67"/>
      <c r="AN55" s="67"/>
      <c r="AO55" s="67"/>
      <c r="AP55" s="67"/>
    </row>
    <row r="56" spans="1:42" x14ac:dyDescent="0.35">
      <c r="A56" s="124"/>
      <c r="B56" s="83"/>
      <c r="C56" s="83"/>
      <c r="D56" s="83"/>
      <c r="E56" s="320" t="str">
        <f>F87</f>
        <v>5 (Marion)</v>
      </c>
      <c r="F56" s="62">
        <v>6</v>
      </c>
      <c r="G56" s="83"/>
      <c r="H56" s="361">
        <v>0.92</v>
      </c>
      <c r="I56" s="840">
        <v>2813</v>
      </c>
      <c r="J56" s="840">
        <v>802</v>
      </c>
      <c r="K56" s="83"/>
      <c r="L56" s="125"/>
      <c r="N56" s="32"/>
      <c r="Z56" s="67"/>
      <c r="AA56" s="67"/>
      <c r="AB56" s="67"/>
      <c r="AC56" s="67"/>
      <c r="AD56" s="67"/>
      <c r="AE56" s="67"/>
      <c r="AF56" s="67"/>
      <c r="AG56" s="67"/>
      <c r="AH56" s="67"/>
      <c r="AI56" s="67"/>
      <c r="AJ56" s="67"/>
      <c r="AK56" s="67"/>
      <c r="AL56" s="67"/>
      <c r="AM56" s="67"/>
      <c r="AN56" s="67"/>
      <c r="AO56" s="67"/>
      <c r="AP56" s="67"/>
    </row>
    <row r="57" spans="1:42" x14ac:dyDescent="0.35">
      <c r="A57" s="124"/>
      <c r="B57" s="2311" t="s">
        <v>342</v>
      </c>
      <c r="C57" s="2311"/>
      <c r="D57" s="83"/>
      <c r="E57" s="62" t="s">
        <v>738</v>
      </c>
      <c r="F57" s="62">
        <v>7</v>
      </c>
      <c r="G57" s="83"/>
      <c r="H57" s="361">
        <v>0.93</v>
      </c>
      <c r="I57" s="840">
        <v>3049</v>
      </c>
      <c r="J57" s="840">
        <v>1038</v>
      </c>
      <c r="K57" s="83"/>
      <c r="L57" s="125"/>
      <c r="N57" s="32"/>
      <c r="Z57" s="67"/>
      <c r="AA57" s="67"/>
      <c r="AB57" s="67"/>
      <c r="AC57" s="67"/>
      <c r="AD57" s="67"/>
      <c r="AE57" s="67"/>
      <c r="AF57" s="67"/>
      <c r="AG57" s="67"/>
      <c r="AH57" s="67"/>
      <c r="AI57" s="67"/>
      <c r="AJ57" s="67"/>
      <c r="AK57" s="67"/>
      <c r="AL57" s="67"/>
      <c r="AM57" s="67"/>
      <c r="AN57" s="67"/>
      <c r="AO57" s="67"/>
      <c r="AP57" s="67"/>
    </row>
    <row r="58" spans="1:42" x14ac:dyDescent="0.35">
      <c r="A58" s="124"/>
      <c r="B58" s="62" t="s">
        <v>356</v>
      </c>
      <c r="C58" s="62" t="s">
        <v>1615</v>
      </c>
      <c r="D58" s="83"/>
      <c r="E58" s="83"/>
      <c r="F58" s="83"/>
      <c r="G58" s="83"/>
      <c r="H58" s="361">
        <v>0.94</v>
      </c>
      <c r="I58" s="840">
        <v>3286</v>
      </c>
      <c r="J58" s="840">
        <v>1275</v>
      </c>
      <c r="K58" s="83"/>
      <c r="L58" s="125"/>
      <c r="N58" s="32"/>
      <c r="Z58" s="67"/>
      <c r="AA58" s="67"/>
      <c r="AB58" s="67"/>
      <c r="AC58" s="67"/>
      <c r="AD58" s="67"/>
      <c r="AE58" s="67"/>
      <c r="AF58" s="67"/>
      <c r="AG58" s="67"/>
      <c r="AH58" s="67"/>
      <c r="AI58" s="67"/>
      <c r="AJ58" s="67"/>
      <c r="AK58" s="67"/>
      <c r="AL58" s="67"/>
      <c r="AM58" s="67"/>
      <c r="AN58" s="67"/>
      <c r="AO58" s="67"/>
      <c r="AP58" s="67"/>
    </row>
    <row r="59" spans="1:42" x14ac:dyDescent="0.35">
      <c r="A59" s="124"/>
      <c r="B59" s="62" t="s">
        <v>495</v>
      </c>
      <c r="C59" s="62" t="s">
        <v>546</v>
      </c>
      <c r="D59" s="83"/>
      <c r="E59" s="83"/>
      <c r="F59" s="83"/>
      <c r="G59" s="83"/>
      <c r="H59" s="361">
        <v>0.95</v>
      </c>
      <c r="I59" s="840">
        <v>3522</v>
      </c>
      <c r="J59" s="840">
        <v>1511</v>
      </c>
      <c r="K59" s="83"/>
      <c r="L59" s="125"/>
      <c r="N59" s="32"/>
      <c r="Z59" s="67"/>
      <c r="AA59" s="67"/>
      <c r="AB59" s="67"/>
      <c r="AC59" s="67"/>
      <c r="AD59" s="67"/>
      <c r="AE59" s="67"/>
      <c r="AF59" s="67"/>
      <c r="AG59" s="67"/>
      <c r="AH59" s="67"/>
      <c r="AI59" s="67"/>
      <c r="AJ59" s="67"/>
      <c r="AK59" s="67"/>
      <c r="AL59" s="67"/>
      <c r="AM59" s="67"/>
      <c r="AN59" s="67"/>
      <c r="AO59" s="67"/>
      <c r="AP59" s="67"/>
    </row>
    <row r="60" spans="1:42" x14ac:dyDescent="0.35">
      <c r="A60" s="124"/>
      <c r="B60" s="83"/>
      <c r="C60" s="83"/>
      <c r="D60" s="83"/>
      <c r="E60" s="83"/>
      <c r="F60" s="83"/>
      <c r="G60" s="83"/>
      <c r="H60" s="361">
        <v>0.96</v>
      </c>
      <c r="I60" s="840">
        <v>3758</v>
      </c>
      <c r="J60" s="840">
        <v>1747</v>
      </c>
      <c r="K60" s="83"/>
      <c r="L60" s="125"/>
      <c r="N60" s="32"/>
      <c r="Z60" s="67"/>
      <c r="AA60" s="67"/>
      <c r="AB60" s="67"/>
      <c r="AC60" s="67"/>
      <c r="AD60" s="67"/>
      <c r="AE60" s="67"/>
      <c r="AF60" s="67"/>
      <c r="AG60" s="67"/>
      <c r="AH60" s="67"/>
      <c r="AI60" s="67"/>
      <c r="AJ60" s="67"/>
      <c r="AK60" s="67"/>
      <c r="AL60" s="67"/>
      <c r="AM60" s="67"/>
      <c r="AN60" s="67"/>
      <c r="AO60" s="67"/>
      <c r="AP60" s="67"/>
    </row>
    <row r="61" spans="1:42" x14ac:dyDescent="0.35">
      <c r="A61" s="124"/>
      <c r="B61" s="2249" t="s">
        <v>1616</v>
      </c>
      <c r="C61" s="2250"/>
      <c r="D61" s="83"/>
      <c r="E61" s="83"/>
      <c r="F61" s="83"/>
      <c r="G61" s="83"/>
      <c r="H61" s="799">
        <v>0.97</v>
      </c>
      <c r="I61" s="841">
        <f>+$I$60</f>
        <v>3758</v>
      </c>
      <c r="J61" s="841">
        <f>+$J$60</f>
        <v>1747</v>
      </c>
      <c r="K61" s="83"/>
      <c r="L61" s="125"/>
      <c r="N61" s="32"/>
      <c r="Z61" s="67"/>
      <c r="AA61" s="67"/>
      <c r="AB61" s="67"/>
      <c r="AC61" s="67"/>
      <c r="AD61" s="67"/>
      <c r="AE61" s="67"/>
      <c r="AF61" s="67"/>
      <c r="AG61" s="67"/>
      <c r="AH61" s="67"/>
      <c r="AI61" s="67"/>
      <c r="AJ61" s="67"/>
      <c r="AK61" s="67"/>
      <c r="AL61" s="67"/>
      <c r="AM61" s="67"/>
      <c r="AN61" s="67"/>
      <c r="AO61" s="67"/>
      <c r="AP61" s="67"/>
    </row>
    <row r="62" spans="1:42" x14ac:dyDescent="0.35">
      <c r="A62" s="124"/>
      <c r="B62" s="75">
        <v>0.92</v>
      </c>
      <c r="C62" s="152">
        <v>0.93500000000000005</v>
      </c>
      <c r="D62" s="83"/>
      <c r="E62" s="83"/>
      <c r="F62" s="83"/>
      <c r="G62" s="83"/>
      <c r="H62" s="196"/>
      <c r="I62" s="83"/>
      <c r="J62" s="83"/>
      <c r="K62" s="83"/>
      <c r="L62" s="125"/>
      <c r="N62" s="32"/>
      <c r="Z62" s="67"/>
      <c r="AA62" s="67"/>
      <c r="AB62" s="67"/>
      <c r="AC62" s="67"/>
      <c r="AD62" s="67"/>
      <c r="AE62" s="67"/>
      <c r="AF62" s="67"/>
      <c r="AG62" s="67"/>
      <c r="AH62" s="67"/>
      <c r="AI62" s="67"/>
      <c r="AJ62" s="67"/>
      <c r="AK62" s="67"/>
      <c r="AL62" s="67"/>
      <c r="AM62" s="67"/>
      <c r="AN62" s="67"/>
      <c r="AO62" s="67"/>
      <c r="AP62" s="67"/>
    </row>
    <row r="63" spans="1:42" x14ac:dyDescent="0.35">
      <c r="A63" s="124"/>
      <c r="B63" s="75">
        <v>0.95</v>
      </c>
      <c r="C63" s="152">
        <v>0.96</v>
      </c>
      <c r="D63" s="83"/>
      <c r="E63" s="83"/>
      <c r="F63" s="83"/>
      <c r="G63" s="83"/>
      <c r="H63" s="842" t="s">
        <v>1617</v>
      </c>
      <c r="I63" s="62"/>
      <c r="J63" s="62"/>
      <c r="K63" s="62"/>
      <c r="L63" s="125"/>
      <c r="N63" s="32"/>
      <c r="Z63" s="67"/>
      <c r="AA63" s="67"/>
      <c r="AB63" s="67"/>
      <c r="AC63" s="67"/>
      <c r="AD63" s="67"/>
      <c r="AE63" s="67"/>
      <c r="AF63" s="67"/>
      <c r="AG63" s="67"/>
      <c r="AH63" s="67"/>
      <c r="AI63" s="67"/>
      <c r="AJ63" s="67"/>
      <c r="AK63" s="67"/>
      <c r="AL63" s="67"/>
      <c r="AM63" s="67"/>
      <c r="AN63" s="67"/>
      <c r="AO63" s="67"/>
      <c r="AP63" s="67"/>
    </row>
    <row r="64" spans="1:42" x14ac:dyDescent="0.35">
      <c r="A64" s="124"/>
      <c r="B64" s="83"/>
      <c r="C64" s="83"/>
      <c r="D64" s="83"/>
      <c r="E64" s="83"/>
      <c r="F64" s="83"/>
      <c r="G64" s="83"/>
      <c r="H64" s="805" t="s">
        <v>1618</v>
      </c>
      <c r="I64" s="62"/>
      <c r="J64" s="62"/>
      <c r="K64" s="62"/>
      <c r="L64" s="125"/>
      <c r="N64" s="32"/>
      <c r="Z64" s="67"/>
      <c r="AA64" s="67"/>
      <c r="AB64" s="67"/>
      <c r="AC64" s="67"/>
      <c r="AD64" s="67"/>
      <c r="AE64" s="67"/>
      <c r="AF64" s="67"/>
      <c r="AG64" s="67"/>
      <c r="AH64" s="67"/>
      <c r="AI64" s="67"/>
      <c r="AJ64" s="67"/>
      <c r="AK64" s="67"/>
      <c r="AL64" s="67"/>
      <c r="AM64" s="67"/>
      <c r="AN64" s="67"/>
      <c r="AO64" s="67"/>
      <c r="AP64" s="67"/>
    </row>
    <row r="65" spans="1:42" x14ac:dyDescent="0.35">
      <c r="A65" s="83"/>
      <c r="B65" s="83"/>
      <c r="C65" s="83"/>
      <c r="D65" s="83"/>
      <c r="E65" s="83"/>
      <c r="F65" s="83"/>
      <c r="G65" s="83"/>
      <c r="H65" s="805" t="s">
        <v>1618</v>
      </c>
      <c r="I65" s="62"/>
      <c r="J65" s="62"/>
      <c r="K65" s="62"/>
      <c r="L65" s="125"/>
      <c r="N65" s="32"/>
      <c r="Z65" s="67"/>
      <c r="AA65" s="67"/>
      <c r="AB65" s="67"/>
      <c r="AC65" s="67"/>
      <c r="AD65" s="67"/>
      <c r="AE65" s="67"/>
      <c r="AF65" s="67"/>
      <c r="AG65" s="67"/>
      <c r="AH65" s="67"/>
      <c r="AI65" s="67"/>
      <c r="AJ65" s="67"/>
      <c r="AK65" s="67"/>
      <c r="AL65" s="67"/>
      <c r="AM65" s="67"/>
      <c r="AN65" s="67"/>
      <c r="AO65" s="67"/>
      <c r="AP65" s="67"/>
    </row>
    <row r="66" spans="1:42" x14ac:dyDescent="0.35">
      <c r="A66" s="83"/>
      <c r="B66" s="83"/>
      <c r="C66" s="83"/>
      <c r="D66" s="83"/>
      <c r="E66" s="83"/>
      <c r="F66" s="83"/>
      <c r="G66" s="83"/>
      <c r="H66" s="805" t="s">
        <v>1618</v>
      </c>
      <c r="I66" s="62"/>
      <c r="J66" s="62"/>
      <c r="K66" s="62"/>
      <c r="L66" s="125"/>
      <c r="N66" s="32"/>
      <c r="Z66" s="67"/>
      <c r="AA66" s="67"/>
      <c r="AB66" s="67"/>
      <c r="AC66" s="67"/>
      <c r="AD66" s="67"/>
      <c r="AE66" s="67"/>
      <c r="AF66" s="67"/>
      <c r="AG66" s="67"/>
      <c r="AH66" s="67"/>
      <c r="AI66" s="67"/>
      <c r="AJ66" s="67"/>
      <c r="AK66" s="67"/>
      <c r="AL66" s="67"/>
      <c r="AM66" s="67"/>
      <c r="AN66" s="67"/>
      <c r="AO66" s="67"/>
      <c r="AP66" s="67"/>
    </row>
    <row r="67" spans="1:42" x14ac:dyDescent="0.35">
      <c r="A67" s="83"/>
      <c r="B67" s="221" t="s">
        <v>1631</v>
      </c>
      <c r="C67" s="221" t="s">
        <v>1632</v>
      </c>
      <c r="D67" s="221" t="s">
        <v>557</v>
      </c>
      <c r="E67" s="83"/>
      <c r="F67" s="83"/>
      <c r="G67" s="83"/>
      <c r="H67" s="805" t="s">
        <v>1618</v>
      </c>
      <c r="I67" s="62"/>
      <c r="J67" s="62"/>
      <c r="K67" s="62"/>
      <c r="L67" s="125"/>
      <c r="N67" s="32"/>
      <c r="Z67" s="67"/>
      <c r="AA67" s="67"/>
      <c r="AB67" s="67"/>
      <c r="AC67" s="67"/>
      <c r="AD67" s="67"/>
      <c r="AE67" s="67"/>
      <c r="AF67" s="67"/>
      <c r="AG67" s="67"/>
      <c r="AH67" s="67"/>
      <c r="AI67" s="67"/>
      <c r="AJ67" s="67"/>
      <c r="AK67" s="67"/>
      <c r="AL67" s="67"/>
      <c r="AM67" s="67"/>
      <c r="AN67" s="67"/>
      <c r="AO67" s="67"/>
      <c r="AP67" s="67"/>
    </row>
    <row r="68" spans="1:42" x14ac:dyDescent="0.35">
      <c r="A68" s="83"/>
      <c r="B68" s="315" t="s">
        <v>1633</v>
      </c>
      <c r="C68" s="814">
        <v>802</v>
      </c>
      <c r="D68" s="853">
        <v>0.93500000000000005</v>
      </c>
      <c r="E68" s="83"/>
      <c r="F68" s="83"/>
      <c r="G68" s="83"/>
      <c r="H68" s="805" t="s">
        <v>1618</v>
      </c>
      <c r="I68" s="62"/>
      <c r="J68" s="62"/>
      <c r="K68" s="62"/>
      <c r="L68" s="125"/>
      <c r="Z68" s="67"/>
      <c r="AA68" s="67"/>
      <c r="AB68" s="67"/>
      <c r="AC68" s="67"/>
      <c r="AD68" s="67"/>
      <c r="AE68" s="67"/>
      <c r="AF68" s="67"/>
      <c r="AG68" s="67"/>
      <c r="AH68" s="67"/>
      <c r="AI68" s="67"/>
      <c r="AJ68" s="67"/>
      <c r="AK68" s="67"/>
      <c r="AL68" s="67"/>
      <c r="AM68" s="67"/>
      <c r="AN68" s="67"/>
      <c r="AO68" s="67"/>
      <c r="AP68" s="67"/>
    </row>
    <row r="69" spans="1:42" x14ac:dyDescent="0.35">
      <c r="A69" s="83"/>
      <c r="B69" s="315" t="s">
        <v>1634</v>
      </c>
      <c r="C69" s="814">
        <v>1038</v>
      </c>
      <c r="D69" s="853">
        <v>0.93500000000000005</v>
      </c>
      <c r="E69" s="83"/>
      <c r="F69" s="83"/>
      <c r="G69" s="83"/>
      <c r="H69" s="83"/>
      <c r="I69" s="83"/>
      <c r="J69" s="83"/>
      <c r="K69" s="83"/>
      <c r="L69" s="125"/>
      <c r="Z69" s="67"/>
      <c r="AA69" s="67"/>
      <c r="AB69" s="67"/>
      <c r="AC69" s="67"/>
      <c r="AD69" s="67"/>
      <c r="AE69" s="67"/>
      <c r="AF69" s="67"/>
      <c r="AG69" s="67"/>
      <c r="AH69" s="67"/>
      <c r="AI69" s="67"/>
      <c r="AJ69" s="67"/>
      <c r="AK69" s="67"/>
      <c r="AL69" s="67"/>
      <c r="AM69" s="67"/>
      <c r="AN69" s="67"/>
      <c r="AO69" s="67"/>
      <c r="AP69" s="67"/>
    </row>
    <row r="70" spans="1:42" x14ac:dyDescent="0.35">
      <c r="A70" s="83"/>
      <c r="B70" s="315" t="s">
        <v>1635</v>
      </c>
      <c r="C70" s="814">
        <v>1275</v>
      </c>
      <c r="D70" s="853">
        <v>0.93500000000000005</v>
      </c>
      <c r="E70" s="83"/>
      <c r="F70" s="83"/>
      <c r="G70" s="83"/>
      <c r="H70" s="83"/>
      <c r="I70" s="83"/>
      <c r="J70" s="83"/>
      <c r="K70" s="83"/>
      <c r="L70" s="125"/>
      <c r="Z70" s="67"/>
      <c r="AA70" s="67"/>
      <c r="AB70" s="67"/>
      <c r="AC70" s="67"/>
      <c r="AD70" s="67"/>
      <c r="AE70" s="67"/>
      <c r="AF70" s="67"/>
      <c r="AG70" s="67"/>
      <c r="AH70" s="67"/>
      <c r="AI70" s="67"/>
      <c r="AJ70" s="67"/>
      <c r="AK70" s="67"/>
      <c r="AL70" s="67"/>
      <c r="AM70" s="67"/>
      <c r="AN70" s="67"/>
      <c r="AO70" s="67"/>
      <c r="AP70" s="67"/>
    </row>
    <row r="71" spans="1:42" x14ac:dyDescent="0.35">
      <c r="A71" s="83"/>
      <c r="B71" s="315" t="s">
        <v>1636</v>
      </c>
      <c r="C71" s="814">
        <v>1511</v>
      </c>
      <c r="D71" s="853">
        <v>0.96</v>
      </c>
      <c r="E71" s="83"/>
      <c r="F71" s="83"/>
      <c r="G71" s="83"/>
      <c r="H71" s="843"/>
      <c r="I71" s="844"/>
      <c r="J71" s="845" t="s">
        <v>1624</v>
      </c>
      <c r="K71" s="844"/>
      <c r="L71" s="846"/>
      <c r="Z71" s="67"/>
      <c r="AA71" s="67"/>
      <c r="AB71" s="67"/>
      <c r="AC71" s="67"/>
      <c r="AD71" s="67"/>
      <c r="AE71" s="67"/>
      <c r="AF71" s="67"/>
      <c r="AG71" s="67"/>
      <c r="AH71" s="67"/>
      <c r="AI71" s="67"/>
      <c r="AJ71" s="67"/>
      <c r="AK71" s="67"/>
      <c r="AL71" s="67"/>
      <c r="AM71" s="67"/>
      <c r="AN71" s="67"/>
      <c r="AO71" s="67"/>
      <c r="AP71" s="67"/>
    </row>
    <row r="72" spans="1:42" x14ac:dyDescent="0.35">
      <c r="A72" s="83"/>
      <c r="B72" s="315" t="s">
        <v>1637</v>
      </c>
      <c r="C72" s="814">
        <v>1747</v>
      </c>
      <c r="D72" s="853">
        <v>0.96</v>
      </c>
      <c r="E72" s="83"/>
      <c r="F72" s="83"/>
      <c r="G72" s="83"/>
      <c r="H72" s="847"/>
      <c r="I72" s="83"/>
      <c r="J72" s="83"/>
      <c r="K72" s="736" t="s">
        <v>1469</v>
      </c>
      <c r="L72" s="125"/>
      <c r="Z72" s="67"/>
      <c r="AA72" s="67"/>
      <c r="AB72" s="67"/>
      <c r="AC72" s="67"/>
      <c r="AD72" s="67"/>
      <c r="AE72" s="67"/>
      <c r="AF72" s="67"/>
      <c r="AG72" s="67"/>
      <c r="AH72" s="67"/>
      <c r="AI72" s="67"/>
      <c r="AJ72" s="67"/>
      <c r="AK72" s="67"/>
      <c r="AL72" s="67"/>
      <c r="AM72" s="67"/>
      <c r="AN72" s="67"/>
      <c r="AO72" s="67"/>
      <c r="AP72" s="67"/>
    </row>
    <row r="73" spans="1:42" x14ac:dyDescent="0.35">
      <c r="A73" s="83"/>
      <c r="B73" s="83"/>
      <c r="C73" s="83"/>
      <c r="D73" s="83"/>
      <c r="E73" s="83"/>
      <c r="F73" s="83"/>
      <c r="G73" s="83"/>
      <c r="H73" s="847"/>
      <c r="I73" s="83"/>
      <c r="J73" s="848" t="s">
        <v>1626</v>
      </c>
      <c r="K73" s="849">
        <v>66000</v>
      </c>
      <c r="L73" s="125" t="s">
        <v>1627</v>
      </c>
      <c r="Z73" s="67"/>
      <c r="AA73" s="67"/>
      <c r="AB73" s="67"/>
      <c r="AC73" s="67"/>
      <c r="AD73" s="67"/>
      <c r="AE73" s="67"/>
      <c r="AF73" s="67"/>
      <c r="AG73" s="67"/>
      <c r="AH73" s="67"/>
      <c r="AI73" s="67"/>
      <c r="AJ73" s="67"/>
      <c r="AK73" s="67"/>
      <c r="AL73" s="67"/>
      <c r="AM73" s="67"/>
      <c r="AN73" s="67"/>
      <c r="AO73" s="67"/>
      <c r="AP73" s="67"/>
    </row>
    <row r="74" spans="1:42" x14ac:dyDescent="0.35">
      <c r="A74" s="83"/>
      <c r="B74" s="221" t="s">
        <v>1638</v>
      </c>
      <c r="C74" s="221"/>
      <c r="D74" s="83"/>
      <c r="E74" s="83"/>
      <c r="F74" s="83"/>
      <c r="G74" s="83"/>
      <c r="H74" s="847"/>
      <c r="I74" s="83"/>
      <c r="J74" s="848" t="s">
        <v>1628</v>
      </c>
      <c r="K74" s="849">
        <v>154000</v>
      </c>
      <c r="L74" s="125" t="s">
        <v>1627</v>
      </c>
      <c r="Z74" s="67"/>
      <c r="AA74" s="67"/>
      <c r="AB74" s="67"/>
      <c r="AC74" s="67"/>
      <c r="AD74" s="67"/>
      <c r="AE74" s="67"/>
      <c r="AF74" s="67"/>
      <c r="AG74" s="67"/>
      <c r="AH74" s="67"/>
      <c r="AI74" s="67"/>
      <c r="AJ74" s="67"/>
      <c r="AK74" s="67"/>
      <c r="AL74" s="67"/>
      <c r="AM74" s="67"/>
      <c r="AN74" s="67"/>
      <c r="AO74" s="67"/>
      <c r="AP74" s="67"/>
    </row>
    <row r="75" spans="1:42" x14ac:dyDescent="0.35">
      <c r="A75" s="83"/>
      <c r="B75" s="221" t="s">
        <v>581</v>
      </c>
      <c r="C75" s="221" t="s">
        <v>547</v>
      </c>
      <c r="D75" s="83"/>
      <c r="E75" s="83"/>
      <c r="F75" s="83"/>
      <c r="G75" s="83"/>
      <c r="H75" s="850"/>
      <c r="I75" s="86"/>
      <c r="J75" s="851" t="s">
        <v>1629</v>
      </c>
      <c r="K75" s="852">
        <v>225000</v>
      </c>
      <c r="L75" s="551" t="s">
        <v>1627</v>
      </c>
      <c r="Z75" s="67"/>
      <c r="AA75" s="67"/>
      <c r="AB75" s="67"/>
      <c r="AC75" s="67"/>
      <c r="AD75" s="67"/>
      <c r="AE75" s="67"/>
      <c r="AF75" s="67"/>
      <c r="AG75" s="67"/>
      <c r="AH75" s="67"/>
      <c r="AI75" s="67"/>
      <c r="AJ75" s="67"/>
      <c r="AK75" s="67"/>
      <c r="AL75" s="67"/>
      <c r="AM75" s="67"/>
      <c r="AN75" s="67"/>
      <c r="AO75" s="67"/>
      <c r="AP75" s="67"/>
    </row>
    <row r="76" spans="1:42" x14ac:dyDescent="0.35">
      <c r="A76" s="83"/>
      <c r="B76" s="315">
        <v>2012</v>
      </c>
      <c r="C76" s="813">
        <v>0.8</v>
      </c>
      <c r="D76" s="83"/>
      <c r="E76" s="83"/>
      <c r="F76" s="83"/>
      <c r="G76" s="83"/>
      <c r="H76" s="83"/>
      <c r="I76" s="83"/>
      <c r="J76" s="83"/>
      <c r="K76" s="83"/>
      <c r="L76" s="125"/>
      <c r="Z76" s="67"/>
      <c r="AA76" s="67"/>
      <c r="AB76" s="67"/>
      <c r="AC76" s="67"/>
      <c r="AD76" s="67"/>
      <c r="AE76" s="67"/>
      <c r="AF76" s="67"/>
      <c r="AG76" s="67"/>
      <c r="AH76" s="67"/>
      <c r="AI76" s="67"/>
      <c r="AJ76" s="67"/>
      <c r="AK76" s="67"/>
      <c r="AL76" s="67"/>
      <c r="AM76" s="67"/>
      <c r="AN76" s="67"/>
      <c r="AO76" s="67"/>
      <c r="AP76" s="67"/>
    </row>
    <row r="77" spans="1:42" x14ac:dyDescent="0.35">
      <c r="A77" s="83"/>
      <c r="B77" s="315">
        <v>2013</v>
      </c>
      <c r="C77" s="813">
        <v>0.9</v>
      </c>
      <c r="D77" s="83"/>
      <c r="E77" s="83"/>
      <c r="F77" s="83"/>
      <c r="G77" s="83"/>
      <c r="H77" s="83"/>
      <c r="I77" s="83"/>
      <c r="J77" s="83"/>
      <c r="K77" s="83"/>
      <c r="L77" s="125"/>
      <c r="Z77" s="67"/>
      <c r="AA77" s="67"/>
      <c r="AB77" s="67"/>
      <c r="AC77" s="67"/>
      <c r="AD77" s="67"/>
      <c r="AE77" s="67"/>
      <c r="AF77" s="67"/>
      <c r="AG77" s="67"/>
      <c r="AH77" s="67"/>
      <c r="AI77" s="67"/>
      <c r="AJ77" s="67"/>
      <c r="AK77" s="67"/>
      <c r="AL77" s="67"/>
      <c r="AM77" s="67"/>
      <c r="AN77" s="67"/>
      <c r="AO77" s="67"/>
      <c r="AP77" s="67"/>
    </row>
    <row r="78" spans="1:42" x14ac:dyDescent="0.35">
      <c r="A78" s="83"/>
      <c r="B78" s="83"/>
      <c r="C78" s="83"/>
      <c r="D78" s="83"/>
      <c r="E78" s="83"/>
      <c r="F78" s="83"/>
      <c r="G78" s="83"/>
      <c r="H78" s="83"/>
      <c r="I78" s="83"/>
      <c r="J78" s="83"/>
      <c r="K78" s="83"/>
      <c r="L78" s="125"/>
      <c r="Z78" s="67"/>
      <c r="AA78" s="67"/>
      <c r="AB78" s="67"/>
      <c r="AC78" s="67"/>
      <c r="AD78" s="67"/>
      <c r="AE78" s="67"/>
      <c r="AF78" s="67"/>
      <c r="AG78" s="67"/>
      <c r="AH78" s="67"/>
      <c r="AI78" s="67"/>
      <c r="AJ78" s="67"/>
      <c r="AK78" s="67"/>
      <c r="AL78" s="67"/>
      <c r="AM78" s="67"/>
      <c r="AN78" s="67"/>
      <c r="AO78" s="67"/>
      <c r="AP78" s="67"/>
    </row>
    <row r="79" spans="1:42" x14ac:dyDescent="0.35">
      <c r="A79" s="83"/>
      <c r="B79" s="83"/>
      <c r="C79" s="83"/>
      <c r="D79" s="83"/>
      <c r="E79" s="83"/>
      <c r="F79" s="83"/>
      <c r="G79" s="83"/>
      <c r="H79" s="83"/>
      <c r="I79" s="83"/>
      <c r="J79" s="83"/>
      <c r="K79" s="83"/>
      <c r="L79" s="125"/>
      <c r="Z79" s="67"/>
      <c r="AA79" s="67"/>
      <c r="AB79" s="67"/>
      <c r="AC79" s="67"/>
      <c r="AD79" s="67"/>
      <c r="AE79" s="67"/>
      <c r="AF79" s="67"/>
      <c r="AG79" s="67"/>
      <c r="AH79" s="67"/>
      <c r="AI79" s="67"/>
      <c r="AJ79" s="67"/>
      <c r="AK79" s="67"/>
      <c r="AL79" s="67"/>
      <c r="AM79" s="67"/>
      <c r="AN79" s="67"/>
      <c r="AO79" s="67"/>
      <c r="AP79" s="67"/>
    </row>
    <row r="80" spans="1:42" x14ac:dyDescent="0.35">
      <c r="A80" s="83"/>
      <c r="B80" s="83"/>
      <c r="C80" s="83"/>
      <c r="D80" s="83"/>
      <c r="E80" s="83"/>
      <c r="F80" s="83"/>
      <c r="G80" s="83"/>
      <c r="H80" s="83"/>
      <c r="I80" s="83"/>
      <c r="J80" s="83"/>
      <c r="K80" s="83"/>
      <c r="L80" s="125"/>
      <c r="Z80" s="67"/>
      <c r="AA80" s="67"/>
      <c r="AB80" s="67"/>
      <c r="AC80" s="67"/>
      <c r="AD80" s="67"/>
      <c r="AE80" s="67"/>
      <c r="AF80" s="67"/>
      <c r="AG80" s="67"/>
      <c r="AH80" s="67"/>
      <c r="AI80" s="67"/>
      <c r="AJ80" s="67"/>
      <c r="AK80" s="67"/>
      <c r="AL80" s="67"/>
      <c r="AM80" s="67"/>
      <c r="AN80" s="67"/>
      <c r="AO80" s="67"/>
      <c r="AP80" s="67"/>
    </row>
    <row r="81" spans="1:42" x14ac:dyDescent="0.35">
      <c r="A81" s="83"/>
      <c r="B81" s="83"/>
      <c r="C81" s="83"/>
      <c r="D81" s="83"/>
      <c r="E81" s="83"/>
      <c r="F81" s="83"/>
      <c r="G81" s="83"/>
      <c r="H81" s="83"/>
      <c r="I81" s="83"/>
      <c r="J81" s="83"/>
      <c r="K81" s="83"/>
      <c r="L81" s="125"/>
      <c r="Z81" s="67"/>
      <c r="AA81" s="67"/>
      <c r="AB81" s="67"/>
      <c r="AC81" s="67"/>
      <c r="AD81" s="67"/>
      <c r="AE81" s="67"/>
      <c r="AF81" s="67"/>
      <c r="AG81" s="67"/>
      <c r="AH81" s="67"/>
      <c r="AI81" s="67"/>
      <c r="AJ81" s="67"/>
      <c r="AK81" s="67"/>
      <c r="AL81" s="67"/>
      <c r="AM81" s="67"/>
      <c r="AN81" s="67"/>
      <c r="AO81" s="67"/>
      <c r="AP81" s="67"/>
    </row>
    <row r="82" spans="1:42" x14ac:dyDescent="0.35">
      <c r="A82" s="124"/>
      <c r="B82" s="83"/>
      <c r="C82" s="83"/>
      <c r="D82" s="83"/>
      <c r="E82" s="83"/>
      <c r="F82" s="83"/>
      <c r="G82" s="83"/>
      <c r="H82" s="83"/>
      <c r="I82" s="83"/>
      <c r="J82" s="83"/>
      <c r="K82" s="83"/>
      <c r="L82" s="125"/>
      <c r="Z82" s="67"/>
      <c r="AA82" s="67"/>
      <c r="AB82" s="67"/>
      <c r="AC82" s="67"/>
      <c r="AD82" s="67"/>
      <c r="AE82" s="67"/>
      <c r="AF82" s="67"/>
      <c r="AG82" s="67"/>
      <c r="AH82" s="67"/>
      <c r="AI82" s="67"/>
      <c r="AJ82" s="67"/>
      <c r="AK82" s="67"/>
      <c r="AL82" s="67"/>
      <c r="AM82" s="67"/>
      <c r="AN82" s="67"/>
      <c r="AO82" s="67"/>
      <c r="AP82" s="67"/>
    </row>
    <row r="83" spans="1:42" x14ac:dyDescent="0.35">
      <c r="A83" s="124"/>
      <c r="B83" s="83"/>
      <c r="C83" s="83"/>
      <c r="D83" s="83"/>
      <c r="E83" s="83"/>
      <c r="F83" s="83"/>
      <c r="G83" s="83"/>
      <c r="H83" s="83"/>
      <c r="I83" s="83"/>
      <c r="J83" s="83"/>
      <c r="K83" s="83"/>
      <c r="L83" s="125"/>
      <c r="Z83" s="67"/>
      <c r="AA83" s="67"/>
      <c r="AB83" s="67"/>
      <c r="AC83" s="67"/>
      <c r="AD83" s="67"/>
      <c r="AE83" s="67"/>
      <c r="AF83" s="67"/>
      <c r="AG83" s="67"/>
      <c r="AH83" s="67"/>
      <c r="AI83" s="67"/>
      <c r="AJ83" s="67"/>
      <c r="AK83" s="67"/>
      <c r="AL83" s="67"/>
      <c r="AM83" s="67"/>
      <c r="AN83" s="67"/>
      <c r="AO83" s="67"/>
      <c r="AP83" s="67"/>
    </row>
    <row r="84" spans="1:42" x14ac:dyDescent="0.35">
      <c r="A84" s="124"/>
      <c r="B84" s="83"/>
      <c r="C84" s="83"/>
      <c r="D84" s="83"/>
      <c r="E84" s="83"/>
      <c r="F84" s="83"/>
      <c r="G84" s="83"/>
      <c r="H84" s="83"/>
      <c r="I84" s="83"/>
      <c r="J84" s="83"/>
      <c r="K84" s="83"/>
      <c r="L84" s="125"/>
      <c r="Z84" s="67"/>
      <c r="AA84" s="67"/>
      <c r="AB84" s="67"/>
      <c r="AC84" s="67"/>
      <c r="AD84" s="67"/>
      <c r="AE84" s="67"/>
      <c r="AF84" s="67"/>
      <c r="AG84" s="67"/>
      <c r="AH84" s="67"/>
      <c r="AI84" s="67"/>
      <c r="AJ84" s="67"/>
      <c r="AK84" s="67"/>
      <c r="AL84" s="67"/>
      <c r="AM84" s="67"/>
      <c r="AN84" s="67"/>
      <c r="AO84" s="67"/>
      <c r="AP84" s="67"/>
    </row>
    <row r="85" spans="1:42" x14ac:dyDescent="0.35">
      <c r="A85" s="124"/>
      <c r="B85" s="83"/>
      <c r="C85" s="83"/>
      <c r="D85" s="83"/>
      <c r="E85" s="83"/>
      <c r="F85" s="83"/>
      <c r="G85" s="83"/>
      <c r="H85" s="83"/>
      <c r="I85" s="83"/>
      <c r="J85" s="83"/>
      <c r="K85" s="83"/>
      <c r="L85" s="125"/>
      <c r="Z85" s="67"/>
      <c r="AA85" s="67"/>
      <c r="AB85" s="67"/>
      <c r="AC85" s="67"/>
      <c r="AD85" s="67"/>
      <c r="AE85" s="67"/>
      <c r="AF85" s="67"/>
      <c r="AG85" s="67"/>
      <c r="AH85" s="67"/>
      <c r="AI85" s="67"/>
      <c r="AJ85" s="67"/>
      <c r="AK85" s="67"/>
      <c r="AL85" s="67"/>
      <c r="AM85" s="67"/>
      <c r="AN85" s="67"/>
      <c r="AO85" s="67"/>
      <c r="AP85" s="67"/>
    </row>
    <row r="86" spans="1:42" x14ac:dyDescent="0.35">
      <c r="A86" s="2307" t="s">
        <v>838</v>
      </c>
      <c r="B86" s="2308" t="s">
        <v>1461</v>
      </c>
      <c r="C86" s="2309"/>
      <c r="D86" s="2309"/>
      <c r="E86" s="2309"/>
      <c r="F86" s="2309"/>
      <c r="G86" s="2310"/>
      <c r="H86" s="83"/>
      <c r="I86" s="83"/>
      <c r="J86" s="83"/>
      <c r="K86" s="83"/>
      <c r="L86" s="125"/>
      <c r="Z86" s="67"/>
      <c r="AA86" s="67"/>
      <c r="AB86" s="67"/>
      <c r="AC86" s="67"/>
      <c r="AD86" s="67"/>
      <c r="AE86" s="67"/>
      <c r="AF86" s="67"/>
      <c r="AG86" s="67"/>
      <c r="AH86" s="67"/>
      <c r="AI86" s="67"/>
      <c r="AJ86" s="67"/>
      <c r="AK86" s="67"/>
      <c r="AL86" s="67"/>
      <c r="AM86" s="67"/>
      <c r="AN86" s="67"/>
      <c r="AO86" s="67"/>
      <c r="AP86" s="67"/>
    </row>
    <row r="87" spans="1:42" ht="26" x14ac:dyDescent="0.35">
      <c r="A87" s="2307"/>
      <c r="B87" s="221" t="s">
        <v>457</v>
      </c>
      <c r="C87" s="221" t="s">
        <v>459</v>
      </c>
      <c r="D87" s="221" t="s">
        <v>461</v>
      </c>
      <c r="E87" s="221" t="s">
        <v>463</v>
      </c>
      <c r="F87" s="221" t="s">
        <v>464</v>
      </c>
      <c r="G87" s="221" t="s">
        <v>738</v>
      </c>
      <c r="H87" s="83"/>
      <c r="I87" s="83"/>
      <c r="J87" s="83"/>
      <c r="K87" s="83"/>
      <c r="L87" s="125"/>
      <c r="Z87" s="67"/>
      <c r="AA87" s="67"/>
      <c r="AB87" s="67"/>
      <c r="AC87" s="67"/>
      <c r="AD87" s="67"/>
      <c r="AE87" s="67"/>
      <c r="AF87" s="67"/>
      <c r="AG87" s="67"/>
      <c r="AH87" s="67"/>
      <c r="AI87" s="67"/>
      <c r="AJ87" s="67"/>
      <c r="AK87" s="67"/>
      <c r="AL87" s="67"/>
      <c r="AM87" s="67"/>
      <c r="AN87" s="67"/>
      <c r="AO87" s="67"/>
      <c r="AP87" s="67"/>
    </row>
    <row r="88" spans="1:42" x14ac:dyDescent="0.35">
      <c r="A88" s="752" t="s">
        <v>1496</v>
      </c>
      <c r="B88" s="753">
        <v>2746</v>
      </c>
      <c r="C88" s="753">
        <v>2768</v>
      </c>
      <c r="D88" s="753">
        <v>2656</v>
      </c>
      <c r="E88" s="753">
        <v>2155</v>
      </c>
      <c r="F88" s="753">
        <v>2420</v>
      </c>
      <c r="G88" s="62">
        <f t="shared" ref="G88:G104" si="6">B88*$I$91+C88*$I$92+D88*$I$93</f>
        <v>2750.2</v>
      </c>
      <c r="H88" s="83"/>
      <c r="I88" s="83"/>
      <c r="J88" s="83"/>
      <c r="K88" s="83"/>
      <c r="L88" s="125"/>
      <c r="Z88" s="67"/>
      <c r="AA88" s="67"/>
      <c r="AB88" s="67"/>
      <c r="AC88" s="67"/>
      <c r="AD88" s="67"/>
      <c r="AE88" s="67"/>
      <c r="AF88" s="67"/>
      <c r="AG88" s="67"/>
      <c r="AH88" s="67"/>
      <c r="AI88" s="67"/>
      <c r="AJ88" s="67"/>
      <c r="AK88" s="67"/>
      <c r="AL88" s="67"/>
      <c r="AM88" s="67"/>
      <c r="AN88" s="67"/>
      <c r="AO88" s="67"/>
      <c r="AP88" s="67"/>
    </row>
    <row r="89" spans="1:42" x14ac:dyDescent="0.35">
      <c r="A89" s="752" t="s">
        <v>1497</v>
      </c>
      <c r="B89" s="754">
        <v>996</v>
      </c>
      <c r="C89" s="754">
        <v>879</v>
      </c>
      <c r="D89" s="754">
        <v>824</v>
      </c>
      <c r="E89" s="754">
        <v>519</v>
      </c>
      <c r="F89" s="754">
        <v>544</v>
      </c>
      <c r="G89" s="62">
        <f t="shared" si="6"/>
        <v>908.6</v>
      </c>
      <c r="H89" s="83"/>
      <c r="I89" s="83"/>
      <c r="J89" s="83"/>
      <c r="K89" s="83"/>
      <c r="L89" s="125"/>
      <c r="Z89" s="67"/>
      <c r="AA89" s="67"/>
      <c r="AB89" s="67"/>
      <c r="AC89" s="67"/>
      <c r="AD89" s="67"/>
      <c r="AE89" s="67"/>
      <c r="AF89" s="67"/>
      <c r="AG89" s="67"/>
      <c r="AH89" s="67"/>
      <c r="AI89" s="67"/>
      <c r="AJ89" s="67"/>
      <c r="AK89" s="67"/>
      <c r="AL89" s="67"/>
      <c r="AM89" s="67"/>
      <c r="AN89" s="67"/>
      <c r="AO89" s="67"/>
      <c r="AP89" s="67"/>
    </row>
    <row r="90" spans="1:42" x14ac:dyDescent="0.35">
      <c r="A90" s="752" t="s">
        <v>1498</v>
      </c>
      <c r="B90" s="754">
        <v>797</v>
      </c>
      <c r="C90" s="754">
        <v>666</v>
      </c>
      <c r="D90" s="754">
        <v>647</v>
      </c>
      <c r="E90" s="754">
        <v>343</v>
      </c>
      <c r="F90" s="754">
        <v>329</v>
      </c>
      <c r="G90" s="62">
        <f t="shared" si="6"/>
        <v>703.4</v>
      </c>
      <c r="H90" s="2299" t="s">
        <v>2347</v>
      </c>
      <c r="I90" s="2301"/>
      <c r="J90" s="83"/>
      <c r="K90" s="83"/>
      <c r="L90" s="125"/>
      <c r="Z90" s="67"/>
      <c r="AA90" s="67"/>
      <c r="AB90" s="67"/>
      <c r="AC90" s="67"/>
      <c r="AD90" s="67"/>
      <c r="AE90" s="67"/>
      <c r="AF90" s="67"/>
      <c r="AG90" s="67"/>
      <c r="AH90" s="67"/>
      <c r="AI90" s="67"/>
      <c r="AJ90" s="67"/>
      <c r="AK90" s="67"/>
      <c r="AL90" s="67"/>
      <c r="AM90" s="67"/>
      <c r="AN90" s="67"/>
      <c r="AO90" s="67"/>
      <c r="AP90" s="67"/>
    </row>
    <row r="91" spans="1:42" x14ac:dyDescent="0.35">
      <c r="A91" s="752" t="s">
        <v>1499</v>
      </c>
      <c r="B91" s="754">
        <v>696</v>
      </c>
      <c r="C91" s="754">
        <v>550</v>
      </c>
      <c r="D91" s="754">
        <v>585</v>
      </c>
      <c r="E91" s="754">
        <v>272</v>
      </c>
      <c r="F91" s="754">
        <v>297</v>
      </c>
      <c r="G91" s="62">
        <f t="shared" si="6"/>
        <v>597.29999999999995</v>
      </c>
      <c r="H91" s="62" t="s">
        <v>1125</v>
      </c>
      <c r="I91" s="361">
        <v>0.3</v>
      </c>
      <c r="J91" s="83"/>
      <c r="K91" s="83"/>
      <c r="L91" s="125"/>
      <c r="Z91" s="67"/>
      <c r="AA91" s="67"/>
      <c r="AB91" s="67"/>
      <c r="AC91" s="67"/>
      <c r="AD91" s="67"/>
      <c r="AE91" s="67"/>
      <c r="AF91" s="67"/>
      <c r="AG91" s="67"/>
      <c r="AH91" s="67"/>
      <c r="AI91" s="67"/>
      <c r="AJ91" s="67"/>
      <c r="AK91" s="67"/>
      <c r="AL91" s="67"/>
      <c r="AM91" s="67"/>
      <c r="AN91" s="67"/>
      <c r="AO91" s="67"/>
      <c r="AP91" s="67"/>
    </row>
    <row r="92" spans="1:42" x14ac:dyDescent="0.35">
      <c r="A92" s="752" t="s">
        <v>1500</v>
      </c>
      <c r="B92" s="753">
        <v>1118</v>
      </c>
      <c r="C92" s="753">
        <v>1036</v>
      </c>
      <c r="D92" s="753">
        <v>1029</v>
      </c>
      <c r="E92" s="754">
        <v>694</v>
      </c>
      <c r="F92" s="754">
        <v>737</v>
      </c>
      <c r="G92" s="62">
        <f t="shared" si="6"/>
        <v>1059.9000000000001</v>
      </c>
      <c r="H92" s="62" t="s">
        <v>460</v>
      </c>
      <c r="I92" s="361">
        <v>0.6</v>
      </c>
      <c r="J92" s="83"/>
      <c r="K92" s="83"/>
      <c r="L92" s="125"/>
      <c r="Z92" s="67"/>
      <c r="AA92" s="67"/>
      <c r="AB92" s="67"/>
      <c r="AC92" s="67"/>
      <c r="AD92" s="67"/>
      <c r="AE92" s="67"/>
      <c r="AF92" s="67"/>
      <c r="AG92" s="67"/>
      <c r="AH92" s="67"/>
      <c r="AI92" s="67"/>
      <c r="AJ92" s="67"/>
      <c r="AK92" s="67"/>
      <c r="AL92" s="67"/>
      <c r="AM92" s="67"/>
      <c r="AN92" s="67"/>
      <c r="AO92" s="67"/>
      <c r="AP92" s="67"/>
    </row>
    <row r="93" spans="1:42" x14ac:dyDescent="0.35">
      <c r="A93" s="752" t="s">
        <v>1501</v>
      </c>
      <c r="B93" s="753">
        <v>1116</v>
      </c>
      <c r="C93" s="753">
        <v>1123</v>
      </c>
      <c r="D93" s="754">
        <v>904</v>
      </c>
      <c r="E93" s="754">
        <v>771</v>
      </c>
      <c r="F93" s="754">
        <v>857</v>
      </c>
      <c r="G93" s="62">
        <f t="shared" si="6"/>
        <v>1099</v>
      </c>
      <c r="H93" s="62" t="s">
        <v>462</v>
      </c>
      <c r="I93" s="361">
        <v>0.1</v>
      </c>
      <c r="J93" s="83"/>
      <c r="K93" s="83"/>
      <c r="L93" s="125"/>
      <c r="Z93" s="67"/>
      <c r="AA93" s="67"/>
      <c r="AB93" s="67"/>
      <c r="AC93" s="67"/>
      <c r="AD93" s="67"/>
      <c r="AE93" s="67"/>
      <c r="AF93" s="67"/>
      <c r="AG93" s="67"/>
      <c r="AH93" s="67"/>
      <c r="AI93" s="67"/>
      <c r="AJ93" s="67"/>
      <c r="AK93" s="67"/>
      <c r="AL93" s="67"/>
      <c r="AM93" s="67"/>
      <c r="AN93" s="67"/>
      <c r="AO93" s="67"/>
      <c r="AP93" s="67"/>
    </row>
    <row r="94" spans="1:42" x14ac:dyDescent="0.35">
      <c r="A94" s="752" t="s">
        <v>1622</v>
      </c>
      <c r="B94" s="753">
        <v>2098</v>
      </c>
      <c r="C94" s="753">
        <v>2050</v>
      </c>
      <c r="D94" s="753">
        <v>1780</v>
      </c>
      <c r="E94" s="753">
        <v>1365</v>
      </c>
      <c r="F94" s="753">
        <v>1666</v>
      </c>
      <c r="G94" s="62">
        <f t="shared" si="6"/>
        <v>2037.4</v>
      </c>
      <c r="H94" s="83"/>
      <c r="I94" s="83"/>
      <c r="J94" s="83"/>
      <c r="K94" s="83"/>
      <c r="L94" s="125"/>
      <c r="Z94" s="67"/>
      <c r="AA94" s="67"/>
      <c r="AB94" s="67"/>
      <c r="AC94" s="67"/>
      <c r="AD94" s="67"/>
      <c r="AE94" s="67"/>
      <c r="AF94" s="67"/>
      <c r="AG94" s="67"/>
      <c r="AH94" s="67"/>
      <c r="AI94" s="67"/>
      <c r="AJ94" s="67"/>
      <c r="AK94" s="67"/>
      <c r="AL94" s="67"/>
      <c r="AM94" s="67"/>
      <c r="AN94" s="67"/>
      <c r="AO94" s="67"/>
      <c r="AP94" s="67"/>
    </row>
    <row r="95" spans="1:42" x14ac:dyDescent="0.35">
      <c r="A95" s="752" t="s">
        <v>1502</v>
      </c>
      <c r="B95" s="754">
        <v>969</v>
      </c>
      <c r="C95" s="754">
        <v>807</v>
      </c>
      <c r="D95" s="754">
        <v>999</v>
      </c>
      <c r="E95" s="754">
        <v>569</v>
      </c>
      <c r="F95" s="754">
        <v>674</v>
      </c>
      <c r="G95" s="62">
        <f t="shared" si="6"/>
        <v>874.8</v>
      </c>
      <c r="H95" s="83"/>
      <c r="I95" s="83"/>
      <c r="J95" s="83"/>
      <c r="K95" s="83"/>
      <c r="L95" s="125"/>
      <c r="Z95" s="67"/>
      <c r="AA95" s="67"/>
      <c r="AB95" s="67"/>
      <c r="AC95" s="67"/>
      <c r="AD95" s="67"/>
      <c r="AE95" s="67"/>
      <c r="AF95" s="67"/>
      <c r="AG95" s="67"/>
      <c r="AH95" s="67"/>
      <c r="AI95" s="67"/>
      <c r="AJ95" s="67"/>
      <c r="AK95" s="67"/>
      <c r="AL95" s="67"/>
      <c r="AM95" s="67"/>
      <c r="AN95" s="67"/>
      <c r="AO95" s="67"/>
      <c r="AP95" s="67"/>
    </row>
    <row r="96" spans="1:42" x14ac:dyDescent="0.35">
      <c r="A96" s="752" t="s">
        <v>1625</v>
      </c>
      <c r="B96" s="753">
        <v>2031</v>
      </c>
      <c r="C96" s="753">
        <v>1929</v>
      </c>
      <c r="D96" s="753">
        <v>1863</v>
      </c>
      <c r="E96" s="753">
        <v>1497</v>
      </c>
      <c r="F96" s="753">
        <v>1800</v>
      </c>
      <c r="G96" s="62">
        <f t="shared" si="6"/>
        <v>1952.9999999999998</v>
      </c>
      <c r="H96" s="83"/>
      <c r="I96" s="83"/>
      <c r="J96" s="83"/>
      <c r="K96" s="83"/>
      <c r="L96" s="125"/>
      <c r="Z96" s="67"/>
      <c r="AA96" s="67"/>
      <c r="AB96" s="67"/>
      <c r="AC96" s="67"/>
      <c r="AD96" s="67"/>
      <c r="AE96" s="67"/>
      <c r="AF96" s="67"/>
      <c r="AG96" s="67"/>
      <c r="AH96" s="67"/>
      <c r="AI96" s="67"/>
      <c r="AJ96" s="67"/>
      <c r="AK96" s="67"/>
      <c r="AL96" s="67"/>
      <c r="AM96" s="67"/>
      <c r="AN96" s="67"/>
      <c r="AO96" s="67"/>
      <c r="AP96" s="67"/>
    </row>
    <row r="97" spans="1:42" x14ac:dyDescent="0.35">
      <c r="A97" s="752" t="s">
        <v>1504</v>
      </c>
      <c r="B97" s="754">
        <v>970</v>
      </c>
      <c r="C97" s="754">
        <v>840</v>
      </c>
      <c r="D97" s="754">
        <v>927</v>
      </c>
      <c r="E97" s="754">
        <v>524</v>
      </c>
      <c r="F97" s="754">
        <v>637</v>
      </c>
      <c r="G97" s="62">
        <f t="shared" si="6"/>
        <v>887.7</v>
      </c>
      <c r="H97" s="83"/>
      <c r="I97" s="83"/>
      <c r="J97" s="83"/>
      <c r="K97" s="83"/>
      <c r="L97" s="125"/>
      <c r="Z97" s="67"/>
      <c r="AA97" s="67"/>
      <c r="AB97" s="67"/>
      <c r="AC97" s="67"/>
      <c r="AD97" s="67"/>
      <c r="AE97" s="67"/>
      <c r="AF97" s="67"/>
      <c r="AG97" s="67"/>
      <c r="AH97" s="67"/>
      <c r="AI97" s="67"/>
      <c r="AJ97" s="67"/>
      <c r="AK97" s="67"/>
      <c r="AL97" s="67"/>
      <c r="AM97" s="67"/>
      <c r="AN97" s="67"/>
      <c r="AO97" s="67"/>
      <c r="AP97" s="67"/>
    </row>
    <row r="98" spans="1:42" x14ac:dyDescent="0.35">
      <c r="A98" s="752" t="s">
        <v>1505</v>
      </c>
      <c r="B98" s="753">
        <v>1830</v>
      </c>
      <c r="C98" s="753">
        <v>1657</v>
      </c>
      <c r="D98" s="753">
        <v>1730</v>
      </c>
      <c r="E98" s="753">
        <v>1276</v>
      </c>
      <c r="F98" s="753">
        <v>1484</v>
      </c>
      <c r="G98" s="62">
        <f t="shared" si="6"/>
        <v>1716.1999999999998</v>
      </c>
      <c r="H98" s="83"/>
      <c r="I98" s="83"/>
      <c r="J98" s="83"/>
      <c r="K98" s="83"/>
      <c r="L98" s="125"/>
      <c r="Z98" s="67"/>
      <c r="AA98" s="67"/>
      <c r="AB98" s="67"/>
      <c r="AC98" s="67"/>
      <c r="AD98" s="67"/>
      <c r="AE98" s="67"/>
      <c r="AF98" s="67"/>
      <c r="AG98" s="67"/>
      <c r="AH98" s="67"/>
      <c r="AI98" s="67"/>
      <c r="AJ98" s="67"/>
      <c r="AK98" s="67"/>
      <c r="AL98" s="67"/>
      <c r="AM98" s="67"/>
      <c r="AN98" s="67"/>
      <c r="AO98" s="67"/>
      <c r="AP98" s="67"/>
    </row>
    <row r="99" spans="1:42" x14ac:dyDescent="0.35">
      <c r="A99" s="752" t="s">
        <v>1506</v>
      </c>
      <c r="B99" s="753">
        <v>1496</v>
      </c>
      <c r="C99" s="753">
        <v>1379</v>
      </c>
      <c r="D99" s="753">
        <v>1291</v>
      </c>
      <c r="E99" s="754">
        <v>872</v>
      </c>
      <c r="F99" s="753">
        <v>1185</v>
      </c>
      <c r="G99" s="62">
        <f t="shared" si="6"/>
        <v>1405.3</v>
      </c>
      <c r="H99" s="83"/>
      <c r="I99" s="83"/>
      <c r="J99" s="83"/>
      <c r="K99" s="83"/>
      <c r="L99" s="125"/>
      <c r="Z99" s="67"/>
      <c r="AA99" s="67"/>
      <c r="AB99" s="67"/>
      <c r="AC99" s="67"/>
      <c r="AD99" s="67"/>
      <c r="AE99" s="67"/>
      <c r="AF99" s="67"/>
      <c r="AG99" s="67"/>
      <c r="AH99" s="67"/>
      <c r="AI99" s="67"/>
      <c r="AJ99" s="67"/>
      <c r="AK99" s="67"/>
      <c r="AL99" s="67"/>
      <c r="AM99" s="67"/>
      <c r="AN99" s="67"/>
      <c r="AO99" s="67"/>
      <c r="AP99" s="67"/>
    </row>
    <row r="100" spans="1:42" x14ac:dyDescent="0.35">
      <c r="A100" s="752" t="s">
        <v>1507</v>
      </c>
      <c r="B100" s="753">
        <v>1266</v>
      </c>
      <c r="C100" s="753">
        <v>1147</v>
      </c>
      <c r="D100" s="753">
        <v>1151</v>
      </c>
      <c r="E100" s="754">
        <v>732</v>
      </c>
      <c r="F100" s="754">
        <v>863</v>
      </c>
      <c r="G100" s="62">
        <f t="shared" si="6"/>
        <v>1183.0999999999999</v>
      </c>
      <c r="H100" s="83"/>
      <c r="I100" s="83"/>
      <c r="J100" s="83"/>
      <c r="K100" s="83"/>
      <c r="L100" s="125"/>
      <c r="Z100" s="67"/>
      <c r="AA100" s="67"/>
      <c r="AB100" s="67"/>
      <c r="AC100" s="67"/>
      <c r="AD100" s="67"/>
      <c r="AE100" s="67"/>
      <c r="AF100" s="67"/>
      <c r="AG100" s="67"/>
      <c r="AH100" s="67"/>
      <c r="AI100" s="67"/>
      <c r="AJ100" s="67"/>
      <c r="AK100" s="67"/>
      <c r="AL100" s="67"/>
      <c r="AM100" s="67"/>
      <c r="AN100" s="67"/>
      <c r="AO100" s="67"/>
      <c r="AP100" s="67"/>
    </row>
    <row r="101" spans="1:42" x14ac:dyDescent="0.35">
      <c r="A101" s="752" t="s">
        <v>1508</v>
      </c>
      <c r="B101" s="753">
        <v>1065</v>
      </c>
      <c r="C101" s="754">
        <v>927</v>
      </c>
      <c r="D101" s="754">
        <v>900</v>
      </c>
      <c r="E101" s="754">
        <v>578</v>
      </c>
      <c r="F101" s="754">
        <v>646</v>
      </c>
      <c r="G101" s="62">
        <f t="shared" si="6"/>
        <v>965.69999999999993</v>
      </c>
      <c r="H101" s="83"/>
      <c r="I101" s="83"/>
      <c r="J101" s="83"/>
      <c r="K101" s="83"/>
      <c r="L101" s="125"/>
      <c r="Z101" s="67"/>
      <c r="AA101" s="67"/>
      <c r="AB101" s="67"/>
      <c r="AC101" s="67"/>
      <c r="AD101" s="67"/>
      <c r="AE101" s="67"/>
      <c r="AF101" s="67"/>
      <c r="AG101" s="67"/>
      <c r="AH101" s="67"/>
      <c r="AI101" s="67"/>
      <c r="AJ101" s="67"/>
      <c r="AK101" s="67"/>
      <c r="AL101" s="67"/>
      <c r="AM101" s="67"/>
      <c r="AN101" s="67"/>
      <c r="AO101" s="67"/>
      <c r="AP101" s="67"/>
    </row>
    <row r="102" spans="1:42" x14ac:dyDescent="0.35">
      <c r="A102" s="752" t="s">
        <v>1619</v>
      </c>
      <c r="B102" s="754">
        <v>373</v>
      </c>
      <c r="C102" s="754">
        <v>404</v>
      </c>
      <c r="D102" s="754">
        <v>376</v>
      </c>
      <c r="E102" s="754">
        <v>187</v>
      </c>
      <c r="F102" s="754">
        <v>187</v>
      </c>
      <c r="G102" s="62">
        <f t="shared" si="6"/>
        <v>391.9</v>
      </c>
      <c r="H102" s="83"/>
      <c r="I102" s="83"/>
      <c r="J102" s="83"/>
      <c r="K102" s="83"/>
      <c r="L102" s="125"/>
      <c r="Z102" s="67"/>
      <c r="AA102" s="67"/>
      <c r="AB102" s="67"/>
      <c r="AC102" s="67"/>
      <c r="AD102" s="67"/>
      <c r="AE102" s="67"/>
      <c r="AF102" s="67"/>
      <c r="AG102" s="67"/>
      <c r="AH102" s="67"/>
      <c r="AI102" s="67"/>
      <c r="AJ102" s="67"/>
      <c r="AK102" s="67"/>
      <c r="AL102" s="67"/>
      <c r="AM102" s="67"/>
      <c r="AN102" s="67"/>
      <c r="AO102" s="67"/>
      <c r="AP102" s="67"/>
    </row>
    <row r="103" spans="1:42" x14ac:dyDescent="0.35">
      <c r="A103" s="752" t="s">
        <v>1510</v>
      </c>
      <c r="B103" s="754">
        <v>416</v>
      </c>
      <c r="C103" s="754">
        <v>443</v>
      </c>
      <c r="D103" s="754">
        <v>427</v>
      </c>
      <c r="E103" s="754">
        <v>226</v>
      </c>
      <c r="F103" s="754">
        <v>232</v>
      </c>
      <c r="G103" s="62">
        <f t="shared" si="6"/>
        <v>433.3</v>
      </c>
      <c r="H103" s="83"/>
      <c r="I103" s="83"/>
      <c r="J103" s="83"/>
      <c r="K103" s="83"/>
      <c r="L103" s="125"/>
      <c r="Z103" s="67"/>
      <c r="AA103" s="67"/>
      <c r="AB103" s="67"/>
      <c r="AC103" s="67"/>
      <c r="AD103" s="67"/>
      <c r="AE103" s="67"/>
      <c r="AF103" s="67"/>
      <c r="AG103" s="67"/>
      <c r="AH103" s="67"/>
      <c r="AI103" s="67"/>
      <c r="AJ103" s="67"/>
      <c r="AK103" s="67"/>
      <c r="AL103" s="67"/>
      <c r="AM103" s="67"/>
      <c r="AN103" s="67"/>
      <c r="AO103" s="67"/>
      <c r="AP103" s="67"/>
    </row>
    <row r="104" spans="1:42" x14ac:dyDescent="0.35">
      <c r="A104" s="752" t="s">
        <v>399</v>
      </c>
      <c r="B104" s="753">
        <f>AVERAGE(B88:B103)</f>
        <v>1248.9375</v>
      </c>
      <c r="C104" s="753">
        <f>AVERAGE(C88:C103)</f>
        <v>1162.8125</v>
      </c>
      <c r="D104" s="753">
        <f>AVERAGE(D88:D103)</f>
        <v>1130.5625</v>
      </c>
      <c r="E104" s="753">
        <f>AVERAGE(E88:E103)</f>
        <v>786.25</v>
      </c>
      <c r="F104" s="753">
        <f>AVERAGE(F88:F103)</f>
        <v>909.875</v>
      </c>
      <c r="G104" s="62">
        <f t="shared" si="6"/>
        <v>1185.4250000000002</v>
      </c>
      <c r="H104" s="83"/>
      <c r="I104" s="83"/>
      <c r="J104" s="83"/>
      <c r="K104" s="83"/>
      <c r="L104" s="125"/>
      <c r="Z104" s="67"/>
      <c r="AA104" s="67"/>
      <c r="AB104" s="67"/>
      <c r="AC104" s="67"/>
      <c r="AD104" s="67"/>
      <c r="AE104" s="67"/>
      <c r="AF104" s="67"/>
      <c r="AG104" s="67"/>
      <c r="AH104" s="67"/>
      <c r="AI104" s="67"/>
      <c r="AJ104" s="67"/>
      <c r="AK104" s="67"/>
      <c r="AL104" s="67"/>
      <c r="AM104" s="67"/>
      <c r="AN104" s="67"/>
      <c r="AO104" s="67"/>
      <c r="AP104" s="67"/>
    </row>
    <row r="105" spans="1:42" x14ac:dyDescent="0.35">
      <c r="A105" s="124"/>
      <c r="B105" s="83"/>
      <c r="C105" s="83"/>
      <c r="D105" s="83"/>
      <c r="E105" s="83"/>
      <c r="F105" s="83"/>
      <c r="G105" s="83"/>
      <c r="H105" s="83"/>
      <c r="I105" s="83"/>
      <c r="J105" s="83"/>
      <c r="K105" s="83"/>
      <c r="L105" s="125"/>
      <c r="Z105" s="67"/>
      <c r="AA105" s="67"/>
      <c r="AB105" s="67"/>
      <c r="AC105" s="67"/>
      <c r="AD105" s="67"/>
      <c r="AE105" s="67"/>
      <c r="AF105" s="67"/>
      <c r="AG105" s="67"/>
      <c r="AH105" s="67"/>
      <c r="AI105" s="67"/>
      <c r="AJ105" s="67"/>
      <c r="AK105" s="67"/>
      <c r="AL105" s="67"/>
      <c r="AM105" s="67"/>
      <c r="AN105" s="67"/>
      <c r="AO105" s="67"/>
      <c r="AP105" s="67"/>
    </row>
    <row r="106" spans="1:42" x14ac:dyDescent="0.35">
      <c r="A106" s="124"/>
      <c r="B106" s="83"/>
      <c r="C106" s="83"/>
      <c r="D106" s="83"/>
      <c r="E106" s="83"/>
      <c r="F106" s="83"/>
      <c r="G106" s="83"/>
      <c r="H106" s="83"/>
      <c r="I106" s="83"/>
      <c r="J106" s="83"/>
      <c r="K106" s="83"/>
      <c r="L106" s="125"/>
      <c r="Z106" s="67"/>
      <c r="AA106" s="67"/>
      <c r="AB106" s="67"/>
      <c r="AC106" s="67"/>
      <c r="AD106" s="67"/>
      <c r="AE106" s="67"/>
      <c r="AF106" s="67"/>
      <c r="AG106" s="67"/>
      <c r="AH106" s="67"/>
      <c r="AI106" s="67"/>
      <c r="AJ106" s="67"/>
      <c r="AK106" s="67"/>
      <c r="AL106" s="67"/>
      <c r="AM106" s="67"/>
      <c r="AN106" s="67"/>
      <c r="AO106" s="67"/>
      <c r="AP106" s="67"/>
    </row>
    <row r="107" spans="1:42" x14ac:dyDescent="0.35">
      <c r="A107" s="124"/>
      <c r="B107" s="83"/>
      <c r="C107" s="83"/>
      <c r="D107" s="83"/>
      <c r="E107" s="83"/>
      <c r="F107" s="83"/>
      <c r="G107" s="83"/>
      <c r="H107" s="83"/>
      <c r="I107" s="83"/>
      <c r="J107" s="83"/>
      <c r="K107" s="83"/>
      <c r="L107" s="125"/>
      <c r="Z107" s="67"/>
      <c r="AA107" s="67"/>
      <c r="AB107" s="67"/>
      <c r="AC107" s="67"/>
      <c r="AD107" s="67"/>
      <c r="AE107" s="67"/>
      <c r="AF107" s="67"/>
      <c r="AG107" s="67"/>
      <c r="AH107" s="67"/>
      <c r="AI107" s="67"/>
      <c r="AJ107" s="67"/>
      <c r="AK107" s="67"/>
      <c r="AL107" s="67"/>
      <c r="AM107" s="67"/>
      <c r="AN107" s="67"/>
      <c r="AO107" s="67"/>
      <c r="AP107" s="67"/>
    </row>
    <row r="108" spans="1:42" x14ac:dyDescent="0.35">
      <c r="A108" s="124"/>
      <c r="B108" s="83"/>
      <c r="C108" s="83"/>
      <c r="D108" s="83"/>
      <c r="E108" s="83"/>
      <c r="F108" s="83"/>
      <c r="G108" s="83"/>
      <c r="H108" s="83"/>
      <c r="I108" s="83"/>
      <c r="J108" s="83"/>
      <c r="K108" s="83"/>
      <c r="L108" s="125"/>
      <c r="Z108" s="67"/>
      <c r="AA108" s="67"/>
      <c r="AB108" s="67"/>
      <c r="AC108" s="67"/>
      <c r="AD108" s="67"/>
      <c r="AE108" s="67"/>
      <c r="AF108" s="67"/>
      <c r="AG108" s="67"/>
      <c r="AH108" s="67"/>
      <c r="AI108" s="67"/>
      <c r="AJ108" s="67"/>
      <c r="AK108" s="67"/>
      <c r="AL108" s="67"/>
      <c r="AM108" s="67"/>
      <c r="AN108" s="67"/>
      <c r="AO108" s="67"/>
      <c r="AP108" s="67"/>
    </row>
    <row r="109" spans="1:42" x14ac:dyDescent="0.35">
      <c r="A109" s="124"/>
      <c r="B109" s="854">
        <v>0.3</v>
      </c>
      <c r="C109" s="854">
        <v>0.6</v>
      </c>
      <c r="D109" s="854">
        <v>0.1</v>
      </c>
      <c r="E109" s="83"/>
      <c r="F109" s="83"/>
      <c r="G109" s="83"/>
      <c r="H109" s="83"/>
      <c r="I109" s="83"/>
      <c r="J109" s="83"/>
      <c r="K109" s="83"/>
      <c r="L109" s="125"/>
      <c r="Z109" s="67"/>
      <c r="AA109" s="67"/>
      <c r="AB109" s="67"/>
      <c r="AC109" s="67"/>
      <c r="AD109" s="67"/>
      <c r="AE109" s="67"/>
      <c r="AF109" s="67"/>
      <c r="AG109" s="67"/>
      <c r="AH109" s="67"/>
      <c r="AI109" s="67"/>
      <c r="AJ109" s="67"/>
      <c r="AK109" s="67"/>
      <c r="AL109" s="67"/>
      <c r="AM109" s="67"/>
      <c r="AN109" s="67"/>
      <c r="AO109" s="67"/>
      <c r="AP109" s="67"/>
    </row>
    <row r="110" spans="1:42" x14ac:dyDescent="0.35">
      <c r="A110" s="2307" t="s">
        <v>838</v>
      </c>
      <c r="B110" s="2311" t="s">
        <v>1461</v>
      </c>
      <c r="C110" s="2311"/>
      <c r="D110" s="2311"/>
      <c r="E110" s="2311"/>
      <c r="F110" s="2311"/>
      <c r="G110" s="83"/>
      <c r="H110" s="83"/>
      <c r="I110" s="83"/>
      <c r="J110" s="83"/>
      <c r="K110" s="83"/>
      <c r="L110" s="125"/>
      <c r="Z110" s="67"/>
      <c r="AA110" s="67"/>
      <c r="AB110" s="67"/>
      <c r="AC110" s="67"/>
      <c r="AD110" s="67"/>
      <c r="AE110" s="67"/>
      <c r="AF110" s="67"/>
      <c r="AG110" s="67"/>
      <c r="AH110" s="67"/>
      <c r="AI110" s="67"/>
      <c r="AJ110" s="67"/>
      <c r="AK110" s="67"/>
      <c r="AL110" s="67"/>
      <c r="AM110" s="67"/>
      <c r="AN110" s="67"/>
      <c r="AO110" s="67"/>
      <c r="AP110" s="67"/>
    </row>
    <row r="111" spans="1:42" ht="26" x14ac:dyDescent="0.35">
      <c r="A111" s="2307"/>
      <c r="B111" s="2311" t="s">
        <v>1639</v>
      </c>
      <c r="C111" s="2311" t="s">
        <v>1640</v>
      </c>
      <c r="D111" s="2311" t="s">
        <v>1641</v>
      </c>
      <c r="E111" s="2311" t="s">
        <v>1642</v>
      </c>
      <c r="F111" s="2311" t="s">
        <v>1643</v>
      </c>
      <c r="G111" s="1213" t="s">
        <v>738</v>
      </c>
      <c r="H111" s="83"/>
      <c r="I111" s="83"/>
      <c r="J111" s="83"/>
      <c r="K111" s="83"/>
      <c r="L111" s="125"/>
      <c r="Z111" s="67"/>
      <c r="AA111" s="67"/>
      <c r="AB111" s="67"/>
      <c r="AC111" s="67"/>
      <c r="AD111" s="67"/>
      <c r="AE111" s="67"/>
      <c r="AF111" s="67"/>
      <c r="AG111" s="67"/>
      <c r="AH111" s="67"/>
      <c r="AI111" s="67"/>
      <c r="AJ111" s="67"/>
      <c r="AK111" s="67"/>
      <c r="AL111" s="67"/>
      <c r="AM111" s="67"/>
      <c r="AN111" s="67"/>
      <c r="AO111" s="67"/>
      <c r="AP111" s="67"/>
    </row>
    <row r="112" spans="1:42" ht="15" thickBot="1" x14ac:dyDescent="0.4">
      <c r="A112" s="855" t="s">
        <v>1644</v>
      </c>
      <c r="B112" s="856">
        <v>2020</v>
      </c>
      <c r="C112" s="856">
        <v>2050</v>
      </c>
      <c r="D112" s="856">
        <v>1869</v>
      </c>
      <c r="E112" s="856">
        <v>1252</v>
      </c>
      <c r="F112" s="856">
        <v>1363</v>
      </c>
      <c r="G112" s="62">
        <f t="shared" ref="G112:G147" si="7">B112*$B$109+C112*$C$109+D112*$D$109</f>
        <v>2022.9</v>
      </c>
      <c r="H112" s="83"/>
      <c r="I112" s="83"/>
      <c r="J112" s="83"/>
      <c r="K112" s="83"/>
      <c r="L112" s="125"/>
      <c r="Z112" s="67"/>
      <c r="AA112" s="67"/>
      <c r="AB112" s="67"/>
      <c r="AC112" s="67"/>
      <c r="AD112" s="67"/>
      <c r="AE112" s="67"/>
      <c r="AF112" s="67"/>
      <c r="AG112" s="67"/>
      <c r="AH112" s="67"/>
      <c r="AI112" s="67"/>
      <c r="AJ112" s="67"/>
      <c r="AK112" s="67"/>
      <c r="AL112" s="67"/>
      <c r="AM112" s="67"/>
      <c r="AN112" s="67"/>
      <c r="AO112" s="67"/>
      <c r="AP112" s="67"/>
    </row>
    <row r="113" spans="1:42" ht="15" thickBot="1" x14ac:dyDescent="0.4">
      <c r="A113" s="855" t="s">
        <v>1645</v>
      </c>
      <c r="B113" s="856">
        <v>2089</v>
      </c>
      <c r="C113" s="856">
        <v>2132</v>
      </c>
      <c r="D113" s="856">
        <v>1960</v>
      </c>
      <c r="E113" s="856">
        <v>1351</v>
      </c>
      <c r="F113" s="856">
        <v>1487</v>
      </c>
      <c r="G113" s="62">
        <f t="shared" si="7"/>
        <v>2101.9</v>
      </c>
      <c r="H113" s="83"/>
      <c r="I113" s="83"/>
      <c r="J113" s="83"/>
      <c r="K113" s="83"/>
      <c r="L113" s="125"/>
      <c r="Z113" s="67"/>
      <c r="AA113" s="67"/>
      <c r="AB113" s="67"/>
      <c r="AC113" s="67"/>
      <c r="AD113" s="67"/>
      <c r="AE113" s="67"/>
      <c r="AF113" s="67"/>
      <c r="AG113" s="67"/>
      <c r="AH113" s="67"/>
      <c r="AI113" s="67"/>
      <c r="AJ113" s="67"/>
      <c r="AK113" s="67"/>
      <c r="AL113" s="67"/>
      <c r="AM113" s="67"/>
      <c r="AN113" s="67"/>
      <c r="AO113" s="67"/>
      <c r="AP113" s="67"/>
    </row>
    <row r="114" spans="1:42" ht="15" thickBot="1" x14ac:dyDescent="0.4">
      <c r="A114" s="855" t="s">
        <v>1646</v>
      </c>
      <c r="B114" s="856">
        <v>1528</v>
      </c>
      <c r="C114" s="856">
        <v>1558</v>
      </c>
      <c r="D114" s="856">
        <v>1284</v>
      </c>
      <c r="E114" s="856">
        <v>759</v>
      </c>
      <c r="F114" s="856">
        <v>846</v>
      </c>
      <c r="G114" s="62">
        <f t="shared" si="7"/>
        <v>1521.6</v>
      </c>
      <c r="H114" s="83"/>
      <c r="I114" s="83"/>
      <c r="J114" s="83"/>
      <c r="K114" s="83"/>
      <c r="L114" s="125"/>
      <c r="Z114" s="67"/>
      <c r="AA114" s="67"/>
      <c r="AB114" s="67"/>
      <c r="AC114" s="67"/>
      <c r="AD114" s="67"/>
      <c r="AE114" s="67"/>
      <c r="AF114" s="67"/>
      <c r="AG114" s="67"/>
      <c r="AH114" s="67"/>
      <c r="AI114" s="67"/>
      <c r="AJ114" s="67"/>
      <c r="AK114" s="67"/>
      <c r="AL114" s="67"/>
      <c r="AM114" s="67"/>
      <c r="AN114" s="67"/>
      <c r="AO114" s="67"/>
      <c r="AP114" s="67"/>
    </row>
    <row r="115" spans="1:42" ht="15" thickBot="1" x14ac:dyDescent="0.4">
      <c r="A115" s="855" t="s">
        <v>1647</v>
      </c>
      <c r="B115" s="856">
        <v>1118</v>
      </c>
      <c r="C115" s="856">
        <v>1102</v>
      </c>
      <c r="D115" s="856">
        <v>952</v>
      </c>
      <c r="E115" s="856">
        <v>505</v>
      </c>
      <c r="F115" s="856">
        <v>530</v>
      </c>
      <c r="G115" s="62">
        <f t="shared" si="7"/>
        <v>1091.8</v>
      </c>
      <c r="H115" s="83"/>
      <c r="I115" s="83"/>
      <c r="J115" s="83"/>
      <c r="K115" s="83"/>
      <c r="L115" s="125"/>
      <c r="Z115" s="67"/>
      <c r="AA115" s="67"/>
      <c r="AB115" s="67"/>
      <c r="AC115" s="67"/>
      <c r="AD115" s="67"/>
      <c r="AE115" s="67"/>
      <c r="AF115" s="67"/>
      <c r="AG115" s="67"/>
      <c r="AH115" s="67"/>
      <c r="AI115" s="67"/>
      <c r="AJ115" s="67"/>
      <c r="AK115" s="67"/>
      <c r="AL115" s="67"/>
      <c r="AM115" s="67"/>
      <c r="AN115" s="67"/>
      <c r="AO115" s="67"/>
      <c r="AP115" s="67"/>
    </row>
    <row r="116" spans="1:42" ht="15" thickBot="1" x14ac:dyDescent="0.4">
      <c r="A116" s="855" t="s">
        <v>1497</v>
      </c>
      <c r="B116" s="856">
        <v>1585</v>
      </c>
      <c r="C116" s="856">
        <v>1587</v>
      </c>
      <c r="D116" s="856">
        <v>1342</v>
      </c>
      <c r="E116" s="856">
        <v>855</v>
      </c>
      <c r="F116" s="856">
        <v>950</v>
      </c>
      <c r="G116" s="62">
        <f t="shared" si="7"/>
        <v>1561.8999999999999</v>
      </c>
      <c r="H116" s="83"/>
      <c r="I116" s="83"/>
      <c r="J116" s="83"/>
      <c r="K116" s="83"/>
      <c r="L116" s="125"/>
      <c r="Z116" s="67"/>
      <c r="AA116" s="67"/>
      <c r="AB116" s="67"/>
      <c r="AC116" s="67"/>
      <c r="AD116" s="67"/>
      <c r="AE116" s="67"/>
      <c r="AF116" s="67"/>
      <c r="AG116" s="67"/>
      <c r="AH116" s="67"/>
      <c r="AI116" s="67"/>
      <c r="AJ116" s="67"/>
      <c r="AK116" s="67"/>
      <c r="AL116" s="67"/>
      <c r="AM116" s="67"/>
      <c r="AN116" s="67"/>
      <c r="AO116" s="67"/>
      <c r="AP116" s="67"/>
    </row>
    <row r="117" spans="1:42" ht="15" thickBot="1" x14ac:dyDescent="0.4">
      <c r="A117" s="855" t="s">
        <v>1498</v>
      </c>
      <c r="B117" s="856">
        <v>1428</v>
      </c>
      <c r="C117" s="856">
        <v>1425</v>
      </c>
      <c r="D117" s="856">
        <v>1132</v>
      </c>
      <c r="E117" s="856">
        <v>692</v>
      </c>
      <c r="F117" s="856">
        <v>793</v>
      </c>
      <c r="G117" s="62">
        <f t="shared" si="7"/>
        <v>1396.6000000000001</v>
      </c>
      <c r="H117" s="83"/>
      <c r="I117" s="83"/>
      <c r="J117" s="83"/>
      <c r="K117" s="83"/>
      <c r="L117" s="125"/>
      <c r="Z117" s="67"/>
      <c r="AA117" s="67"/>
      <c r="AB117" s="67"/>
      <c r="AC117" s="67"/>
      <c r="AD117" s="67"/>
      <c r="AE117" s="67"/>
      <c r="AF117" s="67"/>
      <c r="AG117" s="67"/>
      <c r="AH117" s="67"/>
      <c r="AI117" s="67"/>
      <c r="AJ117" s="67"/>
      <c r="AK117" s="67"/>
      <c r="AL117" s="67"/>
      <c r="AM117" s="67"/>
      <c r="AN117" s="67"/>
      <c r="AO117" s="67"/>
      <c r="AP117" s="67"/>
    </row>
    <row r="118" spans="1:42" ht="15" thickBot="1" x14ac:dyDescent="0.4">
      <c r="A118" s="855" t="s">
        <v>1499</v>
      </c>
      <c r="B118" s="856">
        <v>1481</v>
      </c>
      <c r="C118" s="856">
        <v>1368</v>
      </c>
      <c r="D118" s="856">
        <v>1214</v>
      </c>
      <c r="E118" s="856">
        <v>871</v>
      </c>
      <c r="F118" s="856">
        <v>973</v>
      </c>
      <c r="G118" s="62">
        <f t="shared" si="7"/>
        <v>1386.5</v>
      </c>
      <c r="H118" s="83"/>
      <c r="I118" s="83"/>
      <c r="J118" s="83"/>
      <c r="K118" s="83"/>
      <c r="L118" s="125"/>
      <c r="Z118" s="67"/>
      <c r="AA118" s="67"/>
      <c r="AB118" s="67"/>
      <c r="AC118" s="67"/>
      <c r="AD118" s="67"/>
      <c r="AE118" s="67"/>
      <c r="AF118" s="67"/>
      <c r="AG118" s="67"/>
      <c r="AH118" s="67"/>
      <c r="AI118" s="67"/>
      <c r="AJ118" s="67"/>
      <c r="AK118" s="67"/>
      <c r="AL118" s="67"/>
      <c r="AM118" s="67"/>
      <c r="AN118" s="67"/>
      <c r="AO118" s="67"/>
      <c r="AP118" s="67"/>
    </row>
    <row r="119" spans="1:42" ht="15" thickBot="1" x14ac:dyDescent="0.4">
      <c r="A119" s="855" t="s">
        <v>1500</v>
      </c>
      <c r="B119" s="856">
        <v>1579</v>
      </c>
      <c r="C119" s="856">
        <v>1620</v>
      </c>
      <c r="D119" s="856">
        <v>1414</v>
      </c>
      <c r="E119" s="856">
        <v>963</v>
      </c>
      <c r="F119" s="856">
        <v>1019</v>
      </c>
      <c r="G119" s="62">
        <f t="shared" si="7"/>
        <v>1587.1000000000001</v>
      </c>
      <c r="H119" s="83"/>
      <c r="I119" s="83"/>
      <c r="J119" s="83"/>
      <c r="K119" s="83"/>
      <c r="L119" s="125"/>
      <c r="Z119" s="67"/>
      <c r="AA119" s="67"/>
      <c r="AB119" s="67"/>
      <c r="AC119" s="67"/>
      <c r="AD119" s="67"/>
      <c r="AE119" s="67"/>
      <c r="AF119" s="67"/>
      <c r="AG119" s="67"/>
      <c r="AH119" s="67"/>
      <c r="AI119" s="67"/>
      <c r="AJ119" s="67"/>
      <c r="AK119" s="67"/>
      <c r="AL119" s="67"/>
      <c r="AM119" s="67"/>
      <c r="AN119" s="67"/>
      <c r="AO119" s="67"/>
      <c r="AP119" s="67"/>
    </row>
    <row r="120" spans="1:42" ht="15" thickBot="1" x14ac:dyDescent="0.4">
      <c r="A120" s="855" t="s">
        <v>1501</v>
      </c>
      <c r="B120" s="856">
        <v>1048</v>
      </c>
      <c r="C120" s="856">
        <v>1013</v>
      </c>
      <c r="D120" s="856">
        <v>939</v>
      </c>
      <c r="E120" s="856">
        <v>567</v>
      </c>
      <c r="F120" s="856">
        <v>634</v>
      </c>
      <c r="G120" s="62">
        <f t="shared" si="7"/>
        <v>1016.0999999999999</v>
      </c>
      <c r="H120" s="83"/>
      <c r="I120" s="83"/>
      <c r="J120" s="83"/>
      <c r="K120" s="83"/>
      <c r="L120" s="125"/>
      <c r="Z120" s="67"/>
      <c r="AA120" s="67"/>
      <c r="AB120" s="67"/>
      <c r="AC120" s="67"/>
      <c r="AD120" s="67"/>
      <c r="AE120" s="67"/>
      <c r="AF120" s="67"/>
      <c r="AG120" s="67"/>
      <c r="AH120" s="67"/>
      <c r="AI120" s="67"/>
      <c r="AJ120" s="67"/>
      <c r="AK120" s="67"/>
      <c r="AL120" s="67"/>
      <c r="AM120" s="67"/>
      <c r="AN120" s="67"/>
      <c r="AO120" s="67"/>
      <c r="AP120" s="67"/>
    </row>
    <row r="121" spans="1:42" ht="15" thickBot="1" x14ac:dyDescent="0.4">
      <c r="A121" s="855" t="s">
        <v>1648</v>
      </c>
      <c r="B121" s="856">
        <v>1787</v>
      </c>
      <c r="C121" s="856">
        <v>1831</v>
      </c>
      <c r="D121" s="856">
        <v>1635</v>
      </c>
      <c r="E121" s="856">
        <v>1089</v>
      </c>
      <c r="F121" s="856">
        <v>1669</v>
      </c>
      <c r="G121" s="62">
        <f t="shared" si="7"/>
        <v>1798.1999999999998</v>
      </c>
      <c r="H121" s="83"/>
      <c r="I121" s="83"/>
      <c r="J121" s="83"/>
      <c r="K121" s="83"/>
      <c r="L121" s="125"/>
      <c r="Z121" s="67"/>
      <c r="AA121" s="67"/>
      <c r="AB121" s="67"/>
      <c r="AC121" s="67"/>
      <c r="AD121" s="67"/>
      <c r="AE121" s="67"/>
      <c r="AF121" s="67"/>
      <c r="AG121" s="67"/>
      <c r="AH121" s="67"/>
      <c r="AI121" s="67"/>
      <c r="AJ121" s="67"/>
      <c r="AK121" s="67"/>
      <c r="AL121" s="67"/>
      <c r="AM121" s="67"/>
      <c r="AN121" s="67"/>
      <c r="AO121" s="67"/>
      <c r="AP121" s="67"/>
    </row>
    <row r="122" spans="1:42" ht="15" thickBot="1" x14ac:dyDescent="0.4">
      <c r="A122" s="855" t="s">
        <v>1649</v>
      </c>
      <c r="B122" s="856">
        <v>985</v>
      </c>
      <c r="C122" s="856">
        <v>969</v>
      </c>
      <c r="D122" s="856">
        <v>852</v>
      </c>
      <c r="E122" s="856">
        <v>680</v>
      </c>
      <c r="F122" s="856">
        <v>752</v>
      </c>
      <c r="G122" s="62">
        <f t="shared" si="7"/>
        <v>962.1</v>
      </c>
      <c r="H122" s="83"/>
      <c r="I122" s="83"/>
      <c r="J122" s="83"/>
      <c r="K122" s="83"/>
      <c r="L122" s="125"/>
      <c r="Z122" s="67"/>
      <c r="AA122" s="67"/>
      <c r="AB122" s="67"/>
      <c r="AC122" s="67"/>
      <c r="AD122" s="67"/>
      <c r="AE122" s="67"/>
      <c r="AF122" s="67"/>
      <c r="AG122" s="67"/>
      <c r="AH122" s="67"/>
      <c r="AI122" s="67"/>
      <c r="AJ122" s="67"/>
      <c r="AK122" s="67"/>
      <c r="AL122" s="67"/>
      <c r="AM122" s="67"/>
      <c r="AN122" s="67"/>
      <c r="AO122" s="67"/>
      <c r="AP122" s="67"/>
    </row>
    <row r="123" spans="1:42" ht="15" thickBot="1" x14ac:dyDescent="0.4">
      <c r="A123" s="855" t="s">
        <v>1650</v>
      </c>
      <c r="B123" s="856">
        <v>1916</v>
      </c>
      <c r="C123" s="856">
        <v>1905</v>
      </c>
      <c r="D123" s="856">
        <v>1718</v>
      </c>
      <c r="E123" s="856">
        <v>1288</v>
      </c>
      <c r="F123" s="856">
        <v>1538</v>
      </c>
      <c r="G123" s="62">
        <f t="shared" si="7"/>
        <v>1889.6</v>
      </c>
      <c r="H123" s="83"/>
      <c r="I123" s="83"/>
      <c r="J123" s="83"/>
      <c r="K123" s="83"/>
      <c r="L123" s="125"/>
      <c r="Z123" s="67"/>
      <c r="AA123" s="67"/>
      <c r="AB123" s="67"/>
      <c r="AC123" s="67"/>
      <c r="AD123" s="67"/>
      <c r="AE123" s="67"/>
      <c r="AF123" s="67"/>
      <c r="AG123" s="67"/>
      <c r="AH123" s="67"/>
      <c r="AI123" s="67"/>
      <c r="AJ123" s="67"/>
      <c r="AK123" s="67"/>
      <c r="AL123" s="67"/>
      <c r="AM123" s="67"/>
      <c r="AN123" s="67"/>
      <c r="AO123" s="67"/>
      <c r="AP123" s="67"/>
    </row>
    <row r="124" spans="1:42" ht="15" thickBot="1" x14ac:dyDescent="0.4">
      <c r="A124" s="855" t="s">
        <v>1651</v>
      </c>
      <c r="B124" s="856">
        <v>1683</v>
      </c>
      <c r="C124" s="856">
        <v>1646</v>
      </c>
      <c r="D124" s="856">
        <v>1446</v>
      </c>
      <c r="E124" s="856">
        <v>1063</v>
      </c>
      <c r="F124" s="856">
        <v>1277</v>
      </c>
      <c r="G124" s="62">
        <f t="shared" si="7"/>
        <v>1637.1</v>
      </c>
      <c r="H124" s="83"/>
      <c r="I124" s="83"/>
      <c r="J124" s="83"/>
      <c r="K124" s="83"/>
      <c r="L124" s="125"/>
      <c r="Z124" s="67"/>
      <c r="AA124" s="67"/>
      <c r="AB124" s="67"/>
      <c r="AC124" s="67"/>
      <c r="AD124" s="67"/>
      <c r="AE124" s="67"/>
      <c r="AF124" s="67"/>
      <c r="AG124" s="67"/>
      <c r="AH124" s="67"/>
      <c r="AI124" s="67"/>
      <c r="AJ124" s="67"/>
      <c r="AK124" s="67"/>
      <c r="AL124" s="67"/>
      <c r="AM124" s="67"/>
      <c r="AN124" s="67"/>
      <c r="AO124" s="67"/>
      <c r="AP124" s="67"/>
    </row>
    <row r="125" spans="1:42" ht="15" thickBot="1" x14ac:dyDescent="0.4">
      <c r="A125" s="855" t="s">
        <v>1621</v>
      </c>
      <c r="B125" s="856">
        <v>1608</v>
      </c>
      <c r="C125" s="856">
        <v>1602</v>
      </c>
      <c r="D125" s="856">
        <v>1404</v>
      </c>
      <c r="E125" s="856">
        <v>876</v>
      </c>
      <c r="F125" s="856">
        <v>1047</v>
      </c>
      <c r="G125" s="62">
        <f t="shared" si="7"/>
        <v>1584</v>
      </c>
      <c r="H125" s="83"/>
      <c r="I125" s="83"/>
      <c r="J125" s="83"/>
      <c r="K125" s="83"/>
      <c r="L125" s="125"/>
      <c r="Z125" s="67"/>
      <c r="AA125" s="67"/>
      <c r="AB125" s="67"/>
      <c r="AC125" s="67"/>
      <c r="AD125" s="67"/>
      <c r="AE125" s="67"/>
      <c r="AF125" s="67"/>
      <c r="AG125" s="67"/>
      <c r="AH125" s="67"/>
      <c r="AI125" s="67"/>
      <c r="AJ125" s="67"/>
      <c r="AK125" s="67"/>
      <c r="AL125" s="67"/>
      <c r="AM125" s="67"/>
      <c r="AN125" s="67"/>
      <c r="AO125" s="67"/>
      <c r="AP125" s="67"/>
    </row>
    <row r="126" spans="1:42" ht="15" thickBot="1" x14ac:dyDescent="0.4">
      <c r="A126" s="855" t="s">
        <v>1623</v>
      </c>
      <c r="B126" s="856">
        <v>1761</v>
      </c>
      <c r="C126" s="856">
        <v>1712</v>
      </c>
      <c r="D126" s="856">
        <v>1544</v>
      </c>
      <c r="E126" s="856">
        <v>1056</v>
      </c>
      <c r="F126" s="856">
        <v>1290</v>
      </c>
      <c r="G126" s="62">
        <f t="shared" si="7"/>
        <v>1709.9</v>
      </c>
      <c r="H126" s="83"/>
      <c r="I126" s="83"/>
      <c r="J126" s="83"/>
      <c r="K126" s="83"/>
      <c r="L126" s="125"/>
      <c r="Z126" s="67"/>
      <c r="AA126" s="67"/>
      <c r="AB126" s="67"/>
      <c r="AC126" s="67"/>
      <c r="AD126" s="67"/>
      <c r="AE126" s="67"/>
      <c r="AF126" s="67"/>
      <c r="AG126" s="67"/>
      <c r="AH126" s="67"/>
      <c r="AI126" s="67"/>
      <c r="AJ126" s="67"/>
      <c r="AK126" s="67"/>
      <c r="AL126" s="67"/>
      <c r="AM126" s="67"/>
      <c r="AN126" s="67"/>
      <c r="AO126" s="67"/>
      <c r="AP126" s="67"/>
    </row>
    <row r="127" spans="1:42" ht="15" thickBot="1" x14ac:dyDescent="0.4">
      <c r="A127" s="855" t="s">
        <v>1652</v>
      </c>
      <c r="B127" s="856">
        <v>1601</v>
      </c>
      <c r="C127" s="856">
        <v>1626</v>
      </c>
      <c r="D127" s="856">
        <v>1548</v>
      </c>
      <c r="E127" s="856">
        <v>1260</v>
      </c>
      <c r="F127" s="856">
        <v>1323</v>
      </c>
      <c r="G127" s="62">
        <f t="shared" si="7"/>
        <v>1610.6999999999998</v>
      </c>
      <c r="H127" s="83"/>
      <c r="I127" s="83"/>
      <c r="J127" s="83"/>
      <c r="K127" s="83"/>
      <c r="L127" s="125"/>
      <c r="Z127" s="67"/>
      <c r="AA127" s="67"/>
      <c r="AB127" s="67"/>
      <c r="AC127" s="67"/>
      <c r="AD127" s="67"/>
      <c r="AE127" s="67"/>
      <c r="AF127" s="67"/>
      <c r="AG127" s="67"/>
      <c r="AH127" s="67"/>
      <c r="AI127" s="67"/>
      <c r="AJ127" s="67"/>
      <c r="AK127" s="67"/>
      <c r="AL127" s="67"/>
      <c r="AM127" s="67"/>
      <c r="AN127" s="67"/>
      <c r="AO127" s="67"/>
      <c r="AP127" s="67"/>
    </row>
    <row r="128" spans="1:42" ht="15" thickBot="1" x14ac:dyDescent="0.4">
      <c r="A128" s="855" t="s">
        <v>1653</v>
      </c>
      <c r="B128" s="856">
        <v>1758</v>
      </c>
      <c r="C128" s="856">
        <v>1702</v>
      </c>
      <c r="D128" s="856">
        <v>1521</v>
      </c>
      <c r="E128" s="856">
        <v>1018</v>
      </c>
      <c r="F128" s="856">
        <v>1252</v>
      </c>
      <c r="G128" s="62">
        <f t="shared" si="7"/>
        <v>1700.6999999999998</v>
      </c>
      <c r="H128" s="83"/>
      <c r="I128" s="83"/>
      <c r="J128" s="83"/>
      <c r="K128" s="83"/>
      <c r="L128" s="125"/>
      <c r="Z128" s="67"/>
      <c r="AA128" s="67"/>
      <c r="AB128" s="67"/>
      <c r="AC128" s="67"/>
      <c r="AD128" s="67"/>
      <c r="AE128" s="67"/>
      <c r="AF128" s="67"/>
      <c r="AG128" s="67"/>
      <c r="AH128" s="67"/>
      <c r="AI128" s="67"/>
      <c r="AJ128" s="67"/>
      <c r="AK128" s="67"/>
      <c r="AL128" s="67"/>
      <c r="AM128" s="67"/>
      <c r="AN128" s="67"/>
      <c r="AO128" s="67"/>
      <c r="AP128" s="67"/>
    </row>
    <row r="129" spans="1:42" ht="15" thickBot="1" x14ac:dyDescent="0.4">
      <c r="A129" s="855" t="s">
        <v>1654</v>
      </c>
      <c r="B129" s="856">
        <v>1526</v>
      </c>
      <c r="C129" s="856">
        <v>1506</v>
      </c>
      <c r="D129" s="856">
        <v>1373</v>
      </c>
      <c r="E129" s="856">
        <v>1169</v>
      </c>
      <c r="F129" s="856">
        <v>1172</v>
      </c>
      <c r="G129" s="62">
        <f t="shared" si="7"/>
        <v>1498.7</v>
      </c>
      <c r="H129" s="83"/>
      <c r="I129" s="83"/>
      <c r="J129" s="83"/>
      <c r="K129" s="83"/>
      <c r="L129" s="125"/>
      <c r="Z129" s="67"/>
      <c r="AA129" s="67"/>
      <c r="AB129" s="67"/>
      <c r="AC129" s="67"/>
      <c r="AD129" s="67"/>
      <c r="AE129" s="67"/>
      <c r="AF129" s="67"/>
      <c r="AG129" s="67"/>
      <c r="AH129" s="67"/>
      <c r="AI129" s="67"/>
      <c r="AJ129" s="67"/>
      <c r="AK129" s="67"/>
      <c r="AL129" s="67"/>
      <c r="AM129" s="67"/>
      <c r="AN129" s="67"/>
      <c r="AO129" s="67"/>
      <c r="AP129" s="67"/>
    </row>
    <row r="130" spans="1:42" ht="15" thickBot="1" x14ac:dyDescent="0.4">
      <c r="A130" s="855" t="s">
        <v>1655</v>
      </c>
      <c r="B130" s="856">
        <v>1815</v>
      </c>
      <c r="C130" s="856">
        <v>1762</v>
      </c>
      <c r="D130" s="856">
        <v>1580</v>
      </c>
      <c r="E130" s="856">
        <v>1089</v>
      </c>
      <c r="F130" s="856">
        <v>1406</v>
      </c>
      <c r="G130" s="62">
        <f t="shared" si="7"/>
        <v>1759.7</v>
      </c>
      <c r="H130" s="83"/>
      <c r="I130" s="83"/>
      <c r="J130" s="83"/>
      <c r="K130" s="83"/>
      <c r="L130" s="125"/>
      <c r="Z130" s="67"/>
      <c r="AA130" s="67"/>
      <c r="AB130" s="67"/>
      <c r="AC130" s="67"/>
      <c r="AD130" s="67"/>
      <c r="AE130" s="67"/>
      <c r="AF130" s="67"/>
      <c r="AG130" s="67"/>
      <c r="AH130" s="67"/>
      <c r="AI130" s="67"/>
      <c r="AJ130" s="67"/>
      <c r="AK130" s="67"/>
      <c r="AL130" s="67"/>
      <c r="AM130" s="67"/>
      <c r="AN130" s="67"/>
      <c r="AO130" s="67"/>
      <c r="AP130" s="67"/>
    </row>
    <row r="131" spans="1:42" ht="15" thickBot="1" x14ac:dyDescent="0.4">
      <c r="A131" s="855" t="s">
        <v>1656</v>
      </c>
      <c r="B131" s="856">
        <v>1475</v>
      </c>
      <c r="C131" s="856">
        <v>1464</v>
      </c>
      <c r="D131" s="856">
        <v>1330</v>
      </c>
      <c r="E131" s="856">
        <v>1152</v>
      </c>
      <c r="F131" s="856">
        <v>1123</v>
      </c>
      <c r="G131" s="62">
        <f t="shared" si="7"/>
        <v>1453.9</v>
      </c>
      <c r="H131" s="83"/>
      <c r="I131" s="83"/>
      <c r="J131" s="83"/>
      <c r="K131" s="83"/>
      <c r="L131" s="125"/>
      <c r="Z131" s="67"/>
      <c r="AA131" s="67"/>
      <c r="AB131" s="67"/>
      <c r="AC131" s="67"/>
      <c r="AD131" s="67"/>
      <c r="AE131" s="67"/>
      <c r="AF131" s="67"/>
      <c r="AG131" s="67"/>
      <c r="AH131" s="67"/>
      <c r="AI131" s="67"/>
      <c r="AJ131" s="67"/>
      <c r="AK131" s="67"/>
      <c r="AL131" s="67"/>
      <c r="AM131" s="67"/>
      <c r="AN131" s="67"/>
      <c r="AO131" s="67"/>
      <c r="AP131" s="67"/>
    </row>
    <row r="132" spans="1:42" ht="15" thickBot="1" x14ac:dyDescent="0.4">
      <c r="A132" s="855" t="s">
        <v>1657</v>
      </c>
      <c r="B132" s="856">
        <v>1666</v>
      </c>
      <c r="C132" s="856">
        <v>1685</v>
      </c>
      <c r="D132" s="856">
        <v>1450</v>
      </c>
      <c r="E132" s="856">
        <v>1067</v>
      </c>
      <c r="F132" s="856">
        <v>1216</v>
      </c>
      <c r="G132" s="62">
        <f t="shared" si="7"/>
        <v>1655.8</v>
      </c>
      <c r="H132" s="83"/>
      <c r="I132" s="83"/>
      <c r="J132" s="83"/>
      <c r="K132" s="83"/>
      <c r="L132" s="125"/>
      <c r="Z132" s="67"/>
      <c r="AA132" s="67"/>
      <c r="AB132" s="67"/>
      <c r="AC132" s="67"/>
      <c r="AD132" s="67"/>
      <c r="AE132" s="67"/>
      <c r="AF132" s="67"/>
      <c r="AG132" s="67"/>
      <c r="AH132" s="67"/>
      <c r="AI132" s="67"/>
      <c r="AJ132" s="67"/>
      <c r="AK132" s="67"/>
      <c r="AL132" s="67"/>
      <c r="AM132" s="67"/>
      <c r="AN132" s="67"/>
      <c r="AO132" s="67"/>
      <c r="AP132" s="67"/>
    </row>
    <row r="133" spans="1:42" ht="15" thickBot="1" x14ac:dyDescent="0.4">
      <c r="A133" s="855" t="s">
        <v>1502</v>
      </c>
      <c r="B133" s="856">
        <v>1845</v>
      </c>
      <c r="C133" s="856">
        <v>1857</v>
      </c>
      <c r="D133" s="856">
        <v>1666</v>
      </c>
      <c r="E133" s="856">
        <v>1187</v>
      </c>
      <c r="F133" s="856">
        <v>1388</v>
      </c>
      <c r="G133" s="62">
        <f t="shared" si="7"/>
        <v>1834.3000000000002</v>
      </c>
      <c r="H133" s="83"/>
      <c r="I133" s="83"/>
      <c r="J133" s="83"/>
      <c r="K133" s="83"/>
      <c r="L133" s="125"/>
      <c r="Z133" s="67"/>
      <c r="AA133" s="67"/>
      <c r="AB133" s="67"/>
      <c r="AC133" s="67"/>
      <c r="AD133" s="67"/>
      <c r="AE133" s="67"/>
      <c r="AF133" s="67"/>
      <c r="AG133" s="67"/>
      <c r="AH133" s="67"/>
      <c r="AI133" s="67"/>
      <c r="AJ133" s="67"/>
      <c r="AK133" s="67"/>
      <c r="AL133" s="67"/>
      <c r="AM133" s="67"/>
      <c r="AN133" s="67"/>
      <c r="AO133" s="67"/>
      <c r="AP133" s="67"/>
    </row>
    <row r="134" spans="1:42" ht="15" thickBot="1" x14ac:dyDescent="0.4">
      <c r="A134" s="855" t="s">
        <v>1658</v>
      </c>
      <c r="B134" s="856">
        <v>1764</v>
      </c>
      <c r="C134" s="856">
        <v>1818</v>
      </c>
      <c r="D134" s="856">
        <v>1549</v>
      </c>
      <c r="E134" s="856">
        <v>1332</v>
      </c>
      <c r="F134" s="856">
        <v>1512</v>
      </c>
      <c r="G134" s="62">
        <f t="shared" si="7"/>
        <v>1774.9</v>
      </c>
      <c r="H134" s="83"/>
      <c r="I134" s="83"/>
      <c r="J134" s="83"/>
      <c r="K134" s="83"/>
      <c r="L134" s="125"/>
      <c r="Z134" s="67"/>
      <c r="AA134" s="67"/>
      <c r="AB134" s="67"/>
      <c r="AC134" s="67"/>
      <c r="AD134" s="67"/>
      <c r="AE134" s="67"/>
      <c r="AF134" s="67"/>
      <c r="AG134" s="67"/>
      <c r="AH134" s="67"/>
      <c r="AI134" s="67"/>
      <c r="AJ134" s="67"/>
      <c r="AK134" s="67"/>
      <c r="AL134" s="67"/>
      <c r="AM134" s="67"/>
      <c r="AN134" s="67"/>
      <c r="AO134" s="67"/>
      <c r="AP134" s="67"/>
    </row>
    <row r="135" spans="1:42" ht="15" thickBot="1" x14ac:dyDescent="0.4">
      <c r="A135" s="855" t="s">
        <v>1659</v>
      </c>
      <c r="B135" s="856">
        <v>1788</v>
      </c>
      <c r="C135" s="856">
        <v>1853</v>
      </c>
      <c r="D135" s="856">
        <v>1580</v>
      </c>
      <c r="E135" s="856">
        <v>1369</v>
      </c>
      <c r="F135" s="856">
        <v>1555</v>
      </c>
      <c r="G135" s="62">
        <f t="shared" si="7"/>
        <v>1806.1999999999998</v>
      </c>
      <c r="H135" s="83"/>
      <c r="I135" s="83"/>
      <c r="J135" s="83"/>
      <c r="K135" s="83"/>
      <c r="L135" s="125"/>
      <c r="Z135" s="67"/>
      <c r="AA135" s="67"/>
      <c r="AB135" s="67"/>
      <c r="AC135" s="67"/>
      <c r="AD135" s="67"/>
      <c r="AE135" s="67"/>
      <c r="AF135" s="67"/>
      <c r="AG135" s="67"/>
      <c r="AH135" s="67"/>
      <c r="AI135" s="67"/>
      <c r="AJ135" s="67"/>
      <c r="AK135" s="67"/>
      <c r="AL135" s="67"/>
      <c r="AM135" s="67"/>
      <c r="AN135" s="67"/>
      <c r="AO135" s="67"/>
      <c r="AP135" s="67"/>
    </row>
    <row r="136" spans="1:42" ht="15" thickBot="1" x14ac:dyDescent="0.4">
      <c r="A136" s="855" t="s">
        <v>1660</v>
      </c>
      <c r="B136" s="856">
        <v>731</v>
      </c>
      <c r="C136" s="856">
        <v>695</v>
      </c>
      <c r="D136" s="856">
        <v>522</v>
      </c>
      <c r="E136" s="856">
        <v>314</v>
      </c>
      <c r="F136" s="856">
        <v>340</v>
      </c>
      <c r="G136" s="62">
        <f t="shared" si="7"/>
        <v>688.5</v>
      </c>
      <c r="H136" s="83"/>
      <c r="I136" s="83"/>
      <c r="J136" s="83"/>
      <c r="K136" s="83"/>
      <c r="L136" s="125"/>
      <c r="Z136" s="67"/>
      <c r="AA136" s="67"/>
      <c r="AB136" s="67"/>
      <c r="AC136" s="67"/>
      <c r="AD136" s="67"/>
      <c r="AE136" s="67"/>
      <c r="AF136" s="67"/>
      <c r="AG136" s="67"/>
      <c r="AH136" s="67"/>
      <c r="AI136" s="67"/>
      <c r="AJ136" s="67"/>
      <c r="AK136" s="67"/>
      <c r="AL136" s="67"/>
      <c r="AM136" s="67"/>
      <c r="AN136" s="67"/>
      <c r="AO136" s="67"/>
      <c r="AP136" s="67"/>
    </row>
    <row r="137" spans="1:42" ht="15" thickBot="1" x14ac:dyDescent="0.4">
      <c r="A137" s="855" t="s">
        <v>1661</v>
      </c>
      <c r="B137" s="856">
        <v>1325</v>
      </c>
      <c r="C137" s="856">
        <v>1512</v>
      </c>
      <c r="D137" s="856">
        <v>1232</v>
      </c>
      <c r="E137" s="856">
        <v>1448</v>
      </c>
      <c r="F137" s="856">
        <v>1946</v>
      </c>
      <c r="G137" s="62">
        <f t="shared" si="7"/>
        <v>1427.8999999999999</v>
      </c>
      <c r="H137" s="83"/>
      <c r="I137" s="83"/>
      <c r="J137" s="83"/>
      <c r="K137" s="83"/>
      <c r="L137" s="125"/>
      <c r="Z137" s="67"/>
      <c r="AA137" s="67"/>
      <c r="AB137" s="67"/>
      <c r="AC137" s="67"/>
      <c r="AD137" s="67"/>
      <c r="AE137" s="67"/>
      <c r="AF137" s="67"/>
      <c r="AG137" s="67"/>
      <c r="AH137" s="67"/>
      <c r="AI137" s="67"/>
      <c r="AJ137" s="67"/>
      <c r="AK137" s="67"/>
      <c r="AL137" s="67"/>
      <c r="AM137" s="67"/>
      <c r="AN137" s="67"/>
      <c r="AO137" s="67"/>
      <c r="AP137" s="67"/>
    </row>
    <row r="138" spans="1:42" ht="15" thickBot="1" x14ac:dyDescent="0.4">
      <c r="A138" s="855" t="s">
        <v>1504</v>
      </c>
      <c r="B138" s="856">
        <v>1781</v>
      </c>
      <c r="C138" s="856">
        <v>1736</v>
      </c>
      <c r="D138" s="856">
        <v>1531</v>
      </c>
      <c r="E138" s="856">
        <v>1057</v>
      </c>
      <c r="F138" s="856">
        <v>1283</v>
      </c>
      <c r="G138" s="62">
        <f t="shared" si="7"/>
        <v>1728.9999999999998</v>
      </c>
      <c r="H138" s="83"/>
      <c r="I138" s="83"/>
      <c r="J138" s="83"/>
      <c r="K138" s="83"/>
      <c r="L138" s="125"/>
      <c r="Z138" s="67"/>
      <c r="AA138" s="67"/>
      <c r="AB138" s="67"/>
      <c r="AC138" s="67"/>
      <c r="AD138" s="67"/>
      <c r="AE138" s="67"/>
      <c r="AF138" s="67"/>
      <c r="AG138" s="67"/>
      <c r="AH138" s="67"/>
      <c r="AI138" s="67"/>
      <c r="AJ138" s="67"/>
      <c r="AK138" s="67"/>
      <c r="AL138" s="67"/>
      <c r="AM138" s="67"/>
      <c r="AN138" s="67"/>
      <c r="AO138" s="67"/>
      <c r="AP138" s="67"/>
    </row>
    <row r="139" spans="1:42" ht="15" thickBot="1" x14ac:dyDescent="0.4">
      <c r="A139" s="855" t="s">
        <v>1505</v>
      </c>
      <c r="B139" s="856">
        <v>1603</v>
      </c>
      <c r="C139" s="856">
        <v>1504</v>
      </c>
      <c r="D139" s="856">
        <v>1440</v>
      </c>
      <c r="E139" s="856">
        <v>1054</v>
      </c>
      <c r="F139" s="856">
        <v>1205</v>
      </c>
      <c r="G139" s="62">
        <f t="shared" si="7"/>
        <v>1527.3</v>
      </c>
      <c r="H139" s="83"/>
      <c r="I139" s="83"/>
      <c r="J139" s="83"/>
      <c r="K139" s="83"/>
      <c r="L139" s="125"/>
      <c r="Z139" s="67"/>
      <c r="AA139" s="67"/>
      <c r="AB139" s="67"/>
      <c r="AC139" s="67"/>
      <c r="AD139" s="67"/>
      <c r="AE139" s="67"/>
      <c r="AF139" s="67"/>
      <c r="AG139" s="67"/>
      <c r="AH139" s="67"/>
      <c r="AI139" s="67"/>
      <c r="AJ139" s="67"/>
      <c r="AK139" s="67"/>
      <c r="AL139" s="67"/>
      <c r="AM139" s="67"/>
      <c r="AN139" s="67"/>
      <c r="AO139" s="67"/>
      <c r="AP139" s="67"/>
    </row>
    <row r="140" spans="1:42" ht="15" thickBot="1" x14ac:dyDescent="0.4">
      <c r="A140" s="855" t="s">
        <v>1506</v>
      </c>
      <c r="B140" s="856">
        <v>1350</v>
      </c>
      <c r="C140" s="856">
        <v>1354</v>
      </c>
      <c r="D140" s="856">
        <v>1216</v>
      </c>
      <c r="E140" s="856">
        <v>920</v>
      </c>
      <c r="F140" s="856">
        <v>1091</v>
      </c>
      <c r="G140" s="62">
        <f t="shared" si="7"/>
        <v>1339</v>
      </c>
      <c r="H140" s="83"/>
      <c r="I140" s="83"/>
      <c r="J140" s="83"/>
      <c r="K140" s="83"/>
      <c r="L140" s="125"/>
      <c r="Z140" s="67"/>
      <c r="AA140" s="67"/>
      <c r="AB140" s="67"/>
      <c r="AC140" s="67"/>
      <c r="AD140" s="67"/>
      <c r="AE140" s="67"/>
      <c r="AF140" s="67"/>
      <c r="AG140" s="67"/>
      <c r="AH140" s="67"/>
      <c r="AI140" s="67"/>
      <c r="AJ140" s="67"/>
      <c r="AK140" s="67"/>
      <c r="AL140" s="67"/>
      <c r="AM140" s="67"/>
      <c r="AN140" s="67"/>
      <c r="AO140" s="67"/>
      <c r="AP140" s="67"/>
    </row>
    <row r="141" spans="1:42" ht="15" thickBot="1" x14ac:dyDescent="0.4">
      <c r="A141" s="855" t="s">
        <v>1508</v>
      </c>
      <c r="B141" s="856">
        <v>1392</v>
      </c>
      <c r="C141" s="856">
        <v>1278</v>
      </c>
      <c r="D141" s="856">
        <v>1200</v>
      </c>
      <c r="E141" s="856">
        <v>781</v>
      </c>
      <c r="F141" s="856">
        <v>891</v>
      </c>
      <c r="G141" s="62">
        <f t="shared" si="7"/>
        <v>1304.3999999999999</v>
      </c>
      <c r="H141" s="83"/>
      <c r="I141" s="83"/>
      <c r="J141" s="83"/>
      <c r="K141" s="83"/>
      <c r="L141" s="125"/>
      <c r="Z141" s="67"/>
      <c r="AA141" s="67"/>
      <c r="AB141" s="67"/>
      <c r="AC141" s="67"/>
      <c r="AD141" s="67"/>
      <c r="AE141" s="67"/>
      <c r="AF141" s="67"/>
      <c r="AG141" s="67"/>
      <c r="AH141" s="67"/>
      <c r="AI141" s="67"/>
      <c r="AJ141" s="67"/>
      <c r="AK141" s="67"/>
      <c r="AL141" s="67"/>
      <c r="AM141" s="67"/>
      <c r="AN141" s="67"/>
      <c r="AO141" s="67"/>
      <c r="AP141" s="67"/>
    </row>
    <row r="142" spans="1:42" ht="15" thickBot="1" x14ac:dyDescent="0.4">
      <c r="A142" s="855" t="s">
        <v>1507</v>
      </c>
      <c r="B142" s="856">
        <v>1332</v>
      </c>
      <c r="C142" s="856">
        <v>1233</v>
      </c>
      <c r="D142" s="856">
        <v>1090</v>
      </c>
      <c r="E142" s="856">
        <v>751</v>
      </c>
      <c r="F142" s="856">
        <v>810</v>
      </c>
      <c r="G142" s="62">
        <f t="shared" si="7"/>
        <v>1248.3999999999999</v>
      </c>
      <c r="H142" s="83"/>
      <c r="I142" s="83"/>
      <c r="J142" s="83"/>
      <c r="K142" s="83"/>
      <c r="L142" s="125"/>
      <c r="Z142" s="67"/>
      <c r="AA142" s="67"/>
      <c r="AB142" s="67"/>
      <c r="AC142" s="67"/>
      <c r="AD142" s="67"/>
      <c r="AE142" s="67"/>
      <c r="AF142" s="67"/>
      <c r="AG142" s="67"/>
      <c r="AH142" s="67"/>
      <c r="AI142" s="67"/>
      <c r="AJ142" s="67"/>
      <c r="AK142" s="67"/>
      <c r="AL142" s="67"/>
      <c r="AM142" s="67"/>
      <c r="AN142" s="67"/>
      <c r="AO142" s="67"/>
      <c r="AP142" s="67"/>
    </row>
    <row r="143" spans="1:42" ht="15" thickBot="1" x14ac:dyDescent="0.4">
      <c r="A143" s="855" t="s">
        <v>1620</v>
      </c>
      <c r="B143" s="856">
        <v>1530</v>
      </c>
      <c r="C143" s="856">
        <v>1430</v>
      </c>
      <c r="D143" s="856">
        <v>1276</v>
      </c>
      <c r="E143" s="856">
        <v>709</v>
      </c>
      <c r="F143" s="856">
        <v>849</v>
      </c>
      <c r="G143" s="62">
        <f t="shared" si="7"/>
        <v>1444.6</v>
      </c>
      <c r="H143" s="83"/>
      <c r="I143" s="83"/>
      <c r="J143" s="83"/>
      <c r="K143" s="83"/>
      <c r="L143" s="125"/>
      <c r="Z143" s="67"/>
      <c r="AA143" s="67"/>
      <c r="AB143" s="67"/>
      <c r="AC143" s="67"/>
      <c r="AD143" s="67"/>
      <c r="AE143" s="67"/>
      <c r="AF143" s="67"/>
      <c r="AG143" s="67"/>
      <c r="AH143" s="67"/>
      <c r="AI143" s="67"/>
      <c r="AJ143" s="67"/>
      <c r="AK143" s="67"/>
      <c r="AL143" s="67"/>
      <c r="AM143" s="67"/>
      <c r="AN143" s="67"/>
      <c r="AO143" s="67"/>
      <c r="AP143" s="67"/>
    </row>
    <row r="144" spans="1:42" ht="15" thickBot="1" x14ac:dyDescent="0.4">
      <c r="A144" s="855" t="s">
        <v>1510</v>
      </c>
      <c r="B144" s="856">
        <v>1456</v>
      </c>
      <c r="C144" s="856">
        <v>1357</v>
      </c>
      <c r="D144" s="856">
        <v>1400</v>
      </c>
      <c r="E144" s="856">
        <v>875</v>
      </c>
      <c r="F144" s="856">
        <v>1078</v>
      </c>
      <c r="G144" s="62">
        <f t="shared" si="7"/>
        <v>1391</v>
      </c>
      <c r="H144" s="83"/>
      <c r="I144" s="83"/>
      <c r="J144" s="83"/>
      <c r="K144" s="83"/>
      <c r="L144" s="125"/>
      <c r="Z144" s="67"/>
      <c r="AA144" s="67"/>
      <c r="AB144" s="67"/>
      <c r="AC144" s="67"/>
      <c r="AD144" s="67"/>
      <c r="AE144" s="67"/>
      <c r="AF144" s="67"/>
      <c r="AG144" s="67"/>
      <c r="AH144" s="67"/>
      <c r="AI144" s="67"/>
      <c r="AJ144" s="67"/>
      <c r="AK144" s="67"/>
      <c r="AL144" s="67"/>
      <c r="AM144" s="67"/>
      <c r="AN144" s="67"/>
      <c r="AO144" s="67"/>
      <c r="AP144" s="67"/>
    </row>
    <row r="145" spans="1:44" ht="15" thickBot="1" x14ac:dyDescent="0.4">
      <c r="A145" s="855" t="s">
        <v>1662</v>
      </c>
      <c r="B145" s="856">
        <v>1553</v>
      </c>
      <c r="C145" s="856">
        <v>1536</v>
      </c>
      <c r="D145" s="856">
        <v>1369</v>
      </c>
      <c r="E145" s="856">
        <v>982</v>
      </c>
      <c r="F145" s="856">
        <v>1139</v>
      </c>
      <c r="G145" s="62">
        <f t="shared" si="7"/>
        <v>1524.4</v>
      </c>
      <c r="H145" s="83"/>
      <c r="I145" s="83"/>
      <c r="J145" s="83"/>
      <c r="K145" s="83"/>
      <c r="L145" s="125"/>
      <c r="Z145" s="67"/>
      <c r="AA145" s="67"/>
      <c r="AB145" s="67"/>
      <c r="AC145" s="67"/>
      <c r="AD145" s="67"/>
      <c r="AE145" s="67"/>
      <c r="AF145" s="67"/>
      <c r="AG145" s="67"/>
      <c r="AH145" s="67"/>
      <c r="AI145" s="67"/>
      <c r="AJ145" s="67"/>
      <c r="AK145" s="67"/>
      <c r="AL145" s="67"/>
      <c r="AM145" s="67"/>
      <c r="AN145" s="67"/>
      <c r="AO145" s="67"/>
      <c r="AP145" s="67"/>
    </row>
    <row r="146" spans="1:44" ht="15" thickBot="1" x14ac:dyDescent="0.4">
      <c r="A146" s="855" t="s">
        <v>399</v>
      </c>
      <c r="B146" s="856">
        <f>AVERAGE(B112:B144)</f>
        <v>1556.1818181818182</v>
      </c>
      <c r="C146" s="856">
        <f>AVERAGE(C112:C144)</f>
        <v>1542.1818181818182</v>
      </c>
      <c r="D146" s="856">
        <f>AVERAGE(D112:D144)</f>
        <v>1369.969696969697</v>
      </c>
      <c r="E146" s="856">
        <f t="shared" ref="E146:F146" si="8">AVERAGE(E112:E144)</f>
        <v>982.39393939393938</v>
      </c>
      <c r="F146" s="856">
        <f t="shared" si="8"/>
        <v>1139.6363636363637</v>
      </c>
      <c r="G146" s="62">
        <f t="shared" si="7"/>
        <v>1529.1606060606059</v>
      </c>
      <c r="H146" s="83"/>
      <c r="I146" s="83"/>
      <c r="J146" s="83"/>
      <c r="K146" s="83"/>
      <c r="L146" s="125"/>
      <c r="Z146" s="67"/>
      <c r="AA146" s="67"/>
      <c r="AB146" s="67"/>
      <c r="AC146" s="67"/>
      <c r="AD146" s="67"/>
      <c r="AE146" s="67"/>
      <c r="AF146" s="67"/>
      <c r="AG146" s="67"/>
      <c r="AH146" s="67"/>
      <c r="AI146" s="67"/>
      <c r="AJ146" s="67"/>
      <c r="AK146" s="67"/>
      <c r="AL146" s="67"/>
      <c r="AM146" s="67"/>
      <c r="AN146" s="67"/>
      <c r="AO146" s="67"/>
      <c r="AP146" s="67"/>
    </row>
    <row r="147" spans="1:44" ht="15" thickBot="1" x14ac:dyDescent="0.4">
      <c r="A147" s="855" t="s">
        <v>681</v>
      </c>
      <c r="B147" s="856">
        <f>AVERAGE(B129,B132)</f>
        <v>1596</v>
      </c>
      <c r="C147" s="856">
        <f>AVERAGE(C129,C132)</f>
        <v>1595.5</v>
      </c>
      <c r="D147" s="856">
        <f>AVERAGE(D129,D132)</f>
        <v>1411.5</v>
      </c>
      <c r="E147" s="856"/>
      <c r="F147" s="856"/>
      <c r="G147" s="62">
        <f t="shared" si="7"/>
        <v>1577.25</v>
      </c>
      <c r="H147" s="83"/>
      <c r="I147" s="83"/>
      <c r="J147" s="83"/>
      <c r="K147" s="83"/>
      <c r="L147" s="125"/>
      <c r="Z147" s="67"/>
      <c r="AA147" s="67"/>
      <c r="AB147" s="67"/>
      <c r="AC147" s="67"/>
      <c r="AD147" s="67"/>
      <c r="AE147" s="67"/>
      <c r="AF147" s="67"/>
      <c r="AG147" s="67"/>
      <c r="AH147" s="67"/>
      <c r="AI147" s="67"/>
      <c r="AJ147" s="67"/>
      <c r="AK147" s="67"/>
      <c r="AL147" s="67"/>
      <c r="AM147" s="67"/>
      <c r="AN147" s="67"/>
      <c r="AO147" s="67"/>
      <c r="AP147" s="67"/>
    </row>
    <row r="148" spans="1:44" x14ac:dyDescent="0.35">
      <c r="A148" s="124"/>
      <c r="B148" s="83"/>
      <c r="C148" s="83"/>
      <c r="D148" s="83"/>
      <c r="E148" s="83"/>
      <c r="F148" s="83"/>
      <c r="G148" s="83"/>
      <c r="H148" s="83"/>
      <c r="I148" s="83"/>
      <c r="J148" s="83"/>
      <c r="K148" s="83"/>
      <c r="L148" s="125"/>
      <c r="Z148" s="67"/>
      <c r="AA148" s="67"/>
      <c r="AB148" s="67"/>
      <c r="AC148" s="67"/>
      <c r="AD148" s="67"/>
      <c r="AE148" s="67"/>
      <c r="AF148" s="67"/>
      <c r="AG148" s="67"/>
      <c r="AH148" s="67"/>
      <c r="AI148" s="67"/>
      <c r="AJ148" s="67"/>
      <c r="AK148" s="67"/>
      <c r="AL148" s="67"/>
      <c r="AM148" s="67"/>
      <c r="AN148" s="67"/>
      <c r="AO148" s="67"/>
      <c r="AP148" s="67"/>
    </row>
    <row r="149" spans="1:44" x14ac:dyDescent="0.35">
      <c r="A149" s="124"/>
      <c r="B149" s="83"/>
      <c r="C149" s="83"/>
      <c r="D149" s="83"/>
      <c r="E149" s="83"/>
      <c r="F149" s="83"/>
      <c r="G149" s="83"/>
      <c r="H149" s="83"/>
      <c r="I149" s="83"/>
      <c r="J149" s="83"/>
      <c r="K149" s="83"/>
      <c r="L149" s="125"/>
      <c r="Z149" s="67"/>
      <c r="AA149" s="67"/>
      <c r="AB149" s="67"/>
      <c r="AC149" s="67"/>
      <c r="AD149" s="67"/>
      <c r="AE149" s="67"/>
      <c r="AF149" s="67"/>
      <c r="AG149" s="67"/>
      <c r="AH149" s="67"/>
      <c r="AI149" s="67"/>
      <c r="AJ149" s="67"/>
      <c r="AK149" s="67"/>
      <c r="AL149" s="67"/>
      <c r="AM149" s="67"/>
      <c r="AN149" s="67"/>
      <c r="AO149" s="67"/>
      <c r="AP149" s="67"/>
    </row>
    <row r="150" spans="1:44" x14ac:dyDescent="0.35">
      <c r="A150" s="124"/>
      <c r="B150" s="83"/>
      <c r="C150" s="83"/>
      <c r="D150" s="83"/>
      <c r="E150" s="83"/>
      <c r="F150" s="83"/>
      <c r="G150" s="83"/>
      <c r="H150" s="83"/>
      <c r="I150" s="83"/>
      <c r="J150" s="83"/>
      <c r="K150" s="83"/>
      <c r="L150" s="125"/>
      <c r="Z150" s="67"/>
      <c r="AA150" s="67"/>
      <c r="AB150" s="67"/>
      <c r="AC150" s="67"/>
      <c r="AD150" s="67"/>
      <c r="AE150" s="67"/>
      <c r="AF150" s="67"/>
      <c r="AG150" s="67"/>
      <c r="AH150" s="67"/>
      <c r="AI150" s="67"/>
      <c r="AJ150" s="67"/>
      <c r="AK150" s="67"/>
      <c r="AL150" s="67"/>
      <c r="AM150" s="67"/>
      <c r="AN150" s="67"/>
      <c r="AO150" s="67"/>
      <c r="AP150" s="67"/>
    </row>
    <row r="151" spans="1:44" x14ac:dyDescent="0.35">
      <c r="A151" s="124"/>
      <c r="B151" s="83"/>
      <c r="C151" s="83"/>
      <c r="D151" s="83"/>
      <c r="E151" s="83"/>
      <c r="F151" s="83"/>
      <c r="G151" s="83"/>
      <c r="H151" s="83"/>
      <c r="I151" s="83"/>
      <c r="J151" s="83"/>
      <c r="K151" s="83"/>
      <c r="L151" s="125"/>
      <c r="Z151" s="67"/>
      <c r="AA151" s="67"/>
      <c r="AB151" s="67"/>
      <c r="AC151" s="67"/>
      <c r="AD151" s="67"/>
      <c r="AE151" s="67"/>
      <c r="AF151" s="67"/>
      <c r="AG151" s="67"/>
      <c r="AH151" s="67"/>
      <c r="AI151" s="67"/>
      <c r="AJ151" s="67"/>
      <c r="AK151" s="67"/>
      <c r="AL151" s="67"/>
      <c r="AM151" s="67"/>
      <c r="AN151" s="67"/>
      <c r="AO151" s="67"/>
      <c r="AP151" s="67"/>
    </row>
    <row r="152" spans="1:44" x14ac:dyDescent="0.35">
      <c r="A152" s="124"/>
      <c r="B152" s="83"/>
      <c r="C152" s="83"/>
      <c r="D152" s="83"/>
      <c r="E152" s="83"/>
      <c r="F152" s="83"/>
      <c r="G152" s="83"/>
      <c r="H152" s="83"/>
      <c r="I152" s="83"/>
      <c r="J152" s="83"/>
      <c r="K152" s="83"/>
      <c r="L152" s="125"/>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row>
    <row r="153" spans="1:44" x14ac:dyDescent="0.35">
      <c r="A153" s="124"/>
      <c r="B153" s="83"/>
      <c r="C153" s="83"/>
      <c r="D153" s="83"/>
      <c r="E153" s="83"/>
      <c r="F153" s="83"/>
      <c r="G153" s="83"/>
      <c r="H153" s="83"/>
      <c r="I153" s="83"/>
      <c r="J153" s="83"/>
      <c r="K153" s="83"/>
      <c r="L153" s="125"/>
      <c r="M153" s="67"/>
      <c r="N153" s="67"/>
      <c r="O153" s="67"/>
      <c r="P153" s="67"/>
      <c r="Q153" s="67"/>
      <c r="R153" s="67"/>
      <c r="S153" s="67"/>
      <c r="T153" s="67"/>
      <c r="U153" s="67"/>
      <c r="V153" s="67"/>
      <c r="W153" s="67"/>
      <c r="X153" s="67"/>
      <c r="Y153" s="67"/>
      <c r="Z153" s="67"/>
      <c r="AA153" s="67"/>
      <c r="AB153" s="67"/>
      <c r="AC153" s="67"/>
      <c r="AD153" s="67"/>
      <c r="AE153" s="67"/>
      <c r="AF153" s="67"/>
      <c r="AG153" s="67"/>
      <c r="AH153" s="67"/>
      <c r="AI153" s="67"/>
      <c r="AJ153" s="67"/>
      <c r="AK153" s="67"/>
      <c r="AL153" s="67"/>
      <c r="AM153" s="67"/>
      <c r="AN153" s="67"/>
      <c r="AO153" s="67"/>
      <c r="AP153" s="67"/>
      <c r="AQ153" s="67"/>
      <c r="AR153" s="67"/>
    </row>
    <row r="154" spans="1:44" x14ac:dyDescent="0.35">
      <c r="A154" s="124"/>
      <c r="B154" s="83"/>
      <c r="C154" s="83"/>
      <c r="D154" s="83"/>
      <c r="E154" s="83"/>
      <c r="F154" s="83"/>
      <c r="G154" s="83"/>
      <c r="H154" s="83"/>
      <c r="I154" s="83"/>
      <c r="J154" s="83"/>
      <c r="K154" s="83"/>
      <c r="L154" s="125"/>
      <c r="M154" s="67"/>
      <c r="N154" s="67"/>
      <c r="O154" s="67"/>
      <c r="P154" s="67"/>
      <c r="Q154" s="67"/>
      <c r="R154" s="67"/>
      <c r="S154" s="67"/>
      <c r="T154" s="67"/>
      <c r="U154" s="67"/>
      <c r="V154" s="67"/>
      <c r="W154" s="67"/>
      <c r="X154" s="67"/>
      <c r="Y154" s="67"/>
      <c r="Z154" s="67"/>
      <c r="AA154" s="67"/>
      <c r="AB154" s="67"/>
      <c r="AC154" s="67"/>
      <c r="AD154" s="67"/>
      <c r="AE154" s="67"/>
      <c r="AF154" s="67"/>
      <c r="AG154" s="67"/>
      <c r="AH154" s="67"/>
      <c r="AI154" s="67"/>
      <c r="AJ154" s="67"/>
      <c r="AK154" s="67"/>
      <c r="AL154" s="67"/>
      <c r="AM154" s="67"/>
      <c r="AN154" s="67"/>
      <c r="AO154" s="67"/>
      <c r="AP154" s="67"/>
      <c r="AQ154" s="67"/>
      <c r="AR154" s="67"/>
    </row>
    <row r="155" spans="1:44" ht="15" thickBot="1" x14ac:dyDescent="0.4">
      <c r="A155" s="124"/>
      <c r="B155" s="2315" t="s">
        <v>1663</v>
      </c>
      <c r="C155" s="2316"/>
      <c r="D155" s="2317"/>
      <c r="E155" s="83"/>
      <c r="F155" s="83"/>
      <c r="G155" s="83"/>
      <c r="H155" s="83"/>
      <c r="I155" s="83"/>
      <c r="J155" s="83"/>
      <c r="K155" s="83"/>
      <c r="L155" s="125"/>
    </row>
    <row r="156" spans="1:44" ht="15" thickBot="1" x14ac:dyDescent="0.4">
      <c r="A156" s="124"/>
      <c r="B156" s="1209" t="s">
        <v>838</v>
      </c>
      <c r="C156" s="1210" t="s">
        <v>1664</v>
      </c>
      <c r="D156" s="1211" t="s">
        <v>615</v>
      </c>
      <c r="E156" s="83"/>
      <c r="F156" s="83"/>
      <c r="G156" s="83"/>
      <c r="H156" s="83"/>
      <c r="I156" s="83"/>
      <c r="J156" s="83"/>
      <c r="K156" s="83"/>
      <c r="L156" s="125"/>
    </row>
    <row r="157" spans="1:44" x14ac:dyDescent="0.35">
      <c r="A157" s="124"/>
      <c r="B157" s="124" t="s">
        <v>1648</v>
      </c>
      <c r="C157" s="125">
        <v>2150</v>
      </c>
      <c r="D157" s="1212">
        <v>0.48299999999999998</v>
      </c>
      <c r="E157" s="83"/>
      <c r="F157" s="83"/>
      <c r="G157" s="83"/>
      <c r="H157" s="83"/>
      <c r="I157" s="83"/>
      <c r="J157" s="83"/>
      <c r="K157" s="83"/>
      <c r="L157" s="125"/>
    </row>
    <row r="158" spans="1:44" x14ac:dyDescent="0.35">
      <c r="A158" s="124"/>
      <c r="B158" s="124" t="s">
        <v>1651</v>
      </c>
      <c r="C158" s="125">
        <v>4373</v>
      </c>
      <c r="D158" s="1212">
        <v>0.52900000000000003</v>
      </c>
      <c r="E158" s="83"/>
      <c r="F158" s="83"/>
      <c r="G158" s="83"/>
      <c r="H158" s="83"/>
      <c r="I158" s="83"/>
      <c r="J158" s="83"/>
      <c r="K158" s="83"/>
      <c r="L158" s="125"/>
    </row>
    <row r="159" spans="1:44" x14ac:dyDescent="0.35">
      <c r="A159" s="124"/>
      <c r="B159" s="124" t="s">
        <v>1620</v>
      </c>
      <c r="C159" s="125">
        <v>1605</v>
      </c>
      <c r="D159" s="1212">
        <v>0.14199999999999999</v>
      </c>
      <c r="E159" s="83"/>
      <c r="F159" s="83"/>
      <c r="G159" s="83"/>
      <c r="H159" s="83"/>
      <c r="I159" s="83"/>
      <c r="J159" s="83"/>
      <c r="K159" s="83"/>
      <c r="L159" s="125"/>
    </row>
    <row r="160" spans="1:44" x14ac:dyDescent="0.35">
      <c r="A160" s="124"/>
      <c r="B160" s="124" t="s">
        <v>1665</v>
      </c>
      <c r="C160" s="125">
        <v>2084</v>
      </c>
      <c r="D160" s="1212">
        <v>0.57099999999999995</v>
      </c>
      <c r="E160" s="83"/>
      <c r="F160" s="83"/>
      <c r="G160" s="83"/>
      <c r="H160" s="83"/>
      <c r="I160" s="83"/>
      <c r="J160" s="83"/>
      <c r="K160" s="83"/>
      <c r="L160" s="125"/>
    </row>
    <row r="161" spans="1:12" x14ac:dyDescent="0.35">
      <c r="A161" s="124"/>
      <c r="B161" s="124" t="s">
        <v>1630</v>
      </c>
      <c r="C161" s="125">
        <v>3276</v>
      </c>
      <c r="D161" s="1212">
        <v>0.33300000000000002</v>
      </c>
      <c r="E161" s="83"/>
      <c r="F161" s="83"/>
      <c r="G161" s="83"/>
      <c r="H161" s="83"/>
      <c r="I161" s="83"/>
      <c r="J161" s="83"/>
      <c r="K161" s="83"/>
      <c r="L161" s="125"/>
    </row>
    <row r="162" spans="1:12" x14ac:dyDescent="0.35">
      <c r="A162" s="124"/>
      <c r="B162" s="124" t="s">
        <v>1649</v>
      </c>
      <c r="C162" s="125">
        <v>2102</v>
      </c>
      <c r="D162" s="1212">
        <v>0.61899999999999999</v>
      </c>
      <c r="E162" s="83"/>
      <c r="F162" s="83"/>
      <c r="G162" s="83"/>
      <c r="H162" s="83"/>
      <c r="I162" s="83"/>
      <c r="J162" s="83"/>
      <c r="K162" s="83"/>
      <c r="L162" s="125"/>
    </row>
    <row r="163" spans="1:12" x14ac:dyDescent="0.35">
      <c r="A163" s="124"/>
      <c r="B163" s="124" t="s">
        <v>1621</v>
      </c>
      <c r="C163" s="125">
        <v>2096</v>
      </c>
      <c r="D163" s="1212">
        <v>0.47499999999999998</v>
      </c>
      <c r="E163" s="83"/>
      <c r="F163" s="83"/>
      <c r="G163" s="83"/>
      <c r="H163" s="83"/>
      <c r="I163" s="83"/>
      <c r="J163" s="83"/>
      <c r="K163" s="83"/>
      <c r="L163" s="125"/>
    </row>
    <row r="164" spans="1:12" x14ac:dyDescent="0.35">
      <c r="A164" s="124"/>
      <c r="B164" s="124" t="s">
        <v>1500</v>
      </c>
      <c r="C164" s="125">
        <v>1987</v>
      </c>
      <c r="D164" s="1212">
        <v>0.61899999999999999</v>
      </c>
      <c r="E164" s="83"/>
      <c r="F164" s="83"/>
      <c r="G164" s="83"/>
      <c r="H164" s="83"/>
      <c r="I164" s="83"/>
      <c r="J164" s="83"/>
      <c r="K164" s="83"/>
      <c r="L164" s="125"/>
    </row>
    <row r="165" spans="1:12" x14ac:dyDescent="0.35">
      <c r="A165" s="124"/>
      <c r="B165" s="124" t="s">
        <v>1502</v>
      </c>
      <c r="C165" s="125">
        <v>3141</v>
      </c>
      <c r="D165" s="1212">
        <v>0.28799999999999998</v>
      </c>
      <c r="E165" s="83"/>
      <c r="F165" s="83"/>
      <c r="G165" s="83"/>
      <c r="H165" s="83"/>
      <c r="I165" s="83"/>
      <c r="J165" s="83"/>
      <c r="K165" s="83"/>
      <c r="L165" s="125"/>
    </row>
    <row r="166" spans="1:12" x14ac:dyDescent="0.35">
      <c r="A166" s="124"/>
      <c r="B166" s="124" t="s">
        <v>1660</v>
      </c>
      <c r="C166" s="125">
        <v>2788</v>
      </c>
      <c r="D166" s="1212">
        <v>0.57599999999999996</v>
      </c>
      <c r="E166" s="83"/>
      <c r="F166" s="83"/>
      <c r="G166" s="83"/>
      <c r="H166" s="83"/>
      <c r="I166" s="83"/>
      <c r="J166" s="83"/>
      <c r="K166" s="83"/>
      <c r="L166" s="125"/>
    </row>
    <row r="167" spans="1:12" x14ac:dyDescent="0.35">
      <c r="A167" s="124"/>
      <c r="B167" s="124" t="s">
        <v>1659</v>
      </c>
      <c r="C167" s="125">
        <v>2881</v>
      </c>
      <c r="D167" s="1212">
        <v>0.61499999999999999</v>
      </c>
      <c r="E167" s="83"/>
      <c r="F167" s="83"/>
      <c r="G167" s="83"/>
      <c r="H167" s="83"/>
      <c r="I167" s="83"/>
      <c r="J167" s="83"/>
      <c r="K167" s="83"/>
      <c r="L167" s="125"/>
    </row>
    <row r="168" spans="1:12" x14ac:dyDescent="0.35">
      <c r="A168" s="124"/>
      <c r="B168" s="124" t="s">
        <v>1658</v>
      </c>
      <c r="C168" s="125">
        <v>8760</v>
      </c>
      <c r="D168" s="1212">
        <v>0.64800000000000002</v>
      </c>
      <c r="E168" s="83"/>
      <c r="F168" s="83"/>
      <c r="G168" s="83"/>
      <c r="H168" s="83"/>
      <c r="I168" s="83"/>
      <c r="J168" s="83"/>
      <c r="K168" s="83"/>
      <c r="L168" s="125"/>
    </row>
    <row r="169" spans="1:12" x14ac:dyDescent="0.35">
      <c r="A169" s="124"/>
      <c r="B169" s="124" t="s">
        <v>1661</v>
      </c>
      <c r="C169" s="125">
        <v>8729</v>
      </c>
      <c r="D169" s="1212">
        <v>0.60899999999999999</v>
      </c>
      <c r="E169" s="83"/>
      <c r="F169" s="83"/>
      <c r="G169" s="83"/>
      <c r="H169" s="83"/>
      <c r="I169" s="83"/>
      <c r="J169" s="83"/>
      <c r="K169" s="83"/>
      <c r="L169" s="125"/>
    </row>
    <row r="170" spans="1:12" x14ac:dyDescent="0.35">
      <c r="A170" s="124"/>
      <c r="B170" s="124" t="s">
        <v>1501</v>
      </c>
      <c r="C170" s="125">
        <v>2805</v>
      </c>
      <c r="D170" s="1212">
        <v>0.433</v>
      </c>
      <c r="E170" s="83"/>
      <c r="F170" s="83"/>
      <c r="G170" s="83"/>
      <c r="H170" s="83"/>
      <c r="I170" s="83"/>
      <c r="J170" s="83"/>
      <c r="K170" s="83"/>
      <c r="L170" s="125"/>
    </row>
    <row r="171" spans="1:12" x14ac:dyDescent="0.35">
      <c r="A171" s="124"/>
      <c r="B171" s="124" t="s">
        <v>1654</v>
      </c>
      <c r="C171" s="125">
        <v>4237</v>
      </c>
      <c r="D171" s="1212">
        <v>0.437</v>
      </c>
      <c r="E171" s="83"/>
      <c r="F171" s="83"/>
      <c r="G171" s="83"/>
      <c r="H171" s="83"/>
      <c r="I171" s="83"/>
      <c r="J171" s="83"/>
      <c r="K171" s="83"/>
      <c r="L171" s="125"/>
    </row>
    <row r="172" spans="1:12" x14ac:dyDescent="0.35">
      <c r="A172" s="124"/>
      <c r="B172" s="124" t="s">
        <v>1657</v>
      </c>
      <c r="C172" s="125">
        <v>2899</v>
      </c>
      <c r="D172" s="1212">
        <v>0.24299999999999999</v>
      </c>
      <c r="E172" s="83"/>
      <c r="F172" s="83"/>
      <c r="G172" s="83"/>
      <c r="H172" s="83"/>
      <c r="I172" s="83"/>
      <c r="J172" s="83"/>
      <c r="K172" s="83"/>
      <c r="L172" s="125"/>
    </row>
    <row r="173" spans="1:12" x14ac:dyDescent="0.35">
      <c r="A173" s="124"/>
      <c r="B173" s="124" t="s">
        <v>1653</v>
      </c>
      <c r="C173" s="125">
        <v>4479</v>
      </c>
      <c r="D173" s="1212">
        <v>0.629</v>
      </c>
      <c r="E173" s="83"/>
      <c r="F173" s="83"/>
      <c r="G173" s="83"/>
      <c r="H173" s="83"/>
      <c r="I173" s="83"/>
      <c r="J173" s="83"/>
      <c r="K173" s="83"/>
      <c r="L173" s="125"/>
    </row>
    <row r="174" spans="1:12" x14ac:dyDescent="0.35">
      <c r="A174" s="124"/>
      <c r="B174" s="124" t="s">
        <v>1652</v>
      </c>
      <c r="C174" s="125">
        <v>8712</v>
      </c>
      <c r="D174" s="1212">
        <v>0.64600000000000002</v>
      </c>
      <c r="E174" s="83"/>
      <c r="F174" s="83"/>
      <c r="G174" s="83"/>
      <c r="H174" s="83"/>
      <c r="I174" s="83"/>
      <c r="J174" s="83"/>
      <c r="K174" s="83"/>
      <c r="L174" s="125"/>
    </row>
    <row r="175" spans="1:12" x14ac:dyDescent="0.35">
      <c r="A175" s="124"/>
      <c r="B175" s="124" t="s">
        <v>1650</v>
      </c>
      <c r="C175" s="125">
        <v>2120</v>
      </c>
      <c r="D175" s="1212">
        <v>0.41899999999999998</v>
      </c>
      <c r="E175" s="83"/>
      <c r="F175" s="83"/>
      <c r="G175" s="83"/>
      <c r="H175" s="83"/>
      <c r="I175" s="83"/>
      <c r="J175" s="83"/>
      <c r="K175" s="83"/>
      <c r="L175" s="125"/>
    </row>
    <row r="176" spans="1:12" x14ac:dyDescent="0.35">
      <c r="A176" s="124"/>
      <c r="B176" s="124" t="s">
        <v>1666</v>
      </c>
      <c r="C176" s="125">
        <v>2038</v>
      </c>
      <c r="D176" s="1212">
        <v>0.432</v>
      </c>
      <c r="E176" s="83"/>
      <c r="F176" s="83"/>
      <c r="G176" s="83"/>
      <c r="H176" s="83"/>
      <c r="I176" s="83"/>
      <c r="J176" s="83"/>
      <c r="K176" s="83"/>
      <c r="L176" s="125"/>
    </row>
    <row r="177" spans="1:12" x14ac:dyDescent="0.35">
      <c r="A177" s="124"/>
      <c r="B177" s="124" t="s">
        <v>1667</v>
      </c>
      <c r="C177" s="125">
        <v>4849</v>
      </c>
      <c r="D177" s="1212">
        <v>0.48299999999999998</v>
      </c>
      <c r="E177" s="83"/>
      <c r="F177" s="83"/>
      <c r="G177" s="83"/>
      <c r="H177" s="83"/>
      <c r="I177" s="83"/>
      <c r="J177" s="83"/>
      <c r="K177" s="83"/>
      <c r="L177" s="125"/>
    </row>
    <row r="178" spans="1:12" x14ac:dyDescent="0.35">
      <c r="A178" s="124"/>
      <c r="B178" s="124" t="s">
        <v>1668</v>
      </c>
      <c r="C178" s="125">
        <v>5682</v>
      </c>
      <c r="D178" s="1212">
        <v>0.503</v>
      </c>
      <c r="E178" s="83"/>
      <c r="F178" s="83"/>
      <c r="G178" s="83"/>
      <c r="H178" s="83"/>
      <c r="I178" s="83"/>
      <c r="J178" s="83"/>
      <c r="K178" s="83"/>
      <c r="L178" s="125"/>
    </row>
    <row r="179" spans="1:12" x14ac:dyDescent="0.35">
      <c r="A179" s="124"/>
      <c r="B179" s="124" t="s">
        <v>1669</v>
      </c>
      <c r="C179" s="125">
        <v>3069</v>
      </c>
      <c r="D179" s="1212">
        <v>0.46200000000000002</v>
      </c>
      <c r="E179" s="83"/>
      <c r="F179" s="83"/>
      <c r="G179" s="83"/>
      <c r="H179" s="83"/>
      <c r="I179" s="83"/>
      <c r="J179" s="83"/>
      <c r="K179" s="83"/>
      <c r="L179" s="125"/>
    </row>
    <row r="180" spans="1:12" x14ac:dyDescent="0.35">
      <c r="A180" s="124"/>
      <c r="B180" s="124" t="s">
        <v>1498</v>
      </c>
      <c r="C180" s="125">
        <v>2481</v>
      </c>
      <c r="D180" s="1212">
        <v>0.47399999999999998</v>
      </c>
      <c r="E180" s="83"/>
      <c r="F180" s="83"/>
      <c r="G180" s="83"/>
      <c r="H180" s="83"/>
      <c r="I180" s="83"/>
      <c r="J180" s="83"/>
      <c r="K180" s="83"/>
      <c r="L180" s="125"/>
    </row>
    <row r="181" spans="1:12" x14ac:dyDescent="0.35">
      <c r="A181" s="124"/>
      <c r="B181" s="124" t="s">
        <v>1497</v>
      </c>
      <c r="C181" s="125">
        <v>1881</v>
      </c>
      <c r="D181" s="1212">
        <v>0.42799999999999999</v>
      </c>
      <c r="E181" s="83"/>
      <c r="F181" s="83"/>
      <c r="G181" s="83"/>
      <c r="H181" s="83"/>
      <c r="I181" s="83"/>
      <c r="J181" s="83"/>
      <c r="K181" s="83"/>
      <c r="L181" s="125"/>
    </row>
    <row r="182" spans="1:12" x14ac:dyDescent="0.35">
      <c r="A182" s="124"/>
      <c r="B182" s="124" t="s">
        <v>1670</v>
      </c>
      <c r="C182" s="125">
        <v>2830</v>
      </c>
      <c r="D182" s="1212">
        <v>0.433</v>
      </c>
      <c r="E182" s="83"/>
      <c r="F182" s="83"/>
      <c r="G182" s="83"/>
      <c r="H182" s="83"/>
      <c r="I182" s="83"/>
      <c r="J182" s="83"/>
      <c r="K182" s="83"/>
      <c r="L182" s="125"/>
    </row>
    <row r="183" spans="1:12" x14ac:dyDescent="0.35">
      <c r="A183" s="124"/>
      <c r="B183" s="124" t="s">
        <v>1506</v>
      </c>
      <c r="C183" s="125">
        <v>3350</v>
      </c>
      <c r="D183" s="1212">
        <v>0.48799999999999999</v>
      </c>
      <c r="E183" s="83"/>
      <c r="F183" s="83"/>
      <c r="G183" s="83"/>
      <c r="H183" s="83"/>
      <c r="I183" s="83"/>
      <c r="J183" s="83"/>
      <c r="K183" s="83"/>
      <c r="L183" s="125"/>
    </row>
    <row r="184" spans="1:12" x14ac:dyDescent="0.35">
      <c r="A184" s="124"/>
      <c r="B184" s="124" t="s">
        <v>1508</v>
      </c>
      <c r="C184" s="125">
        <v>2528</v>
      </c>
      <c r="D184" s="1212">
        <v>0.505</v>
      </c>
      <c r="E184" s="83"/>
      <c r="F184" s="83"/>
      <c r="G184" s="83"/>
      <c r="H184" s="83"/>
      <c r="I184" s="83"/>
      <c r="J184" s="83"/>
      <c r="K184" s="83"/>
      <c r="L184" s="125"/>
    </row>
    <row r="185" spans="1:12" x14ac:dyDescent="0.35">
      <c r="A185" s="124"/>
      <c r="B185" s="124" t="s">
        <v>1507</v>
      </c>
      <c r="C185" s="125">
        <v>2266</v>
      </c>
      <c r="D185" s="1212">
        <v>0.52800000000000002</v>
      </c>
      <c r="E185" s="83"/>
      <c r="F185" s="83"/>
      <c r="G185" s="83"/>
      <c r="H185" s="83"/>
      <c r="I185" s="83"/>
      <c r="J185" s="83"/>
      <c r="K185" s="83"/>
      <c r="L185" s="125"/>
    </row>
    <row r="186" spans="1:12" x14ac:dyDescent="0.35">
      <c r="A186" s="124"/>
      <c r="B186" s="124" t="s">
        <v>1510</v>
      </c>
      <c r="C186" s="125">
        <v>770</v>
      </c>
      <c r="D186" s="1212">
        <v>0.22500000000000001</v>
      </c>
      <c r="E186" s="83"/>
      <c r="F186" s="83"/>
      <c r="G186" s="83"/>
      <c r="H186" s="83"/>
      <c r="I186" s="83"/>
      <c r="J186" s="83"/>
      <c r="K186" s="83"/>
      <c r="L186" s="125"/>
    </row>
    <row r="187" spans="1:12" ht="15" thickBot="1" x14ac:dyDescent="0.4">
      <c r="A187" s="124"/>
      <c r="B187" s="124" t="s">
        <v>399</v>
      </c>
      <c r="C187" s="125">
        <v>2718</v>
      </c>
      <c r="D187" s="1212">
        <v>0.42399999999999999</v>
      </c>
      <c r="E187" s="83"/>
      <c r="F187" s="83"/>
      <c r="G187" s="83"/>
      <c r="H187" s="83"/>
      <c r="I187" s="83"/>
      <c r="J187" s="83"/>
      <c r="K187" s="83"/>
      <c r="L187" s="125"/>
    </row>
    <row r="188" spans="1:12" ht="15" thickBot="1" x14ac:dyDescent="0.4">
      <c r="A188" s="789" t="s">
        <v>1671</v>
      </c>
      <c r="B188" s="789" t="s">
        <v>681</v>
      </c>
      <c r="C188" s="732">
        <f>+C187</f>
        <v>2718</v>
      </c>
      <c r="D188" s="733">
        <f>+D187</f>
        <v>0.42399999999999999</v>
      </c>
      <c r="E188" s="83"/>
      <c r="F188" s="83"/>
      <c r="G188" s="83"/>
      <c r="H188" s="83"/>
      <c r="I188" s="83"/>
      <c r="J188" s="83"/>
      <c r="K188" s="83"/>
      <c r="L188" s="125"/>
    </row>
    <row r="189" spans="1:12" x14ac:dyDescent="0.35">
      <c r="A189" s="124"/>
      <c r="B189" s="83"/>
      <c r="C189" s="83"/>
      <c r="D189" s="83"/>
      <c r="E189" s="83"/>
      <c r="F189" s="83"/>
      <c r="G189" s="83"/>
      <c r="H189" s="83"/>
      <c r="I189" s="83"/>
      <c r="J189" s="83"/>
      <c r="K189" s="83"/>
      <c r="L189" s="125"/>
    </row>
    <row r="190" spans="1:12" x14ac:dyDescent="0.35">
      <c r="A190" s="124"/>
      <c r="B190" s="83"/>
      <c r="C190" s="83"/>
      <c r="D190" s="83"/>
      <c r="E190" s="83"/>
      <c r="F190" s="83"/>
      <c r="G190" s="83"/>
      <c r="H190" s="83"/>
      <c r="I190" s="83"/>
      <c r="J190" s="83"/>
      <c r="K190" s="83"/>
      <c r="L190" s="125"/>
    </row>
    <row r="191" spans="1:12" ht="15" thickBot="1" x14ac:dyDescent="0.4">
      <c r="A191" s="321"/>
      <c r="B191" s="201"/>
      <c r="C191" s="201"/>
      <c r="D191" s="201"/>
      <c r="E191" s="201"/>
      <c r="F191" s="201"/>
      <c r="G191" s="201"/>
      <c r="H191" s="201"/>
      <c r="I191" s="201"/>
      <c r="J191" s="201"/>
      <c r="K191" s="201"/>
      <c r="L191" s="203"/>
    </row>
  </sheetData>
  <customSheetViews>
    <customSheetView guid="{11DE45F5-F478-4ED6-8DFF-12002C22A637}" scale="85" showPageBreaks="1" fitToPage="1" view="pageBreakPreview">
      <pageMargins left="0.7" right="0.7" top="0.75" bottom="0.75" header="0.3" footer="0.3"/>
      <pageSetup scale="17" orientation="portrait" r:id="rId1"/>
    </customSheetView>
    <customSheetView guid="{ECD6FE6A-9548-414E-B8AA-6998703C57E0}" scale="85" showPageBreaks="1" fitToPage="1" view="pageBreakPreview">
      <pageMargins left="0.7" right="0.7" top="0.75" bottom="0.75" header="0.3" footer="0.3"/>
      <pageSetup scale="17" orientation="portrait" r:id="rId2"/>
    </customSheetView>
  </customSheetViews>
  <mergeCells count="18">
    <mergeCell ref="V1:AF1"/>
    <mergeCell ref="C40:G41"/>
    <mergeCell ref="B155:D155"/>
    <mergeCell ref="B57:C57"/>
    <mergeCell ref="B61:C61"/>
    <mergeCell ref="E51:F51"/>
    <mergeCell ref="H51:J51"/>
    <mergeCell ref="H90:I90"/>
    <mergeCell ref="P1:R1"/>
    <mergeCell ref="S1:U1"/>
    <mergeCell ref="A86:A87"/>
    <mergeCell ref="B86:G86"/>
    <mergeCell ref="A110:A111"/>
    <mergeCell ref="B110:B111"/>
    <mergeCell ref="C110:C111"/>
    <mergeCell ref="D110:D111"/>
    <mergeCell ref="E110:E111"/>
    <mergeCell ref="F110:F111"/>
  </mergeCells>
  <dataValidations disablePrompts="1" count="6">
    <dataValidation type="list" allowBlank="1" showInputMessage="1" showErrorMessage="1" sqref="J3:J4" xr:uid="{00000000-0002-0000-1A00-000000000000}">
      <formula1>$A$112:$A$147</formula1>
    </dataValidation>
    <dataValidation type="list" allowBlank="1" showInputMessage="1" showErrorMessage="1" sqref="I3:I6" xr:uid="{00000000-0002-0000-1A00-000001000000}">
      <formula1>$H$53:$H$60</formula1>
    </dataValidation>
    <dataValidation type="list" allowBlank="1" showInputMessage="1" showErrorMessage="1" sqref="D3:D6" xr:uid="{00000000-0002-0000-1A00-000002000000}">
      <formula1>MeasureType</formula1>
    </dataValidation>
    <dataValidation type="list" allowBlank="1" showInputMessage="1" showErrorMessage="1" sqref="H3:H6" xr:uid="{00000000-0002-0000-1A00-000003000000}">
      <formula1>HEFr2</formula1>
    </dataValidation>
    <dataValidation type="list" allowBlank="1" showInputMessage="1" showErrorMessage="1" sqref="G3:G6" xr:uid="{00000000-0002-0000-1A00-000004000000}">
      <formula1>HEFr1</formula1>
    </dataValidation>
    <dataValidation type="list" allowBlank="1" showInputMessage="1" showErrorMessage="1" sqref="E3:E6" xr:uid="{00000000-0002-0000-1A00-000005000000}">
      <formula1>HEBr1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1A00-000006000000}">
          <x14:formula1>
            <xm:f>List!$J$23:$J$33</xm:f>
          </x14:formula1>
          <xm:sqref>J5:J6</xm:sqref>
        </x14:dataValidation>
        <x14:dataValidation type="list" allowBlank="1" showInputMessage="1" showErrorMessage="1" xr:uid="{00000000-0002-0000-1A00-000007000000}">
          <x14:formula1>
            <xm:f>'T:\EEP Planning Models\Planning Tools\Measure_Data\Custom TRM EEP 3\[HIM_CI_TRMv5 0.xlsx]List'!#REF!</xm:f>
          </x14:formula1>
          <xm:sqref>K3:K6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N21"/>
  <sheetViews>
    <sheetView view="pageBreakPreview" zoomScale="60" zoomScaleNormal="100" workbookViewId="0"/>
  </sheetViews>
  <sheetFormatPr defaultRowHeight="14.5" x14ac:dyDescent="0.35"/>
  <cols>
    <col min="1" max="1" width="22.26953125" bestFit="1" customWidth="1"/>
    <col min="2" max="2" width="37.7265625" bestFit="1" customWidth="1"/>
    <col min="3" max="3" width="20" bestFit="1" customWidth="1"/>
    <col min="5" max="5" width="11.1796875" customWidth="1"/>
    <col min="6" max="6" width="11.81640625" customWidth="1"/>
    <col min="8" max="8" width="10" bestFit="1" customWidth="1"/>
    <col min="9" max="9" width="15.81640625" customWidth="1"/>
    <col min="10" max="10" width="12.7265625" customWidth="1"/>
    <col min="11" max="11" width="16.1796875" bestFit="1" customWidth="1"/>
    <col min="14" max="14" width="12" bestFit="1" customWidth="1"/>
  </cols>
  <sheetData>
    <row r="1" spans="1:14" x14ac:dyDescent="0.35">
      <c r="A1" s="1123" t="s">
        <v>310</v>
      </c>
      <c r="B1" s="1124"/>
      <c r="C1" s="1124"/>
      <c r="D1" s="1124"/>
      <c r="E1" s="1124"/>
      <c r="F1" s="1177"/>
      <c r="G1" s="1177"/>
      <c r="H1" s="1177"/>
      <c r="I1" s="2248" t="s">
        <v>335</v>
      </c>
      <c r="J1" s="2248"/>
      <c r="K1" s="2248"/>
      <c r="L1" s="2248" t="s">
        <v>336</v>
      </c>
      <c r="M1" s="2248"/>
      <c r="N1" s="2248"/>
    </row>
    <row r="2" spans="1:14" ht="29" x14ac:dyDescent="0.35">
      <c r="A2" s="1145" t="s">
        <v>338</v>
      </c>
      <c r="B2" s="1129" t="s">
        <v>1</v>
      </c>
      <c r="C2" s="1129" t="s">
        <v>339</v>
      </c>
      <c r="D2" s="1129" t="s">
        <v>688</v>
      </c>
      <c r="E2" s="1177" t="s">
        <v>342</v>
      </c>
      <c r="F2" s="1177" t="s">
        <v>343</v>
      </c>
      <c r="G2" s="1177" t="s">
        <v>345</v>
      </c>
      <c r="H2" s="1177" t="s">
        <v>344</v>
      </c>
      <c r="I2" s="1177" t="s">
        <v>347</v>
      </c>
      <c r="J2" s="1177" t="s">
        <v>348</v>
      </c>
      <c r="K2" s="1177" t="s">
        <v>349</v>
      </c>
      <c r="L2" s="1177" t="s">
        <v>347</v>
      </c>
      <c r="M2" s="1177" t="s">
        <v>348</v>
      </c>
      <c r="N2" s="1177" t="s">
        <v>349</v>
      </c>
    </row>
    <row r="3" spans="1:14" ht="29" x14ac:dyDescent="0.35">
      <c r="A3" s="1131" t="s">
        <v>310</v>
      </c>
      <c r="B3" s="1131" t="s">
        <v>2322</v>
      </c>
      <c r="C3" s="1132" t="s">
        <v>183</v>
      </c>
      <c r="D3" s="1133" t="s">
        <v>2319</v>
      </c>
      <c r="E3" s="1149" t="s">
        <v>356</v>
      </c>
      <c r="F3" s="1179">
        <f>+$B$9</f>
        <v>12</v>
      </c>
      <c r="G3" s="1179" t="s">
        <v>357</v>
      </c>
      <c r="H3" s="1204"/>
      <c r="I3" s="1182"/>
      <c r="J3" s="1182"/>
      <c r="K3" s="1182">
        <f>+$B$13</f>
        <v>451</v>
      </c>
      <c r="L3" s="1182"/>
      <c r="M3" s="1182"/>
      <c r="N3" s="1182">
        <f>K3*F3</f>
        <v>5412</v>
      </c>
    </row>
    <row r="4" spans="1:14" ht="29" x14ac:dyDescent="0.35">
      <c r="A4" s="1131" t="s">
        <v>2766</v>
      </c>
      <c r="B4" s="1131" t="s">
        <v>2764</v>
      </c>
      <c r="C4" s="1132" t="s">
        <v>2765</v>
      </c>
      <c r="D4" s="1133" t="s">
        <v>2319</v>
      </c>
      <c r="E4" s="1149" t="s">
        <v>356</v>
      </c>
      <c r="F4" s="1179">
        <f>+$B$9</f>
        <v>12</v>
      </c>
      <c r="G4" s="1179" t="s">
        <v>357</v>
      </c>
      <c r="H4" s="1204"/>
      <c r="I4" s="1182"/>
      <c r="J4" s="1182"/>
      <c r="K4" s="1182">
        <f>+$B$13</f>
        <v>451</v>
      </c>
      <c r="L4" s="1182"/>
      <c r="M4" s="1182"/>
      <c r="N4" s="1182">
        <f>K4*F4</f>
        <v>5412</v>
      </c>
    </row>
    <row r="7" spans="1:14" ht="15" thickBot="1" x14ac:dyDescent="0.4"/>
    <row r="8" spans="1:14" ht="15" thickBot="1" x14ac:dyDescent="0.4">
      <c r="A8" s="88" t="s">
        <v>413</v>
      </c>
      <c r="B8" s="89" t="s">
        <v>414</v>
      </c>
      <c r="C8" s="188" t="s">
        <v>415</v>
      </c>
      <c r="D8" s="78"/>
      <c r="E8" s="78"/>
      <c r="F8" s="78"/>
      <c r="G8" s="78"/>
      <c r="H8" s="78"/>
      <c r="I8" s="79"/>
    </row>
    <row r="9" spans="1:14" x14ac:dyDescent="0.35">
      <c r="A9" s="467" t="s">
        <v>443</v>
      </c>
      <c r="B9" s="468">
        <v>12</v>
      </c>
      <c r="C9" s="468" t="s">
        <v>1369</v>
      </c>
      <c r="D9" s="468"/>
      <c r="E9" s="468"/>
      <c r="F9" s="468"/>
      <c r="G9" s="468"/>
      <c r="H9" s="468"/>
      <c r="I9" s="469"/>
    </row>
    <row r="10" spans="1:14" ht="15" thickBot="1" x14ac:dyDescent="0.4">
      <c r="A10" s="321"/>
      <c r="B10" s="201"/>
      <c r="C10" s="201" t="s">
        <v>1732</v>
      </c>
      <c r="D10" s="201"/>
      <c r="E10" s="201"/>
      <c r="F10" s="201"/>
      <c r="G10" s="201"/>
      <c r="H10" s="201"/>
      <c r="I10" s="203"/>
    </row>
    <row r="11" spans="1:14" x14ac:dyDescent="0.35">
      <c r="A11" s="467" t="s">
        <v>344</v>
      </c>
      <c r="B11" s="468"/>
      <c r="C11" s="468"/>
      <c r="D11" s="468"/>
      <c r="E11" s="468"/>
      <c r="F11" s="468"/>
      <c r="G11" s="468"/>
      <c r="H11" s="468"/>
      <c r="I11" s="469"/>
    </row>
    <row r="12" spans="1:14" ht="15" thickBot="1" x14ac:dyDescent="0.4">
      <c r="A12" s="321"/>
      <c r="B12" s="201"/>
      <c r="C12" s="201"/>
      <c r="D12" s="201"/>
      <c r="E12" s="201"/>
      <c r="F12" s="201"/>
      <c r="G12" s="201"/>
      <c r="H12" s="201"/>
      <c r="I12" s="203"/>
    </row>
    <row r="13" spans="1:14" x14ac:dyDescent="0.35">
      <c r="A13" s="1431" t="s">
        <v>2044</v>
      </c>
      <c r="B13" s="1416">
        <v>451</v>
      </c>
      <c r="C13" s="1416" t="s">
        <v>2323</v>
      </c>
      <c r="D13" s="1416"/>
      <c r="E13" s="1416"/>
      <c r="F13" s="1416"/>
      <c r="G13" s="1416"/>
      <c r="H13" s="1416"/>
      <c r="I13" s="1435"/>
    </row>
    <row r="14" spans="1:14" ht="15" thickBot="1" x14ac:dyDescent="0.4">
      <c r="A14" s="321"/>
      <c r="B14" s="201"/>
      <c r="C14" s="201" t="s">
        <v>1732</v>
      </c>
      <c r="D14" s="201"/>
      <c r="E14" s="201"/>
      <c r="F14" s="201"/>
      <c r="G14" s="201"/>
      <c r="H14" s="201"/>
      <c r="I14" s="203"/>
    </row>
    <row r="15" spans="1:14" ht="15" thickBot="1" x14ac:dyDescent="0.4">
      <c r="A15" s="188" t="s">
        <v>2571</v>
      </c>
      <c r="B15" s="1384" t="e">
        <f>+#REF!</f>
        <v>#REF!</v>
      </c>
    </row>
    <row r="16" spans="1:14" ht="15" thickBot="1" x14ac:dyDescent="0.4">
      <c r="A16" s="188" t="s">
        <v>2572</v>
      </c>
      <c r="B16" s="701" t="s">
        <v>200</v>
      </c>
    </row>
    <row r="19" spans="1:2" x14ac:dyDescent="0.35">
      <c r="A19" s="1121" t="s">
        <v>2321</v>
      </c>
      <c r="B19" s="1121"/>
    </row>
    <row r="20" spans="1:2" x14ac:dyDescent="0.35">
      <c r="A20" s="62" t="s">
        <v>356</v>
      </c>
      <c r="B20" s="62" t="s">
        <v>542</v>
      </c>
    </row>
    <row r="21" spans="1:2" x14ac:dyDescent="0.35">
      <c r="A21" s="62" t="s">
        <v>494</v>
      </c>
      <c r="B21" s="62" t="s">
        <v>543</v>
      </c>
    </row>
  </sheetData>
  <customSheetViews>
    <customSheetView guid="{11DE45F5-F478-4ED6-8DFF-12002C22A637}" scale="60" showPageBreaks="1" fitToPage="1" view="pageBreakPreview">
      <pageMargins left="0.7" right="0.7" top="0.75" bottom="0.75" header="0.3" footer="0.3"/>
      <pageSetup scale="60" orientation="landscape" horizontalDpi="1200" verticalDpi="1200" r:id="rId1"/>
    </customSheetView>
    <customSheetView guid="{ECD6FE6A-9548-414E-B8AA-6998703C57E0}" scale="60" showPageBreaks="1" fitToPage="1" view="pageBreakPreview">
      <pageMargins left="0.7" right="0.7" top="0.75" bottom="0.75" header="0.3" footer="0.3"/>
      <pageSetup scale="60" orientation="landscape" horizontalDpi="1200" verticalDpi="1200" r:id="rId2"/>
    </customSheetView>
  </customSheetViews>
  <mergeCells count="2">
    <mergeCell ref="I1:K1"/>
    <mergeCell ref="L1:N1"/>
  </mergeCells>
  <dataValidations disablePrompts="1" count="2">
    <dataValidation type="list" allowBlank="1" showInputMessage="1" showErrorMessage="1" sqref="D3:D4" xr:uid="{00000000-0002-0000-1B00-000000000000}">
      <formula1>MeasureType</formula1>
    </dataValidation>
    <dataValidation type="list" allowBlank="1" showInputMessage="1" showErrorMessage="1" sqref="E3:E4" xr:uid="{00000000-0002-0000-1B00-000001000000}">
      <formula1>CSGDRF1</formula1>
    </dataValidation>
  </dataValidations>
  <pageMargins left="0.7" right="0.7" top="0.75" bottom="0.75" header="0.3" footer="0.3"/>
  <pageSetup scale="59" orientation="landscape"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pageSetUpPr fitToPage="1"/>
  </sheetPr>
  <dimension ref="A1:AC179"/>
  <sheetViews>
    <sheetView view="pageBreakPreview" zoomScale="85" zoomScaleNormal="85" zoomScaleSheetLayoutView="85" workbookViewId="0"/>
  </sheetViews>
  <sheetFormatPr defaultRowHeight="14.5" x14ac:dyDescent="0.35"/>
  <cols>
    <col min="1" max="1" width="22.1796875" bestFit="1" customWidth="1"/>
    <col min="2" max="2" width="50.54296875" bestFit="1" customWidth="1"/>
    <col min="3" max="3" width="22.7265625" bestFit="1" customWidth="1"/>
    <col min="4" max="4" width="21.453125" bestFit="1" customWidth="1"/>
    <col min="5" max="5" width="20.7265625" bestFit="1" customWidth="1"/>
    <col min="6" max="6" width="19.81640625" bestFit="1" customWidth="1"/>
    <col min="7" max="8" width="21.453125" bestFit="1" customWidth="1"/>
    <col min="9" max="9" width="39.45312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23.7265625" customWidth="1"/>
    <col min="17" max="17" width="13.453125" customWidth="1"/>
    <col min="18" max="18" width="10" customWidth="1"/>
    <col min="20" max="20" width="19.81640625" customWidth="1"/>
    <col min="21" max="21" width="11.26953125" customWidth="1"/>
    <col min="23" max="23" width="12" bestFit="1" customWidth="1"/>
    <col min="24" max="24" width="13" bestFit="1" customWidth="1"/>
  </cols>
  <sheetData>
    <row r="1" spans="1:29" x14ac:dyDescent="0.35">
      <c r="A1" s="1721" t="s">
        <v>311</v>
      </c>
      <c r="B1" s="1172" t="s">
        <v>1672</v>
      </c>
      <c r="C1" s="1176"/>
      <c r="D1" s="1176"/>
      <c r="E1" s="1124"/>
      <c r="F1" s="1177"/>
      <c r="G1" s="1177"/>
      <c r="H1" s="1177"/>
      <c r="I1" s="1177"/>
      <c r="J1" s="1177"/>
      <c r="K1" s="1177"/>
      <c r="L1" s="1177"/>
      <c r="M1" s="1177"/>
      <c r="N1" s="1177"/>
      <c r="O1" s="1177"/>
      <c r="P1" s="1177"/>
      <c r="Q1" s="1177"/>
      <c r="R1" s="2248" t="s">
        <v>335</v>
      </c>
      <c r="S1" s="2248"/>
      <c r="T1" s="2248"/>
      <c r="U1" s="2248" t="s">
        <v>336</v>
      </c>
      <c r="V1" s="2248"/>
      <c r="W1" s="2216"/>
      <c r="X1" s="2312" t="s">
        <v>337</v>
      </c>
      <c r="Y1" s="2312"/>
      <c r="Z1" s="2312"/>
      <c r="AA1" s="2312"/>
      <c r="AB1" s="2312"/>
      <c r="AC1" s="2312"/>
    </row>
    <row r="2" spans="1:29" ht="43.5" x14ac:dyDescent="0.35">
      <c r="A2" s="1145"/>
      <c r="B2" s="1129" t="s">
        <v>1673</v>
      </c>
      <c r="C2" s="1129" t="s">
        <v>339</v>
      </c>
      <c r="D2" s="1129" t="s">
        <v>688</v>
      </c>
      <c r="E2" s="1177" t="s">
        <v>342</v>
      </c>
      <c r="F2" s="1177" t="s">
        <v>1674</v>
      </c>
      <c r="G2" s="1177" t="s">
        <v>1675</v>
      </c>
      <c r="H2" s="1177" t="s">
        <v>1676</v>
      </c>
      <c r="I2" s="1177" t="s">
        <v>1779</v>
      </c>
      <c r="J2" s="1177" t="s">
        <v>693</v>
      </c>
      <c r="K2" s="1177" t="s">
        <v>1677</v>
      </c>
      <c r="L2" s="1177" t="s">
        <v>1678</v>
      </c>
      <c r="M2" s="1177" t="s">
        <v>838</v>
      </c>
      <c r="N2" s="1177" t="s">
        <v>1679</v>
      </c>
      <c r="O2" s="1177" t="s">
        <v>1680</v>
      </c>
      <c r="P2" s="1177" t="s">
        <v>345</v>
      </c>
      <c r="Q2" s="1177" t="s">
        <v>1454</v>
      </c>
      <c r="R2" s="1177" t="s">
        <v>347</v>
      </c>
      <c r="S2" s="1177" t="s">
        <v>348</v>
      </c>
      <c r="T2" s="1177" t="s">
        <v>349</v>
      </c>
      <c r="U2" s="1177" t="s">
        <v>347</v>
      </c>
      <c r="V2" s="1177" t="s">
        <v>348</v>
      </c>
      <c r="W2" s="1178" t="s">
        <v>349</v>
      </c>
      <c r="X2" s="857" t="s">
        <v>1681</v>
      </c>
      <c r="Y2" s="857" t="s">
        <v>1682</v>
      </c>
      <c r="Z2" s="857" t="s">
        <v>1461</v>
      </c>
      <c r="AA2" s="857" t="s">
        <v>1683</v>
      </c>
      <c r="AB2" s="857" t="s">
        <v>1684</v>
      </c>
      <c r="AC2" s="857" t="s">
        <v>1459</v>
      </c>
    </row>
    <row r="3" spans="1:29" ht="50.15" customHeight="1" x14ac:dyDescent="0.35">
      <c r="A3" s="1131" t="s">
        <v>1685</v>
      </c>
      <c r="B3" s="1131" t="str">
        <f t="shared" ref="B3:B17" si="0">"Pipe Insulation, "&amp;H3&amp;", "&amp;I3&amp;", "&amp;J3&amp;", "&amp;L3</f>
        <v>Pipe Insulation, Outdoor, Space Heating, High pressure steam, Recirculation - Heating Season only</v>
      </c>
      <c r="C3" s="1214" t="s">
        <v>218</v>
      </c>
      <c r="D3" s="1215" t="s">
        <v>1686</v>
      </c>
      <c r="E3" s="135" t="s">
        <v>403</v>
      </c>
      <c r="F3" s="1179">
        <f>+$B$50</f>
        <v>15</v>
      </c>
      <c r="G3" s="1207" t="str">
        <f t="shared" ref="G3:G17" si="1">IF(H3=$B$133,$C$110,$D$110)</f>
        <v>2 INCHES</v>
      </c>
      <c r="H3" s="1216" t="s">
        <v>1687</v>
      </c>
      <c r="I3" s="1148" t="s">
        <v>1688</v>
      </c>
      <c r="J3" s="1150" t="s">
        <v>1689</v>
      </c>
      <c r="K3" s="1148" t="str">
        <f t="shared" ref="K3:K17" si="2">IF(J3=$B$79,$B$141,$B$142)</f>
        <v>NA</v>
      </c>
      <c r="L3" s="1148" t="s">
        <v>1690</v>
      </c>
      <c r="M3" s="1148" t="s">
        <v>399</v>
      </c>
      <c r="N3" s="1148" t="s">
        <v>738</v>
      </c>
      <c r="O3" s="1173">
        <v>1</v>
      </c>
      <c r="P3" s="1179" t="s">
        <v>357</v>
      </c>
      <c r="Q3" s="1217"/>
      <c r="R3" s="1182"/>
      <c r="S3" s="1184"/>
      <c r="T3" s="1183">
        <f t="shared" ref="T3:T17" si="3">((((X3-Y3)*Z3)/(100000*AA3))*AB3)*O3</f>
        <v>64.200879801734814</v>
      </c>
      <c r="U3" s="1182"/>
      <c r="V3" s="1182"/>
      <c r="W3" s="1205">
        <f t="shared" ref="W3:W17" si="4">T3*F3</f>
        <v>963.01319702602223</v>
      </c>
      <c r="X3" s="62">
        <f t="shared" ref="X3:X17" si="5">VLOOKUP(L3, $B$64:$N$67, VLOOKUP(H3&amp;J3&amp;K3,$Q$62:$R$73, 2, FALSE), FALSE)</f>
        <v>1101</v>
      </c>
      <c r="Y3" s="62">
        <f t="shared" ref="Y3:Y17" si="6">VLOOKUP(L3, $B$73:$N$76, VLOOKUP(H3&amp;J3&amp;K3,$Q$62:$R$73, 2, FALSE), FALSE)</f>
        <v>52</v>
      </c>
      <c r="Z3" s="62">
        <f>IF(I3=$C$139,$J$151,IF(OR(L3=$B$139,L3=$B$140),8766,IF(L3=$B$138,VLOOKUP(N3,$I$153:$J$158,2),VLOOKUP(M3,List!$B$7:$H$41,AC3))))</f>
        <v>4939</v>
      </c>
      <c r="AA3" s="62">
        <f t="shared" ref="AA3:AA17" si="7">IF(I3=$C$137,$C$83,VLOOKUP(J3,$B$79:$C$82,2,FALSE))</f>
        <v>0.80700000000000005</v>
      </c>
      <c r="AB3" s="62">
        <f t="shared" ref="AB3:AB17" si="8">IF(H3=$B$87,$D$87,VLOOKUP(I3,$B$95:$C$97, 2, FALSE))</f>
        <v>1</v>
      </c>
      <c r="AC3" s="62">
        <f>VLOOKUP(N3, List!$J$12:$K$17, 2, FALSE)</f>
        <v>7</v>
      </c>
    </row>
    <row r="4" spans="1:29" ht="50.15" customHeight="1" x14ac:dyDescent="0.35">
      <c r="A4" s="1131" t="s">
        <v>1691</v>
      </c>
      <c r="B4" s="1131" t="str">
        <f t="shared" si="0"/>
        <v>Pipe Insulation, Outdoor, Space Heating, Low pressure steam, Recirculation - Heating Season only</v>
      </c>
      <c r="C4" s="1214" t="s">
        <v>216</v>
      </c>
      <c r="D4" s="1215" t="s">
        <v>1686</v>
      </c>
      <c r="E4" s="135" t="s">
        <v>403</v>
      </c>
      <c r="F4" s="1179">
        <f t="shared" ref="F4:F20" si="9">+$B$50</f>
        <v>15</v>
      </c>
      <c r="G4" s="1207" t="str">
        <f t="shared" si="1"/>
        <v>2 INCHES</v>
      </c>
      <c r="H4" s="1216" t="s">
        <v>1687</v>
      </c>
      <c r="I4" s="1148" t="s">
        <v>1688</v>
      </c>
      <c r="J4" s="1150" t="s">
        <v>1692</v>
      </c>
      <c r="K4" s="1148" t="str">
        <f t="shared" si="2"/>
        <v>NA</v>
      </c>
      <c r="L4" s="1148" t="s">
        <v>1690</v>
      </c>
      <c r="M4" s="1148" t="s">
        <v>399</v>
      </c>
      <c r="N4" s="1148" t="s">
        <v>738</v>
      </c>
      <c r="O4" s="1173">
        <v>1</v>
      </c>
      <c r="P4" s="1179" t="s">
        <v>357</v>
      </c>
      <c r="Q4" s="1217"/>
      <c r="R4" s="1182"/>
      <c r="S4" s="1184"/>
      <c r="T4" s="1183">
        <f t="shared" si="3"/>
        <v>41.494944237918219</v>
      </c>
      <c r="U4" s="1182"/>
      <c r="V4" s="1182"/>
      <c r="W4" s="1205">
        <f t="shared" si="4"/>
        <v>622.42416356877334</v>
      </c>
      <c r="X4" s="62">
        <f t="shared" si="5"/>
        <v>710</v>
      </c>
      <c r="Y4" s="62">
        <f t="shared" si="6"/>
        <v>32</v>
      </c>
      <c r="Z4" s="62">
        <f>IF(I4=$C$139,$J$151,IF(OR(L4=$B$139,L4=$B$140),8766,IF(L4=$B$138,VLOOKUP(N4,$I$153:$J$158,2),VLOOKUP(M4,List!$B$7:$H$41,AC4))))</f>
        <v>4939</v>
      </c>
      <c r="AA4" s="62">
        <f t="shared" si="7"/>
        <v>0.80700000000000005</v>
      </c>
      <c r="AB4" s="62">
        <f t="shared" si="8"/>
        <v>1</v>
      </c>
      <c r="AC4" s="62">
        <f>VLOOKUP(N4, List!$J$12:$K$17, 2, FALSE)</f>
        <v>7</v>
      </c>
    </row>
    <row r="5" spans="1:29" ht="50.15" customHeight="1" x14ac:dyDescent="0.35">
      <c r="A5" s="1131" t="s">
        <v>1693</v>
      </c>
      <c r="B5" s="1131" t="str">
        <f t="shared" si="0"/>
        <v>Pipe Insulation, Indoor, Space Heating, High pressure steam, Recirculation - Heating Season only</v>
      </c>
      <c r="C5" s="1214" t="s">
        <v>210</v>
      </c>
      <c r="D5" s="1215" t="s">
        <v>1686</v>
      </c>
      <c r="E5" s="135" t="s">
        <v>403</v>
      </c>
      <c r="F5" s="1179">
        <f t="shared" si="9"/>
        <v>15</v>
      </c>
      <c r="G5" s="1207" t="str">
        <f t="shared" si="1"/>
        <v>1 INCH</v>
      </c>
      <c r="H5" s="1216" t="s">
        <v>1694</v>
      </c>
      <c r="I5" s="1148" t="s">
        <v>1688</v>
      </c>
      <c r="J5" s="1150" t="s">
        <v>1689</v>
      </c>
      <c r="K5" s="1148" t="str">
        <f t="shared" si="2"/>
        <v>NA</v>
      </c>
      <c r="L5" s="1148" t="s">
        <v>1690</v>
      </c>
      <c r="M5" s="1148" t="s">
        <v>399</v>
      </c>
      <c r="N5" s="1148" t="s">
        <v>738</v>
      </c>
      <c r="O5" s="1173">
        <v>1</v>
      </c>
      <c r="P5" s="1179" t="s">
        <v>357</v>
      </c>
      <c r="Q5" s="1217"/>
      <c r="R5" s="1182"/>
      <c r="S5" s="1184"/>
      <c r="T5" s="1183">
        <f t="shared" si="3"/>
        <v>8.1973935563816607</v>
      </c>
      <c r="U5" s="1182"/>
      <c r="V5" s="1182"/>
      <c r="W5" s="1205">
        <f t="shared" si="4"/>
        <v>122.96090334572492</v>
      </c>
      <c r="X5" s="62">
        <f t="shared" si="5"/>
        <v>432</v>
      </c>
      <c r="Y5" s="62">
        <f t="shared" si="6"/>
        <v>70</v>
      </c>
      <c r="Z5" s="62">
        <f>IF(I5=$C$139,$J$151,IF(OR(L5=$B$139,L5=$B$140),8766,IF(L5=$B$138,VLOOKUP(N5,$I$153:$J$158,2),VLOOKUP(M5,List!$B$7:$H$41,AC5))))</f>
        <v>4939</v>
      </c>
      <c r="AA5" s="62">
        <f t="shared" si="7"/>
        <v>0.80700000000000005</v>
      </c>
      <c r="AB5" s="62">
        <f t="shared" si="8"/>
        <v>0.37</v>
      </c>
      <c r="AC5" s="62">
        <f>VLOOKUP(N5, List!$J$12:$K$17, 2, FALSE)</f>
        <v>7</v>
      </c>
    </row>
    <row r="6" spans="1:29" ht="50.15" customHeight="1" x14ac:dyDescent="0.35">
      <c r="A6" s="1131" t="s">
        <v>1695</v>
      </c>
      <c r="B6" s="1131" t="str">
        <f t="shared" si="0"/>
        <v>Pipe Insulation, Indoor, Space Heating, Low pressure steam, Recirculation - Heating Season only</v>
      </c>
      <c r="C6" s="1214" t="s">
        <v>208</v>
      </c>
      <c r="D6" s="1215" t="s">
        <v>1686</v>
      </c>
      <c r="E6" s="135" t="s">
        <v>403</v>
      </c>
      <c r="F6" s="1179">
        <f t="shared" si="9"/>
        <v>15</v>
      </c>
      <c r="G6" s="1207" t="str">
        <f t="shared" si="1"/>
        <v>1 INCH</v>
      </c>
      <c r="H6" s="1216" t="s">
        <v>1694</v>
      </c>
      <c r="I6" s="1148" t="s">
        <v>1688</v>
      </c>
      <c r="J6" s="1150" t="s">
        <v>1692</v>
      </c>
      <c r="K6" s="1148" t="str">
        <f t="shared" si="2"/>
        <v>NA</v>
      </c>
      <c r="L6" s="1148" t="s">
        <v>1690</v>
      </c>
      <c r="M6" s="1148" t="s">
        <v>399</v>
      </c>
      <c r="N6" s="1148" t="s">
        <v>738</v>
      </c>
      <c r="O6" s="1173">
        <v>1</v>
      </c>
      <c r="P6" s="1179" t="s">
        <v>357</v>
      </c>
      <c r="Q6" s="1217"/>
      <c r="R6" s="1182"/>
      <c r="S6" s="1184"/>
      <c r="T6" s="1183">
        <f t="shared" si="3"/>
        <v>4.3477888475836428</v>
      </c>
      <c r="U6" s="1182"/>
      <c r="V6" s="1182"/>
      <c r="W6" s="1205">
        <f t="shared" si="4"/>
        <v>65.216832713754641</v>
      </c>
      <c r="X6" s="62">
        <f t="shared" si="5"/>
        <v>232</v>
      </c>
      <c r="Y6" s="62">
        <f t="shared" si="6"/>
        <v>40</v>
      </c>
      <c r="Z6" s="62">
        <f>IF(I6=$C$139,$J$151,IF(OR(L6=$B$139,L6=$B$140),8766,IF(L6=$B$138,VLOOKUP(N6,$I$153:$J$158,2),VLOOKUP(M6,List!$B$7:$H$41,AC6))))</f>
        <v>4939</v>
      </c>
      <c r="AA6" s="62">
        <f t="shared" si="7"/>
        <v>0.80700000000000005</v>
      </c>
      <c r="AB6" s="62">
        <f t="shared" si="8"/>
        <v>0.37</v>
      </c>
      <c r="AC6" s="62">
        <f>VLOOKUP(N6, List!$J$12:$K$17, 2, FALSE)</f>
        <v>7</v>
      </c>
    </row>
    <row r="7" spans="1:29" ht="50.15" customHeight="1" x14ac:dyDescent="0.35">
      <c r="A7" s="1131" t="s">
        <v>1696</v>
      </c>
      <c r="B7" s="1131" t="str">
        <f t="shared" si="0"/>
        <v>Pipe Insulation, Outdoor, Space Heating, Hot water, Recirculation - Heating Season only</v>
      </c>
      <c r="C7" s="1214" t="s">
        <v>215</v>
      </c>
      <c r="D7" s="1215" t="s">
        <v>1686</v>
      </c>
      <c r="E7" s="135" t="s">
        <v>403</v>
      </c>
      <c r="F7" s="1179">
        <f t="shared" si="9"/>
        <v>15</v>
      </c>
      <c r="G7" s="1207" t="str">
        <f t="shared" si="1"/>
        <v>2 INCHES</v>
      </c>
      <c r="H7" s="1216" t="s">
        <v>1687</v>
      </c>
      <c r="I7" s="1148" t="s">
        <v>1688</v>
      </c>
      <c r="J7" s="1150" t="s">
        <v>1697</v>
      </c>
      <c r="K7" s="1148" t="str">
        <f t="shared" si="2"/>
        <v>Average reset</v>
      </c>
      <c r="L7" s="1148" t="s">
        <v>1690</v>
      </c>
      <c r="M7" s="1148" t="s">
        <v>399</v>
      </c>
      <c r="N7" s="1148" t="s">
        <v>738</v>
      </c>
      <c r="O7" s="1173">
        <v>1</v>
      </c>
      <c r="P7" s="1179" t="s">
        <v>357</v>
      </c>
      <c r="Q7" s="1217"/>
      <c r="R7" s="1182"/>
      <c r="S7" s="1184"/>
      <c r="T7" s="1183">
        <f t="shared" si="3"/>
        <v>23.69996336996337</v>
      </c>
      <c r="U7" s="1182"/>
      <c r="V7" s="1182"/>
      <c r="W7" s="1205">
        <f t="shared" si="4"/>
        <v>355.49945054945056</v>
      </c>
      <c r="X7" s="62">
        <f t="shared" si="5"/>
        <v>411.5</v>
      </c>
      <c r="Y7" s="62">
        <f t="shared" si="6"/>
        <v>18.5</v>
      </c>
      <c r="Z7" s="62">
        <f>IF(I7=$C$139,$J$151,IF(OR(L7=$B$139,L7=$B$140),8766,IF(L7=$B$138,VLOOKUP(N7,$I$153:$J$158,2),VLOOKUP(M7,List!$B$7:$H$41,AC7))))</f>
        <v>4939</v>
      </c>
      <c r="AA7" s="62">
        <f t="shared" si="7"/>
        <v>0.81899999999999995</v>
      </c>
      <c r="AB7" s="62">
        <f t="shared" si="8"/>
        <v>1</v>
      </c>
      <c r="AC7" s="62">
        <f>VLOOKUP(N7, List!$J$12:$K$17, 2, FALSE)</f>
        <v>7</v>
      </c>
    </row>
    <row r="8" spans="1:29" ht="50.15" customHeight="1" x14ac:dyDescent="0.35">
      <c r="A8" s="1131" t="s">
        <v>1698</v>
      </c>
      <c r="B8" s="1131" t="str">
        <f t="shared" si="0"/>
        <v>Pipe Insulation, Indoor, Domestic Hot Water, Hot water, DHW Circulation Loop</v>
      </c>
      <c r="C8" s="1214" t="s">
        <v>211</v>
      </c>
      <c r="D8" s="1215" t="s">
        <v>1686</v>
      </c>
      <c r="E8" s="135" t="s">
        <v>403</v>
      </c>
      <c r="F8" s="1179">
        <f t="shared" si="9"/>
        <v>15</v>
      </c>
      <c r="G8" s="1207" t="str">
        <f t="shared" si="1"/>
        <v>1 INCH</v>
      </c>
      <c r="H8" s="1216" t="s">
        <v>1694</v>
      </c>
      <c r="I8" s="1148" t="s">
        <v>1699</v>
      </c>
      <c r="J8" s="1150" t="s">
        <v>1697</v>
      </c>
      <c r="K8" s="1148" t="str">
        <f t="shared" si="2"/>
        <v>Average reset</v>
      </c>
      <c r="L8" s="1148" t="s">
        <v>1700</v>
      </c>
      <c r="M8" s="1148" t="s">
        <v>399</v>
      </c>
      <c r="N8" s="1148" t="s">
        <v>738</v>
      </c>
      <c r="O8" s="1173">
        <v>1</v>
      </c>
      <c r="P8" s="1179" t="s">
        <v>357</v>
      </c>
      <c r="Q8" s="1217"/>
      <c r="R8" s="1182"/>
      <c r="S8" s="1184"/>
      <c r="T8" s="1183">
        <f t="shared" si="3"/>
        <v>2.0533046641791044</v>
      </c>
      <c r="U8" s="1182"/>
      <c r="V8" s="1182"/>
      <c r="W8" s="1205">
        <f t="shared" si="4"/>
        <v>30.799569962686565</v>
      </c>
      <c r="X8" s="62">
        <f t="shared" si="5"/>
        <v>52</v>
      </c>
      <c r="Y8" s="62">
        <f t="shared" si="6"/>
        <v>13.25</v>
      </c>
      <c r="Z8" s="62">
        <f>IF(I8=$C$139,$J$151,IF(OR(L8=$B$139,L8=$B$140),8766,IF(L8=$B$138,VLOOKUP(N8,$I$153:$J$158,2),VLOOKUP(M8,List!$B$7:$H$41,AC8))))</f>
        <v>8766</v>
      </c>
      <c r="AA8" s="62">
        <f t="shared" si="7"/>
        <v>0.67</v>
      </c>
      <c r="AB8" s="62">
        <f t="shared" si="8"/>
        <v>0.40499999999999997</v>
      </c>
      <c r="AC8" s="62">
        <f>VLOOKUP(N8, List!$J$12:$K$17, 2, FALSE)</f>
        <v>7</v>
      </c>
    </row>
    <row r="9" spans="1:29" ht="50.15" customHeight="1" x14ac:dyDescent="0.35">
      <c r="A9" s="1131" t="s">
        <v>1701</v>
      </c>
      <c r="B9" s="1131" t="str">
        <f t="shared" si="0"/>
        <v>Pipe Insulation, Indoor, Space Heating, Hot water, Recirculation - Heating Season only</v>
      </c>
      <c r="C9" s="1214" t="s">
        <v>207</v>
      </c>
      <c r="D9" s="1133" t="s">
        <v>1686</v>
      </c>
      <c r="E9" s="135" t="s">
        <v>403</v>
      </c>
      <c r="F9" s="1179">
        <f t="shared" si="9"/>
        <v>15</v>
      </c>
      <c r="G9" s="1207" t="str">
        <f t="shared" si="1"/>
        <v>1 INCH</v>
      </c>
      <c r="H9" s="1216" t="s">
        <v>1694</v>
      </c>
      <c r="I9" s="1148" t="s">
        <v>1688</v>
      </c>
      <c r="J9" s="1150" t="s">
        <v>1697</v>
      </c>
      <c r="K9" s="1148" t="str">
        <f t="shared" si="2"/>
        <v>Average reset</v>
      </c>
      <c r="L9" s="1148" t="s">
        <v>1690</v>
      </c>
      <c r="M9" s="1148" t="s">
        <v>399</v>
      </c>
      <c r="N9" s="1148" t="s">
        <v>738</v>
      </c>
      <c r="O9" s="1173">
        <v>1</v>
      </c>
      <c r="P9" s="1179" t="s">
        <v>357</v>
      </c>
      <c r="Q9" s="1217"/>
      <c r="R9" s="1182"/>
      <c r="S9" s="1184"/>
      <c r="T9" s="1183">
        <f t="shared" si="3"/>
        <v>1.6846271672771671</v>
      </c>
      <c r="U9" s="1182"/>
      <c r="V9" s="1182"/>
      <c r="W9" s="1205">
        <f t="shared" si="4"/>
        <v>25.269407509157507</v>
      </c>
      <c r="X9" s="62">
        <f t="shared" si="5"/>
        <v>96</v>
      </c>
      <c r="Y9" s="62">
        <f t="shared" si="6"/>
        <v>20.5</v>
      </c>
      <c r="Z9" s="62">
        <f>IF(I9=$C$139,$J$151,IF(OR(L9=$B$139,L9=$B$140),8766,IF(L9=$B$138,VLOOKUP(N9,$I$153:$J$158,2),VLOOKUP(M9,List!$B$7:$H$41,AC9))))</f>
        <v>4939</v>
      </c>
      <c r="AA9" s="62">
        <f t="shared" si="7"/>
        <v>0.81899999999999995</v>
      </c>
      <c r="AB9" s="62">
        <f t="shared" si="8"/>
        <v>0.37</v>
      </c>
      <c r="AC9" s="62">
        <f>VLOOKUP(N9, List!$J$12:$K$17, 2, FALSE)</f>
        <v>7</v>
      </c>
    </row>
    <row r="10" spans="1:29" ht="50.15" customHeight="1" x14ac:dyDescent="0.35">
      <c r="A10" s="1131" t="s">
        <v>1702</v>
      </c>
      <c r="B10" s="1131" t="str">
        <f t="shared" si="0"/>
        <v>Pipe Insulation, Outdoor, Space Heating, Medium pressure steam, Recirculation - Heating Season only</v>
      </c>
      <c r="C10" s="1214" t="s">
        <v>217</v>
      </c>
      <c r="D10" s="1215" t="s">
        <v>1686</v>
      </c>
      <c r="E10" s="135" t="s">
        <v>403</v>
      </c>
      <c r="F10" s="1179">
        <f t="shared" si="9"/>
        <v>15</v>
      </c>
      <c r="G10" s="1207" t="str">
        <f t="shared" si="1"/>
        <v>2 INCHES</v>
      </c>
      <c r="H10" s="1216" t="s">
        <v>1687</v>
      </c>
      <c r="I10" s="1148" t="s">
        <v>1688</v>
      </c>
      <c r="J10" s="1150" t="s">
        <v>1703</v>
      </c>
      <c r="K10" s="1148" t="str">
        <f t="shared" si="2"/>
        <v>NA</v>
      </c>
      <c r="L10" s="1148" t="s">
        <v>1690</v>
      </c>
      <c r="M10" s="1148" t="s">
        <v>399</v>
      </c>
      <c r="N10" s="1148" t="s">
        <v>738</v>
      </c>
      <c r="O10" s="1173">
        <v>1</v>
      </c>
      <c r="P10" s="1179" t="s">
        <v>357</v>
      </c>
      <c r="Q10" s="1217"/>
      <c r="R10" s="1182"/>
      <c r="S10" s="1184"/>
      <c r="T10" s="1183">
        <f t="shared" si="3"/>
        <v>52.847912019826516</v>
      </c>
      <c r="U10" s="1182"/>
      <c r="V10" s="1182"/>
      <c r="W10" s="1205">
        <f t="shared" si="4"/>
        <v>792.71868029739778</v>
      </c>
      <c r="X10" s="62">
        <f t="shared" si="5"/>
        <v>905.5</v>
      </c>
      <c r="Y10" s="62">
        <f t="shared" si="6"/>
        <v>42</v>
      </c>
      <c r="Z10" s="62">
        <f>IF(I10=$C$139,$J$151,IF(OR(L10=$B$139,L10=$B$140),8766,IF(L10=$B$138,VLOOKUP(N10,$I$153:$J$158,2),VLOOKUP(M10,List!$B$7:$H$41,AC10))))</f>
        <v>4939</v>
      </c>
      <c r="AA10" s="62">
        <f t="shared" si="7"/>
        <v>0.80700000000000005</v>
      </c>
      <c r="AB10" s="62">
        <f t="shared" si="8"/>
        <v>1</v>
      </c>
      <c r="AC10" s="62">
        <f>VLOOKUP(N10, List!$J$12:$K$17, 2, FALSE)</f>
        <v>7</v>
      </c>
    </row>
    <row r="11" spans="1:29" ht="50.15" customHeight="1" x14ac:dyDescent="0.35">
      <c r="A11" s="1131" t="s">
        <v>1704</v>
      </c>
      <c r="B11" s="1131" t="str">
        <f t="shared" si="0"/>
        <v>Pipe Insulation, Indoor, Space Heating, Medium pressure steam, Recirculation - Heating Season only</v>
      </c>
      <c r="C11" s="1214" t="s">
        <v>209</v>
      </c>
      <c r="D11" s="1133" t="s">
        <v>1686</v>
      </c>
      <c r="E11" s="135" t="s">
        <v>403</v>
      </c>
      <c r="F11" s="1179">
        <f t="shared" si="9"/>
        <v>15</v>
      </c>
      <c r="G11" s="1207" t="str">
        <f t="shared" si="1"/>
        <v>1 INCH</v>
      </c>
      <c r="H11" s="1216" t="s">
        <v>1694</v>
      </c>
      <c r="I11" s="1148" t="s">
        <v>1688</v>
      </c>
      <c r="J11" s="1150" t="s">
        <v>1703</v>
      </c>
      <c r="K11" s="1148" t="str">
        <f t="shared" si="2"/>
        <v>NA</v>
      </c>
      <c r="L11" s="1148" t="s">
        <v>1690</v>
      </c>
      <c r="M11" s="1148" t="s">
        <v>399</v>
      </c>
      <c r="N11" s="1148" t="s">
        <v>738</v>
      </c>
      <c r="O11" s="1173">
        <v>1</v>
      </c>
      <c r="P11" s="1179" t="s">
        <v>357</v>
      </c>
      <c r="Q11" s="1217"/>
      <c r="R11" s="1182"/>
      <c r="S11" s="1184"/>
      <c r="T11" s="1183">
        <f t="shared" si="3"/>
        <v>6.2725912019826513</v>
      </c>
      <c r="U11" s="1182"/>
      <c r="V11" s="1182"/>
      <c r="W11" s="1205">
        <f t="shared" si="4"/>
        <v>94.088868029739771</v>
      </c>
      <c r="X11" s="62">
        <f t="shared" si="5"/>
        <v>332</v>
      </c>
      <c r="Y11" s="62">
        <f t="shared" si="6"/>
        <v>55</v>
      </c>
      <c r="Z11" s="62">
        <f>IF(I11=$C$139,$J$151,IF(OR(L11=$B$139,L11=$B$140),8766,IF(L11=$B$138,VLOOKUP(N11,$I$153:$J$158,2),VLOOKUP(M11,List!$B$7:$H$41,AC11))))</f>
        <v>4939</v>
      </c>
      <c r="AA11" s="62">
        <f t="shared" si="7"/>
        <v>0.80700000000000005</v>
      </c>
      <c r="AB11" s="62">
        <f t="shared" si="8"/>
        <v>0.37</v>
      </c>
      <c r="AC11" s="62">
        <f>VLOOKUP(N11, List!$J$12:$K$17, 2, FALSE)</f>
        <v>7</v>
      </c>
    </row>
    <row r="12" spans="1:29" ht="50.15" customHeight="1" x14ac:dyDescent="0.35">
      <c r="A12" s="1131" t="s">
        <v>1705</v>
      </c>
      <c r="B12" s="1131" t="str">
        <f t="shared" si="0"/>
        <v>Pipe Insulation, Outdoor, Process Heating, High pressure steam, Recirculation - Heating Season only</v>
      </c>
      <c r="C12" s="1214" t="s">
        <v>221</v>
      </c>
      <c r="D12" s="1215" t="s">
        <v>1686</v>
      </c>
      <c r="E12" s="135" t="s">
        <v>403</v>
      </c>
      <c r="F12" s="1179">
        <f t="shared" si="9"/>
        <v>15</v>
      </c>
      <c r="G12" s="1207" t="str">
        <f t="shared" si="1"/>
        <v>2 INCHES</v>
      </c>
      <c r="H12" s="1216" t="s">
        <v>1687</v>
      </c>
      <c r="I12" s="1148" t="s">
        <v>1706</v>
      </c>
      <c r="J12" s="1150" t="s">
        <v>1689</v>
      </c>
      <c r="K12" s="1148" t="str">
        <f t="shared" si="2"/>
        <v>NA</v>
      </c>
      <c r="L12" s="1148" t="s">
        <v>1690</v>
      </c>
      <c r="M12" s="1148" t="s">
        <v>399</v>
      </c>
      <c r="N12" s="1148" t="s">
        <v>738</v>
      </c>
      <c r="O12" s="1173">
        <v>1</v>
      </c>
      <c r="P12" s="1179" t="s">
        <v>357</v>
      </c>
      <c r="Q12" s="1217"/>
      <c r="R12" s="1182"/>
      <c r="S12" s="1184"/>
      <c r="T12" s="1183">
        <f t="shared" si="3"/>
        <v>100.7663940520446</v>
      </c>
      <c r="U12" s="1182"/>
      <c r="V12" s="1182"/>
      <c r="W12" s="1205">
        <f t="shared" si="4"/>
        <v>1511.495910780669</v>
      </c>
      <c r="X12" s="62">
        <f t="shared" si="5"/>
        <v>1101</v>
      </c>
      <c r="Y12" s="62">
        <f t="shared" si="6"/>
        <v>52</v>
      </c>
      <c r="Z12" s="62">
        <f>IF(I12=$C$139,$J$151,IF(OR(L12=$B$139,L12=$B$140),8766,IF(L12=$B$138,VLOOKUP(N12,$I$153:$J$158,2),VLOOKUP(M12,List!$B$7:$H$41,AC12))))</f>
        <v>7752</v>
      </c>
      <c r="AA12" s="62">
        <f t="shared" si="7"/>
        <v>0.80700000000000005</v>
      </c>
      <c r="AB12" s="62">
        <f t="shared" si="8"/>
        <v>1</v>
      </c>
      <c r="AC12" s="62">
        <f>VLOOKUP(N12, List!$J$12:$K$17, 2, FALSE)</f>
        <v>7</v>
      </c>
    </row>
    <row r="13" spans="1:29" ht="50.15" customHeight="1" x14ac:dyDescent="0.35">
      <c r="A13" s="1131" t="s">
        <v>1707</v>
      </c>
      <c r="B13" s="1131" t="str">
        <f t="shared" si="0"/>
        <v>Pipe Insulation, Outdoor, Process Heating, Medium pressure steam, Recirculation - Heating Season only</v>
      </c>
      <c r="C13" s="1214" t="s">
        <v>220</v>
      </c>
      <c r="D13" s="1215" t="s">
        <v>1686</v>
      </c>
      <c r="E13" s="135" t="s">
        <v>403</v>
      </c>
      <c r="F13" s="1179">
        <f t="shared" si="9"/>
        <v>15</v>
      </c>
      <c r="G13" s="1207" t="str">
        <f t="shared" si="1"/>
        <v>2 INCHES</v>
      </c>
      <c r="H13" s="1216" t="s">
        <v>1687</v>
      </c>
      <c r="I13" s="1148" t="s">
        <v>1706</v>
      </c>
      <c r="J13" s="1150" t="s">
        <v>1703</v>
      </c>
      <c r="K13" s="1148" t="str">
        <f t="shared" si="2"/>
        <v>NA</v>
      </c>
      <c r="L13" s="1148" t="s">
        <v>1690</v>
      </c>
      <c r="M13" s="1148" t="s">
        <v>399</v>
      </c>
      <c r="N13" s="1148" t="s">
        <v>738</v>
      </c>
      <c r="O13" s="1173">
        <v>1</v>
      </c>
      <c r="P13" s="1179" t="s">
        <v>357</v>
      </c>
      <c r="Q13" s="1217"/>
      <c r="R13" s="1182"/>
      <c r="S13" s="1184"/>
      <c r="T13" s="1183">
        <f t="shared" si="3"/>
        <v>82.947360594795541</v>
      </c>
      <c r="U13" s="1182"/>
      <c r="V13" s="1182"/>
      <c r="W13" s="1205">
        <f t="shared" si="4"/>
        <v>1244.2104089219331</v>
      </c>
      <c r="X13" s="62">
        <f t="shared" si="5"/>
        <v>905.5</v>
      </c>
      <c r="Y13" s="62">
        <f t="shared" si="6"/>
        <v>42</v>
      </c>
      <c r="Z13" s="62">
        <f>IF(I13=$C$139,$J$151,IF(OR(L13=$B$139,L13=$B$140),8766,IF(L13=$B$138,VLOOKUP(N13,$I$153:$J$158,2),VLOOKUP(M13,List!$B$7:$H$41,AC13))))</f>
        <v>7752</v>
      </c>
      <c r="AA13" s="62">
        <f t="shared" si="7"/>
        <v>0.80700000000000005</v>
      </c>
      <c r="AB13" s="62">
        <f t="shared" si="8"/>
        <v>1</v>
      </c>
      <c r="AC13" s="62">
        <f>VLOOKUP(N13, List!$J$12:$K$17, 2, FALSE)</f>
        <v>7</v>
      </c>
    </row>
    <row r="14" spans="1:29" ht="50.15" customHeight="1" x14ac:dyDescent="0.35">
      <c r="A14" s="1131" t="s">
        <v>1708</v>
      </c>
      <c r="B14" s="1131" t="str">
        <f t="shared" si="0"/>
        <v>Pipe Insulation, Outdoor, Process Heating, Low pressure steam, Recirculation - Heating Season only</v>
      </c>
      <c r="C14" s="1214" t="s">
        <v>219</v>
      </c>
      <c r="D14" s="1133" t="s">
        <v>1686</v>
      </c>
      <c r="E14" s="135" t="s">
        <v>403</v>
      </c>
      <c r="F14" s="1179">
        <f t="shared" si="9"/>
        <v>15</v>
      </c>
      <c r="G14" s="1207" t="str">
        <f t="shared" si="1"/>
        <v>2 INCHES</v>
      </c>
      <c r="H14" s="1216" t="s">
        <v>1687</v>
      </c>
      <c r="I14" s="1148" t="s">
        <v>1706</v>
      </c>
      <c r="J14" s="1150" t="s">
        <v>1692</v>
      </c>
      <c r="K14" s="1148" t="str">
        <f t="shared" si="2"/>
        <v>NA</v>
      </c>
      <c r="L14" s="1148" t="s">
        <v>1690</v>
      </c>
      <c r="M14" s="1148" t="s">
        <v>399</v>
      </c>
      <c r="N14" s="1148" t="s">
        <v>738</v>
      </c>
      <c r="O14" s="1173">
        <v>1</v>
      </c>
      <c r="P14" s="1179" t="s">
        <v>357</v>
      </c>
      <c r="Q14" s="1217"/>
      <c r="R14" s="1182"/>
      <c r="S14" s="1184"/>
      <c r="T14" s="1183">
        <f t="shared" si="3"/>
        <v>65.128327137546464</v>
      </c>
      <c r="U14" s="1182"/>
      <c r="V14" s="1182"/>
      <c r="W14" s="1205">
        <f t="shared" si="4"/>
        <v>976.924907063197</v>
      </c>
      <c r="X14" s="62">
        <f t="shared" si="5"/>
        <v>710</v>
      </c>
      <c r="Y14" s="62">
        <f t="shared" si="6"/>
        <v>32</v>
      </c>
      <c r="Z14" s="62">
        <f>IF(I14=$C$139,$J$151,IF(OR(L14=$B$139,L14=$B$140),8766,IF(L14=$B$138,VLOOKUP(N14,$I$153:$J$158,2),VLOOKUP(M14,List!$B$7:$H$41,AC14))))</f>
        <v>7752</v>
      </c>
      <c r="AA14" s="62">
        <f t="shared" si="7"/>
        <v>0.80700000000000005</v>
      </c>
      <c r="AB14" s="62">
        <f t="shared" si="8"/>
        <v>1</v>
      </c>
      <c r="AC14" s="62">
        <f>VLOOKUP(N14, List!$J$12:$K$17, 2, FALSE)</f>
        <v>7</v>
      </c>
    </row>
    <row r="15" spans="1:29" ht="50.15" customHeight="1" x14ac:dyDescent="0.35">
      <c r="A15" s="1131" t="s">
        <v>1709</v>
      </c>
      <c r="B15" s="1131" t="str">
        <f t="shared" si="0"/>
        <v>Pipe Insulation, Indoor, Process Heating, High pressure steam, Recirculation- year round</v>
      </c>
      <c r="C15" s="1214" t="s">
        <v>214</v>
      </c>
      <c r="D15" s="1133" t="s">
        <v>1686</v>
      </c>
      <c r="E15" s="135" t="s">
        <v>403</v>
      </c>
      <c r="F15" s="1179">
        <f t="shared" si="9"/>
        <v>15</v>
      </c>
      <c r="G15" s="1207" t="str">
        <f t="shared" si="1"/>
        <v>1 INCH</v>
      </c>
      <c r="H15" s="1216" t="s">
        <v>1694</v>
      </c>
      <c r="I15" s="1148" t="s">
        <v>1706</v>
      </c>
      <c r="J15" s="1150" t="s">
        <v>1689</v>
      </c>
      <c r="K15" s="1148" t="str">
        <f t="shared" si="2"/>
        <v>NA</v>
      </c>
      <c r="L15" s="1148" t="s">
        <v>1710</v>
      </c>
      <c r="M15" s="1148" t="s">
        <v>399</v>
      </c>
      <c r="N15" s="1148" t="s">
        <v>738</v>
      </c>
      <c r="O15" s="1173">
        <v>1</v>
      </c>
      <c r="P15" s="1179" t="s">
        <v>357</v>
      </c>
      <c r="Q15" s="1217"/>
      <c r="R15" s="1182"/>
      <c r="S15" s="1184"/>
      <c r="T15" s="1183">
        <f t="shared" si="3"/>
        <v>14.083280297397769</v>
      </c>
      <c r="U15" s="1182"/>
      <c r="V15" s="1182"/>
      <c r="W15" s="1205">
        <f t="shared" si="4"/>
        <v>211.24920446096652</v>
      </c>
      <c r="X15" s="62">
        <f t="shared" si="5"/>
        <v>432</v>
      </c>
      <c r="Y15" s="62">
        <f t="shared" si="6"/>
        <v>70</v>
      </c>
      <c r="Z15" s="62">
        <f>IF(I15=$C$139,$J$151,IF(OR(L15=$B$139,L15=$B$140),8766,IF(L15=$B$138,VLOOKUP(N15,$I$153:$J$158,2),VLOOKUP(M15,List!$B$7:$H$41,AC15))))</f>
        <v>7752</v>
      </c>
      <c r="AA15" s="62">
        <f t="shared" si="7"/>
        <v>0.80700000000000005</v>
      </c>
      <c r="AB15" s="62">
        <f t="shared" si="8"/>
        <v>0.40499999999999997</v>
      </c>
      <c r="AC15" s="62">
        <f>VLOOKUP(N15, List!$J$12:$K$17, 2, FALSE)</f>
        <v>7</v>
      </c>
    </row>
    <row r="16" spans="1:29" ht="50.15" customHeight="1" x14ac:dyDescent="0.35">
      <c r="A16" s="1131" t="s">
        <v>1711</v>
      </c>
      <c r="B16" s="1131" t="str">
        <f t="shared" si="0"/>
        <v>Pipe Insulation, Indoor, Process Heating, Medium pressure steam, Recirculation - Heating Season only</v>
      </c>
      <c r="C16" s="1214" t="s">
        <v>213</v>
      </c>
      <c r="D16" s="1133" t="s">
        <v>1686</v>
      </c>
      <c r="E16" s="135" t="s">
        <v>403</v>
      </c>
      <c r="F16" s="1179">
        <f t="shared" si="9"/>
        <v>15</v>
      </c>
      <c r="G16" s="1207" t="str">
        <f t="shared" si="1"/>
        <v>1 INCH</v>
      </c>
      <c r="H16" s="1216" t="s">
        <v>1694</v>
      </c>
      <c r="I16" s="1148" t="s">
        <v>1706</v>
      </c>
      <c r="J16" s="1150" t="s">
        <v>1703</v>
      </c>
      <c r="K16" s="1148" t="str">
        <f t="shared" si="2"/>
        <v>NA</v>
      </c>
      <c r="L16" s="1148" t="s">
        <v>1690</v>
      </c>
      <c r="M16" s="1148" t="s">
        <v>399</v>
      </c>
      <c r="N16" s="1148" t="s">
        <v>738</v>
      </c>
      <c r="O16" s="1173">
        <v>1</v>
      </c>
      <c r="P16" s="1179" t="s">
        <v>357</v>
      </c>
      <c r="Q16" s="1217"/>
      <c r="R16" s="1182"/>
      <c r="S16" s="1184"/>
      <c r="T16" s="1183">
        <f t="shared" si="3"/>
        <v>10.776432713754645</v>
      </c>
      <c r="U16" s="1182"/>
      <c r="V16" s="1182"/>
      <c r="W16" s="1205">
        <f t="shared" si="4"/>
        <v>161.64649070631967</v>
      </c>
      <c r="X16" s="62">
        <f t="shared" si="5"/>
        <v>332</v>
      </c>
      <c r="Y16" s="62">
        <f t="shared" si="6"/>
        <v>55</v>
      </c>
      <c r="Z16" s="62">
        <f>IF(I16=$C$139,$J$151,IF(OR(L16=$B$139,L16=$B$140),8766,IF(L16=$B$138,VLOOKUP(N16,$I$153:$J$158,2),VLOOKUP(M16,List!$B$7:$H$41,AC16))))</f>
        <v>7752</v>
      </c>
      <c r="AA16" s="62">
        <f t="shared" si="7"/>
        <v>0.80700000000000005</v>
      </c>
      <c r="AB16" s="62">
        <f t="shared" si="8"/>
        <v>0.40499999999999997</v>
      </c>
      <c r="AC16" s="62">
        <f>VLOOKUP(N16, List!$J$12:$K$17, 2, FALSE)</f>
        <v>7</v>
      </c>
    </row>
    <row r="17" spans="1:29" ht="50.15" customHeight="1" x14ac:dyDescent="0.35">
      <c r="A17" s="1131" t="s">
        <v>1712</v>
      </c>
      <c r="B17" s="1131" t="str">
        <f t="shared" si="0"/>
        <v>Pipe Insulation, Indoor, Process Heating, Low pressure steam, Recirculation - Heating Season only</v>
      </c>
      <c r="C17" s="1214" t="s">
        <v>212</v>
      </c>
      <c r="D17" s="1133" t="s">
        <v>1686</v>
      </c>
      <c r="E17" s="135" t="s">
        <v>403</v>
      </c>
      <c r="F17" s="1179">
        <f t="shared" si="9"/>
        <v>15</v>
      </c>
      <c r="G17" s="1207" t="str">
        <f t="shared" si="1"/>
        <v>1 INCH</v>
      </c>
      <c r="H17" s="1216" t="s">
        <v>1694</v>
      </c>
      <c r="I17" s="1148" t="s">
        <v>1706</v>
      </c>
      <c r="J17" s="1150" t="s">
        <v>1692</v>
      </c>
      <c r="K17" s="1148" t="str">
        <f t="shared" si="2"/>
        <v>NA</v>
      </c>
      <c r="L17" s="1148" t="s">
        <v>1690</v>
      </c>
      <c r="M17" s="1148" t="s">
        <v>399</v>
      </c>
      <c r="N17" s="1148" t="s">
        <v>738</v>
      </c>
      <c r="O17" s="1173">
        <v>1</v>
      </c>
      <c r="P17" s="1179" t="s">
        <v>357</v>
      </c>
      <c r="Q17" s="1217"/>
      <c r="R17" s="1182"/>
      <c r="S17" s="1184"/>
      <c r="T17" s="1183">
        <f t="shared" si="3"/>
        <v>7.4695851301115246</v>
      </c>
      <c r="U17" s="1182"/>
      <c r="V17" s="1182"/>
      <c r="W17" s="1205">
        <f t="shared" si="4"/>
        <v>112.04377695167287</v>
      </c>
      <c r="X17" s="62">
        <f t="shared" si="5"/>
        <v>232</v>
      </c>
      <c r="Y17" s="62">
        <f t="shared" si="6"/>
        <v>40</v>
      </c>
      <c r="Z17" s="62">
        <f>IF(I17=$C$139,$J$151,IF(OR(L17=$B$139,L17=$B$140),8766,IF(L17=$B$138,VLOOKUP(N17,$I$153:$J$158,2),VLOOKUP(M17,List!$B$7:$H$41,AC17))))</f>
        <v>7752</v>
      </c>
      <c r="AA17" s="62">
        <f t="shared" si="7"/>
        <v>0.80700000000000005</v>
      </c>
      <c r="AB17" s="62">
        <f t="shared" si="8"/>
        <v>0.40499999999999997</v>
      </c>
      <c r="AC17" s="62">
        <f>VLOOKUP(N17, List!$J$12:$K$17, 2, FALSE)</f>
        <v>7</v>
      </c>
    </row>
    <row r="18" spans="1:29" ht="50.15" customHeight="1" x14ac:dyDescent="0.35">
      <c r="A18" s="1131" t="s">
        <v>2631</v>
      </c>
      <c r="B18" s="1131" t="s">
        <v>2634</v>
      </c>
      <c r="C18" s="1214" t="s">
        <v>2634</v>
      </c>
      <c r="D18" s="1133" t="s">
        <v>1686</v>
      </c>
      <c r="E18" s="135" t="s">
        <v>403</v>
      </c>
      <c r="F18" s="1179">
        <f t="shared" si="9"/>
        <v>15</v>
      </c>
      <c r="G18" s="1207"/>
      <c r="H18" s="1216" t="s">
        <v>2582</v>
      </c>
      <c r="I18" s="1148" t="s">
        <v>1706</v>
      </c>
      <c r="J18" s="1150"/>
      <c r="K18" s="1148"/>
      <c r="L18" s="1148"/>
      <c r="M18" s="1148" t="s">
        <v>399</v>
      </c>
      <c r="N18" s="1148" t="s">
        <v>738</v>
      </c>
      <c r="O18" s="1173">
        <v>1</v>
      </c>
      <c r="P18" s="1179" t="s">
        <v>357</v>
      </c>
      <c r="Q18" s="1217"/>
      <c r="R18" s="1182"/>
      <c r="S18" s="1184"/>
      <c r="T18" s="1183">
        <f>+AVERAGEIFS(T$3:T$17,$I$3:$I$17,$I18)</f>
        <v>46.861896654275093</v>
      </c>
      <c r="U18" s="1182"/>
      <c r="V18" s="1182"/>
      <c r="W18" s="1205">
        <f t="shared" ref="W18:W20" si="10">T18*F18</f>
        <v>702.92844981412634</v>
      </c>
      <c r="X18" t="s">
        <v>2637</v>
      </c>
    </row>
    <row r="19" spans="1:29" ht="50.15" customHeight="1" x14ac:dyDescent="0.35">
      <c r="A19" s="1131" t="s">
        <v>2632</v>
      </c>
      <c r="B19" s="1131" t="s">
        <v>2635</v>
      </c>
      <c r="C19" s="1214" t="s">
        <v>2635</v>
      </c>
      <c r="D19" s="1133" t="s">
        <v>1686</v>
      </c>
      <c r="E19" s="135" t="s">
        <v>403</v>
      </c>
      <c r="F19" s="1179">
        <f t="shared" si="9"/>
        <v>15</v>
      </c>
      <c r="G19" s="1207"/>
      <c r="H19" s="1216" t="s">
        <v>2582</v>
      </c>
      <c r="I19" s="1148" t="s">
        <v>1688</v>
      </c>
      <c r="J19" s="1150"/>
      <c r="K19" s="1148"/>
      <c r="L19" s="1148"/>
      <c r="M19" s="1148" t="s">
        <v>399</v>
      </c>
      <c r="N19" s="1148" t="s">
        <v>738</v>
      </c>
      <c r="O19" s="1173">
        <v>1</v>
      </c>
      <c r="P19" s="1179" t="s">
        <v>357</v>
      </c>
      <c r="Q19" s="1217"/>
      <c r="R19" s="1182"/>
      <c r="S19" s="1184"/>
      <c r="T19" s="1183">
        <f t="shared" ref="T19:T20" si="11">+AVERAGEIFS(T$3:T$17,$I$3:$I$17,$I19)</f>
        <v>25.343262525333508</v>
      </c>
      <c r="U19" s="1182"/>
      <c r="V19" s="1182"/>
      <c r="W19" s="1205">
        <f t="shared" si="10"/>
        <v>380.14893788000262</v>
      </c>
      <c r="X19" t="s">
        <v>2637</v>
      </c>
    </row>
    <row r="20" spans="1:29" ht="50.15" customHeight="1" x14ac:dyDescent="0.35">
      <c r="A20" s="1131" t="s">
        <v>2633</v>
      </c>
      <c r="B20" s="1131" t="s">
        <v>2636</v>
      </c>
      <c r="C20" s="1214" t="s">
        <v>2636</v>
      </c>
      <c r="D20" s="1133" t="s">
        <v>1686</v>
      </c>
      <c r="E20" s="135" t="s">
        <v>403</v>
      </c>
      <c r="F20" s="1179">
        <f t="shared" si="9"/>
        <v>15</v>
      </c>
      <c r="G20" s="1207"/>
      <c r="H20" s="1216" t="s">
        <v>2582</v>
      </c>
      <c r="I20" s="1148" t="s">
        <v>1699</v>
      </c>
      <c r="J20" s="1150"/>
      <c r="K20" s="1148"/>
      <c r="L20" s="1148"/>
      <c r="M20" s="1148" t="s">
        <v>399</v>
      </c>
      <c r="N20" s="1148" t="s">
        <v>738</v>
      </c>
      <c r="O20" s="1173">
        <v>1</v>
      </c>
      <c r="P20" s="1179" t="s">
        <v>357</v>
      </c>
      <c r="Q20" s="1217"/>
      <c r="R20" s="1182"/>
      <c r="S20" s="1184"/>
      <c r="T20" s="1183">
        <f t="shared" si="11"/>
        <v>2.0533046641791044</v>
      </c>
      <c r="U20" s="1182"/>
      <c r="V20" s="1182"/>
      <c r="W20" s="1205">
        <f t="shared" si="10"/>
        <v>30.799569962686565</v>
      </c>
      <c r="X20" t="s">
        <v>2637</v>
      </c>
    </row>
    <row r="21" spans="1:29" ht="17.25" customHeight="1" x14ac:dyDescent="0.35">
      <c r="A21" s="1137"/>
      <c r="B21" s="1218"/>
      <c r="C21" s="1137"/>
      <c r="D21" s="1137"/>
      <c r="E21" s="1137"/>
      <c r="F21" s="1137"/>
      <c r="G21" s="1137"/>
      <c r="H21" s="1137"/>
      <c r="I21" s="1137"/>
      <c r="J21" s="1137"/>
      <c r="K21" s="1137"/>
      <c r="L21" s="1137"/>
      <c r="M21" s="1137"/>
      <c r="N21" s="1137"/>
      <c r="O21" s="1137"/>
      <c r="P21" s="1137"/>
      <c r="Q21" s="1137"/>
      <c r="R21" s="1137"/>
      <c r="S21" s="1137"/>
      <c r="T21" s="1137"/>
      <c r="U21" s="1137"/>
      <c r="V21" s="1137"/>
      <c r="W21" s="1137"/>
    </row>
    <row r="22" spans="1:29" ht="15" thickBot="1" x14ac:dyDescent="0.4"/>
    <row r="23" spans="1:29" ht="15" thickBot="1" x14ac:dyDescent="0.4">
      <c r="A23" s="763" t="s">
        <v>408</v>
      </c>
      <c r="B23" s="466"/>
    </row>
    <row r="24" spans="1:29" x14ac:dyDescent="0.35">
      <c r="A24" s="467" t="s">
        <v>1713</v>
      </c>
      <c r="B24" s="469"/>
    </row>
    <row r="25" spans="1:29" ht="15" thickBot="1" x14ac:dyDescent="0.4">
      <c r="A25" s="321" t="s">
        <v>1714</v>
      </c>
      <c r="B25" s="203"/>
    </row>
    <row r="26" spans="1:29" ht="15" thickBot="1" x14ac:dyDescent="0.4">
      <c r="A26" s="188" t="s">
        <v>2571</v>
      </c>
      <c r="B26" s="1384" t="e">
        <f>+#REF!</f>
        <v>#REF!</v>
      </c>
    </row>
    <row r="27" spans="1:29" ht="15" thickBot="1" x14ac:dyDescent="0.4">
      <c r="A27" s="188" t="s">
        <v>2572</v>
      </c>
      <c r="B27" s="701" t="s">
        <v>2577</v>
      </c>
    </row>
    <row r="28" spans="1:29" ht="15" thickBot="1" x14ac:dyDescent="0.4"/>
    <row r="29" spans="1:29" ht="15" thickBot="1" x14ac:dyDescent="0.4">
      <c r="A29" s="88" t="s">
        <v>413</v>
      </c>
      <c r="B29" s="89" t="s">
        <v>414</v>
      </c>
      <c r="C29" s="90" t="s">
        <v>415</v>
      </c>
      <c r="D29" s="78"/>
      <c r="E29" s="78"/>
      <c r="F29" s="78"/>
      <c r="G29" s="78"/>
      <c r="H29" s="78"/>
      <c r="I29" s="78"/>
      <c r="J29" s="79"/>
      <c r="K29"/>
      <c r="L29"/>
    </row>
    <row r="30" spans="1:29" x14ac:dyDescent="0.35">
      <c r="A30" s="858" t="s">
        <v>1681</v>
      </c>
      <c r="B30" s="512" t="s">
        <v>1085</v>
      </c>
      <c r="C30" s="104" t="s">
        <v>1715</v>
      </c>
      <c r="D30" s="104"/>
      <c r="E30" s="104"/>
      <c r="F30" s="104"/>
      <c r="G30" s="104"/>
      <c r="H30" s="104"/>
      <c r="I30" s="104"/>
      <c r="J30" s="105"/>
      <c r="K30"/>
      <c r="L30"/>
    </row>
    <row r="31" spans="1:29" ht="15" thickBot="1" x14ac:dyDescent="0.4">
      <c r="A31" s="450"/>
      <c r="B31" s="109"/>
      <c r="C31" s="109" t="s">
        <v>2351</v>
      </c>
      <c r="D31" s="109"/>
      <c r="E31" s="109"/>
      <c r="F31" s="109"/>
      <c r="G31" s="109"/>
      <c r="H31" s="109"/>
      <c r="I31" s="109"/>
      <c r="J31" s="110"/>
      <c r="K31"/>
      <c r="L31"/>
    </row>
    <row r="32" spans="1:29" x14ac:dyDescent="0.35">
      <c r="A32" s="858" t="s">
        <v>1682</v>
      </c>
      <c r="B32" s="512" t="s">
        <v>1085</v>
      </c>
      <c r="C32" s="104" t="s">
        <v>1716</v>
      </c>
      <c r="D32" s="104"/>
      <c r="E32" s="104"/>
      <c r="F32" s="104"/>
      <c r="G32" s="104"/>
      <c r="H32" s="104"/>
      <c r="I32" s="104"/>
      <c r="J32" s="105"/>
      <c r="K32"/>
      <c r="L32"/>
    </row>
    <row r="33" spans="1:12" ht="15" thickBot="1" x14ac:dyDescent="0.4">
      <c r="A33" s="450"/>
      <c r="B33" s="109"/>
      <c r="C33" s="109" t="s">
        <v>2351</v>
      </c>
      <c r="D33" s="109"/>
      <c r="E33" s="109"/>
      <c r="F33" s="109"/>
      <c r="G33" s="109"/>
      <c r="H33" s="109"/>
      <c r="I33" s="109"/>
      <c r="J33" s="110"/>
      <c r="K33"/>
      <c r="L33"/>
    </row>
    <row r="34" spans="1:12" ht="15" customHeight="1" x14ac:dyDescent="0.35">
      <c r="A34" s="118">
        <v>100000</v>
      </c>
      <c r="B34" s="94"/>
      <c r="C34" s="94" t="s">
        <v>1718</v>
      </c>
      <c r="D34" s="94"/>
      <c r="E34" s="94"/>
      <c r="F34" s="94"/>
      <c r="G34" s="94"/>
      <c r="H34" s="94"/>
      <c r="I34" s="94"/>
      <c r="J34" s="95"/>
      <c r="K34"/>
      <c r="L34"/>
    </row>
    <row r="35" spans="1:12" ht="15" thickBot="1" x14ac:dyDescent="0.4">
      <c r="A35" s="111"/>
      <c r="B35" s="99"/>
      <c r="C35" s="99" t="s">
        <v>1237</v>
      </c>
      <c r="D35" s="99"/>
      <c r="E35" s="99"/>
      <c r="F35" s="99"/>
      <c r="G35" s="99"/>
      <c r="H35" s="99"/>
      <c r="I35" s="859"/>
      <c r="J35" s="100"/>
      <c r="K35"/>
      <c r="L35"/>
    </row>
    <row r="36" spans="1:12" x14ac:dyDescent="0.35">
      <c r="A36" s="118" t="s">
        <v>1461</v>
      </c>
      <c r="B36" s="481" t="s">
        <v>1719</v>
      </c>
      <c r="C36" s="94" t="s">
        <v>1720</v>
      </c>
      <c r="D36" s="94"/>
      <c r="E36" s="860"/>
      <c r="F36" s="860"/>
      <c r="G36" s="860"/>
      <c r="H36" s="94"/>
      <c r="I36" s="861"/>
      <c r="J36" s="95"/>
      <c r="K36"/>
      <c r="L36"/>
    </row>
    <row r="37" spans="1:12" x14ac:dyDescent="0.35">
      <c r="A37" s="311"/>
      <c r="B37" s="67"/>
      <c r="C37" s="67" t="s">
        <v>1721</v>
      </c>
      <c r="D37" s="67"/>
      <c r="E37" s="862"/>
      <c r="F37" s="862"/>
      <c r="G37" s="862"/>
      <c r="H37" s="67"/>
      <c r="I37" s="863"/>
      <c r="J37" s="310"/>
      <c r="K37"/>
      <c r="L37"/>
    </row>
    <row r="38" spans="1:12" ht="15" thickBot="1" x14ac:dyDescent="0.4">
      <c r="A38" s="111"/>
      <c r="B38" s="99"/>
      <c r="C38" s="99" t="s">
        <v>1722</v>
      </c>
      <c r="D38" s="99"/>
      <c r="E38" s="864"/>
      <c r="F38" s="864"/>
      <c r="G38" s="864"/>
      <c r="H38" s="99"/>
      <c r="I38" s="865"/>
      <c r="J38" s="100"/>
      <c r="K38"/>
      <c r="L38"/>
    </row>
    <row r="39" spans="1:12" x14ac:dyDescent="0.35">
      <c r="A39" s="118" t="s">
        <v>1683</v>
      </c>
      <c r="B39" s="481" t="s">
        <v>1085</v>
      </c>
      <c r="C39" s="94" t="s">
        <v>1723</v>
      </c>
      <c r="D39" s="94"/>
      <c r="E39" s="866"/>
      <c r="F39" s="867"/>
      <c r="G39" s="866"/>
      <c r="H39" s="94"/>
      <c r="I39" s="868"/>
      <c r="J39" s="95"/>
      <c r="K39"/>
      <c r="L39"/>
    </row>
    <row r="40" spans="1:12" x14ac:dyDescent="0.35">
      <c r="A40" s="311"/>
      <c r="B40" s="67"/>
      <c r="C40" s="67" t="s">
        <v>1724</v>
      </c>
      <c r="D40" s="67"/>
      <c r="E40" s="67"/>
      <c r="F40" s="67"/>
      <c r="G40" s="869"/>
      <c r="H40" s="67"/>
      <c r="I40" s="67"/>
      <c r="J40" s="310"/>
      <c r="K40"/>
      <c r="L40"/>
    </row>
    <row r="41" spans="1:12" x14ac:dyDescent="0.35">
      <c r="A41" s="311"/>
      <c r="B41" s="67"/>
      <c r="C41" s="67" t="s">
        <v>1725</v>
      </c>
      <c r="D41" s="67"/>
      <c r="E41" s="67"/>
      <c r="F41" s="67"/>
      <c r="G41" s="869"/>
      <c r="H41" s="67"/>
      <c r="I41" s="67"/>
      <c r="J41" s="310"/>
      <c r="K41"/>
      <c r="L41"/>
    </row>
    <row r="42" spans="1:12" x14ac:dyDescent="0.35">
      <c r="A42" s="311"/>
      <c r="B42" s="67"/>
      <c r="C42" s="67" t="s">
        <v>1726</v>
      </c>
      <c r="D42" s="67"/>
      <c r="E42" s="67"/>
      <c r="F42" s="67"/>
      <c r="G42" s="67"/>
      <c r="H42" s="67"/>
      <c r="I42" s="67"/>
      <c r="J42" s="310"/>
      <c r="K42"/>
      <c r="L42"/>
    </row>
    <row r="43" spans="1:12" x14ac:dyDescent="0.35">
      <c r="A43" s="311"/>
      <c r="B43" s="67"/>
      <c r="C43" s="67" t="s">
        <v>1727</v>
      </c>
      <c r="D43" s="67"/>
      <c r="E43" s="67"/>
      <c r="F43" s="67"/>
      <c r="G43" s="67"/>
      <c r="H43" s="67"/>
      <c r="I43" s="67"/>
      <c r="J43" s="310"/>
      <c r="K43"/>
      <c r="L43"/>
    </row>
    <row r="44" spans="1:12" ht="15" thickBot="1" x14ac:dyDescent="0.4">
      <c r="A44" s="111"/>
      <c r="B44" s="99"/>
      <c r="C44" s="109" t="s">
        <v>1728</v>
      </c>
      <c r="D44" s="109"/>
      <c r="E44" s="109"/>
      <c r="F44" s="109"/>
      <c r="G44" s="109"/>
      <c r="H44" s="109"/>
      <c r="I44" s="109"/>
      <c r="J44" s="110"/>
      <c r="K44"/>
      <c r="L44"/>
    </row>
    <row r="45" spans="1:12" x14ac:dyDescent="0.35">
      <c r="A45" s="118" t="s">
        <v>1684</v>
      </c>
      <c r="B45" s="481" t="s">
        <v>1085</v>
      </c>
      <c r="C45" s="94" t="s">
        <v>1729</v>
      </c>
      <c r="D45" s="94"/>
      <c r="E45" s="94"/>
      <c r="F45" s="94"/>
      <c r="G45" s="94"/>
      <c r="H45" s="94"/>
      <c r="I45" s="94"/>
      <c r="J45" s="95"/>
      <c r="K45"/>
      <c r="L45"/>
    </row>
    <row r="46" spans="1:12" x14ac:dyDescent="0.35">
      <c r="A46" s="311"/>
      <c r="B46" s="67"/>
      <c r="C46" s="67" t="s">
        <v>2353</v>
      </c>
      <c r="D46" s="67"/>
      <c r="E46" s="869"/>
      <c r="F46" s="67"/>
      <c r="G46" s="67"/>
      <c r="H46" s="67"/>
      <c r="I46" s="67"/>
      <c r="J46" s="310"/>
      <c r="K46"/>
      <c r="L46"/>
    </row>
    <row r="47" spans="1:12" ht="33.75" customHeight="1" x14ac:dyDescent="0.35">
      <c r="A47" s="311"/>
      <c r="B47" s="870"/>
      <c r="C47" s="2334" t="s">
        <v>1730</v>
      </c>
      <c r="D47" s="2334"/>
      <c r="E47" s="2334"/>
      <c r="F47" s="2334"/>
      <c r="G47" s="2334"/>
      <c r="H47" s="2334"/>
      <c r="I47" s="2334"/>
      <c r="J47" s="310"/>
      <c r="K47"/>
      <c r="L47"/>
    </row>
    <row r="48" spans="1:12" x14ac:dyDescent="0.35">
      <c r="A48" s="311"/>
      <c r="B48" s="67"/>
      <c r="C48" s="871" t="s">
        <v>1717</v>
      </c>
      <c r="D48" s="871"/>
      <c r="E48" s="872"/>
      <c r="F48" s="871"/>
      <c r="G48" s="67"/>
      <c r="H48" s="67"/>
      <c r="I48" s="67"/>
      <c r="J48" s="310"/>
      <c r="K48"/>
      <c r="L48"/>
    </row>
    <row r="49" spans="1:20" ht="15" thickBot="1" x14ac:dyDescent="0.4">
      <c r="A49" s="111"/>
      <c r="B49" s="873"/>
      <c r="C49" s="874" t="s">
        <v>2352</v>
      </c>
      <c r="D49" s="874"/>
      <c r="E49" s="874"/>
      <c r="F49" s="875"/>
      <c r="G49" s="874"/>
      <c r="H49" s="99"/>
      <c r="I49" s="99"/>
      <c r="J49" s="100"/>
      <c r="K49"/>
      <c r="L49"/>
    </row>
    <row r="50" spans="1:20" x14ac:dyDescent="0.35">
      <c r="A50" s="118" t="s">
        <v>443</v>
      </c>
      <c r="B50" s="446">
        <v>15</v>
      </c>
      <c r="C50" s="876" t="s">
        <v>1731</v>
      </c>
      <c r="D50" s="876"/>
      <c r="E50" s="876"/>
      <c r="F50" s="877"/>
      <c r="G50" s="876"/>
      <c r="H50" s="94"/>
      <c r="I50" s="94"/>
      <c r="J50" s="95"/>
      <c r="K50"/>
      <c r="L50"/>
    </row>
    <row r="51" spans="1:20" ht="15" thickBot="1" x14ac:dyDescent="0.4">
      <c r="A51" s="111"/>
      <c r="B51" s="873"/>
      <c r="C51" s="878" t="s">
        <v>1732</v>
      </c>
      <c r="D51" s="874"/>
      <c r="E51" s="874"/>
      <c r="F51" s="875"/>
      <c r="G51" s="874"/>
      <c r="H51" s="99"/>
      <c r="I51" s="99"/>
      <c r="J51" s="100"/>
      <c r="K51"/>
      <c r="L51"/>
    </row>
    <row r="52" spans="1:20" x14ac:dyDescent="0.35">
      <c r="A52" s="118" t="s">
        <v>344</v>
      </c>
      <c r="B52" s="481"/>
      <c r="C52" s="876"/>
      <c r="D52" s="876"/>
      <c r="E52" s="876"/>
      <c r="F52" s="877"/>
      <c r="G52" s="876"/>
      <c r="H52" s="94"/>
      <c r="I52" s="94"/>
      <c r="J52" s="95"/>
      <c r="K52"/>
      <c r="L52"/>
    </row>
    <row r="53" spans="1:20" ht="15" thickBot="1" x14ac:dyDescent="0.4">
      <c r="A53" s="111"/>
      <c r="B53" s="873"/>
      <c r="C53" s="874"/>
      <c r="D53" s="874"/>
      <c r="E53" s="874"/>
      <c r="F53" s="875"/>
      <c r="G53" s="874"/>
      <c r="H53" s="99"/>
      <c r="I53" s="99"/>
      <c r="J53" s="100"/>
      <c r="K53"/>
      <c r="L53"/>
    </row>
    <row r="54" spans="1:20" x14ac:dyDescent="0.35">
      <c r="A54" s="67"/>
      <c r="B54" s="879"/>
      <c r="C54" s="871"/>
      <c r="D54" s="871"/>
      <c r="E54" s="871"/>
      <c r="F54" s="872"/>
      <c r="G54" s="871"/>
      <c r="H54" s="67"/>
      <c r="I54" s="67"/>
      <c r="J54" s="67"/>
    </row>
    <row r="55" spans="1:20" x14ac:dyDescent="0.35">
      <c r="A55" s="67"/>
      <c r="B55" s="879"/>
      <c r="C55" s="871"/>
      <c r="D55" s="871"/>
      <c r="E55" s="871"/>
      <c r="F55" s="872"/>
      <c r="G55" s="871"/>
      <c r="H55" s="67"/>
      <c r="I55" s="67"/>
      <c r="J55" s="67"/>
    </row>
    <row r="56" spans="1:20" x14ac:dyDescent="0.35">
      <c r="A56" s="67"/>
      <c r="B56" s="879"/>
      <c r="C56" s="871"/>
      <c r="D56" s="871"/>
      <c r="E56" s="871"/>
      <c r="F56" s="872"/>
      <c r="G56" s="871"/>
      <c r="H56" s="67"/>
      <c r="I56" s="67"/>
      <c r="J56" s="67"/>
    </row>
    <row r="57" spans="1:20" x14ac:dyDescent="0.35">
      <c r="A57" s="67"/>
      <c r="B57" s="879"/>
      <c r="C57" s="871"/>
      <c r="D57" s="871"/>
      <c r="E57" s="871"/>
      <c r="F57" s="872"/>
      <c r="G57" s="871"/>
      <c r="H57" s="67"/>
      <c r="I57" s="67"/>
      <c r="J57" s="67"/>
    </row>
    <row r="58" spans="1:20" ht="15" thickBot="1" x14ac:dyDescent="0.4">
      <c r="A58" s="67"/>
      <c r="B58" s="879"/>
      <c r="C58" s="871"/>
      <c r="D58" s="871"/>
      <c r="E58" s="871"/>
      <c r="F58" s="872"/>
      <c r="G58" s="871"/>
      <c r="H58" s="67"/>
      <c r="I58" s="67"/>
      <c r="J58" s="67"/>
    </row>
    <row r="59" spans="1:20" ht="15" thickBot="1" x14ac:dyDescent="0.4">
      <c r="A59" s="122" t="s">
        <v>539</v>
      </c>
      <c r="B59" s="78"/>
      <c r="C59" s="880"/>
      <c r="D59" s="880"/>
      <c r="E59" s="880"/>
      <c r="F59" s="881"/>
      <c r="G59" s="880"/>
      <c r="H59" s="78"/>
      <c r="I59" s="78"/>
      <c r="J59" s="78"/>
      <c r="K59" s="78"/>
      <c r="L59" s="78"/>
      <c r="M59" s="78"/>
      <c r="N59" s="78"/>
      <c r="O59" s="78"/>
      <c r="P59" s="78"/>
      <c r="Q59" s="78"/>
      <c r="R59" s="78"/>
      <c r="S59" s="78"/>
      <c r="T59" s="79"/>
    </row>
    <row r="60" spans="1:20" x14ac:dyDescent="0.35">
      <c r="A60" s="124"/>
      <c r="B60" s="2335" t="s">
        <v>1733</v>
      </c>
      <c r="C60" s="2335"/>
      <c r="D60" s="2335"/>
      <c r="E60" s="2335"/>
      <c r="F60" s="2335"/>
      <c r="G60" s="2335"/>
      <c r="H60" s="2335"/>
      <c r="I60" s="2335"/>
      <c r="J60" s="2335"/>
      <c r="K60" s="2335"/>
      <c r="L60" s="2335"/>
      <c r="M60" s="2335"/>
      <c r="N60" s="2335"/>
      <c r="O60" s="882"/>
      <c r="P60" s="83"/>
      <c r="Q60" s="83"/>
      <c r="R60" s="83"/>
      <c r="S60" s="83"/>
      <c r="T60" s="125"/>
    </row>
    <row r="61" spans="1:20" x14ac:dyDescent="0.35">
      <c r="A61" s="124"/>
      <c r="B61" s="883"/>
      <c r="C61" s="2318" t="s">
        <v>1694</v>
      </c>
      <c r="D61" s="2319"/>
      <c r="E61" s="2319"/>
      <c r="F61" s="2319"/>
      <c r="G61" s="2319"/>
      <c r="H61" s="2320"/>
      <c r="I61" s="2336" t="s">
        <v>1687</v>
      </c>
      <c r="J61" s="2337"/>
      <c r="K61" s="2337"/>
      <c r="L61" s="2337"/>
      <c r="M61" s="2337"/>
      <c r="N61" s="2337"/>
      <c r="O61" s="884"/>
      <c r="P61" s="2312" t="s">
        <v>1734</v>
      </c>
      <c r="Q61" s="2312"/>
      <c r="R61" s="2312"/>
      <c r="S61" s="83"/>
      <c r="T61" s="125"/>
    </row>
    <row r="62" spans="1:20" ht="43.5" x14ac:dyDescent="0.35">
      <c r="A62" s="124"/>
      <c r="B62" s="885"/>
      <c r="C62" s="2318" t="s">
        <v>1697</v>
      </c>
      <c r="D62" s="2319"/>
      <c r="E62" s="2320"/>
      <c r="F62" s="886" t="s">
        <v>1692</v>
      </c>
      <c r="G62" s="887" t="s">
        <v>1703</v>
      </c>
      <c r="H62" s="888" t="s">
        <v>1689</v>
      </c>
      <c r="I62" s="889" t="s">
        <v>1697</v>
      </c>
      <c r="J62" s="890"/>
      <c r="K62" s="891"/>
      <c r="L62" s="886" t="s">
        <v>1692</v>
      </c>
      <c r="M62" s="887" t="s">
        <v>1703</v>
      </c>
      <c r="N62" s="888" t="s">
        <v>1689</v>
      </c>
      <c r="O62" s="892"/>
      <c r="P62" s="893"/>
      <c r="Q62" s="131" t="str">
        <f>C61&amp;C62&amp;C63</f>
        <v>IndoorHot waterWith outdoor reset</v>
      </c>
      <c r="R62" s="894">
        <v>2</v>
      </c>
      <c r="S62" s="83"/>
      <c r="T62" s="125"/>
    </row>
    <row r="63" spans="1:20" x14ac:dyDescent="0.35">
      <c r="A63" s="124"/>
      <c r="B63" s="895"/>
      <c r="C63" s="886" t="s">
        <v>1735</v>
      </c>
      <c r="D63" s="886" t="s">
        <v>1736</v>
      </c>
      <c r="E63" s="888" t="s">
        <v>1737</v>
      </c>
      <c r="F63" s="886" t="s">
        <v>1738</v>
      </c>
      <c r="G63" s="886" t="s">
        <v>1738</v>
      </c>
      <c r="H63" s="886" t="s">
        <v>1738</v>
      </c>
      <c r="I63" s="886" t="s">
        <v>1735</v>
      </c>
      <c r="J63" s="886" t="s">
        <v>1736</v>
      </c>
      <c r="K63" s="888" t="s">
        <v>1737</v>
      </c>
      <c r="L63" s="886" t="s">
        <v>1738</v>
      </c>
      <c r="M63" s="886" t="s">
        <v>1738</v>
      </c>
      <c r="N63" s="886" t="s">
        <v>1738</v>
      </c>
      <c r="O63" s="896"/>
      <c r="P63" s="897"/>
      <c r="Q63" s="131" t="str">
        <f>C61&amp;C62&amp;D63</f>
        <v>IndoorHot waterAverage reset</v>
      </c>
      <c r="R63" s="894">
        <v>3</v>
      </c>
      <c r="S63" s="83"/>
      <c r="T63" s="125"/>
    </row>
    <row r="64" spans="1:20" ht="27" customHeight="1" x14ac:dyDescent="0.35">
      <c r="A64" s="124"/>
      <c r="B64" s="898" t="s">
        <v>1739</v>
      </c>
      <c r="C64" s="899">
        <v>78</v>
      </c>
      <c r="D64" s="899">
        <f>AVERAGE(C64,E64)</f>
        <v>96</v>
      </c>
      <c r="E64" s="899">
        <v>114</v>
      </c>
      <c r="F64" s="899">
        <v>232</v>
      </c>
      <c r="G64" s="899">
        <f>AVERAGE(F64,H64)</f>
        <v>332</v>
      </c>
      <c r="H64" s="899">
        <v>432</v>
      </c>
      <c r="I64" s="897">
        <v>363</v>
      </c>
      <c r="J64" s="899">
        <f>AVERAGE(I64,K64)</f>
        <v>411.5</v>
      </c>
      <c r="K64" s="897">
        <v>460</v>
      </c>
      <c r="L64" s="897">
        <v>710</v>
      </c>
      <c r="M64" s="899">
        <f>AVERAGE(L64,N64)</f>
        <v>905.5</v>
      </c>
      <c r="N64" s="897">
        <v>1101</v>
      </c>
      <c r="O64" s="896"/>
      <c r="P64" s="897"/>
      <c r="Q64" s="131" t="str">
        <f>C61&amp;C62&amp;E63</f>
        <v>IndoorHot waterWithout outdoor reset</v>
      </c>
      <c r="R64" s="894">
        <v>4</v>
      </c>
      <c r="S64" s="83"/>
      <c r="T64" s="125"/>
    </row>
    <row r="65" spans="1:20" ht="33" customHeight="1" x14ac:dyDescent="0.35">
      <c r="A65" s="124"/>
      <c r="B65" s="898" t="s">
        <v>1690</v>
      </c>
      <c r="C65" s="899">
        <v>78</v>
      </c>
      <c r="D65" s="899">
        <f t="shared" ref="D65:D67" si="12">AVERAGE(C65,E65)</f>
        <v>96</v>
      </c>
      <c r="E65" s="899">
        <v>114</v>
      </c>
      <c r="F65" s="900">
        <v>232</v>
      </c>
      <c r="G65" s="899">
        <f t="shared" ref="G65:G66" si="13">AVERAGE(F65,H65)</f>
        <v>332</v>
      </c>
      <c r="H65" s="900">
        <v>432</v>
      </c>
      <c r="I65" s="897">
        <v>363</v>
      </c>
      <c r="J65" s="899">
        <f t="shared" ref="J65:J66" si="14">AVERAGE(I65,K65)</f>
        <v>411.5</v>
      </c>
      <c r="K65" s="897">
        <v>460</v>
      </c>
      <c r="L65" s="897">
        <v>710</v>
      </c>
      <c r="M65" s="899">
        <f t="shared" ref="M65:M66" si="15">AVERAGE(L65,N65)</f>
        <v>905.5</v>
      </c>
      <c r="N65" s="897">
        <v>1101</v>
      </c>
      <c r="O65" s="896"/>
      <c r="P65" s="897"/>
      <c r="Q65" s="131" t="str">
        <f>C61&amp;F62&amp;F63</f>
        <v>IndoorLow pressure steamNA</v>
      </c>
      <c r="R65" s="894">
        <v>5</v>
      </c>
      <c r="S65" s="83"/>
      <c r="T65" s="125"/>
    </row>
    <row r="66" spans="1:20" x14ac:dyDescent="0.35">
      <c r="A66" s="124"/>
      <c r="B66" s="899" t="s">
        <v>1710</v>
      </c>
      <c r="C66" s="899">
        <v>58</v>
      </c>
      <c r="D66" s="899">
        <f t="shared" si="12"/>
        <v>86</v>
      </c>
      <c r="E66" s="899">
        <v>114</v>
      </c>
      <c r="F66" s="900">
        <v>232</v>
      </c>
      <c r="G66" s="899">
        <f t="shared" si="13"/>
        <v>332</v>
      </c>
      <c r="H66" s="900">
        <v>432</v>
      </c>
      <c r="I66" s="897">
        <v>306</v>
      </c>
      <c r="J66" s="899">
        <f t="shared" si="14"/>
        <v>383</v>
      </c>
      <c r="K66" s="897">
        <v>460</v>
      </c>
      <c r="L66" s="897">
        <v>710</v>
      </c>
      <c r="M66" s="899">
        <f t="shared" si="15"/>
        <v>905.5</v>
      </c>
      <c r="N66" s="897">
        <v>1101</v>
      </c>
      <c r="O66" s="83"/>
      <c r="P66" s="62"/>
      <c r="Q66" s="131" t="str">
        <f>C61&amp;G62&amp;G63</f>
        <v>IndoorMedium pressure steamNA</v>
      </c>
      <c r="R66" s="894">
        <v>6</v>
      </c>
      <c r="S66" s="83"/>
      <c r="T66" s="125"/>
    </row>
    <row r="67" spans="1:20" x14ac:dyDescent="0.35">
      <c r="A67" s="124"/>
      <c r="B67" s="899" t="s">
        <v>1700</v>
      </c>
      <c r="C67" s="899">
        <v>52</v>
      </c>
      <c r="D67" s="899">
        <f t="shared" si="12"/>
        <v>52</v>
      </c>
      <c r="E67" s="899">
        <v>52</v>
      </c>
      <c r="F67" s="897" t="s">
        <v>1740</v>
      </c>
      <c r="G67" s="897" t="s">
        <v>1740</v>
      </c>
      <c r="H67" s="897" t="s">
        <v>1740</v>
      </c>
      <c r="I67" s="897" t="s">
        <v>1740</v>
      </c>
      <c r="J67" s="897" t="s">
        <v>1740</v>
      </c>
      <c r="K67" s="897" t="s">
        <v>1740</v>
      </c>
      <c r="L67" s="897" t="s">
        <v>1740</v>
      </c>
      <c r="M67" s="897" t="s">
        <v>1740</v>
      </c>
      <c r="N67" s="897" t="s">
        <v>1740</v>
      </c>
      <c r="O67" s="83"/>
      <c r="P67" s="62"/>
      <c r="Q67" s="131" t="str">
        <f>C61&amp;H62&amp;H63</f>
        <v>IndoorHigh pressure steamNA</v>
      </c>
      <c r="R67" s="894">
        <v>7</v>
      </c>
      <c r="S67" s="83"/>
      <c r="T67" s="125"/>
    </row>
    <row r="68" spans="1:20" ht="15" thickBot="1" x14ac:dyDescent="0.4">
      <c r="A68" s="124"/>
      <c r="B68" s="83"/>
      <c r="C68" s="83"/>
      <c r="D68" s="83"/>
      <c r="E68" s="901"/>
      <c r="F68" s="901"/>
      <c r="G68" s="901"/>
      <c r="H68" s="902"/>
      <c r="I68" s="902"/>
      <c r="J68" s="902"/>
      <c r="K68" s="83"/>
      <c r="L68" s="83"/>
      <c r="M68" s="83"/>
      <c r="N68" s="83"/>
      <c r="O68" s="83"/>
      <c r="P68" s="62"/>
      <c r="Q68" s="131" t="str">
        <f>I61&amp;I62&amp;I63</f>
        <v>OutdoorHot waterWith outdoor reset</v>
      </c>
      <c r="R68" s="894">
        <v>8</v>
      </c>
      <c r="S68" s="83"/>
      <c r="T68" s="125"/>
    </row>
    <row r="69" spans="1:20" x14ac:dyDescent="0.35">
      <c r="A69" s="124"/>
      <c r="B69" s="2335" t="s">
        <v>1741</v>
      </c>
      <c r="C69" s="2335"/>
      <c r="D69" s="2335"/>
      <c r="E69" s="2335"/>
      <c r="F69" s="2335"/>
      <c r="G69" s="2335"/>
      <c r="H69" s="2335"/>
      <c r="I69" s="2335"/>
      <c r="J69" s="2335"/>
      <c r="K69" s="2335"/>
      <c r="L69" s="2335"/>
      <c r="M69" s="2335"/>
      <c r="N69" s="2335"/>
      <c r="O69" s="884"/>
      <c r="P69" s="903"/>
      <c r="Q69" s="131" t="str">
        <f>I61&amp;I62&amp;J63</f>
        <v>OutdoorHot waterAverage reset</v>
      </c>
      <c r="R69" s="894">
        <v>9</v>
      </c>
      <c r="S69" s="83"/>
      <c r="T69" s="125"/>
    </row>
    <row r="70" spans="1:20" x14ac:dyDescent="0.35">
      <c r="A70" s="124"/>
      <c r="B70" s="883"/>
      <c r="C70" s="2336" t="s">
        <v>1694</v>
      </c>
      <c r="D70" s="2337"/>
      <c r="E70" s="2337"/>
      <c r="F70" s="2337"/>
      <c r="G70" s="2337"/>
      <c r="H70" s="2338"/>
      <c r="I70" s="2336" t="s">
        <v>1687</v>
      </c>
      <c r="J70" s="2337"/>
      <c r="K70" s="2337"/>
      <c r="L70" s="2337"/>
      <c r="M70" s="2337"/>
      <c r="N70" s="2337"/>
      <c r="O70" s="892"/>
      <c r="P70" s="893"/>
      <c r="Q70" s="131" t="str">
        <f>I61&amp;I62&amp;K63</f>
        <v>OutdoorHot waterWithout outdoor reset</v>
      </c>
      <c r="R70" s="894">
        <v>10</v>
      </c>
      <c r="S70" s="83"/>
      <c r="T70" s="125"/>
    </row>
    <row r="71" spans="1:20" ht="43.5" x14ac:dyDescent="0.35">
      <c r="A71" s="124"/>
      <c r="B71" s="885"/>
      <c r="C71" s="2318" t="s">
        <v>1697</v>
      </c>
      <c r="D71" s="2319"/>
      <c r="E71" s="2320"/>
      <c r="F71" s="886" t="s">
        <v>1692</v>
      </c>
      <c r="G71" s="887" t="s">
        <v>1703</v>
      </c>
      <c r="H71" s="888" t="s">
        <v>1689</v>
      </c>
      <c r="I71" s="889" t="s">
        <v>1697</v>
      </c>
      <c r="J71" s="890"/>
      <c r="K71" s="891"/>
      <c r="L71" s="886" t="s">
        <v>1692</v>
      </c>
      <c r="M71" s="887" t="s">
        <v>1703</v>
      </c>
      <c r="N71" s="888" t="s">
        <v>1689</v>
      </c>
      <c r="O71" s="896"/>
      <c r="P71" s="897"/>
      <c r="Q71" s="131" t="str">
        <f>I61&amp;L62&amp;L63</f>
        <v>OutdoorLow pressure steamNA</v>
      </c>
      <c r="R71" s="894">
        <v>11</v>
      </c>
      <c r="S71" s="83"/>
      <c r="T71" s="125"/>
    </row>
    <row r="72" spans="1:20" x14ac:dyDescent="0.35">
      <c r="A72" s="124"/>
      <c r="B72" s="895"/>
      <c r="C72" s="886" t="s">
        <v>1735</v>
      </c>
      <c r="D72" s="886" t="s">
        <v>1736</v>
      </c>
      <c r="E72" s="888" t="s">
        <v>1737</v>
      </c>
      <c r="F72" s="904" t="s">
        <v>1738</v>
      </c>
      <c r="G72" s="904"/>
      <c r="H72" s="905" t="s">
        <v>1738</v>
      </c>
      <c r="I72" s="886" t="s">
        <v>1735</v>
      </c>
      <c r="J72" s="886" t="s">
        <v>1736</v>
      </c>
      <c r="K72" s="888" t="s">
        <v>1737</v>
      </c>
      <c r="L72" s="904" t="s">
        <v>1738</v>
      </c>
      <c r="M72" s="904"/>
      <c r="N72" s="905" t="s">
        <v>1738</v>
      </c>
      <c r="O72" s="896"/>
      <c r="P72" s="897"/>
      <c r="Q72" s="131" t="str">
        <f>I61&amp;M62&amp;M63</f>
        <v>OutdoorMedium pressure steamNA</v>
      </c>
      <c r="R72" s="894">
        <v>12</v>
      </c>
      <c r="S72" s="83"/>
      <c r="T72" s="125"/>
    </row>
    <row r="73" spans="1:20" x14ac:dyDescent="0.35">
      <c r="A73" s="124"/>
      <c r="B73" s="898" t="s">
        <v>1739</v>
      </c>
      <c r="C73" s="899">
        <v>17</v>
      </c>
      <c r="D73" s="899">
        <f>AVERAGE(C73,E73)</f>
        <v>20.5</v>
      </c>
      <c r="E73" s="899">
        <v>24</v>
      </c>
      <c r="F73" s="899">
        <v>40</v>
      </c>
      <c r="G73" s="899">
        <f>AVERAGE(F73,H73)</f>
        <v>55</v>
      </c>
      <c r="H73" s="899">
        <v>70</v>
      </c>
      <c r="I73" s="897">
        <v>16</v>
      </c>
      <c r="J73" s="899">
        <f>AVERAGE(I73,K73)</f>
        <v>18.5</v>
      </c>
      <c r="K73" s="897">
        <v>21</v>
      </c>
      <c r="L73" s="897">
        <v>32</v>
      </c>
      <c r="M73" s="899">
        <f>AVERAGE(L73,N73)</f>
        <v>42</v>
      </c>
      <c r="N73" s="897">
        <v>52</v>
      </c>
      <c r="O73" s="896"/>
      <c r="P73" s="897"/>
      <c r="Q73" s="462" t="str">
        <f>I61&amp;N62&amp;N63</f>
        <v>OutdoorHigh pressure steamNA</v>
      </c>
      <c r="R73" s="894">
        <v>13</v>
      </c>
      <c r="S73" s="83"/>
      <c r="T73" s="125"/>
    </row>
    <row r="74" spans="1:20" x14ac:dyDescent="0.35">
      <c r="A74" s="124"/>
      <c r="B74" s="898" t="s">
        <v>1690</v>
      </c>
      <c r="C74" s="899">
        <v>17</v>
      </c>
      <c r="D74" s="899">
        <f t="shared" ref="D74:D76" si="16">AVERAGE(C74,E74)</f>
        <v>20.5</v>
      </c>
      <c r="E74" s="899">
        <v>24</v>
      </c>
      <c r="F74" s="900">
        <v>40</v>
      </c>
      <c r="G74" s="899">
        <f t="shared" ref="G74:G75" si="17">AVERAGE(F74,H74)</f>
        <v>55</v>
      </c>
      <c r="H74" s="900">
        <v>70</v>
      </c>
      <c r="I74" s="897">
        <v>16</v>
      </c>
      <c r="J74" s="899">
        <f t="shared" ref="J74:J75" si="18">AVERAGE(I74,K74)</f>
        <v>18.5</v>
      </c>
      <c r="K74" s="897">
        <v>21</v>
      </c>
      <c r="L74" s="897">
        <v>32</v>
      </c>
      <c r="M74" s="899">
        <f t="shared" ref="M74:M75" si="19">AVERAGE(L74,N74)</f>
        <v>42</v>
      </c>
      <c r="N74" s="897">
        <v>52</v>
      </c>
      <c r="O74" s="83"/>
      <c r="P74" s="83"/>
      <c r="Q74" s="83"/>
      <c r="R74" s="83"/>
      <c r="S74" s="83"/>
      <c r="T74" s="125"/>
    </row>
    <row r="75" spans="1:20" x14ac:dyDescent="0.35">
      <c r="A75" s="124"/>
      <c r="B75" s="899" t="s">
        <v>1710</v>
      </c>
      <c r="C75" s="899">
        <v>13</v>
      </c>
      <c r="D75" s="899">
        <f t="shared" si="16"/>
        <v>18.5</v>
      </c>
      <c r="E75" s="899">
        <v>24</v>
      </c>
      <c r="F75" s="900">
        <v>40</v>
      </c>
      <c r="G75" s="899">
        <f t="shared" si="17"/>
        <v>55</v>
      </c>
      <c r="H75" s="900">
        <v>70</v>
      </c>
      <c r="I75" s="897">
        <v>13</v>
      </c>
      <c r="J75" s="899">
        <f t="shared" si="18"/>
        <v>17</v>
      </c>
      <c r="K75" s="897">
        <v>21</v>
      </c>
      <c r="L75" s="897">
        <v>32</v>
      </c>
      <c r="M75" s="899">
        <f t="shared" si="19"/>
        <v>42</v>
      </c>
      <c r="N75" s="897">
        <v>52</v>
      </c>
      <c r="O75" s="83"/>
      <c r="P75" s="83"/>
      <c r="Q75" s="83"/>
      <c r="R75" s="83"/>
      <c r="S75" s="83"/>
      <c r="T75" s="125"/>
    </row>
    <row r="76" spans="1:20" x14ac:dyDescent="0.35">
      <c r="A76" s="124"/>
      <c r="B76" s="899" t="s">
        <v>1700</v>
      </c>
      <c r="C76" s="899">
        <v>13.25</v>
      </c>
      <c r="D76" s="899">
        <f t="shared" si="16"/>
        <v>13.25</v>
      </c>
      <c r="E76" s="899">
        <v>13.25</v>
      </c>
      <c r="F76" s="899" t="s">
        <v>1740</v>
      </c>
      <c r="G76" s="899" t="s">
        <v>1740</v>
      </c>
      <c r="H76" s="899" t="s">
        <v>1740</v>
      </c>
      <c r="I76" s="899" t="s">
        <v>1740</v>
      </c>
      <c r="J76" s="899" t="s">
        <v>1740</v>
      </c>
      <c r="K76" s="899" t="s">
        <v>1740</v>
      </c>
      <c r="L76" s="899" t="s">
        <v>1740</v>
      </c>
      <c r="M76" s="899" t="s">
        <v>1740</v>
      </c>
      <c r="N76" s="899" t="s">
        <v>1740</v>
      </c>
      <c r="O76" s="83"/>
      <c r="P76" s="83"/>
      <c r="Q76" s="83"/>
      <c r="R76" s="83"/>
      <c r="S76" s="83"/>
      <c r="T76" s="125"/>
    </row>
    <row r="77" spans="1:20" x14ac:dyDescent="0.35">
      <c r="A77" s="124"/>
      <c r="B77" s="83"/>
      <c r="C77" s="83"/>
      <c r="D77" s="83"/>
      <c r="E77" s="83"/>
      <c r="F77" s="83"/>
      <c r="G77" s="83"/>
      <c r="H77" s="83"/>
      <c r="I77" s="83"/>
      <c r="J77" s="83"/>
      <c r="K77" s="83"/>
      <c r="L77" s="83"/>
      <c r="M77" s="83"/>
      <c r="N77" s="83"/>
      <c r="O77" s="83"/>
      <c r="P77" s="83"/>
      <c r="Q77" s="83"/>
      <c r="R77" s="83"/>
      <c r="S77" s="83"/>
      <c r="T77" s="125"/>
    </row>
    <row r="78" spans="1:20" x14ac:dyDescent="0.35">
      <c r="A78" s="124"/>
      <c r="B78" s="906" t="s">
        <v>1742</v>
      </c>
      <c r="C78" s="907"/>
      <c r="D78" s="908" t="s">
        <v>503</v>
      </c>
      <c r="E78" s="83"/>
      <c r="F78" s="83"/>
      <c r="G78" s="83"/>
      <c r="H78" s="83"/>
      <c r="I78" s="83"/>
      <c r="J78" s="83"/>
      <c r="K78" s="83"/>
      <c r="L78" s="83"/>
      <c r="M78" s="83"/>
      <c r="N78" s="83"/>
      <c r="O78" s="83"/>
      <c r="P78" s="83"/>
      <c r="Q78" s="83"/>
      <c r="R78" s="83"/>
      <c r="S78" s="83"/>
      <c r="T78" s="125"/>
    </row>
    <row r="79" spans="1:20" ht="87" customHeight="1" x14ac:dyDescent="0.35">
      <c r="A79" s="124"/>
      <c r="B79" s="908" t="s">
        <v>1697</v>
      </c>
      <c r="C79" s="302">
        <v>0.81899999999999995</v>
      </c>
      <c r="D79" s="302" t="s">
        <v>1743</v>
      </c>
      <c r="E79" s="83"/>
      <c r="F79" s="83"/>
      <c r="G79" s="83"/>
      <c r="H79" s="83"/>
      <c r="I79" s="83"/>
      <c r="J79" s="83"/>
      <c r="K79" s="83"/>
      <c r="L79" s="83"/>
      <c r="M79" s="83"/>
      <c r="N79" s="83"/>
      <c r="O79" s="83"/>
      <c r="P79" s="83"/>
      <c r="Q79" s="83"/>
      <c r="R79" s="83"/>
      <c r="S79" s="83"/>
      <c r="T79" s="125"/>
    </row>
    <row r="80" spans="1:20" ht="67.5" customHeight="1" x14ac:dyDescent="0.35">
      <c r="A80" s="124"/>
      <c r="B80" s="888" t="s">
        <v>1692</v>
      </c>
      <c r="C80" s="302">
        <v>0.80700000000000005</v>
      </c>
      <c r="D80" s="302" t="s">
        <v>1743</v>
      </c>
      <c r="E80" s="83"/>
      <c r="F80" s="83"/>
      <c r="G80" s="83"/>
      <c r="H80" s="83"/>
      <c r="I80" s="83"/>
      <c r="J80" s="83"/>
      <c r="K80" s="83"/>
      <c r="L80" s="83"/>
      <c r="M80" s="83"/>
      <c r="N80" s="83"/>
      <c r="O80" s="83"/>
      <c r="P80" s="83"/>
      <c r="Q80" s="83"/>
      <c r="R80" s="83"/>
      <c r="S80" s="83"/>
      <c r="T80" s="125"/>
    </row>
    <row r="81" spans="1:20" x14ac:dyDescent="0.35">
      <c r="A81" s="124"/>
      <c r="B81" s="888" t="s">
        <v>1703</v>
      </c>
      <c r="C81" s="302">
        <v>0.80700000000000005</v>
      </c>
      <c r="D81" s="302" t="s">
        <v>1743</v>
      </c>
      <c r="E81" s="83"/>
      <c r="F81" s="83"/>
      <c r="G81" s="83"/>
      <c r="H81" s="83"/>
      <c r="I81" s="83"/>
      <c r="J81" s="83" t="s">
        <v>364</v>
      </c>
      <c r="K81" s="83"/>
      <c r="L81" s="83"/>
      <c r="M81" s="83"/>
      <c r="N81" s="83"/>
      <c r="O81" s="83"/>
      <c r="P81" s="83"/>
      <c r="Q81" s="83"/>
      <c r="R81" s="83"/>
      <c r="S81" s="83"/>
      <c r="T81" s="125"/>
    </row>
    <row r="82" spans="1:20" x14ac:dyDescent="0.35">
      <c r="A82" s="124"/>
      <c r="B82" s="888" t="s">
        <v>1689</v>
      </c>
      <c r="C82" s="302">
        <v>0.80700000000000005</v>
      </c>
      <c r="D82" s="302" t="s">
        <v>1743</v>
      </c>
      <c r="E82" s="83"/>
      <c r="F82" s="83"/>
      <c r="G82" s="83"/>
      <c r="H82" s="83"/>
      <c r="I82" s="83"/>
      <c r="J82" s="83"/>
      <c r="K82" s="83"/>
      <c r="L82" s="83"/>
      <c r="M82" s="83"/>
      <c r="N82" s="83"/>
      <c r="O82" s="83"/>
      <c r="P82" s="83"/>
      <c r="Q82" s="83"/>
      <c r="R82" s="83"/>
      <c r="S82" s="83"/>
      <c r="T82" s="125"/>
    </row>
    <row r="83" spans="1:20" x14ac:dyDescent="0.35">
      <c r="A83" s="124"/>
      <c r="B83" s="888" t="s">
        <v>1699</v>
      </c>
      <c r="C83" s="302">
        <v>0.67</v>
      </c>
      <c r="D83" s="302" t="s">
        <v>1744</v>
      </c>
      <c r="E83" s="83"/>
      <c r="F83" s="83"/>
      <c r="G83" s="83"/>
      <c r="H83" s="83"/>
      <c r="I83" s="83"/>
      <c r="J83" s="83"/>
      <c r="K83" s="83"/>
      <c r="L83" s="83"/>
      <c r="M83" s="83"/>
      <c r="N83" s="83"/>
      <c r="O83" s="83"/>
      <c r="P83" s="83"/>
      <c r="Q83" s="83"/>
      <c r="R83" s="83"/>
      <c r="S83" s="83"/>
      <c r="T83" s="125"/>
    </row>
    <row r="84" spans="1:20" x14ac:dyDescent="0.35">
      <c r="A84" s="124"/>
      <c r="B84" s="83"/>
      <c r="C84" s="83"/>
      <c r="D84" s="83"/>
      <c r="E84" s="83"/>
      <c r="F84" s="83"/>
      <c r="G84" s="83"/>
      <c r="H84" s="83"/>
      <c r="I84" s="83"/>
      <c r="J84" s="83"/>
      <c r="K84" s="83"/>
      <c r="L84" s="83"/>
      <c r="M84" s="83"/>
      <c r="N84" s="83"/>
      <c r="O84" s="83"/>
      <c r="P84" s="83"/>
      <c r="Q84" s="83"/>
      <c r="R84" s="83"/>
      <c r="S84" s="83"/>
      <c r="T84" s="125"/>
    </row>
    <row r="85" spans="1:20" ht="26.25" customHeight="1" thickBot="1" x14ac:dyDescent="0.4">
      <c r="A85" s="2321" t="s">
        <v>1745</v>
      </c>
      <c r="B85" s="2322"/>
      <c r="C85" s="2322"/>
      <c r="D85" s="2322"/>
      <c r="E85" s="2322"/>
      <c r="F85" s="2322"/>
      <c r="G85" s="2322"/>
      <c r="H85" s="83"/>
      <c r="I85" s="83"/>
      <c r="J85" s="83"/>
      <c r="K85" s="83"/>
      <c r="L85" s="83"/>
      <c r="M85" s="83"/>
      <c r="N85" s="83"/>
      <c r="O85" s="83"/>
      <c r="P85" s="83"/>
      <c r="Q85" s="83"/>
      <c r="R85" s="83"/>
      <c r="S85" s="83"/>
      <c r="T85" s="125"/>
    </row>
    <row r="86" spans="1:20" ht="26.5" thickBot="1" x14ac:dyDescent="0.4">
      <c r="A86" s="455"/>
      <c r="B86" s="455" t="s">
        <v>1746</v>
      </c>
      <c r="C86" s="456" t="s">
        <v>1747</v>
      </c>
      <c r="D86" s="456" t="s">
        <v>1748</v>
      </c>
      <c r="E86" s="455" t="s">
        <v>1749</v>
      </c>
      <c r="F86" s="456" t="s">
        <v>1688</v>
      </c>
      <c r="G86" s="456" t="s">
        <v>1706</v>
      </c>
      <c r="H86" s="83"/>
      <c r="I86" s="83"/>
      <c r="J86" s="83"/>
      <c r="K86" s="83"/>
      <c r="L86" s="83"/>
      <c r="M86" s="83"/>
      <c r="N86" s="83"/>
      <c r="O86" s="83"/>
      <c r="P86" s="83"/>
      <c r="Q86" s="83"/>
      <c r="R86" s="83"/>
      <c r="S86" s="83"/>
      <c r="T86" s="125"/>
    </row>
    <row r="87" spans="1:20" ht="15" thickBot="1" x14ac:dyDescent="0.4">
      <c r="A87" s="909"/>
      <c r="B87" s="909" t="s">
        <v>1687</v>
      </c>
      <c r="C87" s="910">
        <v>0</v>
      </c>
      <c r="D87" s="458">
        <v>1</v>
      </c>
      <c r="E87" s="911" t="s">
        <v>1687</v>
      </c>
      <c r="F87" s="912">
        <v>0</v>
      </c>
      <c r="G87" s="912">
        <v>0</v>
      </c>
      <c r="H87" s="83"/>
      <c r="I87" s="83"/>
      <c r="J87" s="83"/>
      <c r="K87" s="83"/>
      <c r="L87" s="83"/>
      <c r="M87" s="83"/>
      <c r="N87" s="83"/>
      <c r="O87" s="83"/>
      <c r="P87" s="83"/>
      <c r="Q87" s="83"/>
      <c r="R87" s="83"/>
      <c r="S87" s="83"/>
      <c r="T87" s="125"/>
    </row>
    <row r="88" spans="1:20" ht="78.5" thickBot="1" x14ac:dyDescent="0.4">
      <c r="A88" s="909" t="s">
        <v>1750</v>
      </c>
      <c r="B88" s="909" t="s">
        <v>1751</v>
      </c>
      <c r="C88" s="910">
        <v>0.85</v>
      </c>
      <c r="D88" s="458">
        <v>0.15</v>
      </c>
      <c r="E88" s="911" t="s">
        <v>1694</v>
      </c>
      <c r="F88" s="912">
        <v>0.6</v>
      </c>
      <c r="G88" s="912">
        <v>0.7</v>
      </c>
      <c r="H88" s="83"/>
      <c r="I88" s="83"/>
      <c r="J88" s="83"/>
      <c r="K88" s="83"/>
      <c r="L88" s="83"/>
      <c r="M88" s="83"/>
      <c r="N88" s="83"/>
      <c r="O88" s="83"/>
      <c r="P88" s="83"/>
      <c r="Q88" s="83"/>
      <c r="R88" s="83"/>
      <c r="S88" s="83"/>
      <c r="T88" s="125"/>
    </row>
    <row r="89" spans="1:20" ht="26.5" thickBot="1" x14ac:dyDescent="0.4">
      <c r="A89" s="909" t="s">
        <v>1752</v>
      </c>
      <c r="B89" s="909" t="s">
        <v>1753</v>
      </c>
      <c r="C89" s="910">
        <v>0.3</v>
      </c>
      <c r="D89" s="458">
        <v>0.7</v>
      </c>
      <c r="E89" s="911" t="s">
        <v>1694</v>
      </c>
      <c r="F89" s="912">
        <v>0.4</v>
      </c>
      <c r="G89" s="912">
        <v>0</v>
      </c>
      <c r="H89" s="83"/>
      <c r="I89" s="83"/>
      <c r="J89" s="83"/>
      <c r="K89" s="83"/>
      <c r="L89" s="83"/>
      <c r="M89" s="83"/>
      <c r="N89" s="83"/>
      <c r="O89" s="83"/>
      <c r="P89" s="83"/>
      <c r="Q89" s="83"/>
      <c r="R89" s="83"/>
      <c r="S89" s="83"/>
      <c r="T89" s="125"/>
    </row>
    <row r="90" spans="1:20" ht="15" thickBot="1" x14ac:dyDescent="0.4">
      <c r="A90" s="909"/>
      <c r="B90" s="909" t="s">
        <v>1754</v>
      </c>
      <c r="C90" s="910">
        <v>0</v>
      </c>
      <c r="D90" s="458">
        <v>1</v>
      </c>
      <c r="E90" s="911" t="s">
        <v>1694</v>
      </c>
      <c r="F90" s="912">
        <v>0</v>
      </c>
      <c r="G90" s="912">
        <v>0.3</v>
      </c>
      <c r="H90" s="83"/>
      <c r="I90" s="83"/>
      <c r="J90" s="83"/>
      <c r="K90" s="83"/>
      <c r="L90" s="83"/>
      <c r="M90" s="83"/>
      <c r="N90" s="83"/>
      <c r="O90" s="83"/>
      <c r="P90" s="83"/>
      <c r="Q90" s="83"/>
      <c r="R90" s="83"/>
      <c r="S90" s="83"/>
      <c r="T90" s="125"/>
    </row>
    <row r="91" spans="1:20" ht="15" thickBot="1" x14ac:dyDescent="0.4">
      <c r="A91" s="913"/>
      <c r="B91" s="913" t="s">
        <v>1755</v>
      </c>
      <c r="C91" s="910">
        <v>0.85</v>
      </c>
      <c r="D91" s="458">
        <v>0.15</v>
      </c>
      <c r="E91" s="911" t="s">
        <v>1694</v>
      </c>
      <c r="F91" s="912">
        <v>0</v>
      </c>
      <c r="G91" s="912">
        <v>0</v>
      </c>
      <c r="H91" s="83"/>
      <c r="I91" s="83"/>
      <c r="J91" s="83"/>
      <c r="K91" s="83"/>
      <c r="L91" s="83"/>
      <c r="M91" s="83"/>
      <c r="N91" s="83"/>
      <c r="O91" s="83"/>
      <c r="P91" s="83"/>
      <c r="Q91" s="83"/>
      <c r="R91" s="83"/>
      <c r="S91" s="83"/>
      <c r="T91" s="125"/>
    </row>
    <row r="92" spans="1:20" ht="15" thickBot="1" x14ac:dyDescent="0.4">
      <c r="A92" s="909"/>
      <c r="B92" s="909" t="s">
        <v>295</v>
      </c>
      <c r="C92" s="458" t="s">
        <v>295</v>
      </c>
      <c r="D92" s="458">
        <v>1</v>
      </c>
      <c r="E92" s="911" t="s">
        <v>295</v>
      </c>
      <c r="F92" s="912">
        <v>0</v>
      </c>
      <c r="G92" s="912">
        <v>0</v>
      </c>
      <c r="H92" s="83"/>
      <c r="I92" s="83"/>
      <c r="J92" s="83"/>
      <c r="K92" s="83"/>
      <c r="L92" s="83"/>
      <c r="M92" s="83"/>
      <c r="N92" s="83"/>
      <c r="O92" s="83"/>
      <c r="P92" s="83"/>
      <c r="Q92" s="83"/>
      <c r="R92" s="83"/>
      <c r="S92" s="83"/>
      <c r="T92" s="125"/>
    </row>
    <row r="93" spans="1:20" ht="15" thickBot="1" x14ac:dyDescent="0.4">
      <c r="A93" s="124"/>
      <c r="B93" s="2323" t="s">
        <v>1756</v>
      </c>
      <c r="C93" s="2324"/>
      <c r="D93" s="83"/>
      <c r="E93" s="83"/>
      <c r="F93" s="83"/>
      <c r="G93" s="83"/>
      <c r="H93" s="83"/>
      <c r="I93" s="83"/>
      <c r="J93" s="83"/>
      <c r="K93" s="83"/>
      <c r="L93" s="83"/>
      <c r="M93" s="83"/>
      <c r="N93" s="83"/>
      <c r="O93" s="83"/>
      <c r="P93" s="83"/>
      <c r="Q93" s="83"/>
      <c r="R93" s="83"/>
      <c r="S93" s="83"/>
      <c r="T93" s="125"/>
    </row>
    <row r="94" spans="1:20" ht="15" thickBot="1" x14ac:dyDescent="0.4">
      <c r="A94" s="124"/>
      <c r="B94" s="455" t="s">
        <v>1746</v>
      </c>
      <c r="C94" s="456" t="s">
        <v>1684</v>
      </c>
      <c r="D94" s="83"/>
      <c r="E94" s="83"/>
      <c r="F94" s="83"/>
      <c r="G94" s="83"/>
      <c r="H94" s="83"/>
      <c r="I94" s="83"/>
      <c r="J94" s="83"/>
      <c r="K94" s="83"/>
      <c r="L94" s="83"/>
      <c r="M94" s="83"/>
      <c r="N94" s="83"/>
      <c r="O94" s="83"/>
      <c r="P94" s="83"/>
      <c r="Q94" s="83"/>
      <c r="R94" s="83"/>
      <c r="S94" s="83"/>
      <c r="T94" s="125"/>
    </row>
    <row r="95" spans="1:20" ht="15" thickBot="1" x14ac:dyDescent="0.4">
      <c r="A95" s="124"/>
      <c r="B95" s="909" t="s">
        <v>1688</v>
      </c>
      <c r="C95" s="458">
        <f>SUMPRODUCT($D$88:$D$90,$F$88:$F$90)</f>
        <v>0.37</v>
      </c>
      <c r="D95" s="83"/>
      <c r="E95" s="83"/>
      <c r="F95" s="83"/>
      <c r="G95" s="83"/>
      <c r="H95" s="83"/>
      <c r="I95" s="83"/>
      <c r="J95" s="83"/>
      <c r="K95" s="83"/>
      <c r="L95" s="83"/>
      <c r="M95" s="83"/>
      <c r="N95" s="83"/>
      <c r="O95" s="83"/>
      <c r="P95" s="83"/>
      <c r="Q95" s="83"/>
      <c r="R95" s="83"/>
      <c r="S95" s="83"/>
      <c r="T95" s="125"/>
    </row>
    <row r="96" spans="1:20" ht="15" thickBot="1" x14ac:dyDescent="0.4">
      <c r="A96" s="124"/>
      <c r="B96" s="909" t="s">
        <v>1706</v>
      </c>
      <c r="C96" s="458">
        <f>SUMPRODUCT($D$88:$D$90,$G$88:$G$90)</f>
        <v>0.40499999999999997</v>
      </c>
      <c r="D96" s="83"/>
      <c r="E96" s="83"/>
      <c r="F96" s="83"/>
      <c r="G96" s="83"/>
      <c r="H96" s="83"/>
      <c r="I96" s="83"/>
      <c r="J96" s="83"/>
      <c r="K96" s="83"/>
      <c r="L96" s="83"/>
      <c r="M96" s="83"/>
      <c r="N96" s="83"/>
      <c r="O96" s="83"/>
      <c r="P96" s="83"/>
      <c r="Q96" s="83"/>
      <c r="R96" s="83"/>
      <c r="S96" s="83"/>
      <c r="T96" s="125"/>
    </row>
    <row r="97" spans="1:20" ht="15" thickBot="1" x14ac:dyDescent="0.4">
      <c r="A97" s="124"/>
      <c r="B97" s="909" t="s">
        <v>1699</v>
      </c>
      <c r="C97" s="458">
        <f>SUMPRODUCT($D$88:$D$90,$G$88:$G$90)</f>
        <v>0.40499999999999997</v>
      </c>
      <c r="D97" s="83"/>
      <c r="E97" s="83"/>
      <c r="F97" s="83"/>
      <c r="G97" s="83"/>
      <c r="H97" s="83"/>
      <c r="I97" s="83"/>
      <c r="J97" s="83"/>
      <c r="K97" s="83"/>
      <c r="L97" s="83"/>
      <c r="M97" s="83"/>
      <c r="N97" s="83"/>
      <c r="O97" s="83"/>
      <c r="P97" s="83"/>
      <c r="Q97" s="83"/>
      <c r="R97" s="83"/>
      <c r="S97" s="83"/>
      <c r="T97" s="125"/>
    </row>
    <row r="98" spans="1:20" ht="15" thickBot="1" x14ac:dyDescent="0.4">
      <c r="A98" s="124"/>
      <c r="B98" s="83"/>
      <c r="C98" s="83"/>
      <c r="D98" s="83"/>
      <c r="E98" s="83"/>
      <c r="F98" s="83"/>
      <c r="G98" s="83"/>
      <c r="H98" s="83"/>
      <c r="I98" s="83"/>
      <c r="J98" s="83"/>
      <c r="K98" s="83"/>
      <c r="L98" s="83"/>
      <c r="M98" s="83"/>
      <c r="N98" s="83"/>
      <c r="O98" s="83"/>
      <c r="P98" s="83"/>
      <c r="Q98" s="83"/>
      <c r="R98" s="83"/>
      <c r="S98" s="83"/>
      <c r="T98" s="125"/>
    </row>
    <row r="99" spans="1:20" ht="15" thickBot="1" x14ac:dyDescent="0.4">
      <c r="A99" s="124"/>
      <c r="B99" s="2325" t="s">
        <v>1757</v>
      </c>
      <c r="C99" s="914" t="s">
        <v>1758</v>
      </c>
      <c r="D99" s="915"/>
      <c r="E99" s="916"/>
      <c r="F99" s="83"/>
      <c r="G99" s="83"/>
      <c r="H99" s="83"/>
      <c r="I99" s="83"/>
      <c r="J99" s="83"/>
      <c r="K99" s="83"/>
      <c r="L99" s="83"/>
      <c r="M99" s="83"/>
      <c r="N99" s="83"/>
      <c r="O99" s="83"/>
      <c r="P99" s="83"/>
      <c r="Q99" s="83"/>
      <c r="R99" s="83"/>
      <c r="S99" s="83"/>
      <c r="T99" s="125"/>
    </row>
    <row r="100" spans="1:20" x14ac:dyDescent="0.35">
      <c r="A100" s="124"/>
      <c r="B100" s="2326"/>
      <c r="C100" s="2325" t="s">
        <v>1759</v>
      </c>
      <c r="D100" s="2325" t="s">
        <v>1760</v>
      </c>
      <c r="E100" s="916"/>
      <c r="F100" s="83"/>
      <c r="G100" s="83"/>
      <c r="H100" s="83"/>
      <c r="I100" s="83"/>
      <c r="J100" s="83"/>
      <c r="K100" s="83"/>
      <c r="L100" s="83"/>
      <c r="M100" s="83"/>
      <c r="N100" s="83"/>
      <c r="O100" s="83"/>
      <c r="P100" s="83"/>
      <c r="Q100" s="83"/>
      <c r="R100" s="83"/>
      <c r="S100" s="83"/>
      <c r="T100" s="125"/>
    </row>
    <row r="101" spans="1:20" ht="15" thickBot="1" x14ac:dyDescent="0.4">
      <c r="A101" s="124"/>
      <c r="B101" s="2327"/>
      <c r="C101" s="2327"/>
      <c r="D101" s="2327"/>
      <c r="E101" s="916"/>
      <c r="F101" s="83"/>
      <c r="G101" s="83"/>
      <c r="H101" s="83"/>
      <c r="I101" s="83"/>
      <c r="J101" s="83"/>
      <c r="K101" s="83"/>
      <c r="L101" s="83"/>
      <c r="M101" s="83"/>
      <c r="N101" s="83"/>
      <c r="O101" s="83"/>
      <c r="P101" s="83"/>
      <c r="Q101" s="83"/>
      <c r="R101" s="83"/>
      <c r="S101" s="83"/>
      <c r="T101" s="125"/>
    </row>
    <row r="102" spans="1:20" ht="15" thickBot="1" x14ac:dyDescent="0.4">
      <c r="A102" s="124"/>
      <c r="B102" s="917" t="s">
        <v>1761</v>
      </c>
      <c r="C102" s="918">
        <v>0.04</v>
      </c>
      <c r="D102" s="918">
        <v>0.03</v>
      </c>
      <c r="E102" s="916"/>
      <c r="F102" s="83"/>
      <c r="G102" s="83"/>
      <c r="H102" s="83"/>
      <c r="I102" s="83"/>
      <c r="J102" s="83"/>
      <c r="K102" s="83"/>
      <c r="L102" s="83"/>
      <c r="M102" s="83"/>
      <c r="N102" s="83"/>
      <c r="O102" s="83"/>
      <c r="P102" s="83"/>
      <c r="Q102" s="83"/>
      <c r="R102" s="83"/>
      <c r="S102" s="83"/>
      <c r="T102" s="125"/>
    </row>
    <row r="103" spans="1:20" ht="15" thickBot="1" x14ac:dyDescent="0.4">
      <c r="A103" s="124"/>
      <c r="B103" s="917" t="s">
        <v>1762</v>
      </c>
      <c r="C103" s="918">
        <v>0.06</v>
      </c>
      <c r="D103" s="918">
        <v>0.05</v>
      </c>
      <c r="E103" s="916"/>
      <c r="F103" s="83"/>
      <c r="G103" s="83"/>
      <c r="H103" s="83"/>
      <c r="I103" s="83"/>
      <c r="J103" s="83"/>
      <c r="K103" s="83"/>
      <c r="L103" s="83"/>
      <c r="M103" s="83"/>
      <c r="N103" s="83"/>
      <c r="O103" s="83"/>
      <c r="P103" s="83"/>
      <c r="Q103" s="83"/>
      <c r="R103" s="83"/>
      <c r="S103" s="83"/>
      <c r="T103" s="125"/>
    </row>
    <row r="104" spans="1:20" x14ac:dyDescent="0.35">
      <c r="A104" s="124"/>
      <c r="B104" s="83"/>
      <c r="C104" s="83"/>
      <c r="D104" s="83"/>
      <c r="E104" s="83"/>
      <c r="F104" s="83"/>
      <c r="G104" s="83"/>
      <c r="H104" s="83"/>
      <c r="I104" s="83"/>
      <c r="J104" s="83"/>
      <c r="K104" s="83"/>
      <c r="L104" s="83"/>
      <c r="M104" s="83"/>
      <c r="N104" s="83"/>
      <c r="O104" s="83"/>
      <c r="P104" s="83"/>
      <c r="Q104" s="83"/>
      <c r="R104" s="83"/>
      <c r="S104" s="83"/>
      <c r="T104" s="125"/>
    </row>
    <row r="105" spans="1:20" x14ac:dyDescent="0.35">
      <c r="A105" s="124"/>
      <c r="B105" s="83"/>
      <c r="C105" s="83"/>
      <c r="D105" s="83"/>
      <c r="E105" s="83"/>
      <c r="F105" s="83"/>
      <c r="G105" s="83"/>
      <c r="H105" s="83"/>
      <c r="I105" s="83"/>
      <c r="J105" s="83"/>
      <c r="K105" s="83"/>
      <c r="L105" s="83"/>
      <c r="M105" s="83"/>
      <c r="N105" s="83"/>
      <c r="O105" s="83"/>
      <c r="P105" s="83"/>
      <c r="Q105" s="83"/>
      <c r="R105" s="83"/>
      <c r="S105" s="83"/>
      <c r="T105" s="125"/>
    </row>
    <row r="106" spans="1:20" x14ac:dyDescent="0.35">
      <c r="A106" s="124"/>
      <c r="B106" s="83"/>
      <c r="C106" s="83"/>
      <c r="D106" s="83"/>
      <c r="E106" s="83"/>
      <c r="F106" s="83"/>
      <c r="G106" s="83"/>
      <c r="H106" s="83"/>
      <c r="I106" s="83"/>
      <c r="J106" s="83"/>
      <c r="K106" s="83"/>
      <c r="L106" s="83"/>
      <c r="M106" s="83"/>
      <c r="N106" s="83"/>
      <c r="O106" s="83"/>
      <c r="P106" s="83"/>
      <c r="Q106" s="83"/>
      <c r="R106" s="83"/>
      <c r="S106" s="83"/>
      <c r="T106" s="125"/>
    </row>
    <row r="107" spans="1:20" x14ac:dyDescent="0.35">
      <c r="A107" s="124"/>
      <c r="B107" s="83"/>
      <c r="C107" s="83"/>
      <c r="D107" s="83"/>
      <c r="E107" s="83"/>
      <c r="F107" s="83"/>
      <c r="G107" s="83"/>
      <c r="H107" s="83"/>
      <c r="I107" s="83"/>
      <c r="J107" s="83"/>
      <c r="K107" s="83"/>
      <c r="L107" s="83"/>
      <c r="M107" s="83"/>
      <c r="N107" s="83"/>
      <c r="O107" s="83"/>
      <c r="P107" s="83"/>
      <c r="Q107" s="83"/>
      <c r="R107" s="83"/>
      <c r="S107" s="83"/>
      <c r="T107" s="125"/>
    </row>
    <row r="108" spans="1:20" x14ac:dyDescent="0.35">
      <c r="A108" s="124"/>
      <c r="B108" s="919" t="s">
        <v>1763</v>
      </c>
      <c r="C108" s="2320" t="s">
        <v>1764</v>
      </c>
      <c r="D108" s="2328"/>
      <c r="E108" s="83"/>
      <c r="F108" s="83"/>
      <c r="G108" s="83"/>
      <c r="H108" s="83"/>
      <c r="I108" s="83"/>
      <c r="J108" s="83"/>
      <c r="K108" s="83"/>
      <c r="L108" s="83"/>
      <c r="M108" s="83"/>
      <c r="N108" s="83"/>
      <c r="O108" s="83"/>
      <c r="P108" s="83"/>
      <c r="Q108" s="83"/>
      <c r="R108" s="83"/>
      <c r="S108" s="83"/>
      <c r="T108" s="125"/>
    </row>
    <row r="109" spans="1:20" x14ac:dyDescent="0.35">
      <c r="A109" s="124"/>
      <c r="B109" s="885"/>
      <c r="C109" s="920" t="s">
        <v>1694</v>
      </c>
      <c r="D109" s="908" t="s">
        <v>1687</v>
      </c>
      <c r="E109" s="83"/>
      <c r="F109" s="83"/>
      <c r="G109" s="83"/>
      <c r="H109" s="83"/>
      <c r="I109" s="83"/>
      <c r="J109" s="83"/>
      <c r="K109" s="83"/>
      <c r="L109" s="83"/>
      <c r="M109" s="83"/>
      <c r="N109" s="83"/>
      <c r="O109" s="83"/>
      <c r="P109" s="83"/>
      <c r="Q109" s="83"/>
      <c r="R109" s="83"/>
      <c r="S109" s="83"/>
      <c r="T109" s="125"/>
    </row>
    <row r="110" spans="1:20" x14ac:dyDescent="0.35">
      <c r="A110" s="124"/>
      <c r="B110" s="895"/>
      <c r="C110" s="888" t="s">
        <v>1765</v>
      </c>
      <c r="D110" s="888" t="s">
        <v>1766</v>
      </c>
      <c r="E110" s="83"/>
      <c r="F110" s="83"/>
      <c r="G110" s="83"/>
      <c r="H110" s="83"/>
      <c r="I110" s="83"/>
      <c r="J110" s="83"/>
      <c r="K110" s="83"/>
      <c r="L110" s="83"/>
      <c r="M110" s="83"/>
      <c r="N110" s="83"/>
      <c r="O110" s="83"/>
      <c r="P110" s="83"/>
      <c r="Q110" s="83"/>
      <c r="R110" s="83"/>
      <c r="S110" s="83"/>
      <c r="T110" s="125"/>
    </row>
    <row r="111" spans="1:20" x14ac:dyDescent="0.35">
      <c r="A111" s="124"/>
      <c r="B111" s="426"/>
      <c r="C111" s="62"/>
      <c r="D111" s="62"/>
      <c r="E111" s="83"/>
      <c r="F111" s="83"/>
      <c r="G111" s="83"/>
      <c r="H111" s="83"/>
      <c r="I111" s="83"/>
      <c r="J111" s="83"/>
      <c r="K111" s="83"/>
      <c r="L111" s="83"/>
      <c r="M111" s="83"/>
      <c r="N111" s="83"/>
      <c r="O111" s="83"/>
      <c r="P111" s="83"/>
      <c r="Q111" s="83"/>
      <c r="R111" s="83"/>
      <c r="S111" s="83"/>
      <c r="T111" s="125"/>
    </row>
    <row r="112" spans="1:20" x14ac:dyDescent="0.35">
      <c r="A112" s="124"/>
      <c r="B112" s="62"/>
      <c r="C112" s="62"/>
      <c r="D112" s="62"/>
      <c r="E112" s="83"/>
      <c r="F112" s="83"/>
      <c r="G112" s="83"/>
      <c r="H112" s="83"/>
      <c r="I112" s="83"/>
      <c r="J112" s="83"/>
      <c r="K112" s="83"/>
      <c r="L112" s="83"/>
      <c r="M112" s="83"/>
      <c r="N112" s="83"/>
      <c r="O112" s="83"/>
      <c r="P112" s="83"/>
      <c r="Q112" s="83"/>
      <c r="R112" s="83"/>
      <c r="S112" s="83"/>
      <c r="T112" s="125"/>
    </row>
    <row r="113" spans="1:20" x14ac:dyDescent="0.35">
      <c r="A113" s="124"/>
      <c r="B113" s="62"/>
      <c r="C113" s="62"/>
      <c r="D113" s="62"/>
      <c r="E113" s="83"/>
      <c r="F113" s="83"/>
      <c r="G113" s="83"/>
      <c r="H113" s="83"/>
      <c r="I113" s="83"/>
      <c r="J113" s="83"/>
      <c r="K113" s="83"/>
      <c r="L113" s="83"/>
      <c r="M113" s="83"/>
      <c r="N113" s="83"/>
      <c r="O113" s="83"/>
      <c r="P113" s="83"/>
      <c r="Q113" s="83"/>
      <c r="R113" s="83"/>
      <c r="S113" s="83"/>
      <c r="T113" s="125"/>
    </row>
    <row r="114" spans="1:20" x14ac:dyDescent="0.35">
      <c r="A114" s="124"/>
      <c r="B114" s="62"/>
      <c r="C114" s="921"/>
      <c r="D114" s="921"/>
      <c r="E114" s="83"/>
      <c r="F114" s="83"/>
      <c r="G114" s="83"/>
      <c r="H114" s="83"/>
      <c r="I114" s="83"/>
      <c r="J114" s="83"/>
      <c r="K114" s="83"/>
      <c r="L114" s="83"/>
      <c r="M114" s="83"/>
      <c r="N114" s="83"/>
      <c r="O114" s="83"/>
      <c r="P114" s="83"/>
      <c r="Q114" s="83"/>
      <c r="R114" s="83"/>
      <c r="S114" s="83"/>
      <c r="T114" s="125"/>
    </row>
    <row r="115" spans="1:20" x14ac:dyDescent="0.35">
      <c r="A115" s="124"/>
      <c r="B115" s="62"/>
      <c r="C115" s="921"/>
      <c r="D115" s="921"/>
      <c r="E115" s="83"/>
      <c r="F115" s="83"/>
      <c r="G115" s="83"/>
      <c r="H115" s="83"/>
      <c r="I115" s="83"/>
      <c r="J115" s="83"/>
      <c r="K115" s="83"/>
      <c r="L115" s="83"/>
      <c r="M115" s="83"/>
      <c r="N115" s="83"/>
      <c r="O115" s="83"/>
      <c r="P115" s="83"/>
      <c r="Q115" s="83"/>
      <c r="R115" s="83"/>
      <c r="S115" s="83"/>
      <c r="T115" s="125"/>
    </row>
    <row r="116" spans="1:20" x14ac:dyDescent="0.35">
      <c r="A116" s="124"/>
      <c r="B116" s="62"/>
      <c r="C116" s="921"/>
      <c r="D116" s="921"/>
      <c r="E116" s="83"/>
      <c r="F116" s="83"/>
      <c r="G116" s="83"/>
      <c r="H116" s="83"/>
      <c r="I116" s="83"/>
      <c r="J116" s="83"/>
      <c r="K116" s="83"/>
      <c r="L116" s="83"/>
      <c r="M116" s="83"/>
      <c r="N116" s="83"/>
      <c r="O116" s="83"/>
      <c r="P116" s="83"/>
      <c r="Q116" s="83"/>
      <c r="R116" s="83"/>
      <c r="S116" s="83"/>
      <c r="T116" s="125"/>
    </row>
    <row r="117" spans="1:20" x14ac:dyDescent="0.35">
      <c r="A117" s="124"/>
      <c r="B117" s="83"/>
      <c r="C117" s="83"/>
      <c r="D117" s="83"/>
      <c r="E117" s="83"/>
      <c r="F117" s="83"/>
      <c r="G117" s="83"/>
      <c r="H117" s="83"/>
      <c r="I117" s="83"/>
      <c r="J117" s="83"/>
      <c r="K117" s="83"/>
      <c r="L117" s="83"/>
      <c r="M117" s="83"/>
      <c r="N117" s="83"/>
      <c r="O117" s="83"/>
      <c r="P117" s="83"/>
      <c r="Q117" s="83"/>
      <c r="R117" s="83"/>
      <c r="S117" s="83"/>
      <c r="T117" s="125"/>
    </row>
    <row r="118" spans="1:20" x14ac:dyDescent="0.35">
      <c r="A118" s="124"/>
      <c r="B118" s="62" t="s">
        <v>1765</v>
      </c>
      <c r="C118" s="921"/>
      <c r="D118" s="83"/>
      <c r="E118" s="83"/>
      <c r="F118" s="83"/>
      <c r="G118" s="83"/>
      <c r="H118" s="83"/>
      <c r="I118" s="83"/>
      <c r="J118" s="83"/>
      <c r="K118" s="83"/>
      <c r="L118" s="83"/>
      <c r="M118" s="83"/>
      <c r="N118" s="83"/>
      <c r="O118" s="83"/>
      <c r="P118" s="83"/>
      <c r="Q118" s="83"/>
      <c r="R118" s="83"/>
      <c r="S118" s="83"/>
      <c r="T118" s="125"/>
    </row>
    <row r="119" spans="1:20" x14ac:dyDescent="0.35">
      <c r="A119" s="124"/>
      <c r="B119" s="62" t="s">
        <v>1766</v>
      </c>
      <c r="C119" s="921"/>
      <c r="D119" s="83"/>
      <c r="E119" s="83"/>
      <c r="F119" s="83"/>
      <c r="G119" s="83"/>
      <c r="H119" s="83"/>
      <c r="I119" s="83"/>
      <c r="J119" s="83"/>
      <c r="K119" s="83"/>
      <c r="L119" s="83"/>
      <c r="M119" s="83"/>
      <c r="N119" s="83"/>
      <c r="O119" s="83"/>
      <c r="P119" s="83"/>
      <c r="Q119" s="83"/>
      <c r="R119" s="83"/>
      <c r="S119" s="83"/>
      <c r="T119" s="125"/>
    </row>
    <row r="120" spans="1:20" x14ac:dyDescent="0.35">
      <c r="A120" s="124"/>
      <c r="B120" s="83"/>
      <c r="C120" s="83"/>
      <c r="D120" s="83"/>
      <c r="E120" s="83"/>
      <c r="F120" s="83"/>
      <c r="G120" s="83"/>
      <c r="H120" s="83"/>
      <c r="I120" s="83"/>
      <c r="J120" s="83"/>
      <c r="K120" s="83"/>
      <c r="L120" s="83"/>
      <c r="M120" s="83"/>
      <c r="N120" s="83"/>
      <c r="O120" s="83"/>
      <c r="P120" s="83"/>
      <c r="Q120" s="83"/>
      <c r="R120" s="83"/>
      <c r="S120" s="83"/>
      <c r="T120" s="125"/>
    </row>
    <row r="121" spans="1:20" x14ac:dyDescent="0.35">
      <c r="A121" s="124"/>
      <c r="B121" s="922" t="s">
        <v>1639</v>
      </c>
      <c r="C121" s="62">
        <v>2</v>
      </c>
      <c r="D121" s="83"/>
      <c r="E121" s="83"/>
      <c r="F121" s="83"/>
      <c r="G121" s="83"/>
      <c r="H121" s="83"/>
      <c r="I121" s="83"/>
      <c r="J121" s="83"/>
      <c r="K121" s="83"/>
      <c r="L121" s="83"/>
      <c r="M121" s="83"/>
      <c r="N121" s="83"/>
      <c r="O121" s="83"/>
      <c r="P121" s="83"/>
      <c r="Q121" s="83"/>
      <c r="R121" s="83"/>
      <c r="S121" s="83"/>
      <c r="T121" s="125"/>
    </row>
    <row r="122" spans="1:20" x14ac:dyDescent="0.35">
      <c r="A122" s="124"/>
      <c r="B122" s="922" t="s">
        <v>1640</v>
      </c>
      <c r="C122" s="62">
        <v>3</v>
      </c>
      <c r="D122" s="83"/>
      <c r="E122" s="83"/>
      <c r="F122" s="83"/>
      <c r="G122" s="83"/>
      <c r="H122" s="83"/>
      <c r="I122" s="83"/>
      <c r="J122" s="83"/>
      <c r="K122" s="83"/>
      <c r="L122" s="83"/>
      <c r="M122" s="83"/>
      <c r="N122" s="83"/>
      <c r="O122" s="83"/>
      <c r="P122" s="83"/>
      <c r="Q122" s="83"/>
      <c r="R122" s="83"/>
      <c r="S122" s="83"/>
      <c r="T122" s="125"/>
    </row>
    <row r="123" spans="1:20" x14ac:dyDescent="0.35">
      <c r="A123" s="124"/>
      <c r="B123" s="922" t="s">
        <v>1641</v>
      </c>
      <c r="C123" s="62">
        <v>4</v>
      </c>
      <c r="D123" s="83"/>
      <c r="E123" s="83"/>
      <c r="F123" s="83"/>
      <c r="G123" s="83"/>
      <c r="H123" s="83"/>
      <c r="I123" s="83"/>
      <c r="J123" s="83"/>
      <c r="K123" s="83"/>
      <c r="L123" s="83"/>
      <c r="M123" s="83"/>
      <c r="N123" s="83"/>
      <c r="O123" s="83"/>
      <c r="P123" s="83"/>
      <c r="Q123" s="83"/>
      <c r="R123" s="83"/>
      <c r="S123" s="83"/>
      <c r="T123" s="125"/>
    </row>
    <row r="124" spans="1:20" x14ac:dyDescent="0.35">
      <c r="A124" s="124"/>
      <c r="B124" s="922" t="s">
        <v>1767</v>
      </c>
      <c r="C124" s="62">
        <v>5</v>
      </c>
      <c r="D124" s="83"/>
      <c r="E124" s="83"/>
      <c r="F124" s="83"/>
      <c r="G124" s="83"/>
      <c r="H124" s="83"/>
      <c r="I124" s="83"/>
      <c r="J124" s="83"/>
      <c r="K124" s="83"/>
      <c r="L124" s="83"/>
      <c r="M124" s="83"/>
      <c r="N124" s="83"/>
      <c r="O124" s="83"/>
      <c r="P124" s="83"/>
      <c r="Q124" s="83"/>
      <c r="R124" s="83"/>
      <c r="S124" s="83"/>
      <c r="T124" s="125"/>
    </row>
    <row r="125" spans="1:20" x14ac:dyDescent="0.35">
      <c r="A125" s="124"/>
      <c r="B125" s="922" t="s">
        <v>1643</v>
      </c>
      <c r="C125" s="62">
        <v>6</v>
      </c>
      <c r="D125" s="83"/>
      <c r="E125" s="83"/>
      <c r="F125" s="83"/>
      <c r="G125" s="83"/>
      <c r="H125" s="83"/>
      <c r="I125" s="83"/>
      <c r="J125" s="83"/>
      <c r="K125" s="83"/>
      <c r="L125" s="83"/>
      <c r="M125" s="83"/>
      <c r="N125" s="83"/>
      <c r="O125" s="83"/>
      <c r="P125" s="83"/>
      <c r="Q125" s="83"/>
      <c r="R125" s="83"/>
      <c r="S125" s="83"/>
      <c r="T125" s="125"/>
    </row>
    <row r="126" spans="1:20" x14ac:dyDescent="0.35">
      <c r="A126" s="124"/>
      <c r="B126" s="62" t="s">
        <v>1768</v>
      </c>
      <c r="C126" s="62">
        <v>7</v>
      </c>
      <c r="D126" s="83"/>
      <c r="E126" s="83"/>
      <c r="F126" s="83"/>
      <c r="G126" s="83"/>
      <c r="H126" s="83"/>
      <c r="I126" s="83"/>
      <c r="J126" s="83"/>
      <c r="K126" s="83"/>
      <c r="L126" s="83"/>
      <c r="M126" s="83"/>
      <c r="N126" s="83"/>
      <c r="O126" s="83"/>
      <c r="P126" s="83"/>
      <c r="Q126" s="83"/>
      <c r="R126" s="83"/>
      <c r="S126" s="83"/>
      <c r="T126" s="125"/>
    </row>
    <row r="127" spans="1:20" x14ac:dyDescent="0.35">
      <c r="A127" s="124"/>
      <c r="B127" s="83"/>
      <c r="C127" s="83"/>
      <c r="D127" s="83"/>
      <c r="E127" s="83"/>
      <c r="F127" s="83"/>
      <c r="G127" s="83"/>
      <c r="H127" s="83"/>
      <c r="I127" s="83"/>
      <c r="J127" s="83"/>
      <c r="K127" s="83"/>
      <c r="L127" s="83"/>
      <c r="M127" s="83"/>
      <c r="N127" s="83"/>
      <c r="O127" s="83"/>
      <c r="P127" s="83"/>
      <c r="Q127" s="83"/>
      <c r="R127" s="83"/>
      <c r="S127" s="83"/>
      <c r="T127" s="125"/>
    </row>
    <row r="128" spans="1:20" x14ac:dyDescent="0.35">
      <c r="A128" s="124"/>
      <c r="B128" s="83"/>
      <c r="C128" s="83"/>
      <c r="D128" s="83"/>
      <c r="E128" s="83"/>
      <c r="F128" s="83"/>
      <c r="G128" s="83"/>
      <c r="H128" s="83"/>
      <c r="I128" s="83"/>
      <c r="J128" s="83"/>
      <c r="K128" s="83"/>
      <c r="L128" s="83"/>
      <c r="M128" s="83"/>
      <c r="N128" s="83"/>
      <c r="O128" s="83"/>
      <c r="P128" s="83"/>
      <c r="Q128" s="83"/>
      <c r="R128" s="83"/>
      <c r="S128" s="83"/>
      <c r="T128" s="125"/>
    </row>
    <row r="129" spans="1:20" x14ac:dyDescent="0.35">
      <c r="A129" s="124"/>
      <c r="B129" s="920" t="s">
        <v>342</v>
      </c>
      <c r="C129" s="83"/>
      <c r="D129" s="83"/>
      <c r="E129" s="83"/>
      <c r="F129" s="83"/>
      <c r="G129" s="923"/>
      <c r="H129" s="83"/>
      <c r="I129" s="83"/>
      <c r="J129" s="83"/>
      <c r="K129" s="83"/>
      <c r="L129" s="83"/>
      <c r="M129" s="83"/>
      <c r="N129" s="83"/>
      <c r="O129" s="83"/>
      <c r="P129" s="83"/>
      <c r="Q129" s="83"/>
      <c r="R129" s="83"/>
      <c r="S129" s="83"/>
      <c r="T129" s="125"/>
    </row>
    <row r="130" spans="1:20" x14ac:dyDescent="0.35">
      <c r="A130" s="124"/>
      <c r="B130" s="62" t="s">
        <v>495</v>
      </c>
      <c r="C130" s="83"/>
      <c r="D130" s="83"/>
      <c r="E130" s="83"/>
      <c r="F130" s="83"/>
      <c r="G130" s="923"/>
      <c r="H130" s="83"/>
      <c r="I130" s="83"/>
      <c r="J130" s="83"/>
      <c r="K130" s="83"/>
      <c r="L130" s="83"/>
      <c r="M130" s="83"/>
      <c r="N130" s="83"/>
      <c r="O130" s="83"/>
      <c r="P130" s="83"/>
      <c r="Q130" s="83"/>
      <c r="R130" s="83"/>
      <c r="S130" s="83"/>
      <c r="T130" s="125"/>
    </row>
    <row r="131" spans="1:20" x14ac:dyDescent="0.35">
      <c r="A131" s="124"/>
      <c r="B131" s="62" t="s">
        <v>403</v>
      </c>
      <c r="C131" s="83"/>
      <c r="D131" s="83"/>
      <c r="E131" s="83"/>
      <c r="F131" s="83"/>
      <c r="G131" s="83"/>
      <c r="H131" s="83"/>
      <c r="I131" s="83"/>
      <c r="J131" s="83"/>
      <c r="K131" s="83"/>
      <c r="L131" s="83"/>
      <c r="M131" s="83"/>
      <c r="N131" s="83"/>
      <c r="O131" s="83"/>
      <c r="P131" s="83"/>
      <c r="Q131" s="83"/>
      <c r="R131" s="83"/>
      <c r="S131" s="83"/>
      <c r="T131" s="125"/>
    </row>
    <row r="132" spans="1:20" x14ac:dyDescent="0.35">
      <c r="A132" s="124"/>
      <c r="B132" s="920" t="s">
        <v>1676</v>
      </c>
      <c r="C132" s="83"/>
      <c r="D132" s="83"/>
      <c r="E132" s="83"/>
      <c r="F132" s="83"/>
      <c r="G132" s="83"/>
      <c r="H132" s="83"/>
      <c r="I132" s="83"/>
      <c r="J132" s="83"/>
      <c r="K132" s="83"/>
      <c r="L132" s="83"/>
      <c r="M132" s="83"/>
      <c r="N132" s="83"/>
      <c r="O132" s="83"/>
      <c r="P132" s="83"/>
      <c r="Q132" s="83"/>
      <c r="R132" s="83"/>
      <c r="S132" s="83"/>
      <c r="T132" s="125"/>
    </row>
    <row r="133" spans="1:20" x14ac:dyDescent="0.35">
      <c r="A133" s="124"/>
      <c r="B133" s="62" t="s">
        <v>1694</v>
      </c>
      <c r="C133" s="83"/>
      <c r="D133" s="83"/>
      <c r="E133" s="83"/>
      <c r="F133" s="83"/>
      <c r="G133" s="923"/>
      <c r="H133" s="83"/>
      <c r="I133" s="83"/>
      <c r="J133" s="83"/>
      <c r="K133" s="83"/>
      <c r="L133" s="83"/>
      <c r="M133" s="83"/>
      <c r="N133" s="83"/>
      <c r="O133" s="83"/>
      <c r="P133" s="83"/>
      <c r="Q133" s="83"/>
      <c r="R133" s="83"/>
      <c r="S133" s="83"/>
      <c r="T133" s="125"/>
    </row>
    <row r="134" spans="1:20" x14ac:dyDescent="0.35">
      <c r="A134" s="124"/>
      <c r="B134" s="62" t="s">
        <v>1687</v>
      </c>
      <c r="C134" s="83"/>
      <c r="D134" s="83"/>
      <c r="E134" s="83"/>
      <c r="F134" s="83"/>
      <c r="G134" s="923"/>
      <c r="H134" s="83"/>
      <c r="I134" s="83"/>
      <c r="J134" s="83"/>
      <c r="K134" s="83"/>
      <c r="L134" s="83"/>
      <c r="M134" s="83"/>
      <c r="N134" s="83"/>
      <c r="O134" s="83"/>
      <c r="P134" s="83"/>
      <c r="Q134" s="83"/>
      <c r="R134" s="83"/>
      <c r="S134" s="83"/>
      <c r="T134" s="125"/>
    </row>
    <row r="135" spans="1:20" x14ac:dyDescent="0.35">
      <c r="A135" s="124"/>
      <c r="B135" s="83"/>
      <c r="C135" s="83"/>
      <c r="D135" s="83"/>
      <c r="E135" s="83"/>
      <c r="F135" s="83"/>
      <c r="G135" s="83"/>
      <c r="H135" s="83"/>
      <c r="I135" s="83"/>
      <c r="J135" s="83"/>
      <c r="K135" s="83"/>
      <c r="L135" s="83"/>
      <c r="M135" s="83"/>
      <c r="N135" s="83"/>
      <c r="O135" s="83"/>
      <c r="P135" s="83"/>
      <c r="Q135" s="83"/>
      <c r="R135" s="83"/>
      <c r="S135" s="83"/>
      <c r="T135" s="125"/>
    </row>
    <row r="136" spans="1:20" x14ac:dyDescent="0.35">
      <c r="A136" s="124"/>
      <c r="B136" s="2328" t="s">
        <v>1769</v>
      </c>
      <c r="C136" s="2328"/>
      <c r="D136" s="83"/>
      <c r="E136" s="83"/>
      <c r="F136" s="83"/>
      <c r="G136" s="83"/>
      <c r="H136" s="83"/>
      <c r="I136" s="83"/>
      <c r="J136" s="83"/>
      <c r="K136" s="83"/>
      <c r="L136" s="83"/>
      <c r="M136" s="83"/>
      <c r="N136" s="83"/>
      <c r="O136" s="83"/>
      <c r="P136" s="83"/>
      <c r="Q136" s="83"/>
      <c r="R136" s="83"/>
      <c r="S136" s="83"/>
      <c r="T136" s="125"/>
    </row>
    <row r="137" spans="1:20" x14ac:dyDescent="0.35">
      <c r="A137" s="124"/>
      <c r="B137" s="62" t="s">
        <v>1739</v>
      </c>
      <c r="C137" s="62" t="s">
        <v>1699</v>
      </c>
      <c r="D137" s="83"/>
      <c r="E137" s="83"/>
      <c r="F137" s="83"/>
      <c r="G137" s="83"/>
      <c r="H137" s="83"/>
      <c r="I137" s="83"/>
      <c r="J137" s="83"/>
      <c r="K137" s="83"/>
      <c r="L137" s="83"/>
      <c r="M137" s="83"/>
      <c r="N137" s="83"/>
      <c r="O137" s="83"/>
      <c r="P137" s="83"/>
      <c r="Q137" s="83"/>
      <c r="R137" s="83"/>
      <c r="S137" s="83"/>
      <c r="T137" s="125"/>
    </row>
    <row r="138" spans="1:20" x14ac:dyDescent="0.35">
      <c r="A138" s="124"/>
      <c r="B138" s="62" t="s">
        <v>1690</v>
      </c>
      <c r="C138" s="62" t="s">
        <v>1688</v>
      </c>
      <c r="D138" s="83"/>
      <c r="E138" s="83"/>
      <c r="F138" s="83"/>
      <c r="G138" s="83"/>
      <c r="H138" s="83"/>
      <c r="I138" s="83"/>
      <c r="J138" s="83"/>
      <c r="K138" s="83"/>
      <c r="L138" s="83"/>
      <c r="M138" s="83"/>
      <c r="N138" s="83"/>
      <c r="O138" s="83"/>
      <c r="P138" s="83"/>
      <c r="Q138" s="83"/>
      <c r="R138" s="83"/>
      <c r="S138" s="83"/>
      <c r="T138" s="125"/>
    </row>
    <row r="139" spans="1:20" x14ac:dyDescent="0.35">
      <c r="A139" s="124"/>
      <c r="B139" s="62" t="s">
        <v>1710</v>
      </c>
      <c r="C139" s="62" t="s">
        <v>1706</v>
      </c>
      <c r="D139" s="83"/>
      <c r="E139" s="83"/>
      <c r="F139" s="83"/>
      <c r="G139" s="83"/>
      <c r="H139" s="83"/>
      <c r="I139" s="83"/>
      <c r="J139" s="83"/>
      <c r="K139" s="83"/>
      <c r="L139" s="83"/>
      <c r="M139" s="83"/>
      <c r="N139" s="83"/>
      <c r="O139" s="83"/>
      <c r="P139" s="83"/>
      <c r="Q139" s="83"/>
      <c r="R139" s="83"/>
      <c r="S139" s="83"/>
      <c r="T139" s="125"/>
    </row>
    <row r="140" spans="1:20" x14ac:dyDescent="0.35">
      <c r="A140" s="124"/>
      <c r="B140" s="62" t="s">
        <v>1700</v>
      </c>
      <c r="C140" s="62"/>
      <c r="D140" s="83"/>
      <c r="E140" s="83"/>
      <c r="F140" s="83"/>
      <c r="G140" s="83"/>
      <c r="H140" s="83"/>
      <c r="I140" s="83"/>
      <c r="J140" s="83"/>
      <c r="K140" s="83"/>
      <c r="L140" s="83"/>
      <c r="M140" s="83"/>
      <c r="N140" s="83"/>
      <c r="O140" s="83"/>
      <c r="P140" s="83"/>
      <c r="Q140" s="83"/>
      <c r="R140" s="83"/>
      <c r="S140" s="83"/>
      <c r="T140" s="125"/>
    </row>
    <row r="141" spans="1:20" x14ac:dyDescent="0.35">
      <c r="A141" s="124"/>
      <c r="B141" s="62" t="s">
        <v>1736</v>
      </c>
      <c r="C141" s="62"/>
      <c r="D141" s="83"/>
      <c r="E141" s="83"/>
      <c r="F141" s="83"/>
      <c r="G141" s="83"/>
      <c r="H141" s="83"/>
      <c r="I141" s="83"/>
      <c r="J141" s="83"/>
      <c r="K141" s="83"/>
      <c r="L141" s="83"/>
      <c r="M141" s="83"/>
      <c r="N141" s="83"/>
      <c r="O141" s="83"/>
      <c r="P141" s="83"/>
      <c r="Q141" s="83"/>
      <c r="R141" s="83"/>
      <c r="S141" s="83"/>
      <c r="T141" s="125"/>
    </row>
    <row r="142" spans="1:20" x14ac:dyDescent="0.35">
      <c r="A142" s="124"/>
      <c r="B142" s="62" t="s">
        <v>1738</v>
      </c>
      <c r="C142" s="62"/>
      <c r="D142" s="83"/>
      <c r="E142" s="83"/>
      <c r="F142" s="83"/>
      <c r="G142" s="83"/>
      <c r="H142" s="83"/>
      <c r="I142" s="83"/>
      <c r="J142" s="83"/>
      <c r="K142" s="83"/>
      <c r="L142" s="83"/>
      <c r="M142" s="83"/>
      <c r="N142" s="83"/>
      <c r="O142" s="83"/>
      <c r="P142" s="83"/>
      <c r="Q142" s="83"/>
      <c r="R142" s="83"/>
      <c r="S142" s="83"/>
      <c r="T142" s="125"/>
    </row>
    <row r="143" spans="1:20" x14ac:dyDescent="0.35">
      <c r="A143" s="124"/>
      <c r="B143" s="83"/>
      <c r="C143" s="83"/>
      <c r="D143" s="83"/>
      <c r="E143" s="83"/>
      <c r="F143" s="83"/>
      <c r="G143" s="83"/>
      <c r="H143" s="83"/>
      <c r="I143" s="83"/>
      <c r="J143" s="83"/>
      <c r="K143" s="83"/>
      <c r="L143" s="83"/>
      <c r="M143" s="83"/>
      <c r="N143" s="83"/>
      <c r="O143" s="83"/>
      <c r="P143" s="83"/>
      <c r="Q143" s="83"/>
      <c r="R143" s="83"/>
      <c r="S143" s="83"/>
      <c r="T143" s="125"/>
    </row>
    <row r="144" spans="1:20" x14ac:dyDescent="0.35">
      <c r="A144" s="124"/>
      <c r="B144" s="83"/>
      <c r="C144" s="83"/>
      <c r="D144" s="83"/>
      <c r="E144" s="83"/>
      <c r="F144" s="83"/>
      <c r="G144" s="83"/>
      <c r="H144" s="83"/>
      <c r="I144" s="83"/>
      <c r="J144" s="83"/>
      <c r="K144" s="83"/>
      <c r="L144" s="83"/>
      <c r="M144" s="83"/>
      <c r="N144" s="83"/>
      <c r="O144" s="83"/>
      <c r="P144" s="83"/>
      <c r="Q144" s="83"/>
      <c r="R144" s="83"/>
      <c r="S144" s="83"/>
      <c r="T144" s="125"/>
    </row>
    <row r="145" spans="1:20" x14ac:dyDescent="0.35">
      <c r="A145" s="124"/>
      <c r="B145" s="2329" t="s">
        <v>1770</v>
      </c>
      <c r="C145" s="2329"/>
      <c r="D145" s="2329"/>
      <c r="E145" s="2329"/>
      <c r="F145" s="2329"/>
      <c r="G145" s="2329"/>
      <c r="H145" s="2329"/>
      <c r="I145" s="2329"/>
      <c r="J145" s="2329"/>
      <c r="K145" s="83"/>
      <c r="L145" s="83"/>
      <c r="M145" s="83"/>
      <c r="N145" s="83"/>
      <c r="O145" s="83"/>
      <c r="P145" s="83"/>
      <c r="Q145" s="83"/>
      <c r="R145" s="83"/>
      <c r="S145" s="83"/>
      <c r="T145" s="125"/>
    </row>
    <row r="146" spans="1:20" ht="15" thickBot="1" x14ac:dyDescent="0.4">
      <c r="A146" s="124"/>
      <c r="B146" s="924" t="s">
        <v>1771</v>
      </c>
      <c r="C146" s="924" t="s">
        <v>838</v>
      </c>
      <c r="D146" s="925"/>
      <c r="E146" s="2330" t="s">
        <v>1461</v>
      </c>
      <c r="F146" s="2331"/>
      <c r="G146" s="2331"/>
      <c r="H146" s="2331"/>
      <c r="I146" s="2331"/>
      <c r="J146" s="2332"/>
      <c r="K146" s="83"/>
      <c r="L146" s="83"/>
      <c r="M146" s="83"/>
      <c r="N146" s="83"/>
      <c r="O146" s="83"/>
      <c r="P146" s="83"/>
      <c r="Q146" s="83"/>
      <c r="R146" s="83"/>
      <c r="S146" s="83"/>
      <c r="T146" s="125"/>
    </row>
    <row r="147" spans="1:20" ht="15" thickBot="1" x14ac:dyDescent="0.4">
      <c r="A147" s="124"/>
      <c r="B147" s="926"/>
      <c r="C147" s="926"/>
      <c r="D147" s="927"/>
      <c r="E147" s="927" t="s">
        <v>1639</v>
      </c>
      <c r="F147" s="927" t="s">
        <v>1640</v>
      </c>
      <c r="G147" s="927" t="s">
        <v>1641</v>
      </c>
      <c r="H147" s="927" t="s">
        <v>1642</v>
      </c>
      <c r="I147" s="927" t="s">
        <v>1643</v>
      </c>
      <c r="J147" s="928" t="s">
        <v>1768</v>
      </c>
      <c r="K147" s="83"/>
      <c r="L147" s="83"/>
      <c r="M147" s="83"/>
      <c r="N147" s="83"/>
      <c r="O147" s="83"/>
      <c r="P147" s="83"/>
      <c r="Q147" s="83"/>
      <c r="R147" s="83"/>
      <c r="S147" s="83"/>
      <c r="T147" s="125"/>
    </row>
    <row r="148" spans="1:20" ht="39.5" thickBot="1" x14ac:dyDescent="0.4">
      <c r="A148" s="124"/>
      <c r="B148" s="929" t="s">
        <v>1772</v>
      </c>
      <c r="C148" s="930" t="s">
        <v>1738</v>
      </c>
      <c r="D148" s="930" t="str">
        <f>B148&amp;C148</f>
        <v>Space Heating - Recirculation - Heating Season onlyNA</v>
      </c>
      <c r="E148" s="931">
        <v>5039</v>
      </c>
      <c r="F148" s="931">
        <v>4963</v>
      </c>
      <c r="G148" s="931">
        <v>4495</v>
      </c>
      <c r="H148" s="931">
        <v>4021</v>
      </c>
      <c r="I148" s="931">
        <v>4150</v>
      </c>
      <c r="J148" s="931">
        <f>E148*$J$162+F148*$J$163+G148*$J$164</f>
        <v>4939</v>
      </c>
      <c r="K148" s="83"/>
      <c r="L148" s="83"/>
      <c r="M148" s="83"/>
      <c r="N148" s="83"/>
      <c r="O148" s="83"/>
      <c r="P148" s="83"/>
      <c r="Q148" s="83"/>
      <c r="R148" s="83"/>
      <c r="S148" s="83"/>
      <c r="T148" s="125"/>
    </row>
    <row r="149" spans="1:20" ht="39.5" thickBot="1" x14ac:dyDescent="0.4">
      <c r="A149" s="124"/>
      <c r="B149" s="929" t="s">
        <v>1773</v>
      </c>
      <c r="C149" s="930" t="s">
        <v>1738</v>
      </c>
      <c r="D149" s="930" t="str">
        <f>B149&amp;C149</f>
        <v>Space Heating - Recirculation Year RoundNA</v>
      </c>
      <c r="E149" s="931">
        <v>8766</v>
      </c>
      <c r="F149" s="931">
        <v>8766</v>
      </c>
      <c r="G149" s="931">
        <v>8766</v>
      </c>
      <c r="H149" s="931">
        <v>8766</v>
      </c>
      <c r="I149" s="931">
        <v>8766</v>
      </c>
      <c r="J149" s="931">
        <f>E149*$J$162+F149*$J$163+G149*$J$164</f>
        <v>8766</v>
      </c>
      <c r="K149" s="83"/>
      <c r="L149" s="83"/>
      <c r="M149" s="83"/>
      <c r="N149" s="83"/>
      <c r="O149" s="83"/>
      <c r="P149" s="83"/>
      <c r="Q149" s="83"/>
      <c r="R149" s="83"/>
      <c r="S149" s="83"/>
      <c r="T149" s="125"/>
    </row>
    <row r="150" spans="1:20" ht="15" thickBot="1" x14ac:dyDescent="0.4">
      <c r="A150" s="124"/>
      <c r="B150" s="929" t="s">
        <v>1699</v>
      </c>
      <c r="C150" s="930" t="s">
        <v>1738</v>
      </c>
      <c r="D150" s="930" t="str">
        <f>B150&amp;C150</f>
        <v>Domestic Hot WaterNA</v>
      </c>
      <c r="E150" s="931">
        <v>8766</v>
      </c>
      <c r="F150" s="931">
        <v>8766</v>
      </c>
      <c r="G150" s="931">
        <v>8766</v>
      </c>
      <c r="H150" s="931">
        <v>8766</v>
      </c>
      <c r="I150" s="931">
        <v>8766</v>
      </c>
      <c r="J150" s="931">
        <f>E150*$J$162+F150*$J$163+G150*$J$164</f>
        <v>8766</v>
      </c>
      <c r="K150" s="83"/>
      <c r="L150" s="83"/>
      <c r="M150" s="83"/>
      <c r="N150" s="83"/>
      <c r="O150" s="83"/>
      <c r="P150" s="83"/>
      <c r="Q150" s="83"/>
      <c r="R150" s="83"/>
      <c r="S150" s="83"/>
      <c r="T150" s="125"/>
    </row>
    <row r="151" spans="1:20" ht="15" thickBot="1" x14ac:dyDescent="0.4">
      <c r="A151" s="124"/>
      <c r="B151" s="932" t="s">
        <v>1706</v>
      </c>
      <c r="C151" s="83"/>
      <c r="D151" s="83"/>
      <c r="E151" s="83"/>
      <c r="F151" s="83"/>
      <c r="G151" s="83"/>
      <c r="H151" s="83"/>
      <c r="I151" s="83"/>
      <c r="J151" s="933">
        <v>7752</v>
      </c>
      <c r="K151" s="83"/>
      <c r="L151" s="83"/>
      <c r="M151" s="83"/>
      <c r="N151" s="83"/>
      <c r="O151" s="83"/>
      <c r="P151" s="83"/>
      <c r="Q151" s="83"/>
      <c r="R151" s="83"/>
      <c r="S151" s="83"/>
      <c r="T151" s="125"/>
    </row>
    <row r="152" spans="1:20" x14ac:dyDescent="0.35">
      <c r="A152" s="124"/>
      <c r="B152" s="83"/>
      <c r="C152" s="83"/>
      <c r="D152" s="83"/>
      <c r="E152" s="83"/>
      <c r="F152" s="83"/>
      <c r="G152" s="83"/>
      <c r="H152" s="83"/>
      <c r="I152" s="2333" t="s">
        <v>1774</v>
      </c>
      <c r="J152" s="2333"/>
      <c r="K152" s="83"/>
      <c r="L152" s="83"/>
      <c r="M152" s="83"/>
      <c r="N152" s="83"/>
      <c r="O152" s="83"/>
      <c r="P152" s="83"/>
      <c r="Q152" s="83"/>
      <c r="R152" s="83"/>
      <c r="S152" s="83"/>
      <c r="T152" s="125"/>
    </row>
    <row r="153" spans="1:20" x14ac:dyDescent="0.35">
      <c r="A153" s="124"/>
      <c r="B153" s="83"/>
      <c r="C153" s="83"/>
      <c r="D153" s="83"/>
      <c r="E153" s="83"/>
      <c r="F153" s="83"/>
      <c r="G153" s="83"/>
      <c r="H153" s="83"/>
      <c r="I153" s="62" t="s">
        <v>457</v>
      </c>
      <c r="J153" s="934">
        <v>5039</v>
      </c>
      <c r="K153" s="83"/>
      <c r="L153" s="83"/>
      <c r="M153" s="83"/>
      <c r="N153" s="83"/>
      <c r="O153" s="83"/>
      <c r="P153" s="83"/>
      <c r="Q153" s="83"/>
      <c r="R153" s="83"/>
      <c r="S153" s="83"/>
      <c r="T153" s="125"/>
    </row>
    <row r="154" spans="1:20" x14ac:dyDescent="0.35">
      <c r="A154" s="124"/>
      <c r="B154" s="83"/>
      <c r="C154" s="83"/>
      <c r="D154" s="83"/>
      <c r="E154" s="83"/>
      <c r="F154" s="83"/>
      <c r="G154" s="83"/>
      <c r="H154" s="83"/>
      <c r="I154" s="62" t="s">
        <v>459</v>
      </c>
      <c r="J154" s="934">
        <v>4963</v>
      </c>
      <c r="K154" s="83"/>
      <c r="L154" s="83"/>
      <c r="M154" s="83"/>
      <c r="N154" s="83"/>
      <c r="O154" s="83"/>
      <c r="P154" s="83"/>
      <c r="Q154" s="83"/>
      <c r="R154" s="83"/>
      <c r="S154" s="83"/>
      <c r="T154" s="125"/>
    </row>
    <row r="155" spans="1:20" x14ac:dyDescent="0.35">
      <c r="A155" s="124"/>
      <c r="B155" s="83"/>
      <c r="C155" s="83"/>
      <c r="D155" s="83"/>
      <c r="E155" s="83"/>
      <c r="F155" s="83"/>
      <c r="G155" s="83"/>
      <c r="H155" s="83"/>
      <c r="I155" s="62" t="s">
        <v>461</v>
      </c>
      <c r="J155" s="934">
        <v>4495</v>
      </c>
      <c r="K155" s="83"/>
      <c r="L155" s="83"/>
      <c r="M155" s="83"/>
      <c r="N155" s="83"/>
      <c r="O155" s="83"/>
      <c r="P155" s="83"/>
      <c r="Q155" s="83"/>
      <c r="R155" s="83"/>
      <c r="S155" s="83"/>
      <c r="T155" s="125"/>
    </row>
    <row r="156" spans="1:20" x14ac:dyDescent="0.35">
      <c r="A156" s="124"/>
      <c r="B156" s="83"/>
      <c r="C156" s="83"/>
      <c r="D156" s="83"/>
      <c r="E156" s="83"/>
      <c r="F156" s="83"/>
      <c r="G156" s="83"/>
      <c r="H156" s="83"/>
      <c r="I156" s="62" t="s">
        <v>463</v>
      </c>
      <c r="J156" s="934">
        <v>4021</v>
      </c>
      <c r="K156" s="83"/>
      <c r="L156" s="83"/>
      <c r="M156" s="83"/>
      <c r="N156" s="83"/>
      <c r="O156" s="83"/>
      <c r="P156" s="83"/>
      <c r="Q156" s="83"/>
      <c r="R156" s="83"/>
      <c r="S156" s="83"/>
      <c r="T156" s="125"/>
    </row>
    <row r="157" spans="1:20" x14ac:dyDescent="0.35">
      <c r="A157" s="124"/>
      <c r="B157" s="83"/>
      <c r="C157" s="83"/>
      <c r="D157" s="83"/>
      <c r="E157" s="83"/>
      <c r="F157" s="83"/>
      <c r="G157" s="83"/>
      <c r="H157" s="83"/>
      <c r="I157" s="62" t="s">
        <v>464</v>
      </c>
      <c r="J157" s="934">
        <v>4150</v>
      </c>
      <c r="K157" s="83"/>
      <c r="L157" s="83"/>
      <c r="M157" s="83"/>
      <c r="N157" s="83"/>
      <c r="O157" s="83"/>
      <c r="P157" s="83"/>
      <c r="Q157" s="83"/>
      <c r="R157" s="83"/>
      <c r="S157" s="83"/>
      <c r="T157" s="125"/>
    </row>
    <row r="158" spans="1:20" x14ac:dyDescent="0.35">
      <c r="A158" s="124"/>
      <c r="B158" s="83"/>
      <c r="C158" s="83"/>
      <c r="D158" s="83"/>
      <c r="E158" s="83"/>
      <c r="F158" s="83"/>
      <c r="G158" s="83"/>
      <c r="H158" s="83"/>
      <c r="I158" s="62" t="s">
        <v>738</v>
      </c>
      <c r="J158" s="934">
        <f>J153*$J$162+J154*$J$163+J155*$J$164</f>
        <v>4939</v>
      </c>
      <c r="K158" s="83"/>
      <c r="L158" s="83"/>
      <c r="M158" s="83"/>
      <c r="N158" s="83"/>
      <c r="O158" s="83"/>
      <c r="P158" s="83"/>
      <c r="Q158" s="83"/>
      <c r="R158" s="83"/>
      <c r="S158" s="83"/>
      <c r="T158" s="125"/>
    </row>
    <row r="159" spans="1:20" x14ac:dyDescent="0.35">
      <c r="A159" s="124"/>
      <c r="B159" s="920" t="s">
        <v>838</v>
      </c>
      <c r="C159" s="83"/>
      <c r="D159" s="83"/>
      <c r="E159" s="83"/>
      <c r="F159" s="83"/>
      <c r="G159" s="83"/>
      <c r="H159" s="83"/>
      <c r="I159" s="83"/>
      <c r="J159" s="83"/>
      <c r="K159" s="83"/>
      <c r="L159" s="83"/>
      <c r="M159" s="83"/>
      <c r="N159" s="83"/>
      <c r="O159" s="83"/>
      <c r="P159" s="83"/>
      <c r="Q159" s="83"/>
      <c r="R159" s="83"/>
      <c r="S159" s="83"/>
      <c r="T159" s="125"/>
    </row>
    <row r="160" spans="1:20" x14ac:dyDescent="0.35">
      <c r="A160" s="124"/>
      <c r="B160" s="62" t="s">
        <v>1496</v>
      </c>
      <c r="C160" s="83"/>
      <c r="D160" s="83"/>
      <c r="E160" s="83"/>
      <c r="F160" s="83"/>
      <c r="G160" s="83"/>
      <c r="H160" s="83"/>
      <c r="I160" s="83"/>
      <c r="J160" s="83"/>
      <c r="K160" s="83"/>
      <c r="L160" s="83"/>
      <c r="M160" s="83"/>
      <c r="N160" s="83"/>
      <c r="O160" s="83"/>
      <c r="P160" s="83"/>
      <c r="Q160" s="83"/>
      <c r="R160" s="83"/>
      <c r="S160" s="83"/>
      <c r="T160" s="125"/>
    </row>
    <row r="161" spans="1:20" x14ac:dyDescent="0.35">
      <c r="A161" s="124"/>
      <c r="B161" s="62" t="s">
        <v>1497</v>
      </c>
      <c r="C161" s="83"/>
      <c r="D161" s="83"/>
      <c r="E161" s="83"/>
      <c r="F161" s="83"/>
      <c r="G161" s="83"/>
      <c r="H161" s="2299" t="s">
        <v>1775</v>
      </c>
      <c r="I161" s="2300"/>
      <c r="J161" s="2301"/>
      <c r="K161" s="83"/>
      <c r="L161" s="83"/>
      <c r="M161" s="83"/>
      <c r="N161" s="83"/>
      <c r="O161" s="83"/>
      <c r="P161" s="83"/>
      <c r="Q161" s="83"/>
      <c r="R161" s="83"/>
      <c r="S161" s="83"/>
      <c r="T161" s="125"/>
    </row>
    <row r="162" spans="1:20" x14ac:dyDescent="0.35">
      <c r="A162" s="124"/>
      <c r="B162" s="62" t="s">
        <v>1498</v>
      </c>
      <c r="C162" s="83"/>
      <c r="D162" s="83"/>
      <c r="E162" s="83"/>
      <c r="F162" s="83"/>
      <c r="G162" s="83"/>
      <c r="H162" s="62" t="s">
        <v>457</v>
      </c>
      <c r="I162" s="62" t="s">
        <v>826</v>
      </c>
      <c r="J162" s="361">
        <v>0.3</v>
      </c>
      <c r="K162" s="83"/>
      <c r="L162" s="83"/>
      <c r="M162" s="83"/>
      <c r="N162" s="83"/>
      <c r="O162" s="83"/>
      <c r="P162" s="83"/>
      <c r="Q162" s="83"/>
      <c r="R162" s="83"/>
      <c r="S162" s="83"/>
      <c r="T162" s="125"/>
    </row>
    <row r="163" spans="1:20" x14ac:dyDescent="0.35">
      <c r="A163" s="124"/>
      <c r="B163" s="62" t="s">
        <v>1499</v>
      </c>
      <c r="C163" s="83"/>
      <c r="D163" s="83"/>
      <c r="E163" s="83"/>
      <c r="F163" s="83"/>
      <c r="G163" s="83"/>
      <c r="H163" s="62" t="s">
        <v>459</v>
      </c>
      <c r="I163" s="62" t="s">
        <v>827</v>
      </c>
      <c r="J163" s="361">
        <v>0.6</v>
      </c>
      <c r="K163" s="83"/>
      <c r="L163" s="83"/>
      <c r="M163" s="83"/>
      <c r="N163" s="83"/>
      <c r="O163" s="83"/>
      <c r="P163" s="83"/>
      <c r="Q163" s="83"/>
      <c r="R163" s="83"/>
      <c r="S163" s="83"/>
      <c r="T163" s="125"/>
    </row>
    <row r="164" spans="1:20" x14ac:dyDescent="0.35">
      <c r="A164" s="124"/>
      <c r="B164" s="62" t="s">
        <v>1500</v>
      </c>
      <c r="C164" s="83"/>
      <c r="D164" s="83"/>
      <c r="E164" s="83"/>
      <c r="F164" s="83"/>
      <c r="G164" s="83"/>
      <c r="H164" s="62" t="s">
        <v>461</v>
      </c>
      <c r="I164" s="62" t="s">
        <v>828</v>
      </c>
      <c r="J164" s="361">
        <v>0.1</v>
      </c>
      <c r="K164" s="83"/>
      <c r="L164" s="83"/>
      <c r="M164" s="83"/>
      <c r="N164" s="83"/>
      <c r="O164" s="83"/>
      <c r="P164" s="83"/>
      <c r="Q164" s="83"/>
      <c r="R164" s="83"/>
      <c r="S164" s="83"/>
      <c r="T164" s="125"/>
    </row>
    <row r="165" spans="1:20" x14ac:dyDescent="0.35">
      <c r="A165" s="124"/>
      <c r="B165" s="62" t="s">
        <v>1501</v>
      </c>
      <c r="C165" s="83"/>
      <c r="D165" s="83"/>
      <c r="E165" s="83"/>
      <c r="F165" s="83"/>
      <c r="G165" s="83"/>
      <c r="H165" s="83"/>
      <c r="I165" s="83"/>
      <c r="J165" s="83"/>
      <c r="K165" s="83"/>
      <c r="L165" s="83"/>
      <c r="M165" s="83"/>
      <c r="N165" s="83"/>
      <c r="O165" s="83"/>
      <c r="P165" s="83"/>
      <c r="Q165" s="83"/>
      <c r="R165" s="83"/>
      <c r="S165" s="83"/>
      <c r="T165" s="125"/>
    </row>
    <row r="166" spans="1:20" x14ac:dyDescent="0.35">
      <c r="A166" s="124"/>
      <c r="B166" s="62" t="s">
        <v>1776</v>
      </c>
      <c r="C166" s="83"/>
      <c r="D166" s="83"/>
      <c r="E166" s="83"/>
      <c r="F166" s="83"/>
      <c r="G166" s="83"/>
      <c r="H166" s="83"/>
      <c r="I166" s="83"/>
      <c r="J166" s="83"/>
      <c r="K166" s="83"/>
      <c r="L166" s="83"/>
      <c r="M166" s="83"/>
      <c r="N166" s="83"/>
      <c r="O166" s="83"/>
      <c r="P166" s="83"/>
      <c r="Q166" s="83"/>
      <c r="R166" s="83"/>
      <c r="S166" s="83"/>
      <c r="T166" s="125"/>
    </row>
    <row r="167" spans="1:20" x14ac:dyDescent="0.35">
      <c r="A167" s="124"/>
      <c r="B167" s="62" t="s">
        <v>1502</v>
      </c>
      <c r="C167" s="83"/>
      <c r="D167" s="83"/>
      <c r="E167" s="83"/>
      <c r="F167" s="83"/>
      <c r="G167" s="83"/>
      <c r="H167" s="83"/>
      <c r="I167" s="83"/>
      <c r="J167" s="83"/>
      <c r="K167" s="83"/>
      <c r="L167" s="83"/>
      <c r="M167" s="83"/>
      <c r="N167" s="83"/>
      <c r="O167" s="83"/>
      <c r="P167" s="83"/>
      <c r="Q167" s="83"/>
      <c r="R167" s="83"/>
      <c r="S167" s="83"/>
      <c r="T167" s="125"/>
    </row>
    <row r="168" spans="1:20" x14ac:dyDescent="0.35">
      <c r="A168" s="124"/>
      <c r="B168" s="62" t="s">
        <v>1503</v>
      </c>
      <c r="C168" s="83"/>
      <c r="D168" s="83"/>
      <c r="E168" s="83"/>
      <c r="F168" s="83"/>
      <c r="G168" s="83"/>
      <c r="H168" s="83"/>
      <c r="I168" s="83"/>
      <c r="J168" s="83"/>
      <c r="K168" s="83"/>
      <c r="L168" s="83"/>
      <c r="M168" s="83"/>
      <c r="N168" s="83"/>
      <c r="O168" s="83"/>
      <c r="P168" s="83"/>
      <c r="Q168" s="83"/>
      <c r="R168" s="83"/>
      <c r="S168" s="83"/>
      <c r="T168" s="125"/>
    </row>
    <row r="169" spans="1:20" x14ac:dyDescent="0.35">
      <c r="A169" s="124"/>
      <c r="B169" s="62" t="s">
        <v>1504</v>
      </c>
      <c r="C169" s="83"/>
      <c r="D169" s="83"/>
      <c r="E169" s="83"/>
      <c r="F169" s="83"/>
      <c r="G169" s="83"/>
      <c r="H169" s="83"/>
      <c r="I169" s="83"/>
      <c r="J169" s="83"/>
      <c r="K169" s="83"/>
      <c r="L169" s="83"/>
      <c r="M169" s="83"/>
      <c r="N169" s="83"/>
      <c r="O169" s="83"/>
      <c r="P169" s="83"/>
      <c r="Q169" s="83"/>
      <c r="R169" s="83"/>
      <c r="S169" s="83"/>
      <c r="T169" s="125"/>
    </row>
    <row r="170" spans="1:20" x14ac:dyDescent="0.35">
      <c r="A170" s="124"/>
      <c r="B170" s="62" t="s">
        <v>1505</v>
      </c>
      <c r="C170" s="83"/>
      <c r="D170" s="83"/>
      <c r="E170" s="83"/>
      <c r="F170" s="83"/>
      <c r="G170" s="83"/>
      <c r="H170" s="83"/>
      <c r="I170" s="83"/>
      <c r="J170" s="83"/>
      <c r="K170" s="83"/>
      <c r="L170" s="83"/>
      <c r="M170" s="83"/>
      <c r="N170" s="83"/>
      <c r="O170" s="83"/>
      <c r="P170" s="83"/>
      <c r="Q170" s="83"/>
      <c r="R170" s="83"/>
      <c r="S170" s="83"/>
      <c r="T170" s="125"/>
    </row>
    <row r="171" spans="1:20" x14ac:dyDescent="0.35">
      <c r="A171" s="124"/>
      <c r="B171" s="62" t="s">
        <v>1506</v>
      </c>
      <c r="C171" s="83"/>
      <c r="D171" s="83"/>
      <c r="E171" s="83"/>
      <c r="F171" s="83"/>
      <c r="G171" s="83"/>
      <c r="H171" s="83"/>
      <c r="I171" s="83"/>
      <c r="J171" s="83"/>
      <c r="K171" s="83"/>
      <c r="L171" s="83"/>
      <c r="M171" s="83"/>
      <c r="N171" s="83"/>
      <c r="O171" s="83"/>
      <c r="P171" s="83"/>
      <c r="Q171" s="83"/>
      <c r="R171" s="83"/>
      <c r="S171" s="83"/>
      <c r="T171" s="125"/>
    </row>
    <row r="172" spans="1:20" x14ac:dyDescent="0.35">
      <c r="A172" s="124"/>
      <c r="B172" s="62" t="s">
        <v>1507</v>
      </c>
      <c r="C172" s="83"/>
      <c r="D172" s="83"/>
      <c r="E172" s="83"/>
      <c r="F172" s="83"/>
      <c r="G172" s="83"/>
      <c r="H172" s="83"/>
      <c r="I172" s="83"/>
      <c r="J172" s="83"/>
      <c r="K172" s="83"/>
      <c r="L172" s="83"/>
      <c r="M172" s="83"/>
      <c r="N172" s="83"/>
      <c r="O172" s="83"/>
      <c r="P172" s="83"/>
      <c r="Q172" s="83"/>
      <c r="R172" s="83"/>
      <c r="S172" s="83"/>
      <c r="T172" s="125"/>
    </row>
    <row r="173" spans="1:20" x14ac:dyDescent="0.35">
      <c r="A173" s="124"/>
      <c r="B173" s="62" t="s">
        <v>1508</v>
      </c>
      <c r="C173" s="83"/>
      <c r="D173" s="83"/>
      <c r="E173" s="83"/>
      <c r="F173" s="83"/>
      <c r="G173" s="83"/>
      <c r="H173" s="83"/>
      <c r="I173" s="83"/>
      <c r="J173" s="83"/>
      <c r="K173" s="83"/>
      <c r="L173" s="83"/>
      <c r="M173" s="83"/>
      <c r="N173" s="83"/>
      <c r="O173" s="83"/>
      <c r="P173" s="83"/>
      <c r="Q173" s="83"/>
      <c r="R173" s="83"/>
      <c r="S173" s="83"/>
      <c r="T173" s="125"/>
    </row>
    <row r="174" spans="1:20" x14ac:dyDescent="0.35">
      <c r="A174" s="124"/>
      <c r="B174" s="62" t="s">
        <v>1509</v>
      </c>
      <c r="C174" s="83"/>
      <c r="D174" s="83"/>
      <c r="E174" s="83"/>
      <c r="F174" s="83"/>
      <c r="G174" s="83"/>
      <c r="H174" s="83"/>
      <c r="I174" s="83"/>
      <c r="J174" s="83"/>
      <c r="K174" s="83"/>
      <c r="L174" s="83"/>
      <c r="M174" s="83"/>
      <c r="N174" s="83"/>
      <c r="O174" s="83"/>
      <c r="P174" s="83"/>
      <c r="Q174" s="83"/>
      <c r="R174" s="83"/>
      <c r="S174" s="83"/>
      <c r="T174" s="125"/>
    </row>
    <row r="175" spans="1:20" x14ac:dyDescent="0.35">
      <c r="A175" s="124"/>
      <c r="B175" s="62" t="s">
        <v>1510</v>
      </c>
      <c r="C175" s="83"/>
      <c r="D175" s="83"/>
      <c r="E175" s="83"/>
      <c r="F175" s="83"/>
      <c r="G175" s="83"/>
      <c r="H175" s="83"/>
      <c r="I175" s="83"/>
      <c r="J175" s="83"/>
      <c r="K175" s="83"/>
      <c r="L175" s="83"/>
      <c r="M175" s="83"/>
      <c r="N175" s="83"/>
      <c r="O175" s="83"/>
      <c r="P175" s="83"/>
      <c r="Q175" s="83"/>
      <c r="R175" s="83"/>
      <c r="S175" s="83"/>
      <c r="T175" s="125"/>
    </row>
    <row r="176" spans="1:20" ht="15" thickBot="1" x14ac:dyDescent="0.4">
      <c r="A176" s="124"/>
      <c r="B176" s="935" t="s">
        <v>399</v>
      </c>
      <c r="C176" s="83"/>
      <c r="D176" s="83"/>
      <c r="E176" s="83"/>
      <c r="F176" s="83"/>
      <c r="G176" s="83"/>
      <c r="H176" s="83"/>
      <c r="I176" s="83"/>
      <c r="J176" s="83"/>
      <c r="K176" s="83"/>
      <c r="L176" s="83"/>
      <c r="M176" s="83"/>
      <c r="N176" s="83"/>
      <c r="O176" s="83"/>
      <c r="P176" s="83"/>
      <c r="Q176" s="83"/>
      <c r="R176" s="83"/>
      <c r="S176" s="83"/>
      <c r="T176" s="125"/>
    </row>
    <row r="177" spans="1:20" ht="15" thickTop="1" x14ac:dyDescent="0.35">
      <c r="A177" s="124"/>
      <c r="B177" s="936" t="s">
        <v>1738</v>
      </c>
      <c r="C177" s="83"/>
      <c r="D177" s="83"/>
      <c r="E177" s="83"/>
      <c r="F177" s="83"/>
      <c r="G177" s="83"/>
      <c r="H177" s="83"/>
      <c r="I177" s="83"/>
      <c r="J177" s="83"/>
      <c r="K177" s="83"/>
      <c r="L177" s="83"/>
      <c r="M177" s="83"/>
      <c r="N177" s="83"/>
      <c r="O177" s="83"/>
      <c r="P177" s="83"/>
      <c r="Q177" s="83"/>
      <c r="R177" s="83"/>
      <c r="S177" s="83"/>
      <c r="T177" s="125"/>
    </row>
    <row r="178" spans="1:20" x14ac:dyDescent="0.35">
      <c r="A178" s="124"/>
      <c r="B178" s="83"/>
      <c r="C178" s="83"/>
      <c r="D178" s="83"/>
      <c r="E178" s="83"/>
      <c r="F178" s="83"/>
      <c r="G178" s="83"/>
      <c r="H178" s="83"/>
      <c r="I178" s="83"/>
      <c r="J178" s="83"/>
      <c r="K178" s="83"/>
      <c r="L178" s="83"/>
      <c r="M178" s="83"/>
      <c r="N178" s="83"/>
      <c r="O178" s="83"/>
      <c r="P178" s="83"/>
      <c r="Q178" s="83"/>
      <c r="R178" s="83"/>
      <c r="S178" s="83"/>
      <c r="T178" s="125"/>
    </row>
    <row r="179" spans="1:20" ht="15" thickBot="1" x14ac:dyDescent="0.4">
      <c r="A179" s="321"/>
      <c r="B179" s="201"/>
      <c r="C179" s="201"/>
      <c r="D179" s="201"/>
      <c r="E179" s="201"/>
      <c r="F179" s="201"/>
      <c r="G179" s="201"/>
      <c r="H179" s="201"/>
      <c r="I179" s="201"/>
      <c r="J179" s="201"/>
      <c r="K179" s="201"/>
      <c r="L179" s="201"/>
      <c r="M179" s="201"/>
      <c r="N179" s="201"/>
      <c r="O179" s="201"/>
      <c r="P179" s="201"/>
      <c r="Q179" s="201"/>
      <c r="R179" s="201"/>
      <c r="S179" s="201"/>
      <c r="T179" s="203"/>
    </row>
  </sheetData>
  <dataConsolidate/>
  <customSheetViews>
    <customSheetView guid="{11DE45F5-F478-4ED6-8DFF-12002C22A637}" scale="85" showPageBreaks="1" fitToPage="1" view="pageBreakPreview">
      <pageMargins left="0.7" right="0.7" top="0.75" bottom="0.75" header="0.3" footer="0.3"/>
      <pageSetup scale="16" orientation="portrait" r:id="rId1"/>
    </customSheetView>
    <customSheetView guid="{ECD6FE6A-9548-414E-B8AA-6998703C57E0}" scale="85" showPageBreaks="1" fitToPage="1" view="pageBreakPreview">
      <pageMargins left="0.7" right="0.7" top="0.75" bottom="0.75" header="0.3" footer="0.3"/>
      <pageSetup scale="16" orientation="portrait" r:id="rId2"/>
    </customSheetView>
  </customSheetViews>
  <mergeCells count="24">
    <mergeCell ref="X1:AC1"/>
    <mergeCell ref="C47:I47"/>
    <mergeCell ref="B60:N60"/>
    <mergeCell ref="C70:H70"/>
    <mergeCell ref="I70:N70"/>
    <mergeCell ref="R1:T1"/>
    <mergeCell ref="U1:W1"/>
    <mergeCell ref="C61:H61"/>
    <mergeCell ref="I61:N61"/>
    <mergeCell ref="P61:R61"/>
    <mergeCell ref="C62:E62"/>
    <mergeCell ref="B69:N69"/>
    <mergeCell ref="H161:J161"/>
    <mergeCell ref="C71:E71"/>
    <mergeCell ref="A85:G85"/>
    <mergeCell ref="B93:C93"/>
    <mergeCell ref="B99:B101"/>
    <mergeCell ref="C100:C101"/>
    <mergeCell ref="D100:D101"/>
    <mergeCell ref="C108:D108"/>
    <mergeCell ref="B136:C136"/>
    <mergeCell ref="B145:J145"/>
    <mergeCell ref="E146:J146"/>
    <mergeCell ref="I152:J152"/>
  </mergeCells>
  <dataValidations count="10">
    <dataValidation type="list" allowBlank="1" showInputMessage="1" showErrorMessage="1" sqref="K21:L21 I21" xr:uid="{00000000-0002-0000-1C00-000000000000}">
      <formula1>$G$129:$G$134</formula1>
    </dataValidation>
    <dataValidation type="list" allowBlank="1" showInputMessage="1" showErrorMessage="1" sqref="I3:I20" xr:uid="{00000000-0002-0000-1C00-000001000000}">
      <formula1>$C$137:$C$139</formula1>
    </dataValidation>
    <dataValidation type="list" allowBlank="1" showInputMessage="1" showErrorMessage="1" sqref="J21 H3:H17" xr:uid="{00000000-0002-0000-1C00-000002000000}">
      <formula1>$B$133:$B$134</formula1>
    </dataValidation>
    <dataValidation type="list" allowBlank="1" showInputMessage="1" showErrorMessage="1" sqref="N21" xr:uid="{00000000-0002-0000-1C00-000003000000}">
      <formula1>$B$121:$B$125</formula1>
    </dataValidation>
    <dataValidation type="list" allowBlank="1" showInputMessage="1" showErrorMessage="1" sqref="G21:H21" xr:uid="{00000000-0002-0000-1C00-000004000000}">
      <formula1>$B$118:$B$119</formula1>
    </dataValidation>
    <dataValidation type="list" allowBlank="1" showInputMessage="1" showErrorMessage="1" sqref="D3:D20" xr:uid="{00000000-0002-0000-1C00-000005000000}">
      <formula1>MeasureType</formula1>
    </dataValidation>
    <dataValidation type="list" allowBlank="1" showInputMessage="1" showErrorMessage="1" sqref="M21" xr:uid="{00000000-0002-0000-1C00-000006000000}">
      <formula1>IF(COUNTIF(System1, K21) = 1, INDIRECT($H$34), INDIRECT($H$35))</formula1>
    </dataValidation>
    <dataValidation type="list" allowBlank="1" showInputMessage="1" showErrorMessage="1" sqref="J3:J20" xr:uid="{00000000-0002-0000-1C00-000007000000}">
      <formula1>IF(I3=$C$137,$B$79,$B$79:$B$82)</formula1>
    </dataValidation>
    <dataValidation type="list" allowBlank="1" showInputMessage="1" showErrorMessage="1" sqref="L3:L20" xr:uid="{00000000-0002-0000-1C00-000008000000}">
      <formula1>IF(I3=$C$137,$B$67,$B$137:$B$139)</formula1>
    </dataValidation>
    <dataValidation type="list" allowBlank="1" showInputMessage="1" showErrorMessage="1" sqref="E3:E21" xr:uid="{00000000-0002-0000-1C00-000009000000}">
      <formula1>$B$130:$B$131</formula1>
    </dataValidation>
  </dataValidations>
  <pageMargins left="0.7" right="0.7" top="0.75" bottom="0.75" header="0.3" footer="0.3"/>
  <pageSetup scale="17"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A000000}">
          <x14:formula1>
            <xm:f>'T:\EEP Planning Models\Planning Tools\Measure_Data\Custom TRM EEP 3\[HIM_CI_TRMv5 0.xlsx]List'!#REF!</xm:f>
          </x14:formula1>
          <xm:sqref>M3:N20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0F3D-2761-4D9A-AA0F-4E57B212D3F3}">
  <dimension ref="A1:BZ311"/>
  <sheetViews>
    <sheetView tabSelected="1" zoomScale="70" zoomScaleNormal="70" zoomScaleSheetLayoutView="70" workbookViewId="0">
      <pane xSplit="4" ySplit="7" topLeftCell="E8" activePane="bottomRight" state="frozen"/>
      <selection pane="topRight" activeCell="E1" sqref="E1"/>
      <selection pane="bottomLeft" activeCell="A8" sqref="A8"/>
      <selection pane="bottomRight" activeCell="B8" sqref="B8"/>
    </sheetView>
  </sheetViews>
  <sheetFormatPr defaultRowHeight="18.5" x14ac:dyDescent="0.45"/>
  <cols>
    <col min="1" max="1" width="19.1796875" customWidth="1"/>
    <col min="2" max="2" width="52.7265625" customWidth="1"/>
    <col min="3" max="3" width="14.1796875" customWidth="1"/>
    <col min="4" max="4" width="25.7265625" customWidth="1"/>
    <col min="5" max="5" width="17.81640625" customWidth="1"/>
    <col min="6" max="9" width="18" customWidth="1"/>
    <col min="10" max="10" width="28.7265625" customWidth="1"/>
    <col min="11" max="11" width="40.54296875" bestFit="1" customWidth="1"/>
    <col min="12" max="12" width="15.453125" customWidth="1"/>
    <col min="13" max="13" width="15.7265625" customWidth="1"/>
    <col min="14" max="15" width="15" customWidth="1"/>
    <col min="16" max="19" width="18.81640625" customWidth="1"/>
    <col min="20" max="21" width="17.453125" customWidth="1"/>
    <col min="22" max="22" width="19.54296875" customWidth="1"/>
    <col min="23" max="23" width="17.453125" customWidth="1"/>
    <col min="24" max="24" width="17" customWidth="1"/>
    <col min="25" max="25" width="29.1796875" customWidth="1"/>
    <col min="26" max="26" width="28.7265625" customWidth="1"/>
    <col min="27" max="27" width="15.1796875" customWidth="1"/>
    <col min="28" max="28" width="23.7265625" customWidth="1"/>
    <col min="29" max="29" width="22.453125" customWidth="1"/>
    <col min="30" max="30" width="24" customWidth="1"/>
    <col min="31" max="31" width="29.26953125" customWidth="1"/>
    <col min="32" max="32" width="29.1796875" customWidth="1"/>
    <col min="33" max="33" width="20.26953125" customWidth="1"/>
    <col min="34" max="34" width="40.453125" style="1973" customWidth="1"/>
    <col min="35" max="35" width="27.453125" customWidth="1"/>
    <col min="36" max="36" width="24.1796875" customWidth="1"/>
    <col min="37" max="37" width="29" customWidth="1"/>
    <col min="38" max="38" width="29.26953125" customWidth="1"/>
    <col min="39" max="39" width="13.54296875" customWidth="1"/>
    <col min="40" max="40" width="42.453125" customWidth="1"/>
    <col min="41" max="41" width="23" customWidth="1"/>
    <col min="42" max="42" width="25.7265625" customWidth="1"/>
    <col min="43" max="43" width="29" customWidth="1"/>
    <col min="44" max="44" width="29.26953125" customWidth="1"/>
    <col min="45" max="45" width="13.54296875" customWidth="1"/>
    <col min="46" max="46" width="42.453125" customWidth="1"/>
    <col min="47" max="47" width="23" customWidth="1"/>
    <col min="48" max="48" width="25.7265625" customWidth="1"/>
    <col min="49" max="51" width="43.453125" customWidth="1"/>
    <col min="52" max="52" width="49.7265625" customWidth="1"/>
    <col min="53" max="53" width="43.453125" customWidth="1"/>
    <col min="54" max="54" width="49.453125" customWidth="1"/>
    <col min="55" max="55" width="37.26953125" customWidth="1"/>
    <col min="56" max="56" width="17.81640625" bestFit="1" customWidth="1"/>
    <col min="57" max="60" width="20.1796875" customWidth="1"/>
    <col min="61" max="61" width="21.453125" customWidth="1"/>
    <col min="62" max="62" width="24.26953125" customWidth="1"/>
    <col min="63" max="63" width="23" customWidth="1"/>
    <col min="64" max="64" width="21.453125" customWidth="1"/>
    <col min="65" max="65" width="23.81640625" customWidth="1"/>
    <col min="66" max="66" width="19.26953125" style="1838" customWidth="1"/>
    <col min="67" max="67" width="19.453125" style="1838" customWidth="1"/>
    <col min="68" max="68" width="20.26953125" style="1838" customWidth="1"/>
    <col min="69" max="69" width="19" style="1838" customWidth="1"/>
    <col min="70" max="70" width="24.1796875" style="1839" customWidth="1"/>
    <col min="71" max="74" width="25.453125" style="1839" customWidth="1"/>
    <col min="75" max="75" width="14.54296875" style="1831" customWidth="1"/>
    <col min="76" max="76" width="9.1796875" style="1831"/>
    <col min="77" max="77" width="19" style="1831" customWidth="1"/>
  </cols>
  <sheetData>
    <row r="1" spans="1:77" ht="24" customHeight="1" x14ac:dyDescent="0.45">
      <c r="A1" s="58" t="s">
        <v>145</v>
      </c>
      <c r="B1" s="1592"/>
      <c r="H1" s="1831" t="s">
        <v>3348</v>
      </c>
      <c r="I1" s="1831" t="s">
        <v>2578</v>
      </c>
    </row>
    <row r="2" spans="1:77" ht="18.75" customHeight="1" x14ac:dyDescent="0.45">
      <c r="A2" s="59" t="s">
        <v>3531</v>
      </c>
      <c r="B2" s="1592"/>
      <c r="AW2" s="24"/>
    </row>
    <row r="3" spans="1:77" s="1389" customFormat="1" ht="18.75" customHeight="1" x14ac:dyDescent="0.35">
      <c r="A3" s="1593" t="s">
        <v>146</v>
      </c>
      <c r="BD3" s="1976"/>
      <c r="BE3" s="1976"/>
      <c r="BF3" s="1976"/>
      <c r="BG3" s="1976"/>
      <c r="BH3" s="1976"/>
      <c r="BI3" s="2046"/>
      <c r="BJ3" s="2046"/>
      <c r="BK3" s="2046"/>
      <c r="BL3" s="2046"/>
      <c r="BM3" s="2046"/>
      <c r="BN3" s="2046"/>
      <c r="BO3" s="2046"/>
      <c r="BP3" s="2046"/>
      <c r="BQ3" s="2046"/>
      <c r="BR3" s="2046"/>
      <c r="BS3" s="2046"/>
      <c r="BT3" s="2046"/>
      <c r="BU3" s="2046"/>
      <c r="BV3" s="2046"/>
      <c r="BW3" s="2064"/>
      <c r="BX3" s="2064"/>
      <c r="BY3" s="2064"/>
    </row>
    <row r="4" spans="1:77" s="1605" customFormat="1" ht="31.5" customHeight="1" x14ac:dyDescent="0.35">
      <c r="A4" s="1624"/>
      <c r="B4" s="1625"/>
      <c r="C4" s="1625"/>
      <c r="D4" s="1625"/>
      <c r="E4" s="2179" t="s">
        <v>20</v>
      </c>
      <c r="F4" s="2180"/>
      <c r="G4" s="2180"/>
      <c r="H4" s="2180"/>
      <c r="I4" s="2181"/>
      <c r="J4" s="2176" t="s">
        <v>13</v>
      </c>
      <c r="K4" s="2177"/>
      <c r="L4" s="2177"/>
      <c r="M4" s="2177"/>
      <c r="N4" s="2177"/>
      <c r="O4" s="2178"/>
      <c r="P4" s="2176" t="s">
        <v>13</v>
      </c>
      <c r="Q4" s="2177"/>
      <c r="R4" s="2177"/>
      <c r="S4" s="2177"/>
      <c r="T4" s="2177"/>
      <c r="U4" s="2177"/>
      <c r="V4" s="2177"/>
      <c r="W4" s="2177"/>
      <c r="X4" s="2178"/>
      <c r="Y4" s="2182" t="s">
        <v>2938</v>
      </c>
      <c r="Z4" s="2183"/>
      <c r="AA4" s="2183"/>
      <c r="AB4" s="2183"/>
      <c r="AC4" s="2183"/>
      <c r="AD4" s="2184"/>
      <c r="AE4" s="2185" t="s">
        <v>2939</v>
      </c>
      <c r="AF4" s="2186"/>
      <c r="AG4" s="2186"/>
      <c r="AH4" s="2186"/>
      <c r="AI4" s="2186"/>
      <c r="AJ4" s="2187"/>
      <c r="AK4" s="2139" t="s">
        <v>2940</v>
      </c>
      <c r="AL4" s="2140"/>
      <c r="AM4" s="2140"/>
      <c r="AN4" s="2140"/>
      <c r="AO4" s="2140"/>
      <c r="AP4" s="2141"/>
      <c r="AQ4" s="2142" t="s">
        <v>2941</v>
      </c>
      <c r="AR4" s="2143"/>
      <c r="AS4" s="2143"/>
      <c r="AT4" s="2143"/>
      <c r="AU4" s="2143"/>
      <c r="AV4" s="2144"/>
      <c r="AW4" s="2158" t="s">
        <v>21</v>
      </c>
      <c r="AX4" s="2159"/>
      <c r="AY4" s="2159"/>
      <c r="AZ4" s="2159"/>
      <c r="BA4" s="2160"/>
      <c r="BB4" s="2164" t="s">
        <v>40</v>
      </c>
      <c r="BC4" s="2164"/>
      <c r="BD4" s="2165" t="s">
        <v>3470</v>
      </c>
      <c r="BE4" s="2167" t="s">
        <v>3490</v>
      </c>
      <c r="BF4" s="2168"/>
      <c r="BG4" s="2168"/>
      <c r="BH4" s="2169"/>
      <c r="BI4" s="2167" t="s">
        <v>3489</v>
      </c>
      <c r="BJ4" s="2168"/>
      <c r="BK4" s="2168"/>
      <c r="BL4" s="2168"/>
      <c r="BM4" s="2169"/>
      <c r="BN4" s="2145" t="s">
        <v>3470</v>
      </c>
      <c r="BO4" s="2146"/>
      <c r="BP4" s="2146"/>
      <c r="BQ4" s="2147"/>
      <c r="BR4" s="2151" t="s">
        <v>3488</v>
      </c>
      <c r="BS4" s="2151"/>
      <c r="BT4" s="2151"/>
      <c r="BU4" s="2151"/>
      <c r="BV4" s="2151"/>
      <c r="BW4" s="2065"/>
      <c r="BX4" s="2065"/>
      <c r="BY4" s="2065"/>
    </row>
    <row r="5" spans="1:77" s="1595" customFormat="1" ht="49.5" customHeight="1" x14ac:dyDescent="0.35">
      <c r="A5" s="1626"/>
      <c r="B5" s="1627"/>
      <c r="C5" s="1627"/>
      <c r="D5" s="1627"/>
      <c r="E5" s="2173" t="s">
        <v>55</v>
      </c>
      <c r="F5" s="2174"/>
      <c r="G5" s="2174"/>
      <c r="H5" s="2174"/>
      <c r="I5" s="2175"/>
      <c r="J5" s="2176" t="s">
        <v>2942</v>
      </c>
      <c r="K5" s="2177"/>
      <c r="L5" s="2177"/>
      <c r="M5" s="2177"/>
      <c r="N5" s="2177"/>
      <c r="O5" s="2178"/>
      <c r="P5" s="2173" t="s">
        <v>3350</v>
      </c>
      <c r="Q5" s="2174"/>
      <c r="R5" s="2174"/>
      <c r="S5" s="2175"/>
      <c r="T5" s="2176" t="s">
        <v>2943</v>
      </c>
      <c r="U5" s="2177"/>
      <c r="V5" s="2177"/>
      <c r="W5" s="2177"/>
      <c r="X5" s="2178"/>
      <c r="Y5" s="2188" t="s">
        <v>2944</v>
      </c>
      <c r="Z5" s="2189"/>
      <c r="AA5" s="2189"/>
      <c r="AB5" s="2190"/>
      <c r="AC5" s="12" t="s">
        <v>2932</v>
      </c>
      <c r="AD5" s="12" t="s">
        <v>2933</v>
      </c>
      <c r="AE5" s="2191" t="s">
        <v>2945</v>
      </c>
      <c r="AF5" s="2133"/>
      <c r="AG5" s="2133"/>
      <c r="AH5" s="2192"/>
      <c r="AI5" s="13" t="s">
        <v>2932</v>
      </c>
      <c r="AJ5" s="13" t="s">
        <v>2933</v>
      </c>
      <c r="AK5" s="2152" t="s">
        <v>2946</v>
      </c>
      <c r="AL5" s="2153"/>
      <c r="AM5" s="2153"/>
      <c r="AN5" s="2154"/>
      <c r="AO5" s="15" t="s">
        <v>2932</v>
      </c>
      <c r="AP5" s="15" t="s">
        <v>2933</v>
      </c>
      <c r="AQ5" s="2155" t="s">
        <v>2947</v>
      </c>
      <c r="AR5" s="2156"/>
      <c r="AS5" s="2156"/>
      <c r="AT5" s="2157"/>
      <c r="AU5" s="1594" t="s">
        <v>2932</v>
      </c>
      <c r="AV5" s="1594" t="s">
        <v>2933</v>
      </c>
      <c r="AW5" s="2161"/>
      <c r="AX5" s="2162"/>
      <c r="AY5" s="2162"/>
      <c r="AZ5" s="2162"/>
      <c r="BA5" s="2163"/>
      <c r="BB5" s="40" t="s">
        <v>2948</v>
      </c>
      <c r="BC5" s="55" t="s">
        <v>58</v>
      </c>
      <c r="BD5" s="2166"/>
      <c r="BE5" s="2170"/>
      <c r="BF5" s="2171"/>
      <c r="BG5" s="2171"/>
      <c r="BH5" s="2172"/>
      <c r="BI5" s="2170"/>
      <c r="BJ5" s="2171"/>
      <c r="BK5" s="2171"/>
      <c r="BL5" s="2171"/>
      <c r="BM5" s="2172"/>
      <c r="BN5" s="2148"/>
      <c r="BO5" s="2149"/>
      <c r="BP5" s="2149"/>
      <c r="BQ5" s="2150"/>
      <c r="BR5" s="2151"/>
      <c r="BS5" s="2151"/>
      <c r="BT5" s="2151"/>
      <c r="BU5" s="2151"/>
      <c r="BV5" s="2151"/>
      <c r="BW5" s="2066"/>
      <c r="BX5" s="2066"/>
      <c r="BY5" s="2066"/>
    </row>
    <row r="6" spans="1:77" s="1595" customFormat="1" ht="74.25" customHeight="1" x14ac:dyDescent="0.35">
      <c r="A6" s="17" t="s">
        <v>0</v>
      </c>
      <c r="B6" s="17" t="s">
        <v>1</v>
      </c>
      <c r="C6" s="1628" t="s">
        <v>57</v>
      </c>
      <c r="D6" s="1628" t="s">
        <v>23</v>
      </c>
      <c r="E6" s="1629" t="s">
        <v>2</v>
      </c>
      <c r="F6" s="21" t="s">
        <v>2949</v>
      </c>
      <c r="G6" s="21" t="s">
        <v>2950</v>
      </c>
      <c r="H6" s="21" t="s">
        <v>2951</v>
      </c>
      <c r="I6" s="21" t="s">
        <v>2952</v>
      </c>
      <c r="J6" s="1630" t="s">
        <v>2953</v>
      </c>
      <c r="K6" s="1630" t="s">
        <v>29</v>
      </c>
      <c r="L6" s="1630" t="s">
        <v>2954</v>
      </c>
      <c r="M6" s="1630" t="s">
        <v>2955</v>
      </c>
      <c r="N6" s="1630" t="s">
        <v>2956</v>
      </c>
      <c r="O6" s="1630" t="s">
        <v>2957</v>
      </c>
      <c r="P6" s="21" t="s">
        <v>3351</v>
      </c>
      <c r="Q6" s="21" t="s">
        <v>3352</v>
      </c>
      <c r="R6" s="21" t="s">
        <v>3353</v>
      </c>
      <c r="S6" s="21" t="s">
        <v>3354</v>
      </c>
      <c r="T6" s="1630" t="s">
        <v>2958</v>
      </c>
      <c r="U6" s="1630" t="s">
        <v>2959</v>
      </c>
      <c r="V6" s="1630" t="s">
        <v>2960</v>
      </c>
      <c r="W6" s="1630" t="s">
        <v>2961</v>
      </c>
      <c r="X6" s="1630" t="s">
        <v>2962</v>
      </c>
      <c r="Y6" s="1631" t="s">
        <v>2963</v>
      </c>
      <c r="Z6" s="1631" t="s">
        <v>29</v>
      </c>
      <c r="AA6" s="1631" t="s">
        <v>2964</v>
      </c>
      <c r="AB6" s="1631" t="s">
        <v>3</v>
      </c>
      <c r="AC6" s="1631" t="s">
        <v>2965</v>
      </c>
      <c r="AD6" s="1631" t="s">
        <v>2966</v>
      </c>
      <c r="AE6" s="1632" t="s">
        <v>2967</v>
      </c>
      <c r="AF6" s="1632" t="s">
        <v>29</v>
      </c>
      <c r="AG6" s="1632" t="s">
        <v>2968</v>
      </c>
      <c r="AH6" s="1632" t="s">
        <v>3</v>
      </c>
      <c r="AI6" s="1632" t="s">
        <v>2969</v>
      </c>
      <c r="AJ6" s="1632" t="s">
        <v>2970</v>
      </c>
      <c r="AK6" s="1633" t="s">
        <v>2971</v>
      </c>
      <c r="AL6" s="1633" t="s">
        <v>29</v>
      </c>
      <c r="AM6" s="1633" t="s">
        <v>2972</v>
      </c>
      <c r="AN6" s="1633" t="s">
        <v>3</v>
      </c>
      <c r="AO6" s="1633" t="s">
        <v>2973</v>
      </c>
      <c r="AP6" s="1633" t="s">
        <v>2974</v>
      </c>
      <c r="AQ6" s="1634" t="s">
        <v>2975</v>
      </c>
      <c r="AR6" s="1634" t="s">
        <v>29</v>
      </c>
      <c r="AS6" s="1634" t="s">
        <v>2976</v>
      </c>
      <c r="AT6" s="1634" t="s">
        <v>3</v>
      </c>
      <c r="AU6" s="1634" t="s">
        <v>2977</v>
      </c>
      <c r="AV6" s="1634" t="s">
        <v>2978</v>
      </c>
      <c r="AW6" s="1835" t="s">
        <v>2979</v>
      </c>
      <c r="AX6" s="47" t="s">
        <v>2980</v>
      </c>
      <c r="AY6" s="1836" t="s">
        <v>2981</v>
      </c>
      <c r="AZ6" s="1837" t="s">
        <v>2982</v>
      </c>
      <c r="BA6" s="48" t="s">
        <v>2983</v>
      </c>
      <c r="BB6" s="41" t="s">
        <v>50</v>
      </c>
      <c r="BC6" s="56" t="s">
        <v>42</v>
      </c>
      <c r="BD6" s="1628" t="s">
        <v>3515</v>
      </c>
      <c r="BE6" s="2120" t="s">
        <v>3462</v>
      </c>
      <c r="BF6" s="2120" t="s">
        <v>3463</v>
      </c>
      <c r="BG6" s="2120" t="s">
        <v>3464</v>
      </c>
      <c r="BH6" s="2120" t="s">
        <v>3465</v>
      </c>
      <c r="BI6" s="2120" t="s">
        <v>3517</v>
      </c>
      <c r="BJ6" s="2120" t="s">
        <v>3518</v>
      </c>
      <c r="BK6" s="2120" t="s">
        <v>3519</v>
      </c>
      <c r="BL6" s="2120" t="s">
        <v>3520</v>
      </c>
      <c r="BM6" s="2120" t="s">
        <v>3521</v>
      </c>
      <c r="BN6" s="2060" t="s">
        <v>3522</v>
      </c>
      <c r="BO6" s="2060" t="s">
        <v>3523</v>
      </c>
      <c r="BP6" s="2060" t="s">
        <v>3524</v>
      </c>
      <c r="BQ6" s="2060" t="s">
        <v>3525</v>
      </c>
      <c r="BR6" s="2060" t="s">
        <v>3526</v>
      </c>
      <c r="BS6" s="2060" t="s">
        <v>3527</v>
      </c>
      <c r="BT6" s="2060" t="s">
        <v>3528</v>
      </c>
      <c r="BU6" s="2060" t="s">
        <v>3529</v>
      </c>
      <c r="BV6" s="2060" t="s">
        <v>3498</v>
      </c>
      <c r="BW6" s="2066"/>
      <c r="BX6" s="2066"/>
      <c r="BY6" s="2066"/>
    </row>
    <row r="7" spans="1:77" s="31" customFormat="1" ht="32.25" customHeight="1" x14ac:dyDescent="0.35">
      <c r="A7" s="29" t="s">
        <v>4</v>
      </c>
      <c r="B7" s="29" t="s">
        <v>5</v>
      </c>
      <c r="C7" s="29" t="s">
        <v>6</v>
      </c>
      <c r="D7" s="29" t="s">
        <v>7</v>
      </c>
      <c r="E7" s="30" t="s">
        <v>8</v>
      </c>
      <c r="F7" s="30" t="s">
        <v>9</v>
      </c>
      <c r="G7" s="30" t="s">
        <v>10</v>
      </c>
      <c r="H7" s="30" t="s">
        <v>11</v>
      </c>
      <c r="I7" s="30" t="s">
        <v>12</v>
      </c>
      <c r="J7" s="54" t="s">
        <v>14</v>
      </c>
      <c r="K7" s="54" t="s">
        <v>15</v>
      </c>
      <c r="L7" s="54" t="s">
        <v>16</v>
      </c>
      <c r="M7" s="54" t="s">
        <v>17</v>
      </c>
      <c r="N7" s="54" t="s">
        <v>18</v>
      </c>
      <c r="O7" s="54" t="s">
        <v>19</v>
      </c>
      <c r="P7" s="30" t="s">
        <v>24</v>
      </c>
      <c r="Q7" s="30" t="s">
        <v>26</v>
      </c>
      <c r="R7" s="30" t="s">
        <v>2984</v>
      </c>
      <c r="S7" s="30" t="s">
        <v>2985</v>
      </c>
      <c r="T7" s="54" t="s">
        <v>2986</v>
      </c>
      <c r="U7" s="54" t="s">
        <v>2987</v>
      </c>
      <c r="V7" s="54" t="s">
        <v>2988</v>
      </c>
      <c r="W7" s="54" t="s">
        <v>2989</v>
      </c>
      <c r="X7" s="54" t="s">
        <v>2990</v>
      </c>
      <c r="Y7" s="45" t="s">
        <v>30</v>
      </c>
      <c r="Z7" s="45" t="s">
        <v>2991</v>
      </c>
      <c r="AA7" s="45" t="s">
        <v>2992</v>
      </c>
      <c r="AB7" s="45" t="s">
        <v>2993</v>
      </c>
      <c r="AC7" s="45" t="s">
        <v>2994</v>
      </c>
      <c r="AD7" s="45" t="s">
        <v>2995</v>
      </c>
      <c r="AE7" s="46" t="s">
        <v>25</v>
      </c>
      <c r="AF7" s="46" t="s">
        <v>27</v>
      </c>
      <c r="AG7" s="46" t="s">
        <v>31</v>
      </c>
      <c r="AH7" s="46" t="s">
        <v>32</v>
      </c>
      <c r="AI7" s="46" t="s">
        <v>2996</v>
      </c>
      <c r="AJ7" s="46" t="s">
        <v>2997</v>
      </c>
      <c r="AK7" s="50" t="s">
        <v>28</v>
      </c>
      <c r="AL7" s="50" t="s">
        <v>33</v>
      </c>
      <c r="AM7" s="50" t="s">
        <v>34</v>
      </c>
      <c r="AN7" s="50" t="s">
        <v>22</v>
      </c>
      <c r="AO7" s="50" t="s">
        <v>2998</v>
      </c>
      <c r="AP7" s="51" t="s">
        <v>2999</v>
      </c>
      <c r="AQ7" s="1635" t="s">
        <v>35</v>
      </c>
      <c r="AR7" s="1635" t="s">
        <v>36</v>
      </c>
      <c r="AS7" s="1635" t="s">
        <v>37</v>
      </c>
      <c r="AT7" s="1635" t="s">
        <v>38</v>
      </c>
      <c r="AU7" s="1635" t="s">
        <v>3000</v>
      </c>
      <c r="AV7" s="1636" t="s">
        <v>3001</v>
      </c>
      <c r="AW7" s="45" t="s">
        <v>3002</v>
      </c>
      <c r="AX7" s="46" t="s">
        <v>3003</v>
      </c>
      <c r="AY7" s="50" t="s">
        <v>3004</v>
      </c>
      <c r="AZ7" s="1635" t="s">
        <v>3005</v>
      </c>
      <c r="BA7" s="49" t="s">
        <v>3006</v>
      </c>
      <c r="BB7" s="42" t="s">
        <v>39</v>
      </c>
      <c r="BC7" s="57" t="s">
        <v>3007</v>
      </c>
      <c r="BD7" s="2108" t="s">
        <v>3466</v>
      </c>
      <c r="BE7" s="20" t="s">
        <v>3467</v>
      </c>
      <c r="BF7" s="20" t="s">
        <v>3468</v>
      </c>
      <c r="BG7" s="20" t="s">
        <v>3469</v>
      </c>
      <c r="BH7" s="20" t="s">
        <v>3502</v>
      </c>
      <c r="BI7" s="20" t="s">
        <v>3510</v>
      </c>
      <c r="BJ7" s="20" t="s">
        <v>3511</v>
      </c>
      <c r="BK7" s="20" t="s">
        <v>3512</v>
      </c>
      <c r="BL7" s="20" t="s">
        <v>3513</v>
      </c>
      <c r="BM7" s="20" t="s">
        <v>3514</v>
      </c>
      <c r="BN7" s="2061" t="s">
        <v>3491</v>
      </c>
      <c r="BO7" s="2061" t="s">
        <v>3492</v>
      </c>
      <c r="BP7" s="2061" t="s">
        <v>3503</v>
      </c>
      <c r="BQ7" s="2061" t="s">
        <v>3504</v>
      </c>
      <c r="BR7" s="2061" t="s">
        <v>3505</v>
      </c>
      <c r="BS7" s="2061" t="s">
        <v>3506</v>
      </c>
      <c r="BT7" s="2061" t="s">
        <v>3507</v>
      </c>
      <c r="BU7" s="2061" t="s">
        <v>3508</v>
      </c>
      <c r="BV7" s="2061" t="s">
        <v>3509</v>
      </c>
      <c r="BW7" s="2067" t="s">
        <v>3477</v>
      </c>
      <c r="BX7" s="2067" t="s">
        <v>3487</v>
      </c>
      <c r="BY7" s="2067"/>
    </row>
    <row r="8" spans="1:77" s="1976" customFormat="1" ht="62" x14ac:dyDescent="0.35">
      <c r="A8" s="1372" t="s">
        <v>1494</v>
      </c>
      <c r="B8" s="1372" t="s">
        <v>167</v>
      </c>
      <c r="C8" s="1637">
        <v>0</v>
      </c>
      <c r="D8" s="2053" t="str">
        <f>+'[9]4.4.4'!$A$1</f>
        <v>4.4.4</v>
      </c>
      <c r="E8" s="1372" t="s">
        <v>201</v>
      </c>
      <c r="F8" s="1638">
        <v>20</v>
      </c>
      <c r="G8" s="1638">
        <v>20</v>
      </c>
      <c r="H8" s="1638">
        <v>20</v>
      </c>
      <c r="I8" s="1638">
        <v>20</v>
      </c>
      <c r="J8" s="1372" t="str">
        <f>+'[9]4.4.4'!$B$11</f>
        <v>CI-HVC-BLRC-V03-150601</v>
      </c>
      <c r="K8" s="1372" t="str">
        <f t="shared" ref="K8:K22" si="0">IF(D8&lt;&gt;"Custom",CONCATENATE($H$1,", ",$I$1," ",D8),"")</f>
        <v>Nicor Gas PY7-PY10 Adjustable Goals Template_2017-06-30, Tab 4.4.4</v>
      </c>
      <c r="L8" s="1639">
        <v>488.38400000000001</v>
      </c>
      <c r="M8" s="1639">
        <v>488.38400000000001</v>
      </c>
      <c r="N8" s="1639">
        <v>488.38400000000001</v>
      </c>
      <c r="O8" s="1639">
        <v>488.38400000000001</v>
      </c>
      <c r="P8" s="1637">
        <v>0.68</v>
      </c>
      <c r="Q8" s="1637">
        <v>0.68</v>
      </c>
      <c r="R8" s="1637">
        <v>0.68</v>
      </c>
      <c r="S8" s="1637">
        <v>0.68</v>
      </c>
      <c r="T8" s="1640">
        <f t="shared" ref="T8:W22" si="1">+F8*L8*P8</f>
        <v>6642.0224000000007</v>
      </c>
      <c r="U8" s="1640">
        <f t="shared" si="1"/>
        <v>6642.0224000000007</v>
      </c>
      <c r="V8" s="1640">
        <f t="shared" si="1"/>
        <v>6642.0224000000007</v>
      </c>
      <c r="W8" s="1640">
        <f t="shared" si="1"/>
        <v>6642.0224000000007</v>
      </c>
      <c r="X8" s="1640">
        <f t="shared" ref="X8:X22" si="2">+SUM(T8:W8)</f>
        <v>26568.089600000003</v>
      </c>
      <c r="Y8" s="1372" t="str">
        <f t="shared" ref="Y8:AA22" si="3">J8</f>
        <v>CI-HVC-BLRC-V03-150601</v>
      </c>
      <c r="Z8" s="1372" t="str">
        <f t="shared" si="3"/>
        <v>Nicor Gas PY7-PY10 Adjustable Goals Template_2017-06-30, Tab 4.4.4</v>
      </c>
      <c r="AA8" s="1840">
        <f t="shared" si="3"/>
        <v>488.38400000000001</v>
      </c>
      <c r="AB8" s="2028"/>
      <c r="AC8" s="1840">
        <f t="shared" ref="AC8:AC22" si="4">F8*AA8*P8</f>
        <v>6642.0224000000007</v>
      </c>
      <c r="AD8" s="1840">
        <f t="shared" ref="AD8:AD22" si="5">AC8-T8</f>
        <v>0</v>
      </c>
      <c r="AE8" s="1372" t="s">
        <v>197</v>
      </c>
      <c r="AF8" s="1372" t="s">
        <v>3356</v>
      </c>
      <c r="AG8" s="1639">
        <v>488.38400000000001</v>
      </c>
      <c r="AH8" s="1372" t="s">
        <v>3445</v>
      </c>
      <c r="AI8" s="1640">
        <f>G8*AG8*Q8</f>
        <v>6642.0224000000007</v>
      </c>
      <c r="AJ8" s="1638">
        <f>AI8-U8</f>
        <v>0</v>
      </c>
      <c r="AK8" s="1372" t="s">
        <v>197</v>
      </c>
      <c r="AL8" s="1372" t="s">
        <v>3356</v>
      </c>
      <c r="AM8" s="1639">
        <v>488.38400000000001</v>
      </c>
      <c r="AN8" s="1372" t="str">
        <f>$AH8</f>
        <v>No change</v>
      </c>
      <c r="AO8" s="1640">
        <f>H8*AM8*R8</f>
        <v>6642.0224000000007</v>
      </c>
      <c r="AP8" s="1638">
        <f>AO8-V8</f>
        <v>0</v>
      </c>
      <c r="AQ8" s="1372" t="s">
        <v>197</v>
      </c>
      <c r="AR8" s="1372" t="s">
        <v>3356</v>
      </c>
      <c r="AS8" s="1639">
        <v>488.38400000000001</v>
      </c>
      <c r="AT8" s="1372" t="str">
        <f>$AH8</f>
        <v>No change</v>
      </c>
      <c r="AU8" s="1640">
        <f>I8*AS8*S8</f>
        <v>6642.0224000000007</v>
      </c>
      <c r="AV8" s="1638">
        <f>AU8-W8</f>
        <v>0</v>
      </c>
      <c r="AW8" s="2044">
        <f>IF($C8=1,AC8,T8)</f>
        <v>6642.0224000000007</v>
      </c>
      <c r="AX8" s="2044">
        <f>IF($C8=1,AI8,U8)</f>
        <v>6642.0224000000007</v>
      </c>
      <c r="AY8" s="2044">
        <f>IF($C8=1,AO8,V8)</f>
        <v>6642.0224000000007</v>
      </c>
      <c r="AZ8" s="2044">
        <f>IF($C8=1,AU8,W8)</f>
        <v>6642.0224000000007</v>
      </c>
      <c r="BA8" s="2045">
        <f>SUM(AW8:AZ8)</f>
        <v>26568.089600000003</v>
      </c>
      <c r="BB8" s="2045" t="str">
        <f>+'[9]4.4.4'!$A$1</f>
        <v>4.4.4</v>
      </c>
      <c r="BC8" s="2045" t="str">
        <f>+'[9]4.4.4'!$A$1</f>
        <v>4.4.4</v>
      </c>
      <c r="BD8" s="2045">
        <v>0</v>
      </c>
      <c r="BE8" s="2051">
        <v>20</v>
      </c>
      <c r="BF8" s="2051">
        <v>20</v>
      </c>
      <c r="BG8" s="2051">
        <v>20</v>
      </c>
      <c r="BH8" s="2051">
        <v>20</v>
      </c>
      <c r="BI8" s="2045">
        <f t="shared" ref="BI8:BI71" si="6">F8*P8*L8*BE8</f>
        <v>132840.448</v>
      </c>
      <c r="BJ8" s="2045">
        <f t="shared" ref="BJ8:BJ71" si="7">G8*Q8*M8*BF8</f>
        <v>132840.448</v>
      </c>
      <c r="BK8" s="2045">
        <f t="shared" ref="BK8:BK71" si="8">H8*R8*N8*BG8</f>
        <v>132840.448</v>
      </c>
      <c r="BL8" s="2045">
        <f t="shared" ref="BL8:BL71" si="9">I8*S8*O8*BH8</f>
        <v>132840.448</v>
      </c>
      <c r="BM8" s="2045">
        <f>SUM(BI8:BL8)</f>
        <v>531361.79200000002</v>
      </c>
      <c r="BN8" s="2047">
        <v>20</v>
      </c>
      <c r="BO8" s="2047">
        <v>20</v>
      </c>
      <c r="BP8" s="2047">
        <v>20</v>
      </c>
      <c r="BQ8" s="2047">
        <v>20</v>
      </c>
      <c r="BR8" s="2048">
        <f>F8*P8*AA8*BN8</f>
        <v>132840.448</v>
      </c>
      <c r="BS8" s="2048">
        <f>G8*Q8*AG8*BO8</f>
        <v>132840.448</v>
      </c>
      <c r="BT8" s="2048">
        <f>H8*R8*AM8*BP8</f>
        <v>132840.448</v>
      </c>
      <c r="BU8" s="2048">
        <f>I8*S8*AS8*BQ8</f>
        <v>132840.448</v>
      </c>
      <c r="BV8" s="1840">
        <f>SUM(BR8:BU8)</f>
        <v>531361.79200000002</v>
      </c>
      <c r="BW8" s="2064" t="e">
        <f>INT(#REF!)=INT(BA8)</f>
        <v>#REF!</v>
      </c>
      <c r="BX8" s="2064">
        <v>1</v>
      </c>
      <c r="BY8" s="2064" t="s">
        <v>512</v>
      </c>
    </row>
    <row r="9" spans="1:77" s="1976" customFormat="1" ht="62" x14ac:dyDescent="0.35">
      <c r="A9" s="1372" t="s">
        <v>1494</v>
      </c>
      <c r="B9" s="1372" t="s">
        <v>168</v>
      </c>
      <c r="C9" s="1637">
        <v>0</v>
      </c>
      <c r="D9" s="2053" t="str">
        <f>+'[9]4.4.2'!$A$1</f>
        <v>4.4.2</v>
      </c>
      <c r="E9" s="1372" t="s">
        <v>201</v>
      </c>
      <c r="F9" s="1638">
        <v>220</v>
      </c>
      <c r="G9" s="1638">
        <v>220</v>
      </c>
      <c r="H9" s="1638">
        <v>220</v>
      </c>
      <c r="I9" s="1638">
        <v>220</v>
      </c>
      <c r="J9" s="1372" t="str">
        <f>+'[9]4.4.2'!$B$16</f>
        <v>CI-HVC-BLRT-V06-160601</v>
      </c>
      <c r="K9" s="1372" t="str">
        <f t="shared" si="0"/>
        <v>Nicor Gas PY7-PY10 Adjustable Goals Template_2017-06-30, Tab 4.4.2</v>
      </c>
      <c r="L9" s="1639">
        <v>91.744411764705987</v>
      </c>
      <c r="M9" s="1639">
        <v>91.744411764705987</v>
      </c>
      <c r="N9" s="1639">
        <v>91.744411764705987</v>
      </c>
      <c r="O9" s="1639">
        <v>91.744411764705987</v>
      </c>
      <c r="P9" s="1637">
        <v>0.68</v>
      </c>
      <c r="Q9" s="1637">
        <v>0.68</v>
      </c>
      <c r="R9" s="1637">
        <v>0.68</v>
      </c>
      <c r="S9" s="1637">
        <v>0.68</v>
      </c>
      <c r="T9" s="1640">
        <f t="shared" si="1"/>
        <v>13724.964000000018</v>
      </c>
      <c r="U9" s="1640">
        <f t="shared" si="1"/>
        <v>13724.964000000018</v>
      </c>
      <c r="V9" s="1640">
        <f t="shared" si="1"/>
        <v>13724.964000000018</v>
      </c>
      <c r="W9" s="1640">
        <f t="shared" si="1"/>
        <v>13724.964000000018</v>
      </c>
      <c r="X9" s="1640">
        <f t="shared" si="2"/>
        <v>54899.856000000073</v>
      </c>
      <c r="Y9" s="1372" t="str">
        <f t="shared" si="3"/>
        <v>CI-HVC-BLRT-V06-160601</v>
      </c>
      <c r="Z9" s="1372" t="str">
        <f t="shared" si="3"/>
        <v>Nicor Gas PY7-PY10 Adjustable Goals Template_2017-06-30, Tab 4.4.2</v>
      </c>
      <c r="AA9" s="1840">
        <f t="shared" si="3"/>
        <v>91.744411764705987</v>
      </c>
      <c r="AB9" s="2028"/>
      <c r="AC9" s="1840">
        <f t="shared" si="4"/>
        <v>13724.964000000018</v>
      </c>
      <c r="AD9" s="1840">
        <f t="shared" si="5"/>
        <v>0</v>
      </c>
      <c r="AE9" s="1372" t="s">
        <v>2567</v>
      </c>
      <c r="AF9" s="1372" t="s">
        <v>3357</v>
      </c>
      <c r="AG9" s="1639">
        <v>91.744411764705987</v>
      </c>
      <c r="AH9" s="1372" t="s">
        <v>3445</v>
      </c>
      <c r="AI9" s="1640">
        <f t="shared" ref="AI9:AI22" si="10">G9*AG9*Q9</f>
        <v>13724.964000000018</v>
      </c>
      <c r="AJ9" s="1638">
        <f t="shared" ref="AJ9:AJ22" si="11">AI9-U9</f>
        <v>0</v>
      </c>
      <c r="AK9" s="1372" t="s">
        <v>2567</v>
      </c>
      <c r="AL9" s="1372" t="s">
        <v>3357</v>
      </c>
      <c r="AM9" s="1639">
        <v>91.744411764705987</v>
      </c>
      <c r="AN9" s="1372" t="str">
        <f t="shared" ref="AN9:AN20" si="12">$AH9</f>
        <v>No change</v>
      </c>
      <c r="AO9" s="1640">
        <f t="shared" ref="AO9:AO22" si="13">H9*AM9*R9</f>
        <v>13724.964000000018</v>
      </c>
      <c r="AP9" s="1638">
        <f t="shared" ref="AP9:AP22" si="14">AO9-V9</f>
        <v>0</v>
      </c>
      <c r="AQ9" s="1372" t="s">
        <v>2567</v>
      </c>
      <c r="AR9" s="1372" t="s">
        <v>3357</v>
      </c>
      <c r="AS9" s="1639">
        <v>91.744411764705987</v>
      </c>
      <c r="AT9" s="1372" t="str">
        <f t="shared" ref="AT9:AT20" si="15">$AH9</f>
        <v>No change</v>
      </c>
      <c r="AU9" s="1640">
        <f t="shared" ref="AU9:AU22" si="16">I9*AS9*S9</f>
        <v>13724.964000000018</v>
      </c>
      <c r="AV9" s="1638">
        <f t="shared" ref="AV9:AV22" si="17">AU9-W9</f>
        <v>0</v>
      </c>
      <c r="AW9" s="2044">
        <f t="shared" ref="AW9:AW22" si="18">IF($C9=1,AC9,T9)</f>
        <v>13724.964000000018</v>
      </c>
      <c r="AX9" s="2044">
        <f t="shared" ref="AX9:AX22" si="19">IF($C9=1,AI9,U9)</f>
        <v>13724.964000000018</v>
      </c>
      <c r="AY9" s="2044">
        <f t="shared" ref="AY9:AY22" si="20">IF($C9=1,AO9,V9)</f>
        <v>13724.964000000018</v>
      </c>
      <c r="AZ9" s="2044">
        <f t="shared" ref="AZ9:AZ22" si="21">IF($C9=1,AU9,W9)</f>
        <v>13724.964000000018</v>
      </c>
      <c r="BA9" s="2045">
        <f t="shared" ref="BA9:BA22" si="22">SUM(AW9:AZ9)</f>
        <v>54899.856000000073</v>
      </c>
      <c r="BB9" s="2045" t="str">
        <f>+'[9]4.4.2'!$A$1</f>
        <v>4.4.2</v>
      </c>
      <c r="BC9" s="2045" t="str">
        <f>+'[9]4.4.2'!$A$1</f>
        <v>4.4.2</v>
      </c>
      <c r="BD9" s="2045">
        <v>0</v>
      </c>
      <c r="BE9" s="2051">
        <v>3</v>
      </c>
      <c r="BF9" s="2051">
        <v>3</v>
      </c>
      <c r="BG9" s="2051">
        <v>3</v>
      </c>
      <c r="BH9" s="2051">
        <v>3</v>
      </c>
      <c r="BI9" s="2045">
        <f t="shared" si="6"/>
        <v>41174.892000000051</v>
      </c>
      <c r="BJ9" s="2045">
        <f t="shared" si="7"/>
        <v>41174.892000000051</v>
      </c>
      <c r="BK9" s="2045">
        <f t="shared" si="8"/>
        <v>41174.892000000051</v>
      </c>
      <c r="BL9" s="2045">
        <f t="shared" si="9"/>
        <v>41174.892000000051</v>
      </c>
      <c r="BM9" s="2045">
        <f t="shared" ref="BM9:BM22" si="23">SUM(BI9:BL9)</f>
        <v>164699.5680000002</v>
      </c>
      <c r="BN9" s="2047">
        <v>3</v>
      </c>
      <c r="BO9" s="2047">
        <v>3</v>
      </c>
      <c r="BP9" s="2047">
        <v>3</v>
      </c>
      <c r="BQ9" s="2047">
        <v>3</v>
      </c>
      <c r="BR9" s="2048">
        <f t="shared" ref="BR9:BR22" si="24">F9*P9*AA9*BN9</f>
        <v>41174.892000000051</v>
      </c>
      <c r="BS9" s="2048">
        <f t="shared" ref="BS9:BS22" si="25">G9*Q9*AG9*BO9</f>
        <v>41174.892000000051</v>
      </c>
      <c r="BT9" s="2048">
        <f t="shared" ref="BT9:BT22" si="26">H9*R9*AM9*BP9</f>
        <v>41174.892000000051</v>
      </c>
      <c r="BU9" s="2048">
        <f t="shared" ref="BU9:BU22" si="27">I9*S9*AS9*BQ9</f>
        <v>41174.892000000051</v>
      </c>
      <c r="BV9" s="1840">
        <f t="shared" ref="BV9:BV22" si="28">SUM(BR9:BU9)</f>
        <v>164699.5680000002</v>
      </c>
      <c r="BW9" s="2064" t="e">
        <f>INT(#REF!)=INT(BA9)</f>
        <v>#REF!</v>
      </c>
      <c r="BX9" s="2064">
        <v>2</v>
      </c>
      <c r="BY9" s="2064" t="s">
        <v>512</v>
      </c>
    </row>
    <row r="10" spans="1:77" s="1976" customFormat="1" ht="62" x14ac:dyDescent="0.35">
      <c r="A10" s="1372" t="s">
        <v>1494</v>
      </c>
      <c r="B10" s="1372" t="s">
        <v>184</v>
      </c>
      <c r="C10" s="1637">
        <v>0</v>
      </c>
      <c r="D10" s="2053" t="str">
        <f>+'[9]4.4.3'!$A$1</f>
        <v>4.4.3</v>
      </c>
      <c r="E10" s="1372" t="s">
        <v>201</v>
      </c>
      <c r="F10" s="1638">
        <v>80</v>
      </c>
      <c r="G10" s="1638">
        <v>80</v>
      </c>
      <c r="H10" s="1638">
        <v>80</v>
      </c>
      <c r="I10" s="1638">
        <v>80</v>
      </c>
      <c r="J10" s="1372" t="str">
        <f>+'[9]4.4.3'!$B$10</f>
        <v>CI-HVC-PBTU-V05-160601</v>
      </c>
      <c r="K10" s="1372" t="str">
        <f t="shared" si="0"/>
        <v>Nicor Gas PY7-PY10 Adjustable Goals Template_2017-06-30, Tab 4.4.3</v>
      </c>
      <c r="L10" s="1639">
        <v>469.84897416973865</v>
      </c>
      <c r="M10" s="1639">
        <v>469.84897416973865</v>
      </c>
      <c r="N10" s="1639">
        <v>469.84897416973865</v>
      </c>
      <c r="O10" s="1639">
        <v>469.84897416973865</v>
      </c>
      <c r="P10" s="1637">
        <v>0.68</v>
      </c>
      <c r="Q10" s="1637">
        <v>0.68</v>
      </c>
      <c r="R10" s="1637">
        <v>0.68</v>
      </c>
      <c r="S10" s="1637">
        <v>0.68</v>
      </c>
      <c r="T10" s="1640">
        <f t="shared" si="1"/>
        <v>25559.784194833785</v>
      </c>
      <c r="U10" s="1640">
        <f t="shared" si="1"/>
        <v>25559.784194833785</v>
      </c>
      <c r="V10" s="1640">
        <f t="shared" si="1"/>
        <v>25559.784194833785</v>
      </c>
      <c r="W10" s="1640">
        <f t="shared" si="1"/>
        <v>25559.784194833785</v>
      </c>
      <c r="X10" s="1640">
        <f t="shared" si="2"/>
        <v>102239.13677933514</v>
      </c>
      <c r="Y10" s="1372" t="str">
        <f t="shared" si="3"/>
        <v>CI-HVC-PBTU-V05-160601</v>
      </c>
      <c r="Z10" s="1372" t="str">
        <f t="shared" si="3"/>
        <v>Nicor Gas PY7-PY10 Adjustable Goals Template_2017-06-30, Tab 4.4.3</v>
      </c>
      <c r="AA10" s="1840">
        <f t="shared" si="3"/>
        <v>469.84897416973865</v>
      </c>
      <c r="AB10" s="2028"/>
      <c r="AC10" s="1840">
        <f t="shared" si="4"/>
        <v>25559.784194833785</v>
      </c>
      <c r="AD10" s="1840">
        <f t="shared" si="5"/>
        <v>0</v>
      </c>
      <c r="AE10" s="1372" t="s">
        <v>2569</v>
      </c>
      <c r="AF10" s="1372" t="s">
        <v>3358</v>
      </c>
      <c r="AG10" s="1639">
        <v>469.84897416973865</v>
      </c>
      <c r="AH10" s="1372" t="s">
        <v>3445</v>
      </c>
      <c r="AI10" s="1640">
        <f t="shared" si="10"/>
        <v>25559.784194833785</v>
      </c>
      <c r="AJ10" s="1638">
        <f t="shared" si="11"/>
        <v>0</v>
      </c>
      <c r="AK10" s="1372" t="s">
        <v>2569</v>
      </c>
      <c r="AL10" s="1372" t="s">
        <v>3358</v>
      </c>
      <c r="AM10" s="1639">
        <v>469.84897416973865</v>
      </c>
      <c r="AN10" s="1372" t="str">
        <f t="shared" si="12"/>
        <v>No change</v>
      </c>
      <c r="AO10" s="1640">
        <f t="shared" si="13"/>
        <v>25559.784194833785</v>
      </c>
      <c r="AP10" s="1638">
        <f t="shared" si="14"/>
        <v>0</v>
      </c>
      <c r="AQ10" s="1372" t="s">
        <v>2569</v>
      </c>
      <c r="AR10" s="1372" t="s">
        <v>3358</v>
      </c>
      <c r="AS10" s="1639">
        <v>469.84897416973865</v>
      </c>
      <c r="AT10" s="1372" t="str">
        <f t="shared" si="15"/>
        <v>No change</v>
      </c>
      <c r="AU10" s="1640">
        <f t="shared" si="16"/>
        <v>25559.784194833785</v>
      </c>
      <c r="AV10" s="1638">
        <f t="shared" si="17"/>
        <v>0</v>
      </c>
      <c r="AW10" s="2044">
        <f t="shared" si="18"/>
        <v>25559.784194833785</v>
      </c>
      <c r="AX10" s="2044">
        <f t="shared" si="19"/>
        <v>25559.784194833785</v>
      </c>
      <c r="AY10" s="2044">
        <f t="shared" si="20"/>
        <v>25559.784194833785</v>
      </c>
      <c r="AZ10" s="2044">
        <f t="shared" si="21"/>
        <v>25559.784194833785</v>
      </c>
      <c r="BA10" s="2045">
        <f t="shared" si="22"/>
        <v>102239.13677933514</v>
      </c>
      <c r="BB10" s="2045" t="str">
        <f>+'[9]4.4.3'!$A$1</f>
        <v>4.4.3</v>
      </c>
      <c r="BC10" s="2045" t="str">
        <f>+'[9]4.4.3'!$A$1</f>
        <v>4.4.3</v>
      </c>
      <c r="BD10" s="2045">
        <v>0</v>
      </c>
      <c r="BE10" s="2051">
        <v>3</v>
      </c>
      <c r="BF10" s="2051">
        <v>3</v>
      </c>
      <c r="BG10" s="2051">
        <v>3</v>
      </c>
      <c r="BH10" s="2051">
        <v>3</v>
      </c>
      <c r="BI10" s="2045">
        <f t="shared" si="6"/>
        <v>76679.35258450135</v>
      </c>
      <c r="BJ10" s="2045">
        <f t="shared" si="7"/>
        <v>76679.35258450135</v>
      </c>
      <c r="BK10" s="2045">
        <f t="shared" si="8"/>
        <v>76679.35258450135</v>
      </c>
      <c r="BL10" s="2045">
        <f t="shared" si="9"/>
        <v>76679.35258450135</v>
      </c>
      <c r="BM10" s="2045">
        <f t="shared" si="23"/>
        <v>306717.4103380054</v>
      </c>
      <c r="BN10" s="2047">
        <v>3</v>
      </c>
      <c r="BO10" s="2047">
        <v>3</v>
      </c>
      <c r="BP10" s="2047">
        <v>3</v>
      </c>
      <c r="BQ10" s="2047">
        <v>3</v>
      </c>
      <c r="BR10" s="2048">
        <f t="shared" si="24"/>
        <v>76679.35258450135</v>
      </c>
      <c r="BS10" s="2048">
        <f t="shared" si="25"/>
        <v>76679.35258450135</v>
      </c>
      <c r="BT10" s="2048">
        <f t="shared" si="26"/>
        <v>76679.35258450135</v>
      </c>
      <c r="BU10" s="2048">
        <f t="shared" si="27"/>
        <v>76679.35258450135</v>
      </c>
      <c r="BV10" s="1840">
        <f t="shared" si="28"/>
        <v>306717.4103380054</v>
      </c>
      <c r="BW10" s="2064" t="e">
        <f>INT(#REF!)=INT(BA10)</f>
        <v>#REF!</v>
      </c>
      <c r="BX10" s="2064">
        <v>3</v>
      </c>
      <c r="BY10" s="2064" t="s">
        <v>512</v>
      </c>
    </row>
    <row r="11" spans="1:77" s="1976" customFormat="1" ht="62" x14ac:dyDescent="0.35">
      <c r="A11" s="1372" t="s">
        <v>1494</v>
      </c>
      <c r="B11" s="1372" t="s">
        <v>170</v>
      </c>
      <c r="C11" s="1637">
        <v>0</v>
      </c>
      <c r="D11" s="2053" t="str">
        <f>+'[9]4.4.10'!$A$1</f>
        <v>4.4.10</v>
      </c>
      <c r="E11" s="1372" t="s">
        <v>163</v>
      </c>
      <c r="F11" s="1638">
        <v>22</v>
      </c>
      <c r="G11" s="1638">
        <v>22</v>
      </c>
      <c r="H11" s="1638">
        <v>22</v>
      </c>
      <c r="I11" s="1638">
        <v>22</v>
      </c>
      <c r="J11" s="1372" t="str">
        <f>+'[9]4.4.10'!$B$22</f>
        <v>CI-HVC-BOIL-V05-150601</v>
      </c>
      <c r="K11" s="1372" t="str">
        <f t="shared" si="0"/>
        <v>Nicor Gas PY7-PY10 Adjustable Goals Template_2017-06-30, Tab 4.4.10</v>
      </c>
      <c r="L11" s="1639">
        <v>447.53371592539503</v>
      </c>
      <c r="M11" s="1639">
        <v>447.53371592539503</v>
      </c>
      <c r="N11" s="1639">
        <v>447.53371592539503</v>
      </c>
      <c r="O11" s="1639">
        <v>447.53371592539503</v>
      </c>
      <c r="P11" s="1637">
        <v>0.68</v>
      </c>
      <c r="Q11" s="1637">
        <v>0.68</v>
      </c>
      <c r="R11" s="1637">
        <v>0.68</v>
      </c>
      <c r="S11" s="1637">
        <v>0.68</v>
      </c>
      <c r="T11" s="1640">
        <f t="shared" si="1"/>
        <v>6695.1043902439105</v>
      </c>
      <c r="U11" s="1640">
        <f t="shared" si="1"/>
        <v>6695.1043902439105</v>
      </c>
      <c r="V11" s="1640">
        <f t="shared" si="1"/>
        <v>6695.1043902439105</v>
      </c>
      <c r="W11" s="1640">
        <f t="shared" si="1"/>
        <v>6695.1043902439105</v>
      </c>
      <c r="X11" s="1640">
        <f t="shared" si="2"/>
        <v>26780.417560975642</v>
      </c>
      <c r="Y11" s="1372" t="str">
        <f t="shared" si="3"/>
        <v>CI-HVC-BOIL-V05-150601</v>
      </c>
      <c r="Z11" s="1372" t="str">
        <f t="shared" si="3"/>
        <v>Nicor Gas PY7-PY10 Adjustable Goals Template_2017-06-30, Tab 4.4.10</v>
      </c>
      <c r="AA11" s="1840">
        <f t="shared" si="3"/>
        <v>447.53371592539503</v>
      </c>
      <c r="AB11" s="2028"/>
      <c r="AC11" s="1840">
        <f t="shared" si="4"/>
        <v>6695.1043902439105</v>
      </c>
      <c r="AD11" s="1840">
        <f t="shared" si="5"/>
        <v>0</v>
      </c>
      <c r="AE11" s="1372" t="s">
        <v>198</v>
      </c>
      <c r="AF11" s="1372" t="s">
        <v>3359</v>
      </c>
      <c r="AG11" s="1639">
        <v>447.53371592539503</v>
      </c>
      <c r="AH11" s="1372" t="s">
        <v>3445</v>
      </c>
      <c r="AI11" s="1640">
        <f t="shared" si="10"/>
        <v>6695.1043902439105</v>
      </c>
      <c r="AJ11" s="1638">
        <f t="shared" si="11"/>
        <v>0</v>
      </c>
      <c r="AK11" s="1372" t="s">
        <v>198</v>
      </c>
      <c r="AL11" s="1372" t="s">
        <v>3359</v>
      </c>
      <c r="AM11" s="1639">
        <v>447.53371592539503</v>
      </c>
      <c r="AN11" s="1372" t="str">
        <f t="shared" si="12"/>
        <v>No change</v>
      </c>
      <c r="AO11" s="1640">
        <f t="shared" si="13"/>
        <v>6695.1043902439105</v>
      </c>
      <c r="AP11" s="1638">
        <f t="shared" si="14"/>
        <v>0</v>
      </c>
      <c r="AQ11" s="1372" t="s">
        <v>198</v>
      </c>
      <c r="AR11" s="1372" t="s">
        <v>3359</v>
      </c>
      <c r="AS11" s="1639">
        <v>447.53371592539503</v>
      </c>
      <c r="AT11" s="1372" t="str">
        <f t="shared" si="15"/>
        <v>No change</v>
      </c>
      <c r="AU11" s="1640">
        <f t="shared" si="16"/>
        <v>6695.1043902439105</v>
      </c>
      <c r="AV11" s="1638">
        <f t="shared" si="17"/>
        <v>0</v>
      </c>
      <c r="AW11" s="2044">
        <f t="shared" si="18"/>
        <v>6695.1043902439105</v>
      </c>
      <c r="AX11" s="2044">
        <f t="shared" si="19"/>
        <v>6695.1043902439105</v>
      </c>
      <c r="AY11" s="2044">
        <f t="shared" si="20"/>
        <v>6695.1043902439105</v>
      </c>
      <c r="AZ11" s="2044">
        <f t="shared" si="21"/>
        <v>6695.1043902439105</v>
      </c>
      <c r="BA11" s="2045">
        <f t="shared" si="22"/>
        <v>26780.417560975642</v>
      </c>
      <c r="BB11" s="2045" t="str">
        <f>+'[9]4.4.10'!$A$1</f>
        <v>4.4.10</v>
      </c>
      <c r="BC11" s="2045" t="str">
        <f>+'[9]4.4.10'!$A$1</f>
        <v>4.4.10</v>
      </c>
      <c r="BD11" s="2045">
        <v>0</v>
      </c>
      <c r="BE11" s="2051">
        <v>20</v>
      </c>
      <c r="BF11" s="2051">
        <v>20</v>
      </c>
      <c r="BG11" s="2051">
        <v>20</v>
      </c>
      <c r="BH11" s="2051">
        <v>20</v>
      </c>
      <c r="BI11" s="2045">
        <f t="shared" si="6"/>
        <v>133902.08780487819</v>
      </c>
      <c r="BJ11" s="2045">
        <f t="shared" si="7"/>
        <v>133902.08780487819</v>
      </c>
      <c r="BK11" s="2045">
        <f t="shared" si="8"/>
        <v>133902.08780487819</v>
      </c>
      <c r="BL11" s="2045">
        <f t="shared" si="9"/>
        <v>133902.08780487819</v>
      </c>
      <c r="BM11" s="2045">
        <f t="shared" si="23"/>
        <v>535608.35121951276</v>
      </c>
      <c r="BN11" s="2047">
        <v>20</v>
      </c>
      <c r="BO11" s="2047">
        <v>20</v>
      </c>
      <c r="BP11" s="2047">
        <v>20</v>
      </c>
      <c r="BQ11" s="2047">
        <v>20</v>
      </c>
      <c r="BR11" s="2048">
        <f t="shared" si="24"/>
        <v>133902.08780487819</v>
      </c>
      <c r="BS11" s="2048">
        <f t="shared" si="25"/>
        <v>133902.08780487819</v>
      </c>
      <c r="BT11" s="2048">
        <f t="shared" si="26"/>
        <v>133902.08780487819</v>
      </c>
      <c r="BU11" s="2048">
        <f t="shared" si="27"/>
        <v>133902.08780487819</v>
      </c>
      <c r="BV11" s="1840">
        <f t="shared" si="28"/>
        <v>535608.35121951276</v>
      </c>
      <c r="BW11" s="2064" t="e">
        <f>INT(#REF!)=INT(BA11)</f>
        <v>#REF!</v>
      </c>
      <c r="BX11" s="2064">
        <v>4</v>
      </c>
      <c r="BY11" s="2064" t="s">
        <v>512</v>
      </c>
    </row>
    <row r="12" spans="1:77" s="1976" customFormat="1" ht="62" x14ac:dyDescent="0.35">
      <c r="A12" s="1372" t="s">
        <v>1494</v>
      </c>
      <c r="B12" s="1372" t="s">
        <v>171</v>
      </c>
      <c r="C12" s="1637">
        <v>0</v>
      </c>
      <c r="D12" s="2053" t="str">
        <f>+'[9]4.4.10'!$A$1</f>
        <v>4.4.10</v>
      </c>
      <c r="E12" s="1372" t="s">
        <v>163</v>
      </c>
      <c r="F12" s="1638">
        <v>17</v>
      </c>
      <c r="G12" s="1638">
        <v>17</v>
      </c>
      <c r="H12" s="1638">
        <v>17</v>
      </c>
      <c r="I12" s="1638">
        <v>17</v>
      </c>
      <c r="J12" s="1372" t="str">
        <f>+'[9]4.4.10'!$B$22</f>
        <v>CI-HVC-BOIL-V05-150601</v>
      </c>
      <c r="K12" s="1372" t="str">
        <f t="shared" si="0"/>
        <v>Nicor Gas PY7-PY10 Adjustable Goals Template_2017-06-30, Tab 4.4.10</v>
      </c>
      <c r="L12" s="1639">
        <v>744.39774748924049</v>
      </c>
      <c r="M12" s="1639">
        <v>744.39774748924049</v>
      </c>
      <c r="N12" s="1639">
        <v>744.39774748924049</v>
      </c>
      <c r="O12" s="1639">
        <v>744.39774748924049</v>
      </c>
      <c r="P12" s="1637">
        <v>0.68</v>
      </c>
      <c r="Q12" s="1637">
        <v>0.68</v>
      </c>
      <c r="R12" s="1637">
        <v>0.68</v>
      </c>
      <c r="S12" s="1637">
        <v>0.68</v>
      </c>
      <c r="T12" s="1640">
        <f t="shared" si="1"/>
        <v>8605.2379609756208</v>
      </c>
      <c r="U12" s="1640">
        <f t="shared" si="1"/>
        <v>8605.2379609756208</v>
      </c>
      <c r="V12" s="1640">
        <f t="shared" si="1"/>
        <v>8605.2379609756208</v>
      </c>
      <c r="W12" s="1640">
        <f t="shared" si="1"/>
        <v>8605.2379609756208</v>
      </c>
      <c r="X12" s="1640">
        <f t="shared" si="2"/>
        <v>34420.951843902483</v>
      </c>
      <c r="Y12" s="1372" t="str">
        <f t="shared" si="3"/>
        <v>CI-HVC-BOIL-V05-150601</v>
      </c>
      <c r="Z12" s="1372" t="str">
        <f t="shared" si="3"/>
        <v>Nicor Gas PY7-PY10 Adjustable Goals Template_2017-06-30, Tab 4.4.10</v>
      </c>
      <c r="AA12" s="1840">
        <f t="shared" si="3"/>
        <v>744.39774748924049</v>
      </c>
      <c r="AB12" s="2028"/>
      <c r="AC12" s="1840">
        <f t="shared" si="4"/>
        <v>8605.2379609756208</v>
      </c>
      <c r="AD12" s="1840">
        <f t="shared" si="5"/>
        <v>0</v>
      </c>
      <c r="AE12" s="1372" t="s">
        <v>198</v>
      </c>
      <c r="AF12" s="1372" t="s">
        <v>3359</v>
      </c>
      <c r="AG12" s="1639">
        <v>744.39774748924049</v>
      </c>
      <c r="AH12" s="1372" t="s">
        <v>3445</v>
      </c>
      <c r="AI12" s="1640">
        <f t="shared" si="10"/>
        <v>8605.2379609756208</v>
      </c>
      <c r="AJ12" s="1638">
        <f t="shared" si="11"/>
        <v>0</v>
      </c>
      <c r="AK12" s="1372" t="s">
        <v>198</v>
      </c>
      <c r="AL12" s="1372" t="s">
        <v>3359</v>
      </c>
      <c r="AM12" s="1639">
        <v>744.39774748924049</v>
      </c>
      <c r="AN12" s="1372" t="str">
        <f t="shared" si="12"/>
        <v>No change</v>
      </c>
      <c r="AO12" s="1640">
        <f t="shared" si="13"/>
        <v>8605.2379609756208</v>
      </c>
      <c r="AP12" s="1638">
        <f t="shared" si="14"/>
        <v>0</v>
      </c>
      <c r="AQ12" s="1372" t="s">
        <v>198</v>
      </c>
      <c r="AR12" s="1372" t="s">
        <v>3359</v>
      </c>
      <c r="AS12" s="1639">
        <v>744.39774748924049</v>
      </c>
      <c r="AT12" s="1372" t="str">
        <f t="shared" si="15"/>
        <v>No change</v>
      </c>
      <c r="AU12" s="1640">
        <f t="shared" si="16"/>
        <v>8605.2379609756208</v>
      </c>
      <c r="AV12" s="1638">
        <f t="shared" si="17"/>
        <v>0</v>
      </c>
      <c r="AW12" s="2044">
        <f t="shared" si="18"/>
        <v>8605.2379609756208</v>
      </c>
      <c r="AX12" s="2044">
        <f t="shared" si="19"/>
        <v>8605.2379609756208</v>
      </c>
      <c r="AY12" s="2044">
        <f t="shared" si="20"/>
        <v>8605.2379609756208</v>
      </c>
      <c r="AZ12" s="2044">
        <f t="shared" si="21"/>
        <v>8605.2379609756208</v>
      </c>
      <c r="BA12" s="2045">
        <f t="shared" si="22"/>
        <v>34420.951843902483</v>
      </c>
      <c r="BB12" s="2045" t="str">
        <f>+'[9]4.4.10'!$A$1</f>
        <v>4.4.10</v>
      </c>
      <c r="BC12" s="2045" t="str">
        <f>+'[9]4.4.10'!$A$1</f>
        <v>4.4.10</v>
      </c>
      <c r="BD12" s="2045">
        <v>0</v>
      </c>
      <c r="BE12" s="2051">
        <v>20</v>
      </c>
      <c r="BF12" s="2051">
        <v>20</v>
      </c>
      <c r="BG12" s="2051">
        <v>20</v>
      </c>
      <c r="BH12" s="2051">
        <v>20</v>
      </c>
      <c r="BI12" s="2045">
        <f t="shared" si="6"/>
        <v>172104.7592195124</v>
      </c>
      <c r="BJ12" s="2045">
        <f t="shared" si="7"/>
        <v>172104.7592195124</v>
      </c>
      <c r="BK12" s="2045">
        <f t="shared" si="8"/>
        <v>172104.7592195124</v>
      </c>
      <c r="BL12" s="2045">
        <f t="shared" si="9"/>
        <v>172104.7592195124</v>
      </c>
      <c r="BM12" s="2045">
        <f t="shared" si="23"/>
        <v>688419.03687804961</v>
      </c>
      <c r="BN12" s="2047">
        <v>20</v>
      </c>
      <c r="BO12" s="2047">
        <v>20</v>
      </c>
      <c r="BP12" s="2047">
        <v>20</v>
      </c>
      <c r="BQ12" s="2047">
        <v>20</v>
      </c>
      <c r="BR12" s="2048">
        <f t="shared" si="24"/>
        <v>172104.7592195124</v>
      </c>
      <c r="BS12" s="2048">
        <f t="shared" si="25"/>
        <v>172104.7592195124</v>
      </c>
      <c r="BT12" s="2048">
        <f t="shared" si="26"/>
        <v>172104.7592195124</v>
      </c>
      <c r="BU12" s="2048">
        <f t="shared" si="27"/>
        <v>172104.7592195124</v>
      </c>
      <c r="BV12" s="1840">
        <f t="shared" si="28"/>
        <v>688419.03687804961</v>
      </c>
      <c r="BW12" s="2064" t="e">
        <f>INT(#REF!)=INT(BA12)</f>
        <v>#REF!</v>
      </c>
      <c r="BX12" s="2064">
        <v>5</v>
      </c>
      <c r="BY12" s="2064" t="s">
        <v>512</v>
      </c>
    </row>
    <row r="13" spans="1:77" s="1976" customFormat="1" ht="62" x14ac:dyDescent="0.35">
      <c r="A13" s="1372" t="s">
        <v>1494</v>
      </c>
      <c r="B13" s="1372" t="s">
        <v>172</v>
      </c>
      <c r="C13" s="1637">
        <v>0</v>
      </c>
      <c r="D13" s="2053" t="str">
        <f>+'[9]4.4.10'!$A$1</f>
        <v>4.4.10</v>
      </c>
      <c r="E13" s="1372" t="s">
        <v>163</v>
      </c>
      <c r="F13" s="1638">
        <v>16</v>
      </c>
      <c r="G13" s="1638">
        <v>16</v>
      </c>
      <c r="H13" s="1638">
        <v>16</v>
      </c>
      <c r="I13" s="1638">
        <v>16</v>
      </c>
      <c r="J13" s="1372" t="str">
        <f>+'[9]4.4.10'!$B$22</f>
        <v>CI-HVC-BOIL-V05-150601</v>
      </c>
      <c r="K13" s="1372" t="str">
        <f t="shared" si="0"/>
        <v>Nicor Gas PY7-PY10 Adjustable Goals Template_2017-06-30, Tab 4.4.10</v>
      </c>
      <c r="L13" s="1639">
        <v>1490.2872740315654</v>
      </c>
      <c r="M13" s="1639">
        <v>1490.2872740315654</v>
      </c>
      <c r="N13" s="1639">
        <v>1490.2872740315654</v>
      </c>
      <c r="O13" s="1639">
        <v>1490.2872740315654</v>
      </c>
      <c r="P13" s="1637">
        <v>0.68</v>
      </c>
      <c r="Q13" s="1637">
        <v>0.68</v>
      </c>
      <c r="R13" s="1637">
        <v>0.68</v>
      </c>
      <c r="S13" s="1637">
        <v>0.68</v>
      </c>
      <c r="T13" s="1640">
        <f t="shared" si="1"/>
        <v>16214.325541463433</v>
      </c>
      <c r="U13" s="1640">
        <f t="shared" si="1"/>
        <v>16214.325541463433</v>
      </c>
      <c r="V13" s="1640">
        <f t="shared" si="1"/>
        <v>16214.325541463433</v>
      </c>
      <c r="W13" s="1640">
        <f t="shared" si="1"/>
        <v>16214.325541463433</v>
      </c>
      <c r="X13" s="1640">
        <f t="shared" si="2"/>
        <v>64857.302165853733</v>
      </c>
      <c r="Y13" s="1372" t="str">
        <f t="shared" si="3"/>
        <v>CI-HVC-BOIL-V05-150601</v>
      </c>
      <c r="Z13" s="1372" t="str">
        <f t="shared" si="3"/>
        <v>Nicor Gas PY7-PY10 Adjustable Goals Template_2017-06-30, Tab 4.4.10</v>
      </c>
      <c r="AA13" s="1840">
        <f t="shared" si="3"/>
        <v>1490.2872740315654</v>
      </c>
      <c r="AB13" s="2028"/>
      <c r="AC13" s="1840">
        <f t="shared" si="4"/>
        <v>16214.325541463433</v>
      </c>
      <c r="AD13" s="1840">
        <f t="shared" si="5"/>
        <v>0</v>
      </c>
      <c r="AE13" s="1372" t="s">
        <v>198</v>
      </c>
      <c r="AF13" s="1372" t="s">
        <v>3359</v>
      </c>
      <c r="AG13" s="1639">
        <v>1490.2872740315654</v>
      </c>
      <c r="AH13" s="1372" t="s">
        <v>3445</v>
      </c>
      <c r="AI13" s="1640">
        <f t="shared" si="10"/>
        <v>16214.325541463433</v>
      </c>
      <c r="AJ13" s="1638">
        <f t="shared" si="11"/>
        <v>0</v>
      </c>
      <c r="AK13" s="1372" t="s">
        <v>198</v>
      </c>
      <c r="AL13" s="1372" t="s">
        <v>3359</v>
      </c>
      <c r="AM13" s="1639">
        <v>1490.2872740315654</v>
      </c>
      <c r="AN13" s="1372" t="str">
        <f t="shared" si="12"/>
        <v>No change</v>
      </c>
      <c r="AO13" s="1640">
        <f t="shared" si="13"/>
        <v>16214.325541463433</v>
      </c>
      <c r="AP13" s="1638">
        <f t="shared" si="14"/>
        <v>0</v>
      </c>
      <c r="AQ13" s="1372" t="s">
        <v>198</v>
      </c>
      <c r="AR13" s="1372" t="s">
        <v>3359</v>
      </c>
      <c r="AS13" s="1639">
        <v>1490.2872740315654</v>
      </c>
      <c r="AT13" s="1372" t="str">
        <f t="shared" si="15"/>
        <v>No change</v>
      </c>
      <c r="AU13" s="1640">
        <f t="shared" si="16"/>
        <v>16214.325541463433</v>
      </c>
      <c r="AV13" s="1638">
        <f t="shared" si="17"/>
        <v>0</v>
      </c>
      <c r="AW13" s="2044">
        <f t="shared" si="18"/>
        <v>16214.325541463433</v>
      </c>
      <c r="AX13" s="2044">
        <f t="shared" si="19"/>
        <v>16214.325541463433</v>
      </c>
      <c r="AY13" s="2044">
        <f t="shared" si="20"/>
        <v>16214.325541463433</v>
      </c>
      <c r="AZ13" s="2044">
        <f t="shared" si="21"/>
        <v>16214.325541463433</v>
      </c>
      <c r="BA13" s="2045">
        <f t="shared" si="22"/>
        <v>64857.302165853733</v>
      </c>
      <c r="BB13" s="2045" t="str">
        <f>+'[9]4.4.10'!$A$1</f>
        <v>4.4.10</v>
      </c>
      <c r="BC13" s="2045" t="str">
        <f>+'[9]4.4.10'!$A$1</f>
        <v>4.4.10</v>
      </c>
      <c r="BD13" s="2045">
        <v>0</v>
      </c>
      <c r="BE13" s="2051">
        <v>20</v>
      </c>
      <c r="BF13" s="2051">
        <v>20</v>
      </c>
      <c r="BG13" s="2051">
        <v>20</v>
      </c>
      <c r="BH13" s="2051">
        <v>20</v>
      </c>
      <c r="BI13" s="2045">
        <f t="shared" si="6"/>
        <v>324286.51082926866</v>
      </c>
      <c r="BJ13" s="2045">
        <f t="shared" si="7"/>
        <v>324286.51082926866</v>
      </c>
      <c r="BK13" s="2045">
        <f t="shared" si="8"/>
        <v>324286.51082926866</v>
      </c>
      <c r="BL13" s="2045">
        <f t="shared" si="9"/>
        <v>324286.51082926866</v>
      </c>
      <c r="BM13" s="2045">
        <f t="shared" si="23"/>
        <v>1297146.0433170747</v>
      </c>
      <c r="BN13" s="2047">
        <v>20</v>
      </c>
      <c r="BO13" s="2047">
        <v>20</v>
      </c>
      <c r="BP13" s="2047">
        <v>20</v>
      </c>
      <c r="BQ13" s="2047">
        <v>20</v>
      </c>
      <c r="BR13" s="2048">
        <f t="shared" si="24"/>
        <v>324286.51082926866</v>
      </c>
      <c r="BS13" s="2048">
        <f t="shared" si="25"/>
        <v>324286.51082926866</v>
      </c>
      <c r="BT13" s="2048">
        <f t="shared" si="26"/>
        <v>324286.51082926866</v>
      </c>
      <c r="BU13" s="2048">
        <f t="shared" si="27"/>
        <v>324286.51082926866</v>
      </c>
      <c r="BV13" s="1840">
        <f t="shared" si="28"/>
        <v>1297146.0433170747</v>
      </c>
      <c r="BW13" s="2064" t="e">
        <f>INT(#REF!)=INT(BA13)</f>
        <v>#REF!</v>
      </c>
      <c r="BX13" s="2064">
        <v>6</v>
      </c>
      <c r="BY13" s="2064" t="s">
        <v>512</v>
      </c>
    </row>
    <row r="14" spans="1:77" s="1976" customFormat="1" ht="62" x14ac:dyDescent="0.35">
      <c r="A14" s="1372" t="s">
        <v>1494</v>
      </c>
      <c r="B14" s="1372" t="s">
        <v>173</v>
      </c>
      <c r="C14" s="1637">
        <v>0</v>
      </c>
      <c r="D14" s="2053" t="str">
        <f>+'[9]4.4.10'!$A$1</f>
        <v>4.4.10</v>
      </c>
      <c r="E14" s="1372" t="s">
        <v>163</v>
      </c>
      <c r="F14" s="1638">
        <v>5</v>
      </c>
      <c r="G14" s="1638">
        <v>5</v>
      </c>
      <c r="H14" s="1638">
        <v>5</v>
      </c>
      <c r="I14" s="1638">
        <v>5</v>
      </c>
      <c r="J14" s="1372" t="str">
        <f>+'[9]4.4.10'!$B$22</f>
        <v>CI-HVC-BOIL-V05-150601</v>
      </c>
      <c r="K14" s="1372" t="str">
        <f t="shared" si="0"/>
        <v>Nicor Gas PY7-PY10 Adjustable Goals Template_2017-06-30, Tab 4.4.10</v>
      </c>
      <c r="L14" s="1639">
        <v>2536.0243902439051</v>
      </c>
      <c r="M14" s="1639">
        <v>2536.0243902439051</v>
      </c>
      <c r="N14" s="1639">
        <v>2536.0243902439051</v>
      </c>
      <c r="O14" s="1639">
        <v>2536.0243902439051</v>
      </c>
      <c r="P14" s="1637">
        <v>0.68</v>
      </c>
      <c r="Q14" s="1637">
        <v>0.68</v>
      </c>
      <c r="R14" s="1637">
        <v>0.68</v>
      </c>
      <c r="S14" s="1637">
        <v>0.68</v>
      </c>
      <c r="T14" s="1640">
        <f t="shared" si="1"/>
        <v>8622.4829268292779</v>
      </c>
      <c r="U14" s="1640">
        <f t="shared" si="1"/>
        <v>8622.4829268292779</v>
      </c>
      <c r="V14" s="1640">
        <f t="shared" si="1"/>
        <v>8622.4829268292779</v>
      </c>
      <c r="W14" s="1640">
        <f t="shared" si="1"/>
        <v>8622.4829268292779</v>
      </c>
      <c r="X14" s="1640">
        <f t="shared" si="2"/>
        <v>34489.931707317111</v>
      </c>
      <c r="Y14" s="1372" t="str">
        <f t="shared" si="3"/>
        <v>CI-HVC-BOIL-V05-150601</v>
      </c>
      <c r="Z14" s="1372" t="str">
        <f t="shared" si="3"/>
        <v>Nicor Gas PY7-PY10 Adjustable Goals Template_2017-06-30, Tab 4.4.10</v>
      </c>
      <c r="AA14" s="1840">
        <f t="shared" si="3"/>
        <v>2536.0243902439051</v>
      </c>
      <c r="AB14" s="2028"/>
      <c r="AC14" s="1840">
        <f t="shared" si="4"/>
        <v>8622.4829268292779</v>
      </c>
      <c r="AD14" s="1840">
        <f t="shared" si="5"/>
        <v>0</v>
      </c>
      <c r="AE14" s="1372" t="s">
        <v>198</v>
      </c>
      <c r="AF14" s="1372" t="s">
        <v>3359</v>
      </c>
      <c r="AG14" s="1639">
        <v>2536.0243902439051</v>
      </c>
      <c r="AH14" s="1372" t="s">
        <v>3445</v>
      </c>
      <c r="AI14" s="1640">
        <f t="shared" si="10"/>
        <v>8622.4829268292779</v>
      </c>
      <c r="AJ14" s="1638">
        <f t="shared" si="11"/>
        <v>0</v>
      </c>
      <c r="AK14" s="1372" t="s">
        <v>198</v>
      </c>
      <c r="AL14" s="1372" t="s">
        <v>3359</v>
      </c>
      <c r="AM14" s="1639">
        <v>2536.0243902439051</v>
      </c>
      <c r="AN14" s="1372" t="str">
        <f t="shared" si="12"/>
        <v>No change</v>
      </c>
      <c r="AO14" s="1640">
        <f t="shared" si="13"/>
        <v>8622.4829268292779</v>
      </c>
      <c r="AP14" s="1638">
        <f t="shared" si="14"/>
        <v>0</v>
      </c>
      <c r="AQ14" s="1372" t="s">
        <v>198</v>
      </c>
      <c r="AR14" s="1372" t="s">
        <v>3359</v>
      </c>
      <c r="AS14" s="1639">
        <v>2536.0243902439051</v>
      </c>
      <c r="AT14" s="1372" t="str">
        <f t="shared" si="15"/>
        <v>No change</v>
      </c>
      <c r="AU14" s="1640">
        <f t="shared" si="16"/>
        <v>8622.4829268292779</v>
      </c>
      <c r="AV14" s="1638">
        <f t="shared" si="17"/>
        <v>0</v>
      </c>
      <c r="AW14" s="2044">
        <f t="shared" si="18"/>
        <v>8622.4829268292779</v>
      </c>
      <c r="AX14" s="2044">
        <f t="shared" si="19"/>
        <v>8622.4829268292779</v>
      </c>
      <c r="AY14" s="2044">
        <f t="shared" si="20"/>
        <v>8622.4829268292779</v>
      </c>
      <c r="AZ14" s="2044">
        <f t="shared" si="21"/>
        <v>8622.4829268292779</v>
      </c>
      <c r="BA14" s="2045">
        <f t="shared" si="22"/>
        <v>34489.931707317111</v>
      </c>
      <c r="BB14" s="2045" t="str">
        <f>+'[9]4.4.10'!$A$1</f>
        <v>4.4.10</v>
      </c>
      <c r="BC14" s="2045" t="str">
        <f>+'[9]4.4.10'!$A$1</f>
        <v>4.4.10</v>
      </c>
      <c r="BD14" s="2045">
        <v>0</v>
      </c>
      <c r="BE14" s="2051">
        <v>20</v>
      </c>
      <c r="BF14" s="2051">
        <v>20</v>
      </c>
      <c r="BG14" s="2051">
        <v>20</v>
      </c>
      <c r="BH14" s="2051">
        <v>20</v>
      </c>
      <c r="BI14" s="2045">
        <f t="shared" si="6"/>
        <v>172449.65853658557</v>
      </c>
      <c r="BJ14" s="2045">
        <f t="shared" si="7"/>
        <v>172449.65853658557</v>
      </c>
      <c r="BK14" s="2045">
        <f t="shared" si="8"/>
        <v>172449.65853658557</v>
      </c>
      <c r="BL14" s="2045">
        <f t="shared" si="9"/>
        <v>172449.65853658557</v>
      </c>
      <c r="BM14" s="2045">
        <f t="shared" si="23"/>
        <v>689798.63414634229</v>
      </c>
      <c r="BN14" s="2047">
        <v>20</v>
      </c>
      <c r="BO14" s="2047">
        <v>20</v>
      </c>
      <c r="BP14" s="2047">
        <v>20</v>
      </c>
      <c r="BQ14" s="2047">
        <v>20</v>
      </c>
      <c r="BR14" s="2048">
        <f t="shared" si="24"/>
        <v>172449.65853658557</v>
      </c>
      <c r="BS14" s="2048">
        <f t="shared" si="25"/>
        <v>172449.65853658557</v>
      </c>
      <c r="BT14" s="2048">
        <f t="shared" si="26"/>
        <v>172449.65853658557</v>
      </c>
      <c r="BU14" s="2048">
        <f t="shared" si="27"/>
        <v>172449.65853658557</v>
      </c>
      <c r="BV14" s="1840">
        <f t="shared" si="28"/>
        <v>689798.63414634229</v>
      </c>
      <c r="BW14" s="2064" t="e">
        <f>INT(#REF!)=INT(BA14)</f>
        <v>#REF!</v>
      </c>
      <c r="BX14" s="2064">
        <v>7</v>
      </c>
      <c r="BY14" s="2064" t="s">
        <v>512</v>
      </c>
    </row>
    <row r="15" spans="1:77" s="1976" customFormat="1" ht="62" x14ac:dyDescent="0.35">
      <c r="A15" s="1372" t="s">
        <v>1494</v>
      </c>
      <c r="B15" s="1372" t="s">
        <v>174</v>
      </c>
      <c r="C15" s="1637">
        <v>0</v>
      </c>
      <c r="D15" s="2053" t="str">
        <f>+'[9]4.4.10'!$A$1</f>
        <v>4.4.10</v>
      </c>
      <c r="E15" s="1372" t="s">
        <v>163</v>
      </c>
      <c r="F15" s="1638">
        <v>4</v>
      </c>
      <c r="G15" s="1638">
        <v>4</v>
      </c>
      <c r="H15" s="1638">
        <v>4</v>
      </c>
      <c r="I15" s="1638">
        <v>4</v>
      </c>
      <c r="J15" s="1372" t="str">
        <f>+'[9]4.4.10'!$B$22</f>
        <v>CI-HVC-BOIL-V05-150601</v>
      </c>
      <c r="K15" s="1372" t="str">
        <f t="shared" si="0"/>
        <v>Nicor Gas PY7-PY10 Adjustable Goals Template_2017-06-30, Tab 4.4.10</v>
      </c>
      <c r="L15" s="1639">
        <v>2983.5581061693006</v>
      </c>
      <c r="M15" s="1639">
        <v>2983.5581061693006</v>
      </c>
      <c r="N15" s="1639">
        <v>2983.5581061693006</v>
      </c>
      <c r="O15" s="1639">
        <v>2983.5581061693006</v>
      </c>
      <c r="P15" s="1637">
        <v>0.68</v>
      </c>
      <c r="Q15" s="1637">
        <v>0.68</v>
      </c>
      <c r="R15" s="1637">
        <v>0.68</v>
      </c>
      <c r="S15" s="1637">
        <v>0.68</v>
      </c>
      <c r="T15" s="1640">
        <f t="shared" si="1"/>
        <v>8115.2780487804985</v>
      </c>
      <c r="U15" s="1640">
        <f t="shared" si="1"/>
        <v>8115.2780487804985</v>
      </c>
      <c r="V15" s="1640">
        <f t="shared" si="1"/>
        <v>8115.2780487804985</v>
      </c>
      <c r="W15" s="1640">
        <f t="shared" si="1"/>
        <v>8115.2780487804985</v>
      </c>
      <c r="X15" s="1640">
        <f t="shared" si="2"/>
        <v>32461.112195121994</v>
      </c>
      <c r="Y15" s="1372" t="str">
        <f t="shared" si="3"/>
        <v>CI-HVC-BOIL-V05-150601</v>
      </c>
      <c r="Z15" s="1372" t="str">
        <f t="shared" si="3"/>
        <v>Nicor Gas PY7-PY10 Adjustable Goals Template_2017-06-30, Tab 4.4.10</v>
      </c>
      <c r="AA15" s="1840">
        <f t="shared" si="3"/>
        <v>2983.5581061693006</v>
      </c>
      <c r="AB15" s="2028"/>
      <c r="AC15" s="1840">
        <f t="shared" si="4"/>
        <v>8115.2780487804985</v>
      </c>
      <c r="AD15" s="1840">
        <f t="shared" si="5"/>
        <v>0</v>
      </c>
      <c r="AE15" s="1372" t="s">
        <v>198</v>
      </c>
      <c r="AF15" s="1372" t="s">
        <v>3359</v>
      </c>
      <c r="AG15" s="1639">
        <v>2983.5581061693006</v>
      </c>
      <c r="AH15" s="1372" t="s">
        <v>3445</v>
      </c>
      <c r="AI15" s="1640">
        <f t="shared" si="10"/>
        <v>8115.2780487804985</v>
      </c>
      <c r="AJ15" s="1638">
        <f t="shared" si="11"/>
        <v>0</v>
      </c>
      <c r="AK15" s="1372" t="s">
        <v>198</v>
      </c>
      <c r="AL15" s="1372" t="s">
        <v>3359</v>
      </c>
      <c r="AM15" s="1639">
        <v>2983.5581061693006</v>
      </c>
      <c r="AN15" s="1372" t="str">
        <f t="shared" si="12"/>
        <v>No change</v>
      </c>
      <c r="AO15" s="1640">
        <f t="shared" si="13"/>
        <v>8115.2780487804985</v>
      </c>
      <c r="AP15" s="1638">
        <f t="shared" si="14"/>
        <v>0</v>
      </c>
      <c r="AQ15" s="1372" t="s">
        <v>198</v>
      </c>
      <c r="AR15" s="1372" t="s">
        <v>3359</v>
      </c>
      <c r="AS15" s="1639">
        <v>2983.5581061693006</v>
      </c>
      <c r="AT15" s="1372" t="str">
        <f t="shared" si="15"/>
        <v>No change</v>
      </c>
      <c r="AU15" s="1640">
        <f t="shared" si="16"/>
        <v>8115.2780487804985</v>
      </c>
      <c r="AV15" s="1638">
        <f t="shared" si="17"/>
        <v>0</v>
      </c>
      <c r="AW15" s="2044">
        <f t="shared" si="18"/>
        <v>8115.2780487804985</v>
      </c>
      <c r="AX15" s="2044">
        <f t="shared" si="19"/>
        <v>8115.2780487804985</v>
      </c>
      <c r="AY15" s="2044">
        <f t="shared" si="20"/>
        <v>8115.2780487804985</v>
      </c>
      <c r="AZ15" s="2044">
        <f t="shared" si="21"/>
        <v>8115.2780487804985</v>
      </c>
      <c r="BA15" s="2045">
        <f t="shared" si="22"/>
        <v>32461.112195121994</v>
      </c>
      <c r="BB15" s="2045" t="str">
        <f>+'[9]4.4.10'!$A$1</f>
        <v>4.4.10</v>
      </c>
      <c r="BC15" s="2045" t="str">
        <f>+'[9]4.4.10'!$A$1</f>
        <v>4.4.10</v>
      </c>
      <c r="BD15" s="2045">
        <v>0</v>
      </c>
      <c r="BE15" s="2051">
        <v>20</v>
      </c>
      <c r="BF15" s="2051">
        <v>20</v>
      </c>
      <c r="BG15" s="2051">
        <v>20</v>
      </c>
      <c r="BH15" s="2051">
        <v>20</v>
      </c>
      <c r="BI15" s="2045">
        <f t="shared" si="6"/>
        <v>162305.56097560996</v>
      </c>
      <c r="BJ15" s="2045">
        <f t="shared" si="7"/>
        <v>162305.56097560996</v>
      </c>
      <c r="BK15" s="2045">
        <f t="shared" si="8"/>
        <v>162305.56097560996</v>
      </c>
      <c r="BL15" s="2045">
        <f t="shared" si="9"/>
        <v>162305.56097560996</v>
      </c>
      <c r="BM15" s="2045">
        <f t="shared" si="23"/>
        <v>649222.24390243983</v>
      </c>
      <c r="BN15" s="2047">
        <v>20</v>
      </c>
      <c r="BO15" s="2047">
        <v>20</v>
      </c>
      <c r="BP15" s="2047">
        <v>20</v>
      </c>
      <c r="BQ15" s="2047">
        <v>20</v>
      </c>
      <c r="BR15" s="2048">
        <f t="shared" si="24"/>
        <v>162305.56097560996</v>
      </c>
      <c r="BS15" s="2048">
        <f t="shared" si="25"/>
        <v>162305.56097560996</v>
      </c>
      <c r="BT15" s="2048">
        <f t="shared" si="26"/>
        <v>162305.56097560996</v>
      </c>
      <c r="BU15" s="2048">
        <f t="shared" si="27"/>
        <v>162305.56097560996</v>
      </c>
      <c r="BV15" s="1840">
        <f t="shared" si="28"/>
        <v>649222.24390243983</v>
      </c>
      <c r="BW15" s="2064" t="e">
        <f>INT(#REF!)=INT(BA15)</f>
        <v>#REF!</v>
      </c>
      <c r="BX15" s="2064">
        <v>8</v>
      </c>
      <c r="BY15" s="2064" t="s">
        <v>512</v>
      </c>
    </row>
    <row r="16" spans="1:77" s="1976" customFormat="1" ht="62" x14ac:dyDescent="0.35">
      <c r="A16" s="1372" t="s">
        <v>1494</v>
      </c>
      <c r="B16" s="1372" t="s">
        <v>175</v>
      </c>
      <c r="C16" s="1637">
        <v>0</v>
      </c>
      <c r="D16" s="2053" t="str">
        <f>+'[9]4.4.10'!$A$1</f>
        <v>4.4.10</v>
      </c>
      <c r="E16" s="1372" t="s">
        <v>163</v>
      </c>
      <c r="F16" s="1638">
        <v>5</v>
      </c>
      <c r="G16" s="1638">
        <v>5</v>
      </c>
      <c r="H16" s="1638">
        <v>5</v>
      </c>
      <c r="I16" s="1638">
        <v>5</v>
      </c>
      <c r="J16" s="1372" t="str">
        <f>+'[9]4.4.10'!$B$22</f>
        <v>CI-HVC-BOIL-V05-150601</v>
      </c>
      <c r="K16" s="1372" t="str">
        <f t="shared" si="0"/>
        <v>Nicor Gas PY7-PY10 Adjustable Goals Template_2017-06-30, Tab 4.4.10</v>
      </c>
      <c r="L16" s="1639">
        <v>167.82514347202317</v>
      </c>
      <c r="M16" s="1639">
        <v>167.82514347202317</v>
      </c>
      <c r="N16" s="1639">
        <v>167.82514347202317</v>
      </c>
      <c r="O16" s="1639">
        <v>167.82514347202317</v>
      </c>
      <c r="P16" s="1637">
        <v>0.68</v>
      </c>
      <c r="Q16" s="1637">
        <v>0.68</v>
      </c>
      <c r="R16" s="1637">
        <v>0.68</v>
      </c>
      <c r="S16" s="1637">
        <v>0.68</v>
      </c>
      <c r="T16" s="1640">
        <f t="shared" si="1"/>
        <v>570.60548780487886</v>
      </c>
      <c r="U16" s="1640">
        <f t="shared" si="1"/>
        <v>570.60548780487886</v>
      </c>
      <c r="V16" s="1640">
        <f t="shared" si="1"/>
        <v>570.60548780487886</v>
      </c>
      <c r="W16" s="1640">
        <f t="shared" si="1"/>
        <v>570.60548780487886</v>
      </c>
      <c r="X16" s="1640">
        <f t="shared" si="2"/>
        <v>2282.4219512195154</v>
      </c>
      <c r="Y16" s="1372" t="str">
        <f t="shared" si="3"/>
        <v>CI-HVC-BOIL-V05-150601</v>
      </c>
      <c r="Z16" s="1372" t="str">
        <f t="shared" si="3"/>
        <v>Nicor Gas PY7-PY10 Adjustable Goals Template_2017-06-30, Tab 4.4.10</v>
      </c>
      <c r="AA16" s="1840">
        <f t="shared" si="3"/>
        <v>167.82514347202317</v>
      </c>
      <c r="AB16" s="2028"/>
      <c r="AC16" s="1840">
        <f t="shared" si="4"/>
        <v>570.60548780487886</v>
      </c>
      <c r="AD16" s="1840">
        <f t="shared" si="5"/>
        <v>0</v>
      </c>
      <c r="AE16" s="1372" t="s">
        <v>198</v>
      </c>
      <c r="AF16" s="1372" t="s">
        <v>3359</v>
      </c>
      <c r="AG16" s="1639">
        <v>167.82514347202317</v>
      </c>
      <c r="AH16" s="1372" t="s">
        <v>3445</v>
      </c>
      <c r="AI16" s="1640">
        <f t="shared" si="10"/>
        <v>570.60548780487886</v>
      </c>
      <c r="AJ16" s="1638">
        <f t="shared" si="11"/>
        <v>0</v>
      </c>
      <c r="AK16" s="1372" t="s">
        <v>198</v>
      </c>
      <c r="AL16" s="1372" t="s">
        <v>3359</v>
      </c>
      <c r="AM16" s="1639">
        <v>167.82514347202317</v>
      </c>
      <c r="AN16" s="1372" t="str">
        <f t="shared" si="12"/>
        <v>No change</v>
      </c>
      <c r="AO16" s="1640">
        <f t="shared" si="13"/>
        <v>570.60548780487886</v>
      </c>
      <c r="AP16" s="1638">
        <f t="shared" si="14"/>
        <v>0</v>
      </c>
      <c r="AQ16" s="1372" t="s">
        <v>198</v>
      </c>
      <c r="AR16" s="1372" t="s">
        <v>3359</v>
      </c>
      <c r="AS16" s="1639">
        <v>167.82514347202317</v>
      </c>
      <c r="AT16" s="1372" t="str">
        <f t="shared" si="15"/>
        <v>No change</v>
      </c>
      <c r="AU16" s="1640">
        <f t="shared" si="16"/>
        <v>570.60548780487886</v>
      </c>
      <c r="AV16" s="1638">
        <f t="shared" si="17"/>
        <v>0</v>
      </c>
      <c r="AW16" s="2044">
        <f t="shared" si="18"/>
        <v>570.60548780487886</v>
      </c>
      <c r="AX16" s="2044">
        <f t="shared" si="19"/>
        <v>570.60548780487886</v>
      </c>
      <c r="AY16" s="2044">
        <f t="shared" si="20"/>
        <v>570.60548780487886</v>
      </c>
      <c r="AZ16" s="2044">
        <f t="shared" si="21"/>
        <v>570.60548780487886</v>
      </c>
      <c r="BA16" s="2045">
        <f t="shared" si="22"/>
        <v>2282.4219512195154</v>
      </c>
      <c r="BB16" s="2045" t="str">
        <f>+'[9]4.4.10'!$A$1</f>
        <v>4.4.10</v>
      </c>
      <c r="BC16" s="2045" t="str">
        <f>+'[9]4.4.10'!$A$1</f>
        <v>4.4.10</v>
      </c>
      <c r="BD16" s="2045">
        <v>0</v>
      </c>
      <c r="BE16" s="2051">
        <v>20</v>
      </c>
      <c r="BF16" s="2051">
        <v>20</v>
      </c>
      <c r="BG16" s="2051">
        <v>20</v>
      </c>
      <c r="BH16" s="2051">
        <v>20</v>
      </c>
      <c r="BI16" s="2045">
        <f t="shared" si="6"/>
        <v>11412.109756097578</v>
      </c>
      <c r="BJ16" s="2045">
        <f t="shared" si="7"/>
        <v>11412.109756097578</v>
      </c>
      <c r="BK16" s="2045">
        <f t="shared" si="8"/>
        <v>11412.109756097578</v>
      </c>
      <c r="BL16" s="2045">
        <f t="shared" si="9"/>
        <v>11412.109756097578</v>
      </c>
      <c r="BM16" s="2045">
        <f t="shared" si="23"/>
        <v>45648.439024390311</v>
      </c>
      <c r="BN16" s="2047">
        <v>20</v>
      </c>
      <c r="BO16" s="2047">
        <v>20</v>
      </c>
      <c r="BP16" s="2047">
        <v>20</v>
      </c>
      <c r="BQ16" s="2047">
        <v>20</v>
      </c>
      <c r="BR16" s="2048">
        <f t="shared" si="24"/>
        <v>11412.109756097578</v>
      </c>
      <c r="BS16" s="2048">
        <f t="shared" si="25"/>
        <v>11412.109756097578</v>
      </c>
      <c r="BT16" s="2048">
        <f t="shared" si="26"/>
        <v>11412.109756097578</v>
      </c>
      <c r="BU16" s="2048">
        <f t="shared" si="27"/>
        <v>11412.109756097578</v>
      </c>
      <c r="BV16" s="1840">
        <f t="shared" si="28"/>
        <v>45648.439024390311</v>
      </c>
      <c r="BW16" s="2064" t="e">
        <f>INT(#REF!)=INT(BA16)</f>
        <v>#REF!</v>
      </c>
      <c r="BX16" s="2064">
        <v>9</v>
      </c>
      <c r="BY16" s="2064" t="s">
        <v>512</v>
      </c>
    </row>
    <row r="17" spans="1:77" s="1976" customFormat="1" ht="62" x14ac:dyDescent="0.35">
      <c r="A17" s="1372" t="s">
        <v>1494</v>
      </c>
      <c r="B17" s="1372" t="s">
        <v>176</v>
      </c>
      <c r="C17" s="1637">
        <v>0</v>
      </c>
      <c r="D17" s="2053" t="str">
        <f>+'[9]4.4.10'!$A$1</f>
        <v>4.4.10</v>
      </c>
      <c r="E17" s="1372" t="s">
        <v>163</v>
      </c>
      <c r="F17" s="1638">
        <v>4</v>
      </c>
      <c r="G17" s="1638">
        <v>4</v>
      </c>
      <c r="H17" s="1638">
        <v>4</v>
      </c>
      <c r="I17" s="1638">
        <v>4</v>
      </c>
      <c r="J17" s="1372" t="str">
        <f>+'[9]4.4.10'!$B$22</f>
        <v>CI-HVC-BOIL-V05-150601</v>
      </c>
      <c r="K17" s="1372" t="str">
        <f t="shared" si="0"/>
        <v>Nicor Gas PY7-PY10 Adjustable Goals Template_2017-06-30, Tab 4.4.10</v>
      </c>
      <c r="L17" s="1639">
        <v>279.1491553084652</v>
      </c>
      <c r="M17" s="1639">
        <v>279.1491553084652</v>
      </c>
      <c r="N17" s="1639">
        <v>279.1491553084652</v>
      </c>
      <c r="O17" s="1639">
        <v>279.1491553084652</v>
      </c>
      <c r="P17" s="1637">
        <v>0.68</v>
      </c>
      <c r="Q17" s="1637">
        <v>0.68</v>
      </c>
      <c r="R17" s="1637">
        <v>0.68</v>
      </c>
      <c r="S17" s="1637">
        <v>0.68</v>
      </c>
      <c r="T17" s="1640">
        <f t="shared" si="1"/>
        <v>759.28570243902539</v>
      </c>
      <c r="U17" s="1640">
        <f t="shared" si="1"/>
        <v>759.28570243902539</v>
      </c>
      <c r="V17" s="1640">
        <f t="shared" si="1"/>
        <v>759.28570243902539</v>
      </c>
      <c r="W17" s="1640">
        <f t="shared" si="1"/>
        <v>759.28570243902539</v>
      </c>
      <c r="X17" s="1640">
        <f t="shared" si="2"/>
        <v>3037.1428097561015</v>
      </c>
      <c r="Y17" s="1372" t="str">
        <f t="shared" si="3"/>
        <v>CI-HVC-BOIL-V05-150601</v>
      </c>
      <c r="Z17" s="1372" t="str">
        <f t="shared" si="3"/>
        <v>Nicor Gas PY7-PY10 Adjustable Goals Template_2017-06-30, Tab 4.4.10</v>
      </c>
      <c r="AA17" s="1840">
        <f t="shared" si="3"/>
        <v>279.1491553084652</v>
      </c>
      <c r="AB17" s="2028"/>
      <c r="AC17" s="1840">
        <f t="shared" si="4"/>
        <v>759.28570243902539</v>
      </c>
      <c r="AD17" s="1840">
        <f t="shared" si="5"/>
        <v>0</v>
      </c>
      <c r="AE17" s="1372" t="s">
        <v>198</v>
      </c>
      <c r="AF17" s="1372" t="s">
        <v>3359</v>
      </c>
      <c r="AG17" s="1639">
        <v>279.1491553084652</v>
      </c>
      <c r="AH17" s="1372" t="s">
        <v>3445</v>
      </c>
      <c r="AI17" s="1640">
        <f t="shared" si="10"/>
        <v>759.28570243902539</v>
      </c>
      <c r="AJ17" s="1638">
        <f t="shared" si="11"/>
        <v>0</v>
      </c>
      <c r="AK17" s="1372" t="s">
        <v>198</v>
      </c>
      <c r="AL17" s="1372" t="s">
        <v>3359</v>
      </c>
      <c r="AM17" s="1639">
        <v>279.1491553084652</v>
      </c>
      <c r="AN17" s="1372" t="str">
        <f t="shared" si="12"/>
        <v>No change</v>
      </c>
      <c r="AO17" s="1640">
        <f t="shared" si="13"/>
        <v>759.28570243902539</v>
      </c>
      <c r="AP17" s="1638">
        <f t="shared" si="14"/>
        <v>0</v>
      </c>
      <c r="AQ17" s="1372" t="s">
        <v>198</v>
      </c>
      <c r="AR17" s="1372" t="s">
        <v>3359</v>
      </c>
      <c r="AS17" s="1639">
        <v>279.1491553084652</v>
      </c>
      <c r="AT17" s="1372" t="str">
        <f t="shared" si="15"/>
        <v>No change</v>
      </c>
      <c r="AU17" s="1640">
        <f t="shared" si="16"/>
        <v>759.28570243902539</v>
      </c>
      <c r="AV17" s="1638">
        <f t="shared" si="17"/>
        <v>0</v>
      </c>
      <c r="AW17" s="2044">
        <f t="shared" si="18"/>
        <v>759.28570243902539</v>
      </c>
      <c r="AX17" s="2044">
        <f t="shared" si="19"/>
        <v>759.28570243902539</v>
      </c>
      <c r="AY17" s="2044">
        <f t="shared" si="20"/>
        <v>759.28570243902539</v>
      </c>
      <c r="AZ17" s="2044">
        <f t="shared" si="21"/>
        <v>759.28570243902539</v>
      </c>
      <c r="BA17" s="2045">
        <f t="shared" si="22"/>
        <v>3037.1428097561015</v>
      </c>
      <c r="BB17" s="2045" t="str">
        <f>+'[9]4.4.10'!$A$1</f>
        <v>4.4.10</v>
      </c>
      <c r="BC17" s="2045" t="str">
        <f>+'[9]4.4.10'!$A$1</f>
        <v>4.4.10</v>
      </c>
      <c r="BD17" s="2045">
        <v>0</v>
      </c>
      <c r="BE17" s="2051">
        <v>20</v>
      </c>
      <c r="BF17" s="2051">
        <v>20</v>
      </c>
      <c r="BG17" s="2051">
        <v>20</v>
      </c>
      <c r="BH17" s="2051">
        <v>20</v>
      </c>
      <c r="BI17" s="2045">
        <f t="shared" si="6"/>
        <v>15185.714048780508</v>
      </c>
      <c r="BJ17" s="2045">
        <f t="shared" si="7"/>
        <v>15185.714048780508</v>
      </c>
      <c r="BK17" s="2045">
        <f t="shared" si="8"/>
        <v>15185.714048780508</v>
      </c>
      <c r="BL17" s="2045">
        <f t="shared" si="9"/>
        <v>15185.714048780508</v>
      </c>
      <c r="BM17" s="2045">
        <f t="shared" si="23"/>
        <v>60742.856195122033</v>
      </c>
      <c r="BN17" s="2047">
        <v>20</v>
      </c>
      <c r="BO17" s="2047">
        <v>20</v>
      </c>
      <c r="BP17" s="2047">
        <v>20</v>
      </c>
      <c r="BQ17" s="2047">
        <v>20</v>
      </c>
      <c r="BR17" s="2048">
        <f t="shared" si="24"/>
        <v>15185.714048780508</v>
      </c>
      <c r="BS17" s="2048">
        <f t="shared" si="25"/>
        <v>15185.714048780508</v>
      </c>
      <c r="BT17" s="2048">
        <f t="shared" si="26"/>
        <v>15185.714048780508</v>
      </c>
      <c r="BU17" s="2048">
        <f t="shared" si="27"/>
        <v>15185.714048780508</v>
      </c>
      <c r="BV17" s="1840">
        <f t="shared" si="28"/>
        <v>60742.856195122033</v>
      </c>
      <c r="BW17" s="2064" t="e">
        <f>INT(#REF!)=INT(BA17)</f>
        <v>#REF!</v>
      </c>
      <c r="BX17" s="2064">
        <v>10</v>
      </c>
      <c r="BY17" s="2064" t="s">
        <v>512</v>
      </c>
    </row>
    <row r="18" spans="1:77" s="1976" customFormat="1" ht="62" x14ac:dyDescent="0.35">
      <c r="A18" s="1372" t="s">
        <v>1494</v>
      </c>
      <c r="B18" s="1372" t="s">
        <v>177</v>
      </c>
      <c r="C18" s="1637">
        <v>0</v>
      </c>
      <c r="D18" s="2053" t="str">
        <f>+'[9]4.4.10'!$A$1</f>
        <v>4.4.10</v>
      </c>
      <c r="E18" s="1372" t="s">
        <v>163</v>
      </c>
      <c r="F18" s="1638">
        <v>5</v>
      </c>
      <c r="G18" s="1638">
        <v>5</v>
      </c>
      <c r="H18" s="1638">
        <v>5</v>
      </c>
      <c r="I18" s="1638">
        <v>5</v>
      </c>
      <c r="J18" s="1372" t="str">
        <f>+'[9]4.4.10'!$B$22</f>
        <v>CI-HVC-BOIL-V05-150601</v>
      </c>
      <c r="K18" s="1372" t="str">
        <f t="shared" si="0"/>
        <v>Nicor Gas PY7-PY10 Adjustable Goals Template_2017-06-30, Tab 4.4.10</v>
      </c>
      <c r="L18" s="1639">
        <v>558.85772776183705</v>
      </c>
      <c r="M18" s="1639">
        <v>558.85772776183705</v>
      </c>
      <c r="N18" s="1639">
        <v>558.85772776183705</v>
      </c>
      <c r="O18" s="1639">
        <v>558.85772776183705</v>
      </c>
      <c r="P18" s="1637">
        <v>0.68</v>
      </c>
      <c r="Q18" s="1637">
        <v>0.68</v>
      </c>
      <c r="R18" s="1637">
        <v>0.68</v>
      </c>
      <c r="S18" s="1637">
        <v>0.68</v>
      </c>
      <c r="T18" s="1640">
        <f t="shared" si="1"/>
        <v>1900.116274390246</v>
      </c>
      <c r="U18" s="1640">
        <f t="shared" si="1"/>
        <v>1900.116274390246</v>
      </c>
      <c r="V18" s="1640">
        <f t="shared" si="1"/>
        <v>1900.116274390246</v>
      </c>
      <c r="W18" s="1640">
        <f t="shared" si="1"/>
        <v>1900.116274390246</v>
      </c>
      <c r="X18" s="1640">
        <f t="shared" si="2"/>
        <v>7600.4650975609838</v>
      </c>
      <c r="Y18" s="1372" t="str">
        <f t="shared" si="3"/>
        <v>CI-HVC-BOIL-V05-150601</v>
      </c>
      <c r="Z18" s="1372" t="str">
        <f t="shared" si="3"/>
        <v>Nicor Gas PY7-PY10 Adjustable Goals Template_2017-06-30, Tab 4.4.10</v>
      </c>
      <c r="AA18" s="1840">
        <f t="shared" si="3"/>
        <v>558.85772776183705</v>
      </c>
      <c r="AB18" s="2028"/>
      <c r="AC18" s="1840">
        <f t="shared" si="4"/>
        <v>1900.116274390246</v>
      </c>
      <c r="AD18" s="1840">
        <f t="shared" si="5"/>
        <v>0</v>
      </c>
      <c r="AE18" s="1372" t="s">
        <v>198</v>
      </c>
      <c r="AF18" s="1372" t="s">
        <v>3359</v>
      </c>
      <c r="AG18" s="1639">
        <v>558.85772776183705</v>
      </c>
      <c r="AH18" s="1372" t="s">
        <v>3445</v>
      </c>
      <c r="AI18" s="1640">
        <f t="shared" si="10"/>
        <v>1900.116274390246</v>
      </c>
      <c r="AJ18" s="1638">
        <f t="shared" si="11"/>
        <v>0</v>
      </c>
      <c r="AK18" s="1372" t="s">
        <v>198</v>
      </c>
      <c r="AL18" s="1372" t="s">
        <v>3359</v>
      </c>
      <c r="AM18" s="1639">
        <v>558.85772776183705</v>
      </c>
      <c r="AN18" s="1372" t="str">
        <f t="shared" si="12"/>
        <v>No change</v>
      </c>
      <c r="AO18" s="1640">
        <f t="shared" si="13"/>
        <v>1900.116274390246</v>
      </c>
      <c r="AP18" s="1638">
        <f t="shared" si="14"/>
        <v>0</v>
      </c>
      <c r="AQ18" s="1372" t="s">
        <v>198</v>
      </c>
      <c r="AR18" s="1372" t="s">
        <v>3359</v>
      </c>
      <c r="AS18" s="1639">
        <v>558.85772776183705</v>
      </c>
      <c r="AT18" s="1372" t="str">
        <f t="shared" si="15"/>
        <v>No change</v>
      </c>
      <c r="AU18" s="1640">
        <f t="shared" si="16"/>
        <v>1900.116274390246</v>
      </c>
      <c r="AV18" s="1638">
        <f t="shared" si="17"/>
        <v>0</v>
      </c>
      <c r="AW18" s="2044">
        <f t="shared" si="18"/>
        <v>1900.116274390246</v>
      </c>
      <c r="AX18" s="2044">
        <f t="shared" si="19"/>
        <v>1900.116274390246</v>
      </c>
      <c r="AY18" s="2044">
        <f t="shared" si="20"/>
        <v>1900.116274390246</v>
      </c>
      <c r="AZ18" s="2044">
        <f t="shared" si="21"/>
        <v>1900.116274390246</v>
      </c>
      <c r="BA18" s="2045">
        <f t="shared" si="22"/>
        <v>7600.4650975609838</v>
      </c>
      <c r="BB18" s="2045" t="str">
        <f>+'[9]4.4.10'!$A$1</f>
        <v>4.4.10</v>
      </c>
      <c r="BC18" s="2045" t="str">
        <f>+'[9]4.4.10'!$A$1</f>
        <v>4.4.10</v>
      </c>
      <c r="BD18" s="2045">
        <v>0</v>
      </c>
      <c r="BE18" s="2051">
        <v>20</v>
      </c>
      <c r="BF18" s="2051">
        <v>20</v>
      </c>
      <c r="BG18" s="2051">
        <v>20</v>
      </c>
      <c r="BH18" s="2051">
        <v>20</v>
      </c>
      <c r="BI18" s="2045">
        <f t="shared" si="6"/>
        <v>38002.325487804927</v>
      </c>
      <c r="BJ18" s="2045">
        <f t="shared" si="7"/>
        <v>38002.325487804927</v>
      </c>
      <c r="BK18" s="2045">
        <f t="shared" si="8"/>
        <v>38002.325487804927</v>
      </c>
      <c r="BL18" s="2045">
        <f t="shared" si="9"/>
        <v>38002.325487804927</v>
      </c>
      <c r="BM18" s="2045">
        <f t="shared" si="23"/>
        <v>152009.30195121971</v>
      </c>
      <c r="BN18" s="2047">
        <v>20</v>
      </c>
      <c r="BO18" s="2047">
        <v>20</v>
      </c>
      <c r="BP18" s="2047">
        <v>20</v>
      </c>
      <c r="BQ18" s="2047">
        <v>20</v>
      </c>
      <c r="BR18" s="2048">
        <f t="shared" si="24"/>
        <v>38002.325487804927</v>
      </c>
      <c r="BS18" s="2048">
        <f t="shared" si="25"/>
        <v>38002.325487804927</v>
      </c>
      <c r="BT18" s="2048">
        <f t="shared" si="26"/>
        <v>38002.325487804927</v>
      </c>
      <c r="BU18" s="2048">
        <f t="shared" si="27"/>
        <v>38002.325487804927</v>
      </c>
      <c r="BV18" s="1840">
        <f t="shared" si="28"/>
        <v>152009.30195121971</v>
      </c>
      <c r="BW18" s="2064" t="e">
        <f>INT(#REF!)=INT(BA18)</f>
        <v>#REF!</v>
      </c>
      <c r="BX18" s="2064">
        <v>11</v>
      </c>
      <c r="BY18" s="2064" t="s">
        <v>512</v>
      </c>
    </row>
    <row r="19" spans="1:77" s="1976" customFormat="1" ht="62" x14ac:dyDescent="0.35">
      <c r="A19" s="1372" t="s">
        <v>1494</v>
      </c>
      <c r="B19" s="1372" t="s">
        <v>178</v>
      </c>
      <c r="C19" s="1637">
        <v>0</v>
      </c>
      <c r="D19" s="2053" t="str">
        <f>+'[9]4.4.10'!$A$1</f>
        <v>4.4.10</v>
      </c>
      <c r="E19" s="1372" t="s">
        <v>163</v>
      </c>
      <c r="F19" s="1638">
        <v>6</v>
      </c>
      <c r="G19" s="1638">
        <v>6</v>
      </c>
      <c r="H19" s="1638">
        <v>6</v>
      </c>
      <c r="I19" s="1638">
        <v>6</v>
      </c>
      <c r="J19" s="1372" t="str">
        <f>+'[9]4.4.10'!$B$22</f>
        <v>CI-HVC-BOIL-V05-150601</v>
      </c>
      <c r="K19" s="1372" t="str">
        <f t="shared" si="0"/>
        <v>Nicor Gas PY7-PY10 Adjustable Goals Template_2017-06-30, Tab 4.4.10</v>
      </c>
      <c r="L19" s="1639">
        <v>951.00914634146432</v>
      </c>
      <c r="M19" s="1639">
        <v>951.00914634146432</v>
      </c>
      <c r="N19" s="1639">
        <v>951.00914634146432</v>
      </c>
      <c r="O19" s="1639">
        <v>951.00914634146432</v>
      </c>
      <c r="P19" s="1637">
        <v>0.68</v>
      </c>
      <c r="Q19" s="1637">
        <v>0.68</v>
      </c>
      <c r="R19" s="1637">
        <v>0.68</v>
      </c>
      <c r="S19" s="1637">
        <v>0.68</v>
      </c>
      <c r="T19" s="1640">
        <f t="shared" si="1"/>
        <v>3880.1173170731749</v>
      </c>
      <c r="U19" s="1640">
        <f t="shared" si="1"/>
        <v>3880.1173170731749</v>
      </c>
      <c r="V19" s="1640">
        <f t="shared" si="1"/>
        <v>3880.1173170731749</v>
      </c>
      <c r="W19" s="1640">
        <f t="shared" si="1"/>
        <v>3880.1173170731749</v>
      </c>
      <c r="X19" s="1640">
        <f t="shared" si="2"/>
        <v>15520.4692682927</v>
      </c>
      <c r="Y19" s="1372" t="str">
        <f t="shared" si="3"/>
        <v>CI-HVC-BOIL-V05-150601</v>
      </c>
      <c r="Z19" s="1372" t="str">
        <f t="shared" si="3"/>
        <v>Nicor Gas PY7-PY10 Adjustable Goals Template_2017-06-30, Tab 4.4.10</v>
      </c>
      <c r="AA19" s="1840">
        <f t="shared" si="3"/>
        <v>951.00914634146432</v>
      </c>
      <c r="AB19" s="2028"/>
      <c r="AC19" s="1840">
        <f t="shared" si="4"/>
        <v>3880.1173170731749</v>
      </c>
      <c r="AD19" s="1840">
        <f t="shared" si="5"/>
        <v>0</v>
      </c>
      <c r="AE19" s="1372" t="s">
        <v>198</v>
      </c>
      <c r="AF19" s="1372" t="s">
        <v>3359</v>
      </c>
      <c r="AG19" s="1639">
        <v>951.00914634146432</v>
      </c>
      <c r="AH19" s="1372" t="s">
        <v>3445</v>
      </c>
      <c r="AI19" s="1640">
        <f t="shared" si="10"/>
        <v>3880.1173170731749</v>
      </c>
      <c r="AJ19" s="1638">
        <f t="shared" si="11"/>
        <v>0</v>
      </c>
      <c r="AK19" s="1372" t="s">
        <v>198</v>
      </c>
      <c r="AL19" s="1372" t="s">
        <v>3359</v>
      </c>
      <c r="AM19" s="1639">
        <v>951.00914634146432</v>
      </c>
      <c r="AN19" s="1372" t="str">
        <f t="shared" si="12"/>
        <v>No change</v>
      </c>
      <c r="AO19" s="1640">
        <f t="shared" si="13"/>
        <v>3880.1173170731749</v>
      </c>
      <c r="AP19" s="1638">
        <f t="shared" si="14"/>
        <v>0</v>
      </c>
      <c r="AQ19" s="1372" t="s">
        <v>198</v>
      </c>
      <c r="AR19" s="1372" t="s">
        <v>3359</v>
      </c>
      <c r="AS19" s="1639">
        <v>951.00914634146432</v>
      </c>
      <c r="AT19" s="1372" t="str">
        <f t="shared" si="15"/>
        <v>No change</v>
      </c>
      <c r="AU19" s="1640">
        <f t="shared" si="16"/>
        <v>3880.1173170731749</v>
      </c>
      <c r="AV19" s="1638">
        <f t="shared" si="17"/>
        <v>0</v>
      </c>
      <c r="AW19" s="2044">
        <f t="shared" si="18"/>
        <v>3880.1173170731749</v>
      </c>
      <c r="AX19" s="2044">
        <f t="shared" si="19"/>
        <v>3880.1173170731749</v>
      </c>
      <c r="AY19" s="2044">
        <f t="shared" si="20"/>
        <v>3880.1173170731749</v>
      </c>
      <c r="AZ19" s="2044">
        <f t="shared" si="21"/>
        <v>3880.1173170731749</v>
      </c>
      <c r="BA19" s="2045">
        <f t="shared" si="22"/>
        <v>15520.4692682927</v>
      </c>
      <c r="BB19" s="2045" t="str">
        <f>+'[9]4.4.10'!$A$1</f>
        <v>4.4.10</v>
      </c>
      <c r="BC19" s="2045" t="str">
        <f>+'[9]4.4.10'!$A$1</f>
        <v>4.4.10</v>
      </c>
      <c r="BD19" s="2045">
        <v>0</v>
      </c>
      <c r="BE19" s="2051">
        <v>20</v>
      </c>
      <c r="BF19" s="2051">
        <v>20</v>
      </c>
      <c r="BG19" s="2051">
        <v>20</v>
      </c>
      <c r="BH19" s="2051">
        <v>20</v>
      </c>
      <c r="BI19" s="2045">
        <f t="shared" si="6"/>
        <v>77602.34634146349</v>
      </c>
      <c r="BJ19" s="2045">
        <f t="shared" si="7"/>
        <v>77602.34634146349</v>
      </c>
      <c r="BK19" s="2045">
        <f t="shared" si="8"/>
        <v>77602.34634146349</v>
      </c>
      <c r="BL19" s="2045">
        <f t="shared" si="9"/>
        <v>77602.34634146349</v>
      </c>
      <c r="BM19" s="2045">
        <f t="shared" si="23"/>
        <v>310409.38536585396</v>
      </c>
      <c r="BN19" s="2047">
        <v>20</v>
      </c>
      <c r="BO19" s="2047">
        <v>20</v>
      </c>
      <c r="BP19" s="2047">
        <v>20</v>
      </c>
      <c r="BQ19" s="2047">
        <v>20</v>
      </c>
      <c r="BR19" s="2048">
        <f t="shared" si="24"/>
        <v>77602.34634146349</v>
      </c>
      <c r="BS19" s="2048">
        <f t="shared" si="25"/>
        <v>77602.34634146349</v>
      </c>
      <c r="BT19" s="2048">
        <f t="shared" si="26"/>
        <v>77602.34634146349</v>
      </c>
      <c r="BU19" s="2048">
        <f t="shared" si="27"/>
        <v>77602.34634146349</v>
      </c>
      <c r="BV19" s="1840">
        <f t="shared" si="28"/>
        <v>310409.38536585396</v>
      </c>
      <c r="BW19" s="2064" t="e">
        <f>INT(#REF!)=INT(BA19)</f>
        <v>#REF!</v>
      </c>
      <c r="BX19" s="2064">
        <v>12</v>
      </c>
      <c r="BY19" s="2064" t="s">
        <v>512</v>
      </c>
    </row>
    <row r="20" spans="1:77" s="1976" customFormat="1" ht="62" x14ac:dyDescent="0.35">
      <c r="A20" s="1372" t="s">
        <v>1494</v>
      </c>
      <c r="B20" s="1372" t="s">
        <v>179</v>
      </c>
      <c r="C20" s="1637">
        <v>0</v>
      </c>
      <c r="D20" s="2053" t="str">
        <f>+'[9]4.4.10'!$A$1</f>
        <v>4.4.10</v>
      </c>
      <c r="E20" s="1372" t="s">
        <v>163</v>
      </c>
      <c r="F20" s="1638">
        <v>3</v>
      </c>
      <c r="G20" s="1638">
        <v>3</v>
      </c>
      <c r="H20" s="1638">
        <v>3</v>
      </c>
      <c r="I20" s="1638">
        <v>3</v>
      </c>
      <c r="J20" s="1372" t="str">
        <f>+'[9]4.4.10'!$B$22</f>
        <v>CI-HVC-BOIL-V05-150601</v>
      </c>
      <c r="K20" s="1372" t="str">
        <f t="shared" si="0"/>
        <v>Nicor Gas PY7-PY10 Adjustable Goals Template_2017-06-30, Tab 4.4.10</v>
      </c>
      <c r="L20" s="1639">
        <v>1118.8342898134877</v>
      </c>
      <c r="M20" s="1639">
        <v>1118.8342898134877</v>
      </c>
      <c r="N20" s="1639">
        <v>1118.8342898134877</v>
      </c>
      <c r="O20" s="1639">
        <v>1118.8342898134877</v>
      </c>
      <c r="P20" s="1637">
        <v>0.68</v>
      </c>
      <c r="Q20" s="1637">
        <v>0.68</v>
      </c>
      <c r="R20" s="1637">
        <v>0.68</v>
      </c>
      <c r="S20" s="1637">
        <v>0.68</v>
      </c>
      <c r="T20" s="1640">
        <f t="shared" si="1"/>
        <v>2282.421951219515</v>
      </c>
      <c r="U20" s="1640">
        <f t="shared" si="1"/>
        <v>2282.421951219515</v>
      </c>
      <c r="V20" s="1640">
        <f t="shared" si="1"/>
        <v>2282.421951219515</v>
      </c>
      <c r="W20" s="1640">
        <f t="shared" si="1"/>
        <v>2282.421951219515</v>
      </c>
      <c r="X20" s="1640">
        <f t="shared" si="2"/>
        <v>9129.68780487806</v>
      </c>
      <c r="Y20" s="1372" t="str">
        <f t="shared" si="3"/>
        <v>CI-HVC-BOIL-V05-150601</v>
      </c>
      <c r="Z20" s="1372" t="str">
        <f t="shared" si="3"/>
        <v>Nicor Gas PY7-PY10 Adjustable Goals Template_2017-06-30, Tab 4.4.10</v>
      </c>
      <c r="AA20" s="1840">
        <f t="shared" si="3"/>
        <v>1118.8342898134877</v>
      </c>
      <c r="AB20" s="2028"/>
      <c r="AC20" s="1840">
        <f t="shared" si="4"/>
        <v>2282.421951219515</v>
      </c>
      <c r="AD20" s="1840">
        <f t="shared" si="5"/>
        <v>0</v>
      </c>
      <c r="AE20" s="1372" t="s">
        <v>198</v>
      </c>
      <c r="AF20" s="1372" t="s">
        <v>3359</v>
      </c>
      <c r="AG20" s="1639">
        <v>1118.8342898134877</v>
      </c>
      <c r="AH20" s="1372" t="s">
        <v>3445</v>
      </c>
      <c r="AI20" s="1640">
        <f t="shared" si="10"/>
        <v>2282.421951219515</v>
      </c>
      <c r="AJ20" s="1638">
        <f t="shared" si="11"/>
        <v>0</v>
      </c>
      <c r="AK20" s="1372" t="s">
        <v>198</v>
      </c>
      <c r="AL20" s="1372" t="s">
        <v>3359</v>
      </c>
      <c r="AM20" s="1639">
        <v>1118.8342898134877</v>
      </c>
      <c r="AN20" s="1372" t="str">
        <f t="shared" si="12"/>
        <v>No change</v>
      </c>
      <c r="AO20" s="1640">
        <f t="shared" si="13"/>
        <v>2282.421951219515</v>
      </c>
      <c r="AP20" s="1638">
        <f t="shared" si="14"/>
        <v>0</v>
      </c>
      <c r="AQ20" s="1372" t="s">
        <v>198</v>
      </c>
      <c r="AR20" s="1372" t="s">
        <v>3359</v>
      </c>
      <c r="AS20" s="1639">
        <v>1118.8342898134877</v>
      </c>
      <c r="AT20" s="1372" t="str">
        <f t="shared" si="15"/>
        <v>No change</v>
      </c>
      <c r="AU20" s="1640">
        <f t="shared" si="16"/>
        <v>2282.421951219515</v>
      </c>
      <c r="AV20" s="1638">
        <f t="shared" si="17"/>
        <v>0</v>
      </c>
      <c r="AW20" s="2044">
        <f t="shared" si="18"/>
        <v>2282.421951219515</v>
      </c>
      <c r="AX20" s="2044">
        <f t="shared" si="19"/>
        <v>2282.421951219515</v>
      </c>
      <c r="AY20" s="2044">
        <f t="shared" si="20"/>
        <v>2282.421951219515</v>
      </c>
      <c r="AZ20" s="2044">
        <f t="shared" si="21"/>
        <v>2282.421951219515</v>
      </c>
      <c r="BA20" s="2045">
        <f t="shared" si="22"/>
        <v>9129.68780487806</v>
      </c>
      <c r="BB20" s="2045" t="str">
        <f>+'[9]4.4.10'!$A$1</f>
        <v>4.4.10</v>
      </c>
      <c r="BC20" s="2045" t="str">
        <f>+'[9]4.4.10'!$A$1</f>
        <v>4.4.10</v>
      </c>
      <c r="BD20" s="2045">
        <v>0</v>
      </c>
      <c r="BE20" s="2051">
        <v>20</v>
      </c>
      <c r="BF20" s="2051">
        <v>20</v>
      </c>
      <c r="BG20" s="2051">
        <v>20</v>
      </c>
      <c r="BH20" s="2051">
        <v>20</v>
      </c>
      <c r="BI20" s="2045">
        <f t="shared" si="6"/>
        <v>45648.439024390304</v>
      </c>
      <c r="BJ20" s="2045">
        <f t="shared" si="7"/>
        <v>45648.439024390304</v>
      </c>
      <c r="BK20" s="2045">
        <f t="shared" si="8"/>
        <v>45648.439024390304</v>
      </c>
      <c r="BL20" s="2045">
        <f t="shared" si="9"/>
        <v>45648.439024390304</v>
      </c>
      <c r="BM20" s="2045">
        <f t="shared" si="23"/>
        <v>182593.75609756121</v>
      </c>
      <c r="BN20" s="2047">
        <v>20</v>
      </c>
      <c r="BO20" s="2047">
        <v>20</v>
      </c>
      <c r="BP20" s="2047">
        <v>20</v>
      </c>
      <c r="BQ20" s="2047">
        <v>20</v>
      </c>
      <c r="BR20" s="2048">
        <f t="shared" si="24"/>
        <v>45648.439024390304</v>
      </c>
      <c r="BS20" s="2048">
        <f t="shared" si="25"/>
        <v>45648.439024390304</v>
      </c>
      <c r="BT20" s="2048">
        <f t="shared" si="26"/>
        <v>45648.439024390304</v>
      </c>
      <c r="BU20" s="2048">
        <f t="shared" si="27"/>
        <v>45648.439024390304</v>
      </c>
      <c r="BV20" s="1840">
        <f t="shared" si="28"/>
        <v>182593.75609756121</v>
      </c>
      <c r="BW20" s="2064" t="e">
        <f>INT(#REF!)=INT(BA20)</f>
        <v>#REF!</v>
      </c>
      <c r="BX20" s="2064">
        <v>13</v>
      </c>
      <c r="BY20" s="2064" t="s">
        <v>512</v>
      </c>
    </row>
    <row r="21" spans="1:77" s="1976" customFormat="1" ht="62" x14ac:dyDescent="0.35">
      <c r="A21" s="1372" t="s">
        <v>1494</v>
      </c>
      <c r="B21" s="1372" t="s">
        <v>205</v>
      </c>
      <c r="C21" s="1637">
        <v>1</v>
      </c>
      <c r="D21" s="2054" t="str">
        <f>+'[9]4.3.1'!$A$1</f>
        <v>4.3.1</v>
      </c>
      <c r="E21" s="1372" t="s">
        <v>163</v>
      </c>
      <c r="F21" s="1638">
        <v>3</v>
      </c>
      <c r="G21" s="1638">
        <v>3</v>
      </c>
      <c r="H21" s="1638">
        <v>3</v>
      </c>
      <c r="I21" s="1638">
        <v>3</v>
      </c>
      <c r="J21" s="1372" t="s">
        <v>3053</v>
      </c>
      <c r="K21" s="1372" t="str">
        <f t="shared" si="0"/>
        <v>Nicor Gas PY7-PY10 Adjustable Goals Template_2017-06-30, Tab 4.3.1</v>
      </c>
      <c r="L21" s="1639">
        <v>29.700231654228858</v>
      </c>
      <c r="M21" s="1639">
        <v>29.700231654228858</v>
      </c>
      <c r="N21" s="1639">
        <v>29.700231654228858</v>
      </c>
      <c r="O21" s="1639">
        <v>29.700231654228858</v>
      </c>
      <c r="P21" s="1637">
        <v>0.68</v>
      </c>
      <c r="Q21" s="1637">
        <v>0.68</v>
      </c>
      <c r="R21" s="1637">
        <v>0.68</v>
      </c>
      <c r="S21" s="1637">
        <v>0.68</v>
      </c>
      <c r="T21" s="1640">
        <f t="shared" si="1"/>
        <v>60.588472574626877</v>
      </c>
      <c r="U21" s="1640">
        <f t="shared" si="1"/>
        <v>60.588472574626877</v>
      </c>
      <c r="V21" s="1640">
        <f t="shared" si="1"/>
        <v>60.588472574626877</v>
      </c>
      <c r="W21" s="1640">
        <f t="shared" si="1"/>
        <v>60.588472574626877</v>
      </c>
      <c r="X21" s="1640">
        <f t="shared" si="2"/>
        <v>242.35389029850751</v>
      </c>
      <c r="Y21" s="1372" t="str">
        <f t="shared" si="3"/>
        <v>CI-HW_-HWE-V03-180101</v>
      </c>
      <c r="Z21" s="1372" t="str">
        <f t="shared" si="3"/>
        <v>Nicor Gas PY7-PY10 Adjustable Goals Template_2017-06-30, Tab 4.3.1</v>
      </c>
      <c r="AA21" s="2024">
        <f t="shared" si="3"/>
        <v>29.700231654228858</v>
      </c>
      <c r="AB21" s="2028"/>
      <c r="AC21" s="1840">
        <f t="shared" si="4"/>
        <v>60.588472574626877</v>
      </c>
      <c r="AD21" s="1840">
        <f t="shared" si="5"/>
        <v>0</v>
      </c>
      <c r="AE21" s="1372" t="s">
        <v>3053</v>
      </c>
      <c r="AF21" s="1372" t="s">
        <v>3360</v>
      </c>
      <c r="AG21" s="1981">
        <v>48.22116686119378</v>
      </c>
      <c r="AH21" s="1372" t="s">
        <v>3446</v>
      </c>
      <c r="AI21" s="1640">
        <f t="shared" si="10"/>
        <v>98.371180396835314</v>
      </c>
      <c r="AJ21" s="1638">
        <f t="shared" si="11"/>
        <v>37.782707822208437</v>
      </c>
      <c r="AK21" s="1372" t="s">
        <v>3053</v>
      </c>
      <c r="AL21" s="1372" t="s">
        <v>3360</v>
      </c>
      <c r="AM21" s="1981">
        <v>48.22116686119378</v>
      </c>
      <c r="AN21" s="1372" t="str">
        <f t="shared" ref="AN21:AN28" si="29">$AH21</f>
        <v>Refer TRM V.7 Updates</v>
      </c>
      <c r="AO21" s="1640">
        <f t="shared" si="13"/>
        <v>98.371180396835314</v>
      </c>
      <c r="AP21" s="1638">
        <f t="shared" si="14"/>
        <v>37.782707822208437</v>
      </c>
      <c r="AQ21" s="1372" t="s">
        <v>3053</v>
      </c>
      <c r="AR21" s="1372" t="s">
        <v>3360</v>
      </c>
      <c r="AS21" s="1981">
        <v>48.22116686119378</v>
      </c>
      <c r="AT21" s="1372" t="str">
        <f>AH21</f>
        <v>Refer TRM V.7 Updates</v>
      </c>
      <c r="AU21" s="1640">
        <f t="shared" si="16"/>
        <v>98.371180396835314</v>
      </c>
      <c r="AV21" s="1638">
        <f t="shared" si="17"/>
        <v>37.782707822208437</v>
      </c>
      <c r="AW21" s="2044">
        <f t="shared" si="18"/>
        <v>60.588472574626877</v>
      </c>
      <c r="AX21" s="2044">
        <f t="shared" si="19"/>
        <v>98.371180396835314</v>
      </c>
      <c r="AY21" s="2044">
        <f t="shared" si="20"/>
        <v>98.371180396835314</v>
      </c>
      <c r="AZ21" s="2044">
        <f t="shared" si="21"/>
        <v>98.371180396835314</v>
      </c>
      <c r="BA21" s="2045">
        <f t="shared" si="22"/>
        <v>355.70201376513279</v>
      </c>
      <c r="BB21" s="2045" t="str">
        <f>+'[9]4.3.1'!$A$1</f>
        <v>4.3.1</v>
      </c>
      <c r="BC21" s="2045" t="str">
        <f>+'[9]4.3.1'!$A$1</f>
        <v>4.3.1</v>
      </c>
      <c r="BD21" s="2045">
        <v>0</v>
      </c>
      <c r="BE21" s="2051">
        <v>15</v>
      </c>
      <c r="BF21" s="2051">
        <v>15</v>
      </c>
      <c r="BG21" s="2051">
        <v>15</v>
      </c>
      <c r="BH21" s="2051">
        <v>15</v>
      </c>
      <c r="BI21" s="2045">
        <f t="shared" si="6"/>
        <v>908.82708861940307</v>
      </c>
      <c r="BJ21" s="2045">
        <f t="shared" si="7"/>
        <v>908.82708861940307</v>
      </c>
      <c r="BK21" s="2045">
        <f t="shared" si="8"/>
        <v>908.82708861940307</v>
      </c>
      <c r="BL21" s="2045">
        <f t="shared" si="9"/>
        <v>908.82708861940307</v>
      </c>
      <c r="BM21" s="2045">
        <f t="shared" si="23"/>
        <v>3635.3083544776123</v>
      </c>
      <c r="BN21" s="2047">
        <v>15</v>
      </c>
      <c r="BO21" s="2047">
        <v>15</v>
      </c>
      <c r="BP21" s="2047">
        <v>15</v>
      </c>
      <c r="BQ21" s="2047">
        <v>15</v>
      </c>
      <c r="BR21" s="2048">
        <f t="shared" si="24"/>
        <v>908.82708861940307</v>
      </c>
      <c r="BS21" s="2048">
        <f t="shared" si="25"/>
        <v>1475.5677059525296</v>
      </c>
      <c r="BT21" s="2048">
        <f t="shared" si="26"/>
        <v>1475.5677059525296</v>
      </c>
      <c r="BU21" s="2048">
        <f t="shared" si="27"/>
        <v>1475.5677059525296</v>
      </c>
      <c r="BV21" s="1840">
        <f t="shared" si="28"/>
        <v>5335.5302064769921</v>
      </c>
      <c r="BW21" s="2064" t="e">
        <f>INT(#REF!)=INT(BA21)</f>
        <v>#REF!</v>
      </c>
      <c r="BX21" s="2064">
        <v>14</v>
      </c>
      <c r="BY21" s="2064" t="s">
        <v>512</v>
      </c>
    </row>
    <row r="22" spans="1:77" s="1976" customFormat="1" ht="62" x14ac:dyDescent="0.35">
      <c r="A22" s="1372" t="s">
        <v>1494</v>
      </c>
      <c r="B22" s="1372" t="s">
        <v>206</v>
      </c>
      <c r="C22" s="1637">
        <v>1</v>
      </c>
      <c r="D22" s="2055" t="str">
        <f>+'[9]4.3.1'!$A$1</f>
        <v>4.3.1</v>
      </c>
      <c r="E22" s="1372" t="s">
        <v>163</v>
      </c>
      <c r="F22" s="1638">
        <v>8</v>
      </c>
      <c r="G22" s="1638">
        <v>8</v>
      </c>
      <c r="H22" s="1638">
        <v>8</v>
      </c>
      <c r="I22" s="1638">
        <v>8</v>
      </c>
      <c r="J22" s="1372" t="s">
        <v>3053</v>
      </c>
      <c r="K22" s="1372" t="str">
        <f t="shared" si="0"/>
        <v>Nicor Gas PY7-PY10 Adjustable Goals Template_2017-06-30, Tab 4.3.1</v>
      </c>
      <c r="L22" s="1639">
        <v>66.706213068181796</v>
      </c>
      <c r="M22" s="1639">
        <v>66.706213068181796</v>
      </c>
      <c r="N22" s="1639">
        <v>66.706213068181796</v>
      </c>
      <c r="O22" s="1639">
        <v>66.706213068181796</v>
      </c>
      <c r="P22" s="1637">
        <v>0.68</v>
      </c>
      <c r="Q22" s="1637">
        <v>0.68</v>
      </c>
      <c r="R22" s="1637">
        <v>0.68</v>
      </c>
      <c r="S22" s="1637">
        <v>0.68</v>
      </c>
      <c r="T22" s="1640">
        <f t="shared" si="1"/>
        <v>362.881799090909</v>
      </c>
      <c r="U22" s="1640">
        <f t="shared" si="1"/>
        <v>362.881799090909</v>
      </c>
      <c r="V22" s="1640">
        <f t="shared" si="1"/>
        <v>362.881799090909</v>
      </c>
      <c r="W22" s="1640">
        <f t="shared" si="1"/>
        <v>362.881799090909</v>
      </c>
      <c r="X22" s="1640">
        <f t="shared" si="2"/>
        <v>1451.527196363636</v>
      </c>
      <c r="Y22" s="1372" t="e">
        <f>custom</f>
        <v>#NAME?</v>
      </c>
      <c r="Z22" s="1372" t="str">
        <f t="shared" si="3"/>
        <v>Nicor Gas PY7-PY10 Adjustable Goals Template_2017-06-30, Tab 4.3.1</v>
      </c>
      <c r="AA22" s="2024">
        <f t="shared" si="3"/>
        <v>66.706213068181796</v>
      </c>
      <c r="AB22" s="2028"/>
      <c r="AC22" s="1840">
        <f t="shared" si="4"/>
        <v>362.881799090909</v>
      </c>
      <c r="AD22" s="1840">
        <f t="shared" si="5"/>
        <v>0</v>
      </c>
      <c r="AE22" s="1372" t="e">
        <v>#NAME?</v>
      </c>
      <c r="AF22" s="1372" t="s">
        <v>3360</v>
      </c>
      <c r="AG22" s="1981">
        <v>336.19206214763915</v>
      </c>
      <c r="AH22" s="1372" t="s">
        <v>3446</v>
      </c>
      <c r="AI22" s="1640">
        <f t="shared" si="10"/>
        <v>1828.8848180831571</v>
      </c>
      <c r="AJ22" s="1638">
        <f t="shared" si="11"/>
        <v>1466.0030189922481</v>
      </c>
      <c r="AK22" s="1372" t="e">
        <v>#NAME?</v>
      </c>
      <c r="AL22" s="1372" t="s">
        <v>3360</v>
      </c>
      <c r="AM22" s="1981">
        <v>336.19206214763915</v>
      </c>
      <c r="AN22" s="1372" t="str">
        <f t="shared" si="29"/>
        <v>Refer TRM V.7 Updates</v>
      </c>
      <c r="AO22" s="1640">
        <f t="shared" si="13"/>
        <v>1828.8848180831571</v>
      </c>
      <c r="AP22" s="1638">
        <f t="shared" si="14"/>
        <v>1466.0030189922481</v>
      </c>
      <c r="AQ22" s="1372" t="e">
        <v>#NAME?</v>
      </c>
      <c r="AR22" s="1372" t="s">
        <v>3360</v>
      </c>
      <c r="AS22" s="1981">
        <v>336.19206214763915</v>
      </c>
      <c r="AT22" s="1372" t="str">
        <f>AH22</f>
        <v>Refer TRM V.7 Updates</v>
      </c>
      <c r="AU22" s="1640">
        <f t="shared" si="16"/>
        <v>1828.8848180831571</v>
      </c>
      <c r="AV22" s="1638">
        <f t="shared" si="17"/>
        <v>1466.0030189922481</v>
      </c>
      <c r="AW22" s="2044">
        <f t="shared" si="18"/>
        <v>362.881799090909</v>
      </c>
      <c r="AX22" s="2044">
        <f t="shared" si="19"/>
        <v>1828.8848180831571</v>
      </c>
      <c r="AY22" s="2044">
        <f t="shared" si="20"/>
        <v>1828.8848180831571</v>
      </c>
      <c r="AZ22" s="2044">
        <f t="shared" si="21"/>
        <v>1828.8848180831571</v>
      </c>
      <c r="BA22" s="2045">
        <f t="shared" si="22"/>
        <v>5849.5362533403804</v>
      </c>
      <c r="BB22" s="2045" t="str">
        <f>+'[9]4.3.1'!$A$1</f>
        <v>4.3.1</v>
      </c>
      <c r="BC22" s="2045" t="str">
        <f>+'[9]4.3.1'!$A$1</f>
        <v>4.3.1</v>
      </c>
      <c r="BD22" s="2045">
        <v>0</v>
      </c>
      <c r="BE22" s="2051">
        <v>15</v>
      </c>
      <c r="BF22" s="2051">
        <v>15</v>
      </c>
      <c r="BG22" s="2051">
        <v>15</v>
      </c>
      <c r="BH22" s="2051">
        <v>15</v>
      </c>
      <c r="BI22" s="2045">
        <f t="shared" si="6"/>
        <v>5443.2269863636348</v>
      </c>
      <c r="BJ22" s="2045">
        <f t="shared" si="7"/>
        <v>5443.2269863636348</v>
      </c>
      <c r="BK22" s="2045">
        <f t="shared" si="8"/>
        <v>5443.2269863636348</v>
      </c>
      <c r="BL22" s="2045">
        <f t="shared" si="9"/>
        <v>5443.2269863636348</v>
      </c>
      <c r="BM22" s="2045">
        <f t="shared" si="23"/>
        <v>21772.907945454539</v>
      </c>
      <c r="BN22" s="2047">
        <v>15</v>
      </c>
      <c r="BO22" s="2047">
        <v>15</v>
      </c>
      <c r="BP22" s="2047">
        <v>15</v>
      </c>
      <c r="BQ22" s="2047">
        <v>15</v>
      </c>
      <c r="BR22" s="2048">
        <f t="shared" si="24"/>
        <v>5443.2269863636348</v>
      </c>
      <c r="BS22" s="2048">
        <f t="shared" si="25"/>
        <v>27433.272271247359</v>
      </c>
      <c r="BT22" s="2048">
        <f t="shared" si="26"/>
        <v>27433.272271247359</v>
      </c>
      <c r="BU22" s="2048">
        <f t="shared" si="27"/>
        <v>27433.272271247359</v>
      </c>
      <c r="BV22" s="1840">
        <f t="shared" si="28"/>
        <v>87743.043800105719</v>
      </c>
      <c r="BW22" s="2064" t="e">
        <f>INT(#REF!)=INT(BA22)</f>
        <v>#REF!</v>
      </c>
      <c r="BX22" s="2064">
        <v>15</v>
      </c>
      <c r="BY22" s="2064" t="s">
        <v>512</v>
      </c>
    </row>
    <row r="23" spans="1:77" s="1976" customFormat="1" ht="62" x14ac:dyDescent="0.35">
      <c r="A23" s="1372" t="s">
        <v>1494</v>
      </c>
      <c r="B23" s="1372" t="s">
        <v>271</v>
      </c>
      <c r="C23" s="1637">
        <v>0</v>
      </c>
      <c r="D23" s="1372" t="s">
        <v>3516</v>
      </c>
      <c r="E23" s="1843" t="s">
        <v>163</v>
      </c>
      <c r="F23" s="1845">
        <v>40</v>
      </c>
      <c r="G23" s="1845">
        <v>40</v>
      </c>
      <c r="H23" s="1845">
        <v>40</v>
      </c>
      <c r="I23" s="1845">
        <v>40</v>
      </c>
      <c r="J23" s="1843" t="s">
        <v>295</v>
      </c>
      <c r="K23" s="1843" t="str">
        <f t="shared" ref="K23:K86" si="30">IF(D23&lt;&gt;"Custom",CONCATENATE($H$1,", ",$I$1," ",D23),"")</f>
        <v>Nicor Gas PY7-PY10 Adjustable Goals Template_2017-06-30, Tab Customized TRM</v>
      </c>
      <c r="L23" s="1846">
        <v>34.269173553719007</v>
      </c>
      <c r="M23" s="1846">
        <v>34.269173553719007</v>
      </c>
      <c r="N23" s="1846">
        <v>34.269173553719007</v>
      </c>
      <c r="O23" s="1846">
        <v>34.269173553719007</v>
      </c>
      <c r="P23" s="1844">
        <v>0.68</v>
      </c>
      <c r="Q23" s="1844">
        <v>0.68</v>
      </c>
      <c r="R23" s="1844">
        <v>0.68</v>
      </c>
      <c r="S23" s="1844">
        <v>0.68</v>
      </c>
      <c r="T23" s="1847">
        <f t="shared" ref="T23:T86" si="31">+F23*L23*P23</f>
        <v>932.12152066115709</v>
      </c>
      <c r="U23" s="1847">
        <f t="shared" ref="U23:U86" si="32">+G23*M23*Q23</f>
        <v>932.12152066115709</v>
      </c>
      <c r="V23" s="1847">
        <f t="shared" ref="V23:V86" si="33">+H23*N23*R23</f>
        <v>932.12152066115709</v>
      </c>
      <c r="W23" s="1847">
        <f t="shared" ref="W23:W86" si="34">+I23*O23*S23</f>
        <v>932.12152066115709</v>
      </c>
      <c r="X23" s="1847">
        <f t="shared" ref="X23:X86" si="35">+SUM(T23:W23)</f>
        <v>3728.4860826446284</v>
      </c>
      <c r="Y23" s="1843" t="str">
        <f t="shared" ref="Y23:AA28" si="36">J23</f>
        <v>Custom</v>
      </c>
      <c r="Z23" s="1843" t="str">
        <f t="shared" si="36"/>
        <v>Nicor Gas PY7-PY10 Adjustable Goals Template_2017-06-30, Tab Customized TRM</v>
      </c>
      <c r="AA23" s="1848">
        <f t="shared" si="36"/>
        <v>34.269173553719007</v>
      </c>
      <c r="AB23" s="1848"/>
      <c r="AC23" s="1848">
        <f t="shared" ref="AC23:AC86" si="37">F23*AA23*P23</f>
        <v>932.12152066115709</v>
      </c>
      <c r="AD23" s="1848">
        <f t="shared" ref="AD23:AD86" si="38">AC23-T23</f>
        <v>0</v>
      </c>
      <c r="AE23" s="1843" t="s">
        <v>295</v>
      </c>
      <c r="AF23" s="1843" t="s">
        <v>3361</v>
      </c>
      <c r="AG23" s="1846">
        <v>34.269173553719007</v>
      </c>
      <c r="AH23" s="1843" t="s">
        <v>3445</v>
      </c>
      <c r="AI23" s="1847">
        <f t="shared" ref="AI23:AI86" si="39">G23*AG23*Q23</f>
        <v>932.12152066115709</v>
      </c>
      <c r="AJ23" s="1845">
        <f t="shared" ref="AJ23:AJ86" si="40">AI23-U23</f>
        <v>0</v>
      </c>
      <c r="AK23" s="1843" t="s">
        <v>295</v>
      </c>
      <c r="AL23" s="1843" t="s">
        <v>3361</v>
      </c>
      <c r="AM23" s="1846">
        <v>34.269173553719007</v>
      </c>
      <c r="AN23" s="1843" t="str">
        <f t="shared" si="29"/>
        <v>No change</v>
      </c>
      <c r="AO23" s="1847">
        <f t="shared" ref="AO23:AO86" si="41">H23*AM23*R23</f>
        <v>932.12152066115709</v>
      </c>
      <c r="AP23" s="1845">
        <f t="shared" ref="AP23:AP86" si="42">AO23-V23</f>
        <v>0</v>
      </c>
      <c r="AQ23" s="1843" t="s">
        <v>295</v>
      </c>
      <c r="AR23" s="1843" t="s">
        <v>3361</v>
      </c>
      <c r="AS23" s="1846">
        <v>34.269173553719007</v>
      </c>
      <c r="AT23" s="1843" t="str">
        <f t="shared" ref="AT23:AT28" si="43">$AH23</f>
        <v>No change</v>
      </c>
      <c r="AU23" s="1847">
        <f t="shared" ref="AU23:AU86" si="44">I23*AS23*S23</f>
        <v>932.12152066115709</v>
      </c>
      <c r="AV23" s="1845">
        <f t="shared" ref="AV23:AV86" si="45">AU23-W23</f>
        <v>0</v>
      </c>
      <c r="AW23" s="2123">
        <f t="shared" ref="AW23:AW86" si="46">IF($C23=1,AC23,T23)</f>
        <v>932.12152066115709</v>
      </c>
      <c r="AX23" s="2123">
        <f t="shared" ref="AX23:AX86" si="47">IF($C23=1,AI23,U23)</f>
        <v>932.12152066115709</v>
      </c>
      <c r="AY23" s="2123">
        <f t="shared" ref="AY23:AY86" si="48">IF($C23=1,AO23,V23)</f>
        <v>932.12152066115709</v>
      </c>
      <c r="AZ23" s="2123">
        <f t="shared" ref="AZ23:AZ86" si="49">IF($C23=1,AU23,W23)</f>
        <v>932.12152066115709</v>
      </c>
      <c r="BA23" s="2051">
        <f t="shared" ref="BA23:BA86" si="50">SUM(AW23:AZ23)</f>
        <v>3728.4860826446284</v>
      </c>
      <c r="BB23" s="2051"/>
      <c r="BC23" s="2051"/>
      <c r="BD23" s="2121">
        <v>1</v>
      </c>
      <c r="BE23" s="2051">
        <v>4</v>
      </c>
      <c r="BF23" s="2051">
        <v>4</v>
      </c>
      <c r="BG23" s="2051">
        <v>4</v>
      </c>
      <c r="BH23" s="2051">
        <v>4</v>
      </c>
      <c r="BI23" s="2045">
        <f t="shared" si="6"/>
        <v>3728.4860826446284</v>
      </c>
      <c r="BJ23" s="2045">
        <f t="shared" si="7"/>
        <v>3728.4860826446284</v>
      </c>
      <c r="BK23" s="2045">
        <f t="shared" si="8"/>
        <v>3728.4860826446284</v>
      </c>
      <c r="BL23" s="2045">
        <f t="shared" si="9"/>
        <v>3728.4860826446284</v>
      </c>
      <c r="BM23" s="2045">
        <f t="shared" ref="BM23:BM86" si="51">SUM(BI23:BL23)</f>
        <v>14913.944330578513</v>
      </c>
      <c r="BN23" s="2047">
        <v>4</v>
      </c>
      <c r="BO23" s="2050">
        <v>8</v>
      </c>
      <c r="BP23" s="2050">
        <v>8</v>
      </c>
      <c r="BQ23" s="2050">
        <v>8</v>
      </c>
      <c r="BR23" s="2048">
        <f t="shared" ref="BR23:BR86" si="52">F23*P23*AA23*BN23</f>
        <v>3728.4860826446284</v>
      </c>
      <c r="BS23" s="2048">
        <f t="shared" ref="BS23:BS86" si="53">G23*Q23*AG23*BO23</f>
        <v>7456.9721652892567</v>
      </c>
      <c r="BT23" s="2048">
        <f t="shared" ref="BT23:BT86" si="54">H23*R23*AM23*BP23</f>
        <v>7456.9721652892567</v>
      </c>
      <c r="BU23" s="2048">
        <f t="shared" ref="BU23:BU86" si="55">I23*S23*AS23*BQ23</f>
        <v>7456.9721652892567</v>
      </c>
      <c r="BV23" s="1840">
        <f t="shared" ref="BV23:BV86" si="56">SUM(BR23:BU23)</f>
        <v>26099.402578512396</v>
      </c>
      <c r="BW23" s="2064" t="e">
        <f>INT(#REF!)=INT(BA23)</f>
        <v>#REF!</v>
      </c>
      <c r="BX23" s="2064">
        <v>16</v>
      </c>
      <c r="BY23" s="2064" t="s">
        <v>3485</v>
      </c>
    </row>
    <row r="24" spans="1:77" s="1976" customFormat="1" ht="62" x14ac:dyDescent="0.35">
      <c r="A24" s="1372" t="s">
        <v>1494</v>
      </c>
      <c r="B24" s="1372" t="s">
        <v>181</v>
      </c>
      <c r="C24" s="1637">
        <v>0</v>
      </c>
      <c r="D24" s="2053" t="str">
        <f>+'[9]4.4.11'!$A$1</f>
        <v>4.4.11</v>
      </c>
      <c r="E24" s="1372" t="s">
        <v>163</v>
      </c>
      <c r="F24" s="1638">
        <v>40</v>
      </c>
      <c r="G24" s="1638">
        <v>40</v>
      </c>
      <c r="H24" s="1638">
        <v>40</v>
      </c>
      <c r="I24" s="1638">
        <v>40</v>
      </c>
      <c r="J24" s="1372" t="str">
        <f>+'[9]4.4.11'!$B$14</f>
        <v>CI-HVC-FRNC-V07-180101</v>
      </c>
      <c r="K24" s="1372" t="str">
        <f t="shared" si="30"/>
        <v>Nicor Gas PY7-PY10 Adjustable Goals Template_2017-06-30, Tab 4.4.11</v>
      </c>
      <c r="L24" s="1639">
        <v>387.06877840909084</v>
      </c>
      <c r="M24" s="1639">
        <v>387.06877840909084</v>
      </c>
      <c r="N24" s="1639">
        <v>387.06877840909084</v>
      </c>
      <c r="O24" s="1639">
        <v>387.06877840909084</v>
      </c>
      <c r="P24" s="1637">
        <v>0.68</v>
      </c>
      <c r="Q24" s="1637">
        <v>0.68</v>
      </c>
      <c r="R24" s="1637">
        <v>0.68</v>
      </c>
      <c r="S24" s="1637">
        <v>0.68</v>
      </c>
      <c r="T24" s="1640">
        <f t="shared" si="31"/>
        <v>10528.270772727272</v>
      </c>
      <c r="U24" s="1640">
        <f t="shared" si="32"/>
        <v>10528.270772727272</v>
      </c>
      <c r="V24" s="1640">
        <f t="shared" si="33"/>
        <v>10528.270772727272</v>
      </c>
      <c r="W24" s="1640">
        <f t="shared" si="34"/>
        <v>10528.270772727272</v>
      </c>
      <c r="X24" s="1640">
        <f t="shared" si="35"/>
        <v>42113.083090909087</v>
      </c>
      <c r="Y24" s="1372" t="str">
        <f t="shared" si="36"/>
        <v>CI-HVC-FRNC-V07-180101</v>
      </c>
      <c r="Z24" s="1372" t="str">
        <f t="shared" si="36"/>
        <v>Nicor Gas PY7-PY10 Adjustable Goals Template_2017-06-30, Tab 4.4.11</v>
      </c>
      <c r="AA24" s="1840">
        <f t="shared" si="36"/>
        <v>387.06877840909084</v>
      </c>
      <c r="AB24" s="2028"/>
      <c r="AC24" s="1840">
        <f t="shared" si="37"/>
        <v>10528.270772727272</v>
      </c>
      <c r="AD24" s="1840">
        <f t="shared" si="38"/>
        <v>0</v>
      </c>
      <c r="AE24" s="1372" t="s">
        <v>2795</v>
      </c>
      <c r="AF24" s="1372" t="s">
        <v>3362</v>
      </c>
      <c r="AG24" s="1639">
        <v>387.06877840909084</v>
      </c>
      <c r="AH24" s="1372" t="s">
        <v>3445</v>
      </c>
      <c r="AI24" s="1640">
        <f t="shared" si="39"/>
        <v>10528.270772727272</v>
      </c>
      <c r="AJ24" s="1638">
        <f t="shared" si="40"/>
        <v>0</v>
      </c>
      <c r="AK24" s="1372" t="s">
        <v>2795</v>
      </c>
      <c r="AL24" s="1372" t="s">
        <v>3362</v>
      </c>
      <c r="AM24" s="1639">
        <v>387.06877840909084</v>
      </c>
      <c r="AN24" s="1372" t="str">
        <f t="shared" si="29"/>
        <v>No change</v>
      </c>
      <c r="AO24" s="1640">
        <f t="shared" si="41"/>
        <v>10528.270772727272</v>
      </c>
      <c r="AP24" s="1638">
        <f t="shared" si="42"/>
        <v>0</v>
      </c>
      <c r="AQ24" s="1372" t="s">
        <v>2795</v>
      </c>
      <c r="AR24" s="1372" t="s">
        <v>3362</v>
      </c>
      <c r="AS24" s="1639">
        <v>387.06877840909084</v>
      </c>
      <c r="AT24" s="1372" t="str">
        <f t="shared" si="43"/>
        <v>No change</v>
      </c>
      <c r="AU24" s="1640">
        <f t="shared" si="44"/>
        <v>10528.270772727272</v>
      </c>
      <c r="AV24" s="1638">
        <f t="shared" si="45"/>
        <v>0</v>
      </c>
      <c r="AW24" s="2044">
        <f t="shared" si="46"/>
        <v>10528.270772727272</v>
      </c>
      <c r="AX24" s="2044">
        <f t="shared" si="47"/>
        <v>10528.270772727272</v>
      </c>
      <c r="AY24" s="2044">
        <f t="shared" si="48"/>
        <v>10528.270772727272</v>
      </c>
      <c r="AZ24" s="2044">
        <f t="shared" si="49"/>
        <v>10528.270772727272</v>
      </c>
      <c r="BA24" s="2045">
        <f t="shared" si="50"/>
        <v>42113.083090909087</v>
      </c>
      <c r="BB24" s="2045" t="str">
        <f>+'[9]4.4.11'!$A$1</f>
        <v>4.4.11</v>
      </c>
      <c r="BC24" s="2045" t="str">
        <f>+'[9]4.4.11'!$A$1</f>
        <v>4.4.11</v>
      </c>
      <c r="BD24" s="2045">
        <v>0</v>
      </c>
      <c r="BE24" s="2051">
        <v>16.5</v>
      </c>
      <c r="BF24" s="2051">
        <v>16.5</v>
      </c>
      <c r="BG24" s="2051">
        <v>16.5</v>
      </c>
      <c r="BH24" s="2051">
        <v>16.5</v>
      </c>
      <c r="BI24" s="2045">
        <f t="shared" si="6"/>
        <v>173716.46774999998</v>
      </c>
      <c r="BJ24" s="2045">
        <f t="shared" si="7"/>
        <v>173716.46774999998</v>
      </c>
      <c r="BK24" s="2045">
        <f t="shared" si="8"/>
        <v>173716.46774999998</v>
      </c>
      <c r="BL24" s="2045">
        <f t="shared" si="9"/>
        <v>173716.46774999998</v>
      </c>
      <c r="BM24" s="2045">
        <f t="shared" si="51"/>
        <v>694865.87099999993</v>
      </c>
      <c r="BN24" s="2047">
        <v>16.5</v>
      </c>
      <c r="BO24" s="2047">
        <v>16.5</v>
      </c>
      <c r="BP24" s="2047">
        <v>16.5</v>
      </c>
      <c r="BQ24" s="2047">
        <v>16.5</v>
      </c>
      <c r="BR24" s="2048">
        <f t="shared" si="52"/>
        <v>173716.46774999998</v>
      </c>
      <c r="BS24" s="2048">
        <f t="shared" si="53"/>
        <v>173716.46774999998</v>
      </c>
      <c r="BT24" s="2048">
        <f t="shared" si="54"/>
        <v>173716.46774999998</v>
      </c>
      <c r="BU24" s="2048">
        <f t="shared" si="55"/>
        <v>173716.46774999998</v>
      </c>
      <c r="BV24" s="1840">
        <f t="shared" si="56"/>
        <v>694865.87099999993</v>
      </c>
      <c r="BW24" s="2064" t="e">
        <f>INT(#REF!)=INT(BA24)</f>
        <v>#REF!</v>
      </c>
      <c r="BX24" s="2064">
        <v>17</v>
      </c>
      <c r="BY24" s="2064" t="s">
        <v>512</v>
      </c>
    </row>
    <row r="25" spans="1:77" s="1976" customFormat="1" ht="62" x14ac:dyDescent="0.35">
      <c r="A25" s="1372" t="s">
        <v>1494</v>
      </c>
      <c r="B25" s="1372" t="s">
        <v>182</v>
      </c>
      <c r="C25" s="1637">
        <v>0</v>
      </c>
      <c r="D25" s="2053" t="str">
        <f>+'[9]4.4.11'!$A$1</f>
        <v>4.4.11</v>
      </c>
      <c r="E25" s="1372" t="s">
        <v>163</v>
      </c>
      <c r="F25" s="1638">
        <v>40</v>
      </c>
      <c r="G25" s="1638">
        <v>40</v>
      </c>
      <c r="H25" s="1638">
        <v>40</v>
      </c>
      <c r="I25" s="1638">
        <v>40</v>
      </c>
      <c r="J25" s="1372" t="str">
        <f>+'[9]4.4.11'!$B$14</f>
        <v>CI-HVC-FRNC-V07-180101</v>
      </c>
      <c r="K25" s="1372" t="str">
        <f t="shared" si="30"/>
        <v>Nicor Gas PY7-PY10 Adjustable Goals Template_2017-06-30, Tab 4.4.11</v>
      </c>
      <c r="L25" s="1639">
        <v>458.74818181818154</v>
      </c>
      <c r="M25" s="1639">
        <v>458.74818181818154</v>
      </c>
      <c r="N25" s="1639">
        <v>458.74818181818154</v>
      </c>
      <c r="O25" s="1639">
        <v>458.74818181818154</v>
      </c>
      <c r="P25" s="1637">
        <v>0.68</v>
      </c>
      <c r="Q25" s="1637">
        <v>0.68</v>
      </c>
      <c r="R25" s="1637">
        <v>0.68</v>
      </c>
      <c r="S25" s="1637">
        <v>0.68</v>
      </c>
      <c r="T25" s="1640">
        <f t="shared" si="31"/>
        <v>12477.95054545454</v>
      </c>
      <c r="U25" s="1640">
        <f t="shared" si="32"/>
        <v>12477.95054545454</v>
      </c>
      <c r="V25" s="1640">
        <f t="shared" si="33"/>
        <v>12477.95054545454</v>
      </c>
      <c r="W25" s="1640">
        <f t="shared" si="34"/>
        <v>12477.95054545454</v>
      </c>
      <c r="X25" s="1640">
        <f t="shared" si="35"/>
        <v>49911.802181818159</v>
      </c>
      <c r="Y25" s="1372" t="str">
        <f t="shared" si="36"/>
        <v>CI-HVC-FRNC-V07-180101</v>
      </c>
      <c r="Z25" s="1372" t="str">
        <f t="shared" si="36"/>
        <v>Nicor Gas PY7-PY10 Adjustable Goals Template_2017-06-30, Tab 4.4.11</v>
      </c>
      <c r="AA25" s="1840">
        <f t="shared" si="36"/>
        <v>458.74818181818154</v>
      </c>
      <c r="AB25" s="2028"/>
      <c r="AC25" s="1840">
        <f t="shared" si="37"/>
        <v>12477.95054545454</v>
      </c>
      <c r="AD25" s="1840">
        <f t="shared" si="38"/>
        <v>0</v>
      </c>
      <c r="AE25" s="1372" t="s">
        <v>2795</v>
      </c>
      <c r="AF25" s="1372" t="s">
        <v>3362</v>
      </c>
      <c r="AG25" s="1639">
        <v>458.74818181818154</v>
      </c>
      <c r="AH25" s="1372" t="s">
        <v>3445</v>
      </c>
      <c r="AI25" s="1640">
        <f t="shared" si="39"/>
        <v>12477.95054545454</v>
      </c>
      <c r="AJ25" s="1638">
        <f t="shared" si="40"/>
        <v>0</v>
      </c>
      <c r="AK25" s="1372" t="s">
        <v>2795</v>
      </c>
      <c r="AL25" s="1372" t="s">
        <v>3362</v>
      </c>
      <c r="AM25" s="1639">
        <v>458.74818181818154</v>
      </c>
      <c r="AN25" s="1372" t="str">
        <f t="shared" si="29"/>
        <v>No change</v>
      </c>
      <c r="AO25" s="1640">
        <f t="shared" si="41"/>
        <v>12477.95054545454</v>
      </c>
      <c r="AP25" s="1638">
        <f t="shared" si="42"/>
        <v>0</v>
      </c>
      <c r="AQ25" s="1372" t="s">
        <v>2795</v>
      </c>
      <c r="AR25" s="1372" t="s">
        <v>3362</v>
      </c>
      <c r="AS25" s="1639">
        <v>458.74818181818154</v>
      </c>
      <c r="AT25" s="1372" t="str">
        <f t="shared" si="43"/>
        <v>No change</v>
      </c>
      <c r="AU25" s="1640">
        <f t="shared" si="44"/>
        <v>12477.95054545454</v>
      </c>
      <c r="AV25" s="1638">
        <f t="shared" si="45"/>
        <v>0</v>
      </c>
      <c r="AW25" s="2044">
        <f t="shared" si="46"/>
        <v>12477.95054545454</v>
      </c>
      <c r="AX25" s="2044">
        <f t="shared" si="47"/>
        <v>12477.95054545454</v>
      </c>
      <c r="AY25" s="2044">
        <f t="shared" si="48"/>
        <v>12477.95054545454</v>
      </c>
      <c r="AZ25" s="2044">
        <f t="shared" si="49"/>
        <v>12477.95054545454</v>
      </c>
      <c r="BA25" s="2045">
        <f t="shared" si="50"/>
        <v>49911.802181818159</v>
      </c>
      <c r="BB25" s="2045" t="str">
        <f>+'[9]4.4.11'!$A$1</f>
        <v>4.4.11</v>
      </c>
      <c r="BC25" s="2045" t="str">
        <f>+'[9]4.4.11'!$A$1</f>
        <v>4.4.11</v>
      </c>
      <c r="BD25" s="2045">
        <v>0</v>
      </c>
      <c r="BE25" s="2051">
        <v>16.5</v>
      </c>
      <c r="BF25" s="2051">
        <v>16.5</v>
      </c>
      <c r="BG25" s="2051">
        <v>16.5</v>
      </c>
      <c r="BH25" s="2051">
        <v>16.5</v>
      </c>
      <c r="BI25" s="2045">
        <f t="shared" si="6"/>
        <v>205886.18399999989</v>
      </c>
      <c r="BJ25" s="2045">
        <f t="shared" si="7"/>
        <v>205886.18399999989</v>
      </c>
      <c r="BK25" s="2045">
        <f t="shared" si="8"/>
        <v>205886.18399999989</v>
      </c>
      <c r="BL25" s="2045">
        <f t="shared" si="9"/>
        <v>205886.18399999989</v>
      </c>
      <c r="BM25" s="2045">
        <f t="shared" si="51"/>
        <v>823544.73599999957</v>
      </c>
      <c r="BN25" s="2047">
        <v>16.5</v>
      </c>
      <c r="BO25" s="2047">
        <v>16.5</v>
      </c>
      <c r="BP25" s="2047">
        <v>16.5</v>
      </c>
      <c r="BQ25" s="2047">
        <v>16.5</v>
      </c>
      <c r="BR25" s="2048">
        <f t="shared" si="52"/>
        <v>205886.18399999989</v>
      </c>
      <c r="BS25" s="2048">
        <f t="shared" si="53"/>
        <v>205886.18399999989</v>
      </c>
      <c r="BT25" s="2048">
        <f t="shared" si="54"/>
        <v>205886.18399999989</v>
      </c>
      <c r="BU25" s="2048">
        <f t="shared" si="55"/>
        <v>205886.18399999989</v>
      </c>
      <c r="BV25" s="1840">
        <f t="shared" si="56"/>
        <v>823544.73599999957</v>
      </c>
      <c r="BW25" s="2064" t="e">
        <f>INT(#REF!)=INT(BA25)</f>
        <v>#REF!</v>
      </c>
      <c r="BX25" s="2064">
        <v>18</v>
      </c>
      <c r="BY25" s="2064" t="s">
        <v>512</v>
      </c>
    </row>
    <row r="26" spans="1:77" s="1976" customFormat="1" ht="61.5" customHeight="1" x14ac:dyDescent="0.35">
      <c r="A26" s="1372" t="s">
        <v>1494</v>
      </c>
      <c r="B26" s="1372" t="s">
        <v>180</v>
      </c>
      <c r="C26" s="1637">
        <v>0</v>
      </c>
      <c r="D26" s="2053" t="str">
        <f>+'[9]4.4.5'!$A$1</f>
        <v>4.4.5</v>
      </c>
      <c r="E26" s="1372" t="s">
        <v>163</v>
      </c>
      <c r="F26" s="1638">
        <v>12</v>
      </c>
      <c r="G26" s="1638">
        <v>12</v>
      </c>
      <c r="H26" s="1638">
        <v>12</v>
      </c>
      <c r="I26" s="1638">
        <v>12</v>
      </c>
      <c r="J26" s="1372" t="str">
        <f>+'[9]4.4.5'!$B$9</f>
        <v>CI-HVC-CUHT-V01-120601</v>
      </c>
      <c r="K26" s="1372" t="str">
        <f t="shared" si="30"/>
        <v>Nicor Gas PY7-PY10 Adjustable Goals Template_2017-06-30, Tab 4.4.5</v>
      </c>
      <c r="L26" s="1639">
        <v>265.99999999999994</v>
      </c>
      <c r="M26" s="1639">
        <v>265.99999999999994</v>
      </c>
      <c r="N26" s="1639">
        <v>265.99999999999994</v>
      </c>
      <c r="O26" s="1639">
        <v>265.99999999999994</v>
      </c>
      <c r="P26" s="1637">
        <v>0.68</v>
      </c>
      <c r="Q26" s="1637">
        <v>0.68</v>
      </c>
      <c r="R26" s="1637">
        <v>0.68</v>
      </c>
      <c r="S26" s="1637">
        <v>0.68</v>
      </c>
      <c r="T26" s="1640">
        <f t="shared" si="31"/>
        <v>2170.5599999999995</v>
      </c>
      <c r="U26" s="1640">
        <f t="shared" si="32"/>
        <v>2170.5599999999995</v>
      </c>
      <c r="V26" s="1640">
        <f t="shared" si="33"/>
        <v>2170.5599999999995</v>
      </c>
      <c r="W26" s="1640">
        <f t="shared" si="34"/>
        <v>2170.5599999999995</v>
      </c>
      <c r="X26" s="1640">
        <f t="shared" si="35"/>
        <v>8682.239999999998</v>
      </c>
      <c r="Y26" s="1372" t="str">
        <f t="shared" si="36"/>
        <v>CI-HVC-CUHT-V01-120601</v>
      </c>
      <c r="Z26" s="1372" t="str">
        <f t="shared" si="36"/>
        <v>Nicor Gas PY7-PY10 Adjustable Goals Template_2017-06-30, Tab 4.4.5</v>
      </c>
      <c r="AA26" s="1840">
        <f t="shared" si="36"/>
        <v>265.99999999999994</v>
      </c>
      <c r="AB26" s="2028"/>
      <c r="AC26" s="1840">
        <f t="shared" si="37"/>
        <v>2170.5599999999995</v>
      </c>
      <c r="AD26" s="1840">
        <f t="shared" si="38"/>
        <v>0</v>
      </c>
      <c r="AE26" s="1372" t="s">
        <v>199</v>
      </c>
      <c r="AF26" s="1372" t="s">
        <v>3363</v>
      </c>
      <c r="AG26" s="1639">
        <v>265.99999999999994</v>
      </c>
      <c r="AH26" s="1372" t="s">
        <v>3445</v>
      </c>
      <c r="AI26" s="1640">
        <f t="shared" si="39"/>
        <v>2170.5599999999995</v>
      </c>
      <c r="AJ26" s="1638">
        <f t="shared" si="40"/>
        <v>0</v>
      </c>
      <c r="AK26" s="1372" t="s">
        <v>199</v>
      </c>
      <c r="AL26" s="1372" t="s">
        <v>3363</v>
      </c>
      <c r="AM26" s="1639">
        <v>265.99999999999994</v>
      </c>
      <c r="AN26" s="1372" t="str">
        <f t="shared" si="29"/>
        <v>No change</v>
      </c>
      <c r="AO26" s="1640">
        <f t="shared" si="41"/>
        <v>2170.5599999999995</v>
      </c>
      <c r="AP26" s="1638">
        <f t="shared" si="42"/>
        <v>0</v>
      </c>
      <c r="AQ26" s="1372" t="s">
        <v>199</v>
      </c>
      <c r="AR26" s="1372" t="s">
        <v>3363</v>
      </c>
      <c r="AS26" s="1639">
        <v>265.99999999999994</v>
      </c>
      <c r="AT26" s="1372" t="str">
        <f t="shared" si="43"/>
        <v>No change</v>
      </c>
      <c r="AU26" s="1640">
        <f t="shared" si="44"/>
        <v>2170.5599999999995</v>
      </c>
      <c r="AV26" s="1638">
        <f t="shared" si="45"/>
        <v>0</v>
      </c>
      <c r="AW26" s="2044">
        <f t="shared" si="46"/>
        <v>2170.5599999999995</v>
      </c>
      <c r="AX26" s="2044">
        <f t="shared" si="47"/>
        <v>2170.5599999999995</v>
      </c>
      <c r="AY26" s="2044">
        <f t="shared" si="48"/>
        <v>2170.5599999999995</v>
      </c>
      <c r="AZ26" s="2044">
        <f t="shared" si="49"/>
        <v>2170.5599999999995</v>
      </c>
      <c r="BA26" s="2045">
        <f t="shared" si="50"/>
        <v>8682.239999999998</v>
      </c>
      <c r="BB26" s="2045" t="str">
        <f>+'[9]4.4.5'!$A$1</f>
        <v>4.4.5</v>
      </c>
      <c r="BC26" s="2045" t="str">
        <f>+'[9]4.4.5'!$A$1</f>
        <v>4.4.5</v>
      </c>
      <c r="BD26" s="2045">
        <v>0</v>
      </c>
      <c r="BE26" s="2051">
        <v>12</v>
      </c>
      <c r="BF26" s="2051">
        <v>12</v>
      </c>
      <c r="BG26" s="2051">
        <v>12</v>
      </c>
      <c r="BH26" s="2051">
        <v>12</v>
      </c>
      <c r="BI26" s="2045">
        <f t="shared" si="6"/>
        <v>26046.719999999994</v>
      </c>
      <c r="BJ26" s="2045">
        <f t="shared" si="7"/>
        <v>26046.719999999994</v>
      </c>
      <c r="BK26" s="2045">
        <f t="shared" si="8"/>
        <v>26046.719999999994</v>
      </c>
      <c r="BL26" s="2045">
        <f t="shared" si="9"/>
        <v>26046.719999999994</v>
      </c>
      <c r="BM26" s="2045">
        <f t="shared" si="51"/>
        <v>104186.87999999998</v>
      </c>
      <c r="BN26" s="2047">
        <v>12</v>
      </c>
      <c r="BO26" s="2047">
        <v>12</v>
      </c>
      <c r="BP26" s="2047">
        <v>12</v>
      </c>
      <c r="BQ26" s="2047">
        <v>12</v>
      </c>
      <c r="BR26" s="2048">
        <f t="shared" si="52"/>
        <v>26046.719999999994</v>
      </c>
      <c r="BS26" s="2048">
        <f t="shared" si="53"/>
        <v>26046.719999999994</v>
      </c>
      <c r="BT26" s="2048">
        <f t="shared" si="54"/>
        <v>26046.719999999994</v>
      </c>
      <c r="BU26" s="2048">
        <f t="shared" si="55"/>
        <v>26046.719999999994</v>
      </c>
      <c r="BV26" s="1840">
        <f t="shared" si="56"/>
        <v>104186.87999999998</v>
      </c>
      <c r="BW26" s="2064" t="e">
        <f>INT(#REF!)=INT(BA26)</f>
        <v>#REF!</v>
      </c>
      <c r="BX26" s="2064">
        <v>19</v>
      </c>
      <c r="BY26" s="2064" t="s">
        <v>512</v>
      </c>
    </row>
    <row r="27" spans="1:77" s="1976" customFormat="1" ht="60.75" customHeight="1" x14ac:dyDescent="0.35">
      <c r="A27" s="1372" t="s">
        <v>1494</v>
      </c>
      <c r="B27" s="1372" t="s">
        <v>183</v>
      </c>
      <c r="C27" s="1637">
        <v>0</v>
      </c>
      <c r="D27" s="2053" t="str">
        <f>+'[9]4.4.12'!$A$1</f>
        <v>4.4.12</v>
      </c>
      <c r="E27" s="1372" t="s">
        <v>163</v>
      </c>
      <c r="F27" s="1638">
        <v>40</v>
      </c>
      <c r="G27" s="1638">
        <v>40</v>
      </c>
      <c r="H27" s="1638">
        <v>40</v>
      </c>
      <c r="I27" s="1638">
        <v>40</v>
      </c>
      <c r="J27" s="1372" t="str">
        <f>+'[9]4.4.12'!$B$16</f>
        <v>CI-HVC-IRHT-V01-120601</v>
      </c>
      <c r="K27" s="1372" t="str">
        <f t="shared" si="30"/>
        <v>Nicor Gas PY7-PY10 Adjustable Goals Template_2017-06-30, Tab 4.4.12</v>
      </c>
      <c r="L27" s="1639">
        <v>451</v>
      </c>
      <c r="M27" s="1639">
        <v>451</v>
      </c>
      <c r="N27" s="1639">
        <v>451</v>
      </c>
      <c r="O27" s="1639">
        <v>451</v>
      </c>
      <c r="P27" s="1637">
        <v>0.68</v>
      </c>
      <c r="Q27" s="1637">
        <v>0.68</v>
      </c>
      <c r="R27" s="1637">
        <v>0.68</v>
      </c>
      <c r="S27" s="1637">
        <v>0.68</v>
      </c>
      <c r="T27" s="1640">
        <f t="shared" si="31"/>
        <v>12267.2</v>
      </c>
      <c r="U27" s="1640">
        <f t="shared" si="32"/>
        <v>12267.2</v>
      </c>
      <c r="V27" s="1640">
        <f t="shared" si="33"/>
        <v>12267.2</v>
      </c>
      <c r="W27" s="1640">
        <f t="shared" si="34"/>
        <v>12267.2</v>
      </c>
      <c r="X27" s="1640">
        <f t="shared" si="35"/>
        <v>49068.800000000003</v>
      </c>
      <c r="Y27" s="1372" t="str">
        <f t="shared" si="36"/>
        <v>CI-HVC-IRHT-V01-120601</v>
      </c>
      <c r="Z27" s="1372" t="str">
        <f t="shared" si="36"/>
        <v>Nicor Gas PY7-PY10 Adjustable Goals Template_2017-06-30, Tab 4.4.12</v>
      </c>
      <c r="AA27" s="1840">
        <f t="shared" si="36"/>
        <v>451</v>
      </c>
      <c r="AB27" s="2028"/>
      <c r="AC27" s="1840">
        <f t="shared" si="37"/>
        <v>12267.2</v>
      </c>
      <c r="AD27" s="1840">
        <f t="shared" si="38"/>
        <v>0</v>
      </c>
      <c r="AE27" s="1372" t="s">
        <v>200</v>
      </c>
      <c r="AF27" s="1372" t="s">
        <v>3364</v>
      </c>
      <c r="AG27" s="1639">
        <v>451</v>
      </c>
      <c r="AH27" s="1372" t="s">
        <v>3445</v>
      </c>
      <c r="AI27" s="1640">
        <f t="shared" si="39"/>
        <v>12267.2</v>
      </c>
      <c r="AJ27" s="1638">
        <f t="shared" si="40"/>
        <v>0</v>
      </c>
      <c r="AK27" s="1372" t="s">
        <v>200</v>
      </c>
      <c r="AL27" s="1372" t="s">
        <v>3364</v>
      </c>
      <c r="AM27" s="1639">
        <v>451</v>
      </c>
      <c r="AN27" s="1372" t="str">
        <f t="shared" si="29"/>
        <v>No change</v>
      </c>
      <c r="AO27" s="1640">
        <f t="shared" si="41"/>
        <v>12267.2</v>
      </c>
      <c r="AP27" s="1638">
        <f t="shared" si="42"/>
        <v>0</v>
      </c>
      <c r="AQ27" s="1372" t="s">
        <v>200</v>
      </c>
      <c r="AR27" s="1372" t="s">
        <v>3364</v>
      </c>
      <c r="AS27" s="1639">
        <v>451</v>
      </c>
      <c r="AT27" s="1372" t="str">
        <f t="shared" si="43"/>
        <v>No change</v>
      </c>
      <c r="AU27" s="1640">
        <f t="shared" si="44"/>
        <v>12267.2</v>
      </c>
      <c r="AV27" s="1638">
        <f t="shared" si="45"/>
        <v>0</v>
      </c>
      <c r="AW27" s="2044">
        <f t="shared" si="46"/>
        <v>12267.2</v>
      </c>
      <c r="AX27" s="2044">
        <f t="shared" si="47"/>
        <v>12267.2</v>
      </c>
      <c r="AY27" s="2044">
        <f t="shared" si="48"/>
        <v>12267.2</v>
      </c>
      <c r="AZ27" s="2044">
        <f t="shared" si="49"/>
        <v>12267.2</v>
      </c>
      <c r="BA27" s="2045">
        <f t="shared" si="50"/>
        <v>49068.800000000003</v>
      </c>
      <c r="BB27" s="2045" t="str">
        <f>+'[9]4.4.12'!$A$1</f>
        <v>4.4.12</v>
      </c>
      <c r="BC27" s="2045" t="str">
        <f>+'[9]4.4.12'!$A$1</f>
        <v>4.4.12</v>
      </c>
      <c r="BD27" s="2045">
        <v>0</v>
      </c>
      <c r="BE27" s="2051">
        <v>12</v>
      </c>
      <c r="BF27" s="2051">
        <v>12</v>
      </c>
      <c r="BG27" s="2051">
        <v>12</v>
      </c>
      <c r="BH27" s="2051">
        <v>12</v>
      </c>
      <c r="BI27" s="2045">
        <f t="shared" si="6"/>
        <v>147206.40000000002</v>
      </c>
      <c r="BJ27" s="2045">
        <f t="shared" si="7"/>
        <v>147206.40000000002</v>
      </c>
      <c r="BK27" s="2045">
        <f t="shared" si="8"/>
        <v>147206.40000000002</v>
      </c>
      <c r="BL27" s="2045">
        <f t="shared" si="9"/>
        <v>147206.40000000002</v>
      </c>
      <c r="BM27" s="2045">
        <f t="shared" si="51"/>
        <v>588825.60000000009</v>
      </c>
      <c r="BN27" s="2047">
        <v>12</v>
      </c>
      <c r="BO27" s="2047">
        <v>12</v>
      </c>
      <c r="BP27" s="2047">
        <v>12</v>
      </c>
      <c r="BQ27" s="2047">
        <v>12</v>
      </c>
      <c r="BR27" s="2048">
        <f t="shared" si="52"/>
        <v>147206.40000000002</v>
      </c>
      <c r="BS27" s="2048">
        <f t="shared" si="53"/>
        <v>147206.40000000002</v>
      </c>
      <c r="BT27" s="2048">
        <f t="shared" si="54"/>
        <v>147206.40000000002</v>
      </c>
      <c r="BU27" s="2048">
        <f t="shared" si="55"/>
        <v>147206.40000000002</v>
      </c>
      <c r="BV27" s="1840">
        <f t="shared" si="56"/>
        <v>588825.60000000009</v>
      </c>
      <c r="BW27" s="2064" t="e">
        <f>INT(#REF!)=INT(BA27)</f>
        <v>#REF!</v>
      </c>
      <c r="BX27" s="2064">
        <v>20</v>
      </c>
      <c r="BY27" s="2064" t="s">
        <v>512</v>
      </c>
    </row>
    <row r="28" spans="1:77" s="1976" customFormat="1" ht="61.5" customHeight="1" x14ac:dyDescent="0.35">
      <c r="A28" s="1372" t="s">
        <v>1494</v>
      </c>
      <c r="B28" s="1372" t="s">
        <v>222</v>
      </c>
      <c r="C28" s="1637">
        <v>0</v>
      </c>
      <c r="D28" s="2053" t="str">
        <f>+'[9]4.3.6'!$A$1</f>
        <v>4.3.6</v>
      </c>
      <c r="E28" s="1372" t="s">
        <v>163</v>
      </c>
      <c r="F28" s="1638">
        <v>8</v>
      </c>
      <c r="G28" s="1638">
        <v>8</v>
      </c>
      <c r="H28" s="1638">
        <v>8</v>
      </c>
      <c r="I28" s="1638">
        <v>8</v>
      </c>
      <c r="J28" s="1372" t="str">
        <f>+'[9]4.3.6'!$B$12</f>
        <v>CI-HWE-OZLD-VO1-140601</v>
      </c>
      <c r="K28" s="1372" t="str">
        <f t="shared" si="30"/>
        <v>Nicor Gas PY7-PY10 Adjustable Goals Template_2017-06-30, Tab 4.3.6</v>
      </c>
      <c r="L28" s="1639">
        <v>4605</v>
      </c>
      <c r="M28" s="1639">
        <v>4605</v>
      </c>
      <c r="N28" s="1639">
        <v>4605</v>
      </c>
      <c r="O28" s="1639">
        <v>4605</v>
      </c>
      <c r="P28" s="1637">
        <v>0.68</v>
      </c>
      <c r="Q28" s="1637">
        <v>0.68</v>
      </c>
      <c r="R28" s="1637">
        <v>0.68</v>
      </c>
      <c r="S28" s="1637">
        <v>0.68</v>
      </c>
      <c r="T28" s="1640">
        <f t="shared" si="31"/>
        <v>25051.200000000001</v>
      </c>
      <c r="U28" s="1640">
        <f t="shared" si="32"/>
        <v>25051.200000000001</v>
      </c>
      <c r="V28" s="1640">
        <f t="shared" si="33"/>
        <v>25051.200000000001</v>
      </c>
      <c r="W28" s="1640">
        <f t="shared" si="34"/>
        <v>25051.200000000001</v>
      </c>
      <c r="X28" s="1640">
        <f t="shared" si="35"/>
        <v>100204.8</v>
      </c>
      <c r="Y28" s="1372" t="str">
        <f t="shared" si="36"/>
        <v>CI-HWE-OZLD-VO1-140601</v>
      </c>
      <c r="Z28" s="1372" t="str">
        <f t="shared" si="36"/>
        <v>Nicor Gas PY7-PY10 Adjustable Goals Template_2017-06-30, Tab 4.3.6</v>
      </c>
      <c r="AA28" s="1840">
        <f t="shared" si="36"/>
        <v>4605</v>
      </c>
      <c r="AB28" s="2028"/>
      <c r="AC28" s="1840">
        <f t="shared" si="37"/>
        <v>25051.200000000001</v>
      </c>
      <c r="AD28" s="1840">
        <f t="shared" si="38"/>
        <v>0</v>
      </c>
      <c r="AE28" s="1372" t="s">
        <v>2794</v>
      </c>
      <c r="AF28" s="1372" t="s">
        <v>3365</v>
      </c>
      <c r="AG28" s="1639">
        <v>4605</v>
      </c>
      <c r="AH28" s="1372" t="s">
        <v>3445</v>
      </c>
      <c r="AI28" s="1640">
        <f t="shared" si="39"/>
        <v>25051.200000000001</v>
      </c>
      <c r="AJ28" s="1638">
        <f t="shared" si="40"/>
        <v>0</v>
      </c>
      <c r="AK28" s="1372" t="s">
        <v>2794</v>
      </c>
      <c r="AL28" s="1372" t="s">
        <v>3365</v>
      </c>
      <c r="AM28" s="1639">
        <v>4605</v>
      </c>
      <c r="AN28" s="1372" t="str">
        <f t="shared" si="29"/>
        <v>No change</v>
      </c>
      <c r="AO28" s="1640">
        <f t="shared" si="41"/>
        <v>25051.200000000001</v>
      </c>
      <c r="AP28" s="1638">
        <f t="shared" si="42"/>
        <v>0</v>
      </c>
      <c r="AQ28" s="1372" t="s">
        <v>2794</v>
      </c>
      <c r="AR28" s="1372" t="s">
        <v>3365</v>
      </c>
      <c r="AS28" s="1639">
        <v>4605</v>
      </c>
      <c r="AT28" s="1372" t="str">
        <f t="shared" si="43"/>
        <v>No change</v>
      </c>
      <c r="AU28" s="1640">
        <f t="shared" si="44"/>
        <v>25051.200000000001</v>
      </c>
      <c r="AV28" s="1638">
        <f t="shared" si="45"/>
        <v>0</v>
      </c>
      <c r="AW28" s="2044">
        <f t="shared" si="46"/>
        <v>25051.200000000001</v>
      </c>
      <c r="AX28" s="2044">
        <f t="shared" si="47"/>
        <v>25051.200000000001</v>
      </c>
      <c r="AY28" s="2044">
        <f t="shared" si="48"/>
        <v>25051.200000000001</v>
      </c>
      <c r="AZ28" s="2044">
        <f t="shared" si="49"/>
        <v>25051.200000000001</v>
      </c>
      <c r="BA28" s="2045">
        <f t="shared" si="50"/>
        <v>100204.8</v>
      </c>
      <c r="BB28" s="2045" t="str">
        <f>+'[9]4.3.6'!$A$1</f>
        <v>4.3.6</v>
      </c>
      <c r="BC28" s="2045" t="str">
        <f>+'[9]4.3.6'!$A$1</f>
        <v>4.3.6</v>
      </c>
      <c r="BD28" s="2045">
        <v>0</v>
      </c>
      <c r="BE28" s="2051">
        <v>10</v>
      </c>
      <c r="BF28" s="2051">
        <v>10</v>
      </c>
      <c r="BG28" s="2051">
        <v>10</v>
      </c>
      <c r="BH28" s="2051">
        <v>10</v>
      </c>
      <c r="BI28" s="2045">
        <f t="shared" si="6"/>
        <v>250512</v>
      </c>
      <c r="BJ28" s="2045">
        <f t="shared" si="7"/>
        <v>250512</v>
      </c>
      <c r="BK28" s="2045">
        <f t="shared" si="8"/>
        <v>250512</v>
      </c>
      <c r="BL28" s="2045">
        <f t="shared" si="9"/>
        <v>250512</v>
      </c>
      <c r="BM28" s="2045">
        <f t="shared" si="51"/>
        <v>1002048</v>
      </c>
      <c r="BN28" s="2047">
        <v>10</v>
      </c>
      <c r="BO28" s="2047">
        <v>10</v>
      </c>
      <c r="BP28" s="2047">
        <v>10</v>
      </c>
      <c r="BQ28" s="2047">
        <v>10</v>
      </c>
      <c r="BR28" s="2048">
        <f t="shared" si="52"/>
        <v>250512</v>
      </c>
      <c r="BS28" s="2048">
        <f t="shared" si="53"/>
        <v>250512</v>
      </c>
      <c r="BT28" s="2048">
        <f t="shared" si="54"/>
        <v>250512</v>
      </c>
      <c r="BU28" s="2048">
        <f t="shared" si="55"/>
        <v>250512</v>
      </c>
      <c r="BV28" s="1840">
        <f t="shared" si="56"/>
        <v>1002048</v>
      </c>
      <c r="BW28" s="2064" t="e">
        <f>INT(#REF!)=INT(BA28)</f>
        <v>#REF!</v>
      </c>
      <c r="BX28" s="2064">
        <v>21</v>
      </c>
      <c r="BY28" s="2064" t="s">
        <v>512</v>
      </c>
    </row>
    <row r="29" spans="1:77" s="1976" customFormat="1" ht="62" x14ac:dyDescent="0.35">
      <c r="A29" s="1372" t="s">
        <v>1494</v>
      </c>
      <c r="B29" s="1372" t="s">
        <v>3015</v>
      </c>
      <c r="C29" s="1637">
        <v>0</v>
      </c>
      <c r="D29" s="1372" t="s">
        <v>3516</v>
      </c>
      <c r="E29" s="1843" t="s">
        <v>163</v>
      </c>
      <c r="F29" s="1845">
        <v>96</v>
      </c>
      <c r="G29" s="1845">
        <v>96</v>
      </c>
      <c r="H29" s="1845">
        <v>96</v>
      </c>
      <c r="I29" s="1845">
        <v>96</v>
      </c>
      <c r="J29" s="1843" t="s">
        <v>295</v>
      </c>
      <c r="K29" s="1843" t="str">
        <f t="shared" si="30"/>
        <v>Nicor Gas PY7-PY10 Adjustable Goals Template_2017-06-30, Tab Customized TRM</v>
      </c>
      <c r="L29" s="1846">
        <v>34.269173553719007</v>
      </c>
      <c r="M29" s="1846">
        <v>34.269173553719007</v>
      </c>
      <c r="N29" s="1846">
        <v>34.269173553719007</v>
      </c>
      <c r="O29" s="1846">
        <v>34.269173553719007</v>
      </c>
      <c r="P29" s="1844">
        <v>0.68</v>
      </c>
      <c r="Q29" s="1844">
        <v>0.68</v>
      </c>
      <c r="R29" s="1844">
        <v>0.68</v>
      </c>
      <c r="S29" s="1844">
        <v>0.68</v>
      </c>
      <c r="T29" s="1847">
        <f t="shared" si="31"/>
        <v>2237.0916495867768</v>
      </c>
      <c r="U29" s="1847">
        <f t="shared" si="32"/>
        <v>2237.0916495867768</v>
      </c>
      <c r="V29" s="1847">
        <f t="shared" si="33"/>
        <v>2237.0916495867768</v>
      </c>
      <c r="W29" s="1847">
        <f t="shared" si="34"/>
        <v>2237.0916495867768</v>
      </c>
      <c r="X29" s="1847">
        <f t="shared" si="35"/>
        <v>8948.3665983471074</v>
      </c>
      <c r="Y29" s="1843"/>
      <c r="Z29" s="1843" t="str">
        <f t="shared" ref="Z29:Z92" si="57">K29</f>
        <v>Nicor Gas PY7-PY10 Adjustable Goals Template_2017-06-30, Tab Customized TRM</v>
      </c>
      <c r="AA29" s="1848">
        <f t="shared" ref="AA29:AA92" si="58">L29</f>
        <v>34.269173553719007</v>
      </c>
      <c r="AB29" s="1848"/>
      <c r="AC29" s="1848">
        <f t="shared" si="37"/>
        <v>2237.0916495867768</v>
      </c>
      <c r="AD29" s="1848">
        <f t="shared" si="38"/>
        <v>0</v>
      </c>
      <c r="AE29" s="1843"/>
      <c r="AF29" s="1843" t="s">
        <v>3361</v>
      </c>
      <c r="AG29" s="1846">
        <v>34.269173553719007</v>
      </c>
      <c r="AH29" s="1843"/>
      <c r="AI29" s="1847">
        <f t="shared" si="39"/>
        <v>2237.0916495867768</v>
      </c>
      <c r="AJ29" s="1845">
        <f t="shared" si="40"/>
        <v>0</v>
      </c>
      <c r="AK29" s="1843"/>
      <c r="AL29" s="1843" t="s">
        <v>3361</v>
      </c>
      <c r="AM29" s="1846">
        <v>34.269173553719007</v>
      </c>
      <c r="AN29" s="1843"/>
      <c r="AO29" s="1847">
        <f t="shared" si="41"/>
        <v>2237.0916495867768</v>
      </c>
      <c r="AP29" s="1845">
        <f t="shared" si="42"/>
        <v>0</v>
      </c>
      <c r="AQ29" s="1843"/>
      <c r="AR29" s="1843" t="s">
        <v>3361</v>
      </c>
      <c r="AS29" s="1846">
        <v>34.269173553719007</v>
      </c>
      <c r="AT29" s="1843"/>
      <c r="AU29" s="1847">
        <f t="shared" si="44"/>
        <v>2237.0916495867768</v>
      </c>
      <c r="AV29" s="1845">
        <f t="shared" si="45"/>
        <v>0</v>
      </c>
      <c r="AW29" s="2123">
        <f t="shared" si="46"/>
        <v>2237.0916495867768</v>
      </c>
      <c r="AX29" s="2123">
        <f t="shared" si="47"/>
        <v>2237.0916495867768</v>
      </c>
      <c r="AY29" s="2123">
        <f t="shared" si="48"/>
        <v>2237.0916495867768</v>
      </c>
      <c r="AZ29" s="2123">
        <f t="shared" si="49"/>
        <v>2237.0916495867768</v>
      </c>
      <c r="BA29" s="2051">
        <f t="shared" si="50"/>
        <v>8948.3665983471074</v>
      </c>
      <c r="BB29" s="2051"/>
      <c r="BC29" s="2051"/>
      <c r="BD29" s="2121">
        <v>1</v>
      </c>
      <c r="BE29" s="2051">
        <v>4</v>
      </c>
      <c r="BF29" s="2051">
        <v>4</v>
      </c>
      <c r="BG29" s="2051">
        <v>4</v>
      </c>
      <c r="BH29" s="2051">
        <v>4</v>
      </c>
      <c r="BI29" s="2045">
        <f t="shared" si="6"/>
        <v>8948.3665983471074</v>
      </c>
      <c r="BJ29" s="2045">
        <f t="shared" si="7"/>
        <v>8948.3665983471074</v>
      </c>
      <c r="BK29" s="2045">
        <f t="shared" si="8"/>
        <v>8948.3665983471074</v>
      </c>
      <c r="BL29" s="2045">
        <f t="shared" si="9"/>
        <v>8948.3665983471074</v>
      </c>
      <c r="BM29" s="2045">
        <f t="shared" si="51"/>
        <v>35793.466393388429</v>
      </c>
      <c r="BN29" s="2047">
        <v>4</v>
      </c>
      <c r="BO29" s="2050">
        <v>8</v>
      </c>
      <c r="BP29" s="2050">
        <v>8</v>
      </c>
      <c r="BQ29" s="2050">
        <v>8</v>
      </c>
      <c r="BR29" s="2048">
        <f t="shared" si="52"/>
        <v>8948.3665983471074</v>
      </c>
      <c r="BS29" s="2048">
        <f t="shared" si="53"/>
        <v>17896.733196694215</v>
      </c>
      <c r="BT29" s="2048">
        <f t="shared" si="54"/>
        <v>17896.733196694215</v>
      </c>
      <c r="BU29" s="2048">
        <f t="shared" si="55"/>
        <v>17896.733196694215</v>
      </c>
      <c r="BV29" s="1840">
        <f t="shared" si="56"/>
        <v>62638.566188429751</v>
      </c>
      <c r="BW29" s="2064" t="e">
        <f>INT(#REF!)=INT(BA29)</f>
        <v>#REF!</v>
      </c>
      <c r="BX29" s="2064">
        <v>22</v>
      </c>
      <c r="BY29" s="2064" t="s">
        <v>3485</v>
      </c>
    </row>
    <row r="30" spans="1:77" s="1976" customFormat="1" ht="62" x14ac:dyDescent="0.35">
      <c r="A30" s="1372" t="s">
        <v>1494</v>
      </c>
      <c r="B30" s="1372" t="s">
        <v>3016</v>
      </c>
      <c r="C30" s="1637">
        <v>0</v>
      </c>
      <c r="D30" s="1372" t="s">
        <v>3516</v>
      </c>
      <c r="E30" s="1843" t="s">
        <v>163</v>
      </c>
      <c r="F30" s="1845">
        <v>12</v>
      </c>
      <c r="G30" s="1845">
        <v>12</v>
      </c>
      <c r="H30" s="1845">
        <v>12</v>
      </c>
      <c r="I30" s="1845">
        <v>12</v>
      </c>
      <c r="J30" s="1843" t="s">
        <v>295</v>
      </c>
      <c r="K30" s="1843" t="str">
        <f t="shared" si="30"/>
        <v>Nicor Gas PY7-PY10 Adjustable Goals Template_2017-06-30, Tab Customized TRM</v>
      </c>
      <c r="L30" s="1846">
        <v>2333.5724999999993</v>
      </c>
      <c r="M30" s="1846">
        <v>2333.5724999999993</v>
      </c>
      <c r="N30" s="1846">
        <v>2333.5724999999993</v>
      </c>
      <c r="O30" s="1846">
        <v>2333.5724999999993</v>
      </c>
      <c r="P30" s="1844">
        <v>0.68</v>
      </c>
      <c r="Q30" s="1844">
        <v>0.68</v>
      </c>
      <c r="R30" s="1844">
        <v>0.68</v>
      </c>
      <c r="S30" s="1844">
        <v>0.68</v>
      </c>
      <c r="T30" s="1847">
        <f t="shared" si="31"/>
        <v>19041.951599999997</v>
      </c>
      <c r="U30" s="1847">
        <f t="shared" si="32"/>
        <v>19041.951599999997</v>
      </c>
      <c r="V30" s="1847">
        <f t="shared" si="33"/>
        <v>19041.951599999997</v>
      </c>
      <c r="W30" s="1847">
        <f t="shared" si="34"/>
        <v>19041.951599999997</v>
      </c>
      <c r="X30" s="1847">
        <f t="shared" si="35"/>
        <v>76167.806399999987</v>
      </c>
      <c r="Y30" s="1843"/>
      <c r="Z30" s="1843" t="str">
        <f t="shared" si="57"/>
        <v>Nicor Gas PY7-PY10 Adjustable Goals Template_2017-06-30, Tab Customized TRM</v>
      </c>
      <c r="AA30" s="1848">
        <f t="shared" si="58"/>
        <v>2333.5724999999993</v>
      </c>
      <c r="AB30" s="1848"/>
      <c r="AC30" s="1848">
        <f t="shared" si="37"/>
        <v>19041.951599999997</v>
      </c>
      <c r="AD30" s="1848">
        <f t="shared" si="38"/>
        <v>0</v>
      </c>
      <c r="AE30" s="1843"/>
      <c r="AF30" s="1843" t="s">
        <v>3361</v>
      </c>
      <c r="AG30" s="1846">
        <v>2333.5724999999993</v>
      </c>
      <c r="AH30" s="1843"/>
      <c r="AI30" s="1847">
        <f t="shared" si="39"/>
        <v>19041.951599999997</v>
      </c>
      <c r="AJ30" s="1845">
        <f t="shared" si="40"/>
        <v>0</v>
      </c>
      <c r="AK30" s="1843"/>
      <c r="AL30" s="1843" t="s">
        <v>3361</v>
      </c>
      <c r="AM30" s="1846">
        <v>2333.5724999999993</v>
      </c>
      <c r="AN30" s="1843"/>
      <c r="AO30" s="1847">
        <f t="shared" si="41"/>
        <v>19041.951599999997</v>
      </c>
      <c r="AP30" s="1845">
        <f t="shared" si="42"/>
        <v>0</v>
      </c>
      <c r="AQ30" s="1843"/>
      <c r="AR30" s="1843" t="s">
        <v>3361</v>
      </c>
      <c r="AS30" s="1846">
        <v>2333.5724999999993</v>
      </c>
      <c r="AT30" s="1843"/>
      <c r="AU30" s="1847">
        <f t="shared" si="44"/>
        <v>19041.951599999997</v>
      </c>
      <c r="AV30" s="1845">
        <f t="shared" si="45"/>
        <v>0</v>
      </c>
      <c r="AW30" s="2123">
        <f t="shared" si="46"/>
        <v>19041.951599999997</v>
      </c>
      <c r="AX30" s="2123">
        <f t="shared" si="47"/>
        <v>19041.951599999997</v>
      </c>
      <c r="AY30" s="2123">
        <f t="shared" si="48"/>
        <v>19041.951599999997</v>
      </c>
      <c r="AZ30" s="2123">
        <f t="shared" si="49"/>
        <v>19041.951599999997</v>
      </c>
      <c r="BA30" s="2051">
        <f t="shared" si="50"/>
        <v>76167.806399999987</v>
      </c>
      <c r="BB30" s="2051"/>
      <c r="BC30" s="2051"/>
      <c r="BD30" s="2045">
        <v>0</v>
      </c>
      <c r="BE30" s="2051">
        <v>15</v>
      </c>
      <c r="BF30" s="2051">
        <v>15</v>
      </c>
      <c r="BG30" s="2051">
        <v>15</v>
      </c>
      <c r="BH30" s="2051">
        <v>15</v>
      </c>
      <c r="BI30" s="2045">
        <f t="shared" si="6"/>
        <v>285629.27399999992</v>
      </c>
      <c r="BJ30" s="2045">
        <f t="shared" si="7"/>
        <v>285629.27399999992</v>
      </c>
      <c r="BK30" s="2045">
        <f t="shared" si="8"/>
        <v>285629.27399999992</v>
      </c>
      <c r="BL30" s="2045">
        <f t="shared" si="9"/>
        <v>285629.27399999992</v>
      </c>
      <c r="BM30" s="2045">
        <f t="shared" si="51"/>
        <v>1142517.0959999997</v>
      </c>
      <c r="BN30" s="2047">
        <v>15</v>
      </c>
      <c r="BO30" s="2047">
        <v>15</v>
      </c>
      <c r="BP30" s="2047">
        <v>15</v>
      </c>
      <c r="BQ30" s="2047">
        <v>15</v>
      </c>
      <c r="BR30" s="2048">
        <f t="shared" si="52"/>
        <v>285629.27399999992</v>
      </c>
      <c r="BS30" s="2048">
        <f t="shared" si="53"/>
        <v>285629.27399999992</v>
      </c>
      <c r="BT30" s="2048">
        <f t="shared" si="54"/>
        <v>285629.27399999992</v>
      </c>
      <c r="BU30" s="2048">
        <f t="shared" si="55"/>
        <v>285629.27399999992</v>
      </c>
      <c r="BV30" s="1840">
        <f t="shared" si="56"/>
        <v>1142517.0959999997</v>
      </c>
      <c r="BW30" s="2064" t="e">
        <f>INT(#REF!)=INT(BA30)</f>
        <v>#REF!</v>
      </c>
      <c r="BX30" s="2064">
        <v>23</v>
      </c>
      <c r="BY30" s="2064" t="s">
        <v>3485</v>
      </c>
    </row>
    <row r="31" spans="1:77" s="1976" customFormat="1" ht="62" x14ac:dyDescent="0.35">
      <c r="A31" s="1372" t="s">
        <v>1494</v>
      </c>
      <c r="B31" s="1372" t="s">
        <v>3017</v>
      </c>
      <c r="C31" s="1637">
        <v>0</v>
      </c>
      <c r="D31" s="1372" t="s">
        <v>3516</v>
      </c>
      <c r="E31" s="1843" t="s">
        <v>163</v>
      </c>
      <c r="F31" s="1845">
        <v>12</v>
      </c>
      <c r="G31" s="1845">
        <v>12</v>
      </c>
      <c r="H31" s="1845">
        <v>12</v>
      </c>
      <c r="I31" s="1845">
        <v>12</v>
      </c>
      <c r="J31" s="1843" t="s">
        <v>295</v>
      </c>
      <c r="K31" s="1843" t="str">
        <f t="shared" si="30"/>
        <v>Nicor Gas PY7-PY10 Adjustable Goals Template_2017-06-30, Tab Customized TRM</v>
      </c>
      <c r="L31" s="1846">
        <v>4667.079999999999</v>
      </c>
      <c r="M31" s="1846">
        <v>4667.079999999999</v>
      </c>
      <c r="N31" s="1846">
        <v>4667.079999999999</v>
      </c>
      <c r="O31" s="1846">
        <v>4667.079999999999</v>
      </c>
      <c r="P31" s="1844">
        <v>0.68</v>
      </c>
      <c r="Q31" s="1844">
        <v>0.68</v>
      </c>
      <c r="R31" s="1844">
        <v>0.68</v>
      </c>
      <c r="S31" s="1844">
        <v>0.68</v>
      </c>
      <c r="T31" s="1847">
        <f t="shared" si="31"/>
        <v>38083.372799999997</v>
      </c>
      <c r="U31" s="1847">
        <f t="shared" si="32"/>
        <v>38083.372799999997</v>
      </c>
      <c r="V31" s="1847">
        <f t="shared" si="33"/>
        <v>38083.372799999997</v>
      </c>
      <c r="W31" s="1847">
        <f t="shared" si="34"/>
        <v>38083.372799999997</v>
      </c>
      <c r="X31" s="1847">
        <f t="shared" si="35"/>
        <v>152333.49119999999</v>
      </c>
      <c r="Y31" s="1843"/>
      <c r="Z31" s="1843" t="str">
        <f t="shared" si="57"/>
        <v>Nicor Gas PY7-PY10 Adjustable Goals Template_2017-06-30, Tab Customized TRM</v>
      </c>
      <c r="AA31" s="1848">
        <f t="shared" si="58"/>
        <v>4667.079999999999</v>
      </c>
      <c r="AB31" s="1848"/>
      <c r="AC31" s="1848">
        <f t="shared" si="37"/>
        <v>38083.372799999997</v>
      </c>
      <c r="AD31" s="1848">
        <f t="shared" si="38"/>
        <v>0</v>
      </c>
      <c r="AE31" s="1843"/>
      <c r="AF31" s="1843" t="s">
        <v>3361</v>
      </c>
      <c r="AG31" s="1846">
        <v>4667.079999999999</v>
      </c>
      <c r="AH31" s="1843"/>
      <c r="AI31" s="1847">
        <f t="shared" si="39"/>
        <v>38083.372799999997</v>
      </c>
      <c r="AJ31" s="1845">
        <f t="shared" si="40"/>
        <v>0</v>
      </c>
      <c r="AK31" s="1843"/>
      <c r="AL31" s="1843" t="s">
        <v>3361</v>
      </c>
      <c r="AM31" s="1846">
        <v>4667.079999999999</v>
      </c>
      <c r="AN31" s="1843"/>
      <c r="AO31" s="1847">
        <f t="shared" si="41"/>
        <v>38083.372799999997</v>
      </c>
      <c r="AP31" s="1845">
        <f t="shared" si="42"/>
        <v>0</v>
      </c>
      <c r="AQ31" s="1843"/>
      <c r="AR31" s="1843" t="s">
        <v>3361</v>
      </c>
      <c r="AS31" s="1846">
        <v>4667.079999999999</v>
      </c>
      <c r="AT31" s="1843"/>
      <c r="AU31" s="1847">
        <f t="shared" si="44"/>
        <v>38083.372799999997</v>
      </c>
      <c r="AV31" s="1845">
        <f t="shared" si="45"/>
        <v>0</v>
      </c>
      <c r="AW31" s="2123">
        <f t="shared" si="46"/>
        <v>38083.372799999997</v>
      </c>
      <c r="AX31" s="2123">
        <f t="shared" si="47"/>
        <v>38083.372799999997</v>
      </c>
      <c r="AY31" s="2123">
        <f t="shared" si="48"/>
        <v>38083.372799999997</v>
      </c>
      <c r="AZ31" s="2123">
        <f t="shared" si="49"/>
        <v>38083.372799999997</v>
      </c>
      <c r="BA31" s="2051">
        <f t="shared" si="50"/>
        <v>152333.49119999999</v>
      </c>
      <c r="BB31" s="2051"/>
      <c r="BC31" s="2051"/>
      <c r="BD31" s="2045">
        <v>0</v>
      </c>
      <c r="BE31" s="2051">
        <v>15</v>
      </c>
      <c r="BF31" s="2051">
        <v>15</v>
      </c>
      <c r="BG31" s="2051">
        <v>15</v>
      </c>
      <c r="BH31" s="2051">
        <v>15</v>
      </c>
      <c r="BI31" s="2045">
        <f t="shared" si="6"/>
        <v>571250.59199999983</v>
      </c>
      <c r="BJ31" s="2045">
        <f t="shared" si="7"/>
        <v>571250.59199999983</v>
      </c>
      <c r="BK31" s="2045">
        <f t="shared" si="8"/>
        <v>571250.59199999983</v>
      </c>
      <c r="BL31" s="2045">
        <f t="shared" si="9"/>
        <v>571250.59199999983</v>
      </c>
      <c r="BM31" s="2045">
        <f t="shared" si="51"/>
        <v>2285002.3679999993</v>
      </c>
      <c r="BN31" s="2047">
        <v>15</v>
      </c>
      <c r="BO31" s="2047">
        <v>15</v>
      </c>
      <c r="BP31" s="2047">
        <v>15</v>
      </c>
      <c r="BQ31" s="2047">
        <v>15</v>
      </c>
      <c r="BR31" s="2048">
        <f t="shared" si="52"/>
        <v>571250.59199999983</v>
      </c>
      <c r="BS31" s="2048">
        <f t="shared" si="53"/>
        <v>571250.59199999983</v>
      </c>
      <c r="BT31" s="2048">
        <f t="shared" si="54"/>
        <v>571250.59199999983</v>
      </c>
      <c r="BU31" s="2048">
        <f t="shared" si="55"/>
        <v>571250.59199999983</v>
      </c>
      <c r="BV31" s="1840">
        <f t="shared" si="56"/>
        <v>2285002.3679999993</v>
      </c>
      <c r="BW31" s="2064" t="e">
        <f>INT(#REF!)=INT(BA31)</f>
        <v>#REF!</v>
      </c>
      <c r="BX31" s="2064">
        <v>24</v>
      </c>
      <c r="BY31" s="2064" t="s">
        <v>3485</v>
      </c>
    </row>
    <row r="32" spans="1:77" s="1976" customFormat="1" ht="30.75" customHeight="1" x14ac:dyDescent="0.35">
      <c r="A32" s="1372" t="s">
        <v>1494</v>
      </c>
      <c r="B32" s="1372" t="s">
        <v>3018</v>
      </c>
      <c r="C32" s="1637">
        <v>0</v>
      </c>
      <c r="D32" s="1372" t="s">
        <v>3516</v>
      </c>
      <c r="E32" s="1843" t="s">
        <v>163</v>
      </c>
      <c r="F32" s="1845">
        <v>8</v>
      </c>
      <c r="G32" s="1845">
        <v>8</v>
      </c>
      <c r="H32" s="1845">
        <v>8</v>
      </c>
      <c r="I32" s="1845">
        <v>8</v>
      </c>
      <c r="J32" s="1843" t="s">
        <v>295</v>
      </c>
      <c r="K32" s="1843" t="str">
        <f t="shared" si="30"/>
        <v>Nicor Gas PY7-PY10 Adjustable Goals Template_2017-06-30, Tab Customized TRM</v>
      </c>
      <c r="L32" s="1846">
        <v>7165.1333333333341</v>
      </c>
      <c r="M32" s="1846">
        <v>7165.1333333333341</v>
      </c>
      <c r="N32" s="1846">
        <v>7165.1333333333341</v>
      </c>
      <c r="O32" s="1846">
        <v>7165.1333333333341</v>
      </c>
      <c r="P32" s="1844">
        <v>0.68</v>
      </c>
      <c r="Q32" s="1844">
        <v>0.68</v>
      </c>
      <c r="R32" s="1844">
        <v>0.68</v>
      </c>
      <c r="S32" s="1844">
        <v>0.68</v>
      </c>
      <c r="T32" s="1847">
        <f t="shared" si="31"/>
        <v>38978.325333333341</v>
      </c>
      <c r="U32" s="1847">
        <f t="shared" si="32"/>
        <v>38978.325333333341</v>
      </c>
      <c r="V32" s="1847">
        <f t="shared" si="33"/>
        <v>38978.325333333341</v>
      </c>
      <c r="W32" s="1847">
        <f t="shared" si="34"/>
        <v>38978.325333333341</v>
      </c>
      <c r="X32" s="1847">
        <f t="shared" si="35"/>
        <v>155913.30133333337</v>
      </c>
      <c r="Y32" s="1843"/>
      <c r="Z32" s="1843" t="str">
        <f t="shared" si="57"/>
        <v>Nicor Gas PY7-PY10 Adjustable Goals Template_2017-06-30, Tab Customized TRM</v>
      </c>
      <c r="AA32" s="1848">
        <f t="shared" si="58"/>
        <v>7165.1333333333341</v>
      </c>
      <c r="AB32" s="1848"/>
      <c r="AC32" s="1848">
        <f t="shared" si="37"/>
        <v>38978.325333333341</v>
      </c>
      <c r="AD32" s="1848">
        <f t="shared" si="38"/>
        <v>0</v>
      </c>
      <c r="AE32" s="1843"/>
      <c r="AF32" s="1843" t="s">
        <v>3361</v>
      </c>
      <c r="AG32" s="1846">
        <v>7165.1333333333341</v>
      </c>
      <c r="AH32" s="1843"/>
      <c r="AI32" s="1847">
        <f t="shared" si="39"/>
        <v>38978.325333333341</v>
      </c>
      <c r="AJ32" s="1845">
        <f t="shared" si="40"/>
        <v>0</v>
      </c>
      <c r="AK32" s="1843"/>
      <c r="AL32" s="1843" t="s">
        <v>3361</v>
      </c>
      <c r="AM32" s="1846">
        <v>7165.1333333333341</v>
      </c>
      <c r="AN32" s="1843"/>
      <c r="AO32" s="1847">
        <f t="shared" si="41"/>
        <v>38978.325333333341</v>
      </c>
      <c r="AP32" s="1845">
        <f t="shared" si="42"/>
        <v>0</v>
      </c>
      <c r="AQ32" s="1843"/>
      <c r="AR32" s="1843" t="s">
        <v>3361</v>
      </c>
      <c r="AS32" s="1846">
        <v>7165.1333333333341</v>
      </c>
      <c r="AT32" s="1843"/>
      <c r="AU32" s="1847">
        <f t="shared" si="44"/>
        <v>38978.325333333341</v>
      </c>
      <c r="AV32" s="1845">
        <f t="shared" si="45"/>
        <v>0</v>
      </c>
      <c r="AW32" s="2123">
        <f t="shared" si="46"/>
        <v>38978.325333333341</v>
      </c>
      <c r="AX32" s="2123">
        <f t="shared" si="47"/>
        <v>38978.325333333341</v>
      </c>
      <c r="AY32" s="2123">
        <f t="shared" si="48"/>
        <v>38978.325333333341</v>
      </c>
      <c r="AZ32" s="2123">
        <f t="shared" si="49"/>
        <v>38978.325333333341</v>
      </c>
      <c r="BA32" s="2051">
        <f t="shared" si="50"/>
        <v>155913.30133333337</v>
      </c>
      <c r="BB32" s="2051"/>
      <c r="BC32" s="2051"/>
      <c r="BD32" s="2045">
        <v>0</v>
      </c>
      <c r="BE32" s="2051">
        <v>15</v>
      </c>
      <c r="BF32" s="2051">
        <v>15</v>
      </c>
      <c r="BG32" s="2051">
        <v>15</v>
      </c>
      <c r="BH32" s="2051">
        <v>15</v>
      </c>
      <c r="BI32" s="2045">
        <f t="shared" si="6"/>
        <v>584674.88000000012</v>
      </c>
      <c r="BJ32" s="2045">
        <f t="shared" si="7"/>
        <v>584674.88000000012</v>
      </c>
      <c r="BK32" s="2045">
        <f t="shared" si="8"/>
        <v>584674.88000000012</v>
      </c>
      <c r="BL32" s="2045">
        <f t="shared" si="9"/>
        <v>584674.88000000012</v>
      </c>
      <c r="BM32" s="2045">
        <f t="shared" si="51"/>
        <v>2338699.5200000005</v>
      </c>
      <c r="BN32" s="2047">
        <v>15</v>
      </c>
      <c r="BO32" s="2047">
        <v>15</v>
      </c>
      <c r="BP32" s="2047">
        <v>15</v>
      </c>
      <c r="BQ32" s="2047">
        <v>15</v>
      </c>
      <c r="BR32" s="2048">
        <f t="shared" si="52"/>
        <v>584674.88000000012</v>
      </c>
      <c r="BS32" s="2048">
        <f t="shared" si="53"/>
        <v>584674.88000000012</v>
      </c>
      <c r="BT32" s="2048">
        <f t="shared" si="54"/>
        <v>584674.88000000012</v>
      </c>
      <c r="BU32" s="2048">
        <f t="shared" si="55"/>
        <v>584674.88000000012</v>
      </c>
      <c r="BV32" s="1840">
        <f t="shared" si="56"/>
        <v>2338699.5200000005</v>
      </c>
      <c r="BW32" s="2064" t="e">
        <f>INT(#REF!)=INT(BA32)</f>
        <v>#REF!</v>
      </c>
      <c r="BX32" s="2064">
        <v>25</v>
      </c>
      <c r="BY32" s="2064" t="s">
        <v>3485</v>
      </c>
    </row>
    <row r="33" spans="1:77" s="1976" customFormat="1" ht="62" x14ac:dyDescent="0.35">
      <c r="A33" s="1372" t="s">
        <v>1494</v>
      </c>
      <c r="B33" s="1372" t="s">
        <v>3019</v>
      </c>
      <c r="C33" s="1637">
        <v>1</v>
      </c>
      <c r="D33" s="2055" t="str">
        <f>'[9]4.4.19'!$A$1</f>
        <v>4.4.19</v>
      </c>
      <c r="E33" s="1372" t="s">
        <v>163</v>
      </c>
      <c r="F33" s="1638">
        <v>4</v>
      </c>
      <c r="G33" s="1638">
        <v>4</v>
      </c>
      <c r="H33" s="1638">
        <v>4</v>
      </c>
      <c r="I33" s="1638">
        <v>4</v>
      </c>
      <c r="J33" s="1372" t="str">
        <f>'[9]4.4.19'!$B$10</f>
        <v>CI-HVC-DCV-V04-180101</v>
      </c>
      <c r="K33" s="1372" t="str">
        <f t="shared" si="30"/>
        <v>Nicor Gas PY7-PY10 Adjustable Goals Template_2017-06-30, Tab 4.4.19</v>
      </c>
      <c r="L33" s="1639">
        <v>11149.049999999997</v>
      </c>
      <c r="M33" s="1639">
        <v>11149.049999999997</v>
      </c>
      <c r="N33" s="1639">
        <v>11149.049999999997</v>
      </c>
      <c r="O33" s="1639">
        <v>11149.049999999997</v>
      </c>
      <c r="P33" s="1637">
        <v>0.68</v>
      </c>
      <c r="Q33" s="1637">
        <v>0.68</v>
      </c>
      <c r="R33" s="1637">
        <v>0.68</v>
      </c>
      <c r="S33" s="1637">
        <v>0.68</v>
      </c>
      <c r="T33" s="1640">
        <f t="shared" si="31"/>
        <v>30325.415999999994</v>
      </c>
      <c r="U33" s="1640">
        <f t="shared" si="32"/>
        <v>30325.415999999994</v>
      </c>
      <c r="V33" s="1640">
        <f t="shared" si="33"/>
        <v>30325.415999999994</v>
      </c>
      <c r="W33" s="1640">
        <f t="shared" si="34"/>
        <v>30325.415999999994</v>
      </c>
      <c r="X33" s="1640">
        <f t="shared" si="35"/>
        <v>121301.66399999998</v>
      </c>
      <c r="Y33" s="1372" t="str">
        <f t="shared" ref="Y33:Y59" si="59">J33</f>
        <v>CI-HVC-DCV-V04-180101</v>
      </c>
      <c r="Z33" s="1372" t="str">
        <f t="shared" si="57"/>
        <v>Nicor Gas PY7-PY10 Adjustable Goals Template_2017-06-30, Tab 4.4.19</v>
      </c>
      <c r="AA33" s="2024">
        <f t="shared" si="58"/>
        <v>11149.049999999997</v>
      </c>
      <c r="AB33" s="2028"/>
      <c r="AC33" s="1840">
        <f t="shared" si="37"/>
        <v>30325.415999999994</v>
      </c>
      <c r="AD33" s="1840">
        <f t="shared" si="38"/>
        <v>0</v>
      </c>
      <c r="AE33" s="1372" t="s">
        <v>3054</v>
      </c>
      <c r="AF33" s="1372" t="s">
        <v>3366</v>
      </c>
      <c r="AG33" s="1981">
        <v>11212.849999999997</v>
      </c>
      <c r="AH33" s="1372" t="s">
        <v>3446</v>
      </c>
      <c r="AI33" s="1640">
        <f t="shared" si="39"/>
        <v>30498.951999999994</v>
      </c>
      <c r="AJ33" s="1638">
        <f t="shared" si="40"/>
        <v>173.53600000000006</v>
      </c>
      <c r="AK33" s="1372" t="s">
        <v>3054</v>
      </c>
      <c r="AL33" s="1372" t="s">
        <v>3366</v>
      </c>
      <c r="AM33" s="1981">
        <v>11212.849999999997</v>
      </c>
      <c r="AN33" s="1372" t="str">
        <f t="shared" ref="AN33:AN75" si="60">$AH33</f>
        <v>Refer TRM V.7 Updates</v>
      </c>
      <c r="AO33" s="1640">
        <f t="shared" si="41"/>
        <v>30498.951999999994</v>
      </c>
      <c r="AP33" s="1638">
        <f t="shared" si="42"/>
        <v>173.53600000000006</v>
      </c>
      <c r="AQ33" s="1372" t="s">
        <v>3054</v>
      </c>
      <c r="AR33" s="1372" t="s">
        <v>3366</v>
      </c>
      <c r="AS33" s="1981">
        <v>11212.849999999997</v>
      </c>
      <c r="AT33" s="1372" t="str">
        <f>AH33</f>
        <v>Refer TRM V.7 Updates</v>
      </c>
      <c r="AU33" s="1640">
        <f t="shared" si="44"/>
        <v>30498.951999999994</v>
      </c>
      <c r="AV33" s="1638">
        <f t="shared" si="45"/>
        <v>173.53600000000006</v>
      </c>
      <c r="AW33" s="2044">
        <f t="shared" si="46"/>
        <v>30325.415999999994</v>
      </c>
      <c r="AX33" s="2044">
        <f t="shared" si="47"/>
        <v>30498.951999999994</v>
      </c>
      <c r="AY33" s="2044">
        <f t="shared" si="48"/>
        <v>30498.951999999994</v>
      </c>
      <c r="AZ33" s="2044">
        <f t="shared" si="49"/>
        <v>30498.951999999994</v>
      </c>
      <c r="BA33" s="2045">
        <f t="shared" si="50"/>
        <v>121822.27199999997</v>
      </c>
      <c r="BB33" s="2045" t="str">
        <f>'[9]4.4.19'!$A$1</f>
        <v>4.4.19</v>
      </c>
      <c r="BC33" s="2045" t="str">
        <f>'[9]4.4.19'!$A$1</f>
        <v>4.4.19</v>
      </c>
      <c r="BD33" s="2045">
        <v>0</v>
      </c>
      <c r="BE33" s="2051">
        <v>10</v>
      </c>
      <c r="BF33" s="2051">
        <v>10</v>
      </c>
      <c r="BG33" s="2051">
        <v>10</v>
      </c>
      <c r="BH33" s="2051">
        <v>10</v>
      </c>
      <c r="BI33" s="2045">
        <f t="shared" si="6"/>
        <v>303254.15999999992</v>
      </c>
      <c r="BJ33" s="2045">
        <f t="shared" si="7"/>
        <v>303254.15999999992</v>
      </c>
      <c r="BK33" s="2045">
        <f t="shared" si="8"/>
        <v>303254.15999999992</v>
      </c>
      <c r="BL33" s="2045">
        <f t="shared" si="9"/>
        <v>303254.15999999992</v>
      </c>
      <c r="BM33" s="2045">
        <f t="shared" si="51"/>
        <v>1213016.6399999997</v>
      </c>
      <c r="BN33" s="2047">
        <v>10</v>
      </c>
      <c r="BO33" s="2047">
        <v>10</v>
      </c>
      <c r="BP33" s="2047">
        <v>10</v>
      </c>
      <c r="BQ33" s="2047">
        <v>10</v>
      </c>
      <c r="BR33" s="2048">
        <f t="shared" si="52"/>
        <v>303254.15999999992</v>
      </c>
      <c r="BS33" s="2048">
        <f t="shared" si="53"/>
        <v>304989.51999999996</v>
      </c>
      <c r="BT33" s="2048">
        <f t="shared" si="54"/>
        <v>304989.51999999996</v>
      </c>
      <c r="BU33" s="2048">
        <f t="shared" si="55"/>
        <v>304989.51999999996</v>
      </c>
      <c r="BV33" s="1840">
        <f t="shared" si="56"/>
        <v>1218222.72</v>
      </c>
      <c r="BW33" s="2064" t="e">
        <f>INT(#REF!)=INT(BA33)</f>
        <v>#REF!</v>
      </c>
      <c r="BX33" s="2064">
        <v>26</v>
      </c>
      <c r="BY33" s="2064" t="s">
        <v>512</v>
      </c>
    </row>
    <row r="34" spans="1:77" s="1976" customFormat="1" ht="62" x14ac:dyDescent="0.35">
      <c r="A34" s="1372" t="s">
        <v>1494</v>
      </c>
      <c r="B34" s="1372" t="s">
        <v>3020</v>
      </c>
      <c r="C34" s="1637">
        <v>0</v>
      </c>
      <c r="D34" s="2056" t="str">
        <f>'[9]4.8.4'!$A$1</f>
        <v>4.8.4</v>
      </c>
      <c r="E34" s="1372" t="s">
        <v>163</v>
      </c>
      <c r="F34" s="1638">
        <v>289</v>
      </c>
      <c r="G34" s="1638">
        <v>289</v>
      </c>
      <c r="H34" s="1638">
        <v>289</v>
      </c>
      <c r="I34" s="1638">
        <v>289</v>
      </c>
      <c r="J34" s="1372" t="str">
        <f>'[9]4.8.4'!$B$11</f>
        <v>CI-MSC-MODD-V01-160601</v>
      </c>
      <c r="K34" s="1372" t="str">
        <f t="shared" si="30"/>
        <v>Nicor Gas PY7-PY10 Adjustable Goals Template_2017-06-30, Tab 4.8.4</v>
      </c>
      <c r="L34" s="1639">
        <v>649.26</v>
      </c>
      <c r="M34" s="1639">
        <v>649.26</v>
      </c>
      <c r="N34" s="1639">
        <v>649.26</v>
      </c>
      <c r="O34" s="1639">
        <v>649.26</v>
      </c>
      <c r="P34" s="1637">
        <v>0.68</v>
      </c>
      <c r="Q34" s="1637">
        <v>0.68</v>
      </c>
      <c r="R34" s="1637">
        <v>0.68</v>
      </c>
      <c r="S34" s="1637">
        <v>0.68</v>
      </c>
      <c r="T34" s="1640">
        <f t="shared" si="31"/>
        <v>127592.57519999999</v>
      </c>
      <c r="U34" s="1640">
        <f t="shared" si="32"/>
        <v>127592.57519999999</v>
      </c>
      <c r="V34" s="1640">
        <f t="shared" si="33"/>
        <v>127592.57519999999</v>
      </c>
      <c r="W34" s="1640">
        <f t="shared" si="34"/>
        <v>127592.57519999999</v>
      </c>
      <c r="X34" s="1640">
        <f t="shared" si="35"/>
        <v>510370.30079999997</v>
      </c>
      <c r="Y34" s="1372" t="str">
        <f t="shared" si="59"/>
        <v>CI-MSC-MODD-V01-160601</v>
      </c>
      <c r="Z34" s="1372" t="str">
        <f t="shared" si="57"/>
        <v>Nicor Gas PY7-PY10 Adjustable Goals Template_2017-06-30, Tab 4.8.4</v>
      </c>
      <c r="AA34" s="1840">
        <f t="shared" si="58"/>
        <v>649.26</v>
      </c>
      <c r="AB34" s="2028"/>
      <c r="AC34" s="1840">
        <f t="shared" si="37"/>
        <v>127592.57519999999</v>
      </c>
      <c r="AD34" s="1840">
        <f t="shared" si="38"/>
        <v>0</v>
      </c>
      <c r="AE34" s="1372" t="s">
        <v>3055</v>
      </c>
      <c r="AF34" s="1372" t="s">
        <v>3367</v>
      </c>
      <c r="AG34" s="1639">
        <v>649.26</v>
      </c>
      <c r="AH34" s="1372" t="s">
        <v>3445</v>
      </c>
      <c r="AI34" s="1640">
        <f t="shared" si="39"/>
        <v>127592.57519999999</v>
      </c>
      <c r="AJ34" s="1638">
        <f t="shared" si="40"/>
        <v>0</v>
      </c>
      <c r="AK34" s="1372" t="s">
        <v>3055</v>
      </c>
      <c r="AL34" s="1372" t="s">
        <v>3367</v>
      </c>
      <c r="AM34" s="1639">
        <v>649.26</v>
      </c>
      <c r="AN34" s="1372" t="str">
        <f t="shared" si="60"/>
        <v>No change</v>
      </c>
      <c r="AO34" s="1640">
        <f t="shared" si="41"/>
        <v>127592.57519999999</v>
      </c>
      <c r="AP34" s="1638">
        <f t="shared" si="42"/>
        <v>0</v>
      </c>
      <c r="AQ34" s="1372" t="s">
        <v>3055</v>
      </c>
      <c r="AR34" s="1372" t="s">
        <v>3367</v>
      </c>
      <c r="AS34" s="1639">
        <v>649.26</v>
      </c>
      <c r="AT34" s="1372" t="str">
        <f t="shared" ref="AT34:AT75" si="61">$AH34</f>
        <v>No change</v>
      </c>
      <c r="AU34" s="1640">
        <f t="shared" si="44"/>
        <v>127592.57519999999</v>
      </c>
      <c r="AV34" s="1638">
        <f t="shared" si="45"/>
        <v>0</v>
      </c>
      <c r="AW34" s="2044">
        <f t="shared" si="46"/>
        <v>127592.57519999999</v>
      </c>
      <c r="AX34" s="2044">
        <f t="shared" si="47"/>
        <v>127592.57519999999</v>
      </c>
      <c r="AY34" s="2044">
        <f t="shared" si="48"/>
        <v>127592.57519999999</v>
      </c>
      <c r="AZ34" s="2044">
        <f t="shared" si="49"/>
        <v>127592.57519999999</v>
      </c>
      <c r="BA34" s="2045">
        <f t="shared" si="50"/>
        <v>510370.30079999997</v>
      </c>
      <c r="BB34" s="2045" t="str">
        <f>'[9]4.8.4'!$A$1</f>
        <v>4.8.4</v>
      </c>
      <c r="BC34" s="2045" t="str">
        <f>'[9]4.8.4'!$A$1</f>
        <v>4.8.4</v>
      </c>
      <c r="BD34" s="2045">
        <v>0</v>
      </c>
      <c r="BE34" s="2051">
        <v>14</v>
      </c>
      <c r="BF34" s="2051">
        <v>14</v>
      </c>
      <c r="BG34" s="2051">
        <v>14</v>
      </c>
      <c r="BH34" s="2051">
        <v>14</v>
      </c>
      <c r="BI34" s="2045">
        <f t="shared" si="6"/>
        <v>1786296.0528000002</v>
      </c>
      <c r="BJ34" s="2045">
        <f t="shared" si="7"/>
        <v>1786296.0528000002</v>
      </c>
      <c r="BK34" s="2045">
        <f t="shared" si="8"/>
        <v>1786296.0528000002</v>
      </c>
      <c r="BL34" s="2045">
        <f t="shared" si="9"/>
        <v>1786296.0528000002</v>
      </c>
      <c r="BM34" s="2045">
        <f t="shared" si="51"/>
        <v>7145184.2112000007</v>
      </c>
      <c r="BN34" s="2047">
        <v>14</v>
      </c>
      <c r="BO34" s="2047">
        <v>14</v>
      </c>
      <c r="BP34" s="2047">
        <v>14</v>
      </c>
      <c r="BQ34" s="2047">
        <v>14</v>
      </c>
      <c r="BR34" s="2048">
        <f t="shared" si="52"/>
        <v>1786296.0528000002</v>
      </c>
      <c r="BS34" s="2048">
        <f t="shared" si="53"/>
        <v>1786296.0528000002</v>
      </c>
      <c r="BT34" s="2048">
        <f t="shared" si="54"/>
        <v>1786296.0528000002</v>
      </c>
      <c r="BU34" s="2048">
        <f t="shared" si="55"/>
        <v>1786296.0528000002</v>
      </c>
      <c r="BV34" s="1840">
        <f t="shared" si="56"/>
        <v>7145184.2112000007</v>
      </c>
      <c r="BW34" s="2064" t="e">
        <f>INT(#REF!)=INT(BA34)</f>
        <v>#REF!</v>
      </c>
      <c r="BX34" s="2064">
        <v>27</v>
      </c>
      <c r="BY34" s="2064" t="s">
        <v>512</v>
      </c>
    </row>
    <row r="35" spans="1:77" s="1976" customFormat="1" ht="62" x14ac:dyDescent="0.35">
      <c r="A35" s="1372" t="s">
        <v>1494</v>
      </c>
      <c r="B35" s="1372" t="s">
        <v>207</v>
      </c>
      <c r="C35" s="1637">
        <v>0</v>
      </c>
      <c r="D35" s="2053" t="str">
        <f>+'[9]4.4.14'!$A$1</f>
        <v>4.4.14</v>
      </c>
      <c r="E35" s="1372" t="s">
        <v>202</v>
      </c>
      <c r="F35" s="1638">
        <v>8680</v>
      </c>
      <c r="G35" s="1638">
        <v>8680</v>
      </c>
      <c r="H35" s="1638">
        <v>8680</v>
      </c>
      <c r="I35" s="1638">
        <v>8680</v>
      </c>
      <c r="J35" s="1372" t="str">
        <f>+'[9]4.4.14'!$B$27</f>
        <v>CI-HVC-PINS-V04-160601</v>
      </c>
      <c r="K35" s="1372" t="str">
        <f t="shared" si="30"/>
        <v>Nicor Gas PY7-PY10 Adjustable Goals Template_2017-06-30, Tab 4.4.14</v>
      </c>
      <c r="L35" s="1841">
        <v>1.6846271672771671</v>
      </c>
      <c r="M35" s="1639">
        <v>1.6846271672771671</v>
      </c>
      <c r="N35" s="1639">
        <v>1.6846271672771671</v>
      </c>
      <c r="O35" s="1639">
        <v>1.6846271672771671</v>
      </c>
      <c r="P35" s="1637">
        <v>0.68</v>
      </c>
      <c r="Q35" s="1637">
        <v>0.68</v>
      </c>
      <c r="R35" s="1637">
        <v>0.68</v>
      </c>
      <c r="S35" s="1637">
        <v>0.68</v>
      </c>
      <c r="T35" s="1640">
        <f t="shared" si="31"/>
        <v>9943.3433921367523</v>
      </c>
      <c r="U35" s="1640">
        <f t="shared" si="32"/>
        <v>9943.3433921367523</v>
      </c>
      <c r="V35" s="1640">
        <f t="shared" si="33"/>
        <v>9943.3433921367523</v>
      </c>
      <c r="W35" s="1640">
        <f t="shared" si="34"/>
        <v>9943.3433921367523</v>
      </c>
      <c r="X35" s="1640">
        <f t="shared" si="35"/>
        <v>39773.373568547009</v>
      </c>
      <c r="Y35" s="1372" t="str">
        <f t="shared" si="59"/>
        <v>CI-HVC-PINS-V04-160601</v>
      </c>
      <c r="Z35" s="1372" t="str">
        <f t="shared" si="57"/>
        <v>Nicor Gas PY7-PY10 Adjustable Goals Template_2017-06-30, Tab 4.4.14</v>
      </c>
      <c r="AA35" s="1840">
        <f t="shared" si="58"/>
        <v>1.6846271672771671</v>
      </c>
      <c r="AB35" s="2028"/>
      <c r="AC35" s="1840">
        <f t="shared" si="37"/>
        <v>9943.3433921367523</v>
      </c>
      <c r="AD35" s="1840">
        <f t="shared" si="38"/>
        <v>0</v>
      </c>
      <c r="AE35" s="1372" t="s">
        <v>2577</v>
      </c>
      <c r="AF35" s="1372" t="s">
        <v>3368</v>
      </c>
      <c r="AG35" s="1639">
        <v>1.6846271672771671</v>
      </c>
      <c r="AH35" s="1372" t="s">
        <v>3445</v>
      </c>
      <c r="AI35" s="1640">
        <f t="shared" si="39"/>
        <v>9943.3433921367523</v>
      </c>
      <c r="AJ35" s="1638">
        <f t="shared" si="40"/>
        <v>0</v>
      </c>
      <c r="AK35" s="1372" t="s">
        <v>2577</v>
      </c>
      <c r="AL35" s="1372" t="s">
        <v>3368</v>
      </c>
      <c r="AM35" s="1639">
        <v>1.6846271672771671</v>
      </c>
      <c r="AN35" s="1372" t="str">
        <f t="shared" si="60"/>
        <v>No change</v>
      </c>
      <c r="AO35" s="1640">
        <f t="shared" si="41"/>
        <v>9943.3433921367523</v>
      </c>
      <c r="AP35" s="1638">
        <f t="shared" si="42"/>
        <v>0</v>
      </c>
      <c r="AQ35" s="1372" t="s">
        <v>2577</v>
      </c>
      <c r="AR35" s="1372" t="s">
        <v>3368</v>
      </c>
      <c r="AS35" s="1639">
        <v>1.6846271672771671</v>
      </c>
      <c r="AT35" s="1372" t="str">
        <f t="shared" si="61"/>
        <v>No change</v>
      </c>
      <c r="AU35" s="1640">
        <f t="shared" si="44"/>
        <v>9943.3433921367523</v>
      </c>
      <c r="AV35" s="1638">
        <f t="shared" si="45"/>
        <v>0</v>
      </c>
      <c r="AW35" s="2044">
        <f t="shared" si="46"/>
        <v>9943.3433921367523</v>
      </c>
      <c r="AX35" s="2044">
        <f t="shared" si="47"/>
        <v>9943.3433921367523</v>
      </c>
      <c r="AY35" s="2044">
        <f t="shared" si="48"/>
        <v>9943.3433921367523</v>
      </c>
      <c r="AZ35" s="2044">
        <f t="shared" si="49"/>
        <v>9943.3433921367523</v>
      </c>
      <c r="BA35" s="2045">
        <f t="shared" si="50"/>
        <v>39773.373568547009</v>
      </c>
      <c r="BB35" s="2045" t="str">
        <f>+'[9]4.4.14'!$A$1</f>
        <v>4.4.14</v>
      </c>
      <c r="BC35" s="2045" t="str">
        <f>+'[9]4.4.14'!$A$1</f>
        <v>4.4.14</v>
      </c>
      <c r="BD35" s="2045">
        <v>0</v>
      </c>
      <c r="BE35" s="2051">
        <v>15</v>
      </c>
      <c r="BF35" s="2051">
        <v>15</v>
      </c>
      <c r="BG35" s="2051">
        <v>15</v>
      </c>
      <c r="BH35" s="2051">
        <v>15</v>
      </c>
      <c r="BI35" s="2045">
        <f t="shared" si="6"/>
        <v>149150.1508820513</v>
      </c>
      <c r="BJ35" s="2045">
        <f t="shared" si="7"/>
        <v>149150.1508820513</v>
      </c>
      <c r="BK35" s="2045">
        <f t="shared" si="8"/>
        <v>149150.1508820513</v>
      </c>
      <c r="BL35" s="2045">
        <f t="shared" si="9"/>
        <v>149150.1508820513</v>
      </c>
      <c r="BM35" s="2045">
        <f t="shared" si="51"/>
        <v>596600.60352820519</v>
      </c>
      <c r="BN35" s="2047">
        <v>15</v>
      </c>
      <c r="BO35" s="2047">
        <v>15</v>
      </c>
      <c r="BP35" s="2047">
        <v>15</v>
      </c>
      <c r="BQ35" s="2047">
        <v>15</v>
      </c>
      <c r="BR35" s="2048">
        <f t="shared" si="52"/>
        <v>149150.1508820513</v>
      </c>
      <c r="BS35" s="2048">
        <f t="shared" si="53"/>
        <v>149150.1508820513</v>
      </c>
      <c r="BT35" s="2048">
        <f t="shared" si="54"/>
        <v>149150.1508820513</v>
      </c>
      <c r="BU35" s="2048">
        <f t="shared" si="55"/>
        <v>149150.1508820513</v>
      </c>
      <c r="BV35" s="1840">
        <f t="shared" si="56"/>
        <v>596600.60352820519</v>
      </c>
      <c r="BW35" s="2064" t="e">
        <f>INT(#REF!)=INT(BA35)</f>
        <v>#REF!</v>
      </c>
      <c r="BX35" s="2064">
        <v>28</v>
      </c>
      <c r="BY35" s="2064" t="s">
        <v>512</v>
      </c>
    </row>
    <row r="36" spans="1:77" s="1976" customFormat="1" ht="62" x14ac:dyDescent="0.35">
      <c r="A36" s="1372" t="s">
        <v>1494</v>
      </c>
      <c r="B36" s="1372" t="s">
        <v>208</v>
      </c>
      <c r="C36" s="1637">
        <v>0</v>
      </c>
      <c r="D36" s="2053" t="str">
        <f>+'[9]4.4.14'!$A$1</f>
        <v>4.4.14</v>
      </c>
      <c r="E36" s="1372" t="s">
        <v>202</v>
      </c>
      <c r="F36" s="1638">
        <v>1568</v>
      </c>
      <c r="G36" s="1638">
        <v>1568</v>
      </c>
      <c r="H36" s="1638">
        <v>1568</v>
      </c>
      <c r="I36" s="1638">
        <v>1568</v>
      </c>
      <c r="J36" s="1372" t="str">
        <f>+'[9]4.4.14'!$B$27</f>
        <v>CI-HVC-PINS-V04-160601</v>
      </c>
      <c r="K36" s="1372" t="str">
        <f t="shared" si="30"/>
        <v>Nicor Gas PY7-PY10 Adjustable Goals Template_2017-06-30, Tab 4.4.14</v>
      </c>
      <c r="L36" s="1841">
        <v>4.3477888475836428</v>
      </c>
      <c r="M36" s="1639">
        <v>4.3477888475836428</v>
      </c>
      <c r="N36" s="1639">
        <v>4.3477888475836428</v>
      </c>
      <c r="O36" s="1639">
        <v>4.3477888475836428</v>
      </c>
      <c r="P36" s="1637">
        <v>0.68</v>
      </c>
      <c r="Q36" s="1637">
        <v>0.68</v>
      </c>
      <c r="R36" s="1637">
        <v>0.68</v>
      </c>
      <c r="S36" s="1637">
        <v>0.68</v>
      </c>
      <c r="T36" s="1640">
        <f t="shared" si="31"/>
        <v>4635.7863808475831</v>
      </c>
      <c r="U36" s="1640">
        <f t="shared" si="32"/>
        <v>4635.7863808475831</v>
      </c>
      <c r="V36" s="1640">
        <f t="shared" si="33"/>
        <v>4635.7863808475831</v>
      </c>
      <c r="W36" s="1640">
        <f t="shared" si="34"/>
        <v>4635.7863808475831</v>
      </c>
      <c r="X36" s="1640">
        <f t="shared" si="35"/>
        <v>18543.145523390333</v>
      </c>
      <c r="Y36" s="1372" t="str">
        <f t="shared" si="59"/>
        <v>CI-HVC-PINS-V04-160601</v>
      </c>
      <c r="Z36" s="1372" t="str">
        <f t="shared" si="57"/>
        <v>Nicor Gas PY7-PY10 Adjustable Goals Template_2017-06-30, Tab 4.4.14</v>
      </c>
      <c r="AA36" s="1840">
        <f t="shared" si="58"/>
        <v>4.3477888475836428</v>
      </c>
      <c r="AB36" s="2028"/>
      <c r="AC36" s="1840">
        <f t="shared" si="37"/>
        <v>4635.7863808475831</v>
      </c>
      <c r="AD36" s="1840">
        <f t="shared" si="38"/>
        <v>0</v>
      </c>
      <c r="AE36" s="1372" t="s">
        <v>2577</v>
      </c>
      <c r="AF36" s="1372" t="s">
        <v>3368</v>
      </c>
      <c r="AG36" s="1639">
        <v>4.3477888475836428</v>
      </c>
      <c r="AH36" s="1372" t="s">
        <v>3445</v>
      </c>
      <c r="AI36" s="1640">
        <f t="shared" si="39"/>
        <v>4635.7863808475831</v>
      </c>
      <c r="AJ36" s="1638">
        <f t="shared" si="40"/>
        <v>0</v>
      </c>
      <c r="AK36" s="1372" t="s">
        <v>2577</v>
      </c>
      <c r="AL36" s="1372" t="s">
        <v>3368</v>
      </c>
      <c r="AM36" s="1639">
        <v>4.3477888475836428</v>
      </c>
      <c r="AN36" s="1372" t="str">
        <f t="shared" si="60"/>
        <v>No change</v>
      </c>
      <c r="AO36" s="1640">
        <f t="shared" si="41"/>
        <v>4635.7863808475831</v>
      </c>
      <c r="AP36" s="1638">
        <f t="shared" si="42"/>
        <v>0</v>
      </c>
      <c r="AQ36" s="1372" t="s">
        <v>2577</v>
      </c>
      <c r="AR36" s="1372" t="s">
        <v>3368</v>
      </c>
      <c r="AS36" s="1639">
        <v>4.3477888475836428</v>
      </c>
      <c r="AT36" s="1372" t="str">
        <f t="shared" si="61"/>
        <v>No change</v>
      </c>
      <c r="AU36" s="1640">
        <f t="shared" si="44"/>
        <v>4635.7863808475831</v>
      </c>
      <c r="AV36" s="1638">
        <f t="shared" si="45"/>
        <v>0</v>
      </c>
      <c r="AW36" s="2044">
        <f t="shared" si="46"/>
        <v>4635.7863808475831</v>
      </c>
      <c r="AX36" s="2044">
        <f t="shared" si="47"/>
        <v>4635.7863808475831</v>
      </c>
      <c r="AY36" s="2044">
        <f t="shared" si="48"/>
        <v>4635.7863808475831</v>
      </c>
      <c r="AZ36" s="2044">
        <f t="shared" si="49"/>
        <v>4635.7863808475831</v>
      </c>
      <c r="BA36" s="2045">
        <f t="shared" si="50"/>
        <v>18543.145523390333</v>
      </c>
      <c r="BB36" s="2045" t="str">
        <f>+'[9]4.4.14'!$A$1</f>
        <v>4.4.14</v>
      </c>
      <c r="BC36" s="2045" t="str">
        <f>+'[9]4.4.14'!$A$1</f>
        <v>4.4.14</v>
      </c>
      <c r="BD36" s="2045">
        <v>0</v>
      </c>
      <c r="BE36" s="2051">
        <v>15</v>
      </c>
      <c r="BF36" s="2051">
        <v>15</v>
      </c>
      <c r="BG36" s="2051">
        <v>15</v>
      </c>
      <c r="BH36" s="2051">
        <v>15</v>
      </c>
      <c r="BI36" s="2045">
        <f t="shared" si="6"/>
        <v>69536.795712713749</v>
      </c>
      <c r="BJ36" s="2045">
        <f t="shared" si="7"/>
        <v>69536.795712713749</v>
      </c>
      <c r="BK36" s="2045">
        <f t="shared" si="8"/>
        <v>69536.795712713749</v>
      </c>
      <c r="BL36" s="2045">
        <f t="shared" si="9"/>
        <v>69536.795712713749</v>
      </c>
      <c r="BM36" s="2045">
        <f t="shared" si="51"/>
        <v>278147.182850855</v>
      </c>
      <c r="BN36" s="2047">
        <v>15</v>
      </c>
      <c r="BO36" s="2047">
        <v>15</v>
      </c>
      <c r="BP36" s="2047">
        <v>15</v>
      </c>
      <c r="BQ36" s="2047">
        <v>15</v>
      </c>
      <c r="BR36" s="2048">
        <f t="shared" si="52"/>
        <v>69536.795712713749</v>
      </c>
      <c r="BS36" s="2048">
        <f t="shared" si="53"/>
        <v>69536.795712713749</v>
      </c>
      <c r="BT36" s="2048">
        <f t="shared" si="54"/>
        <v>69536.795712713749</v>
      </c>
      <c r="BU36" s="2048">
        <f t="shared" si="55"/>
        <v>69536.795712713749</v>
      </c>
      <c r="BV36" s="1840">
        <f t="shared" si="56"/>
        <v>278147.182850855</v>
      </c>
      <c r="BW36" s="2064" t="e">
        <f>INT(#REF!)=INT(BA36)</f>
        <v>#REF!</v>
      </c>
      <c r="BX36" s="2064">
        <v>29</v>
      </c>
      <c r="BY36" s="2064" t="s">
        <v>512</v>
      </c>
    </row>
    <row r="37" spans="1:77" s="1976" customFormat="1" ht="62" x14ac:dyDescent="0.35">
      <c r="A37" s="1372" t="s">
        <v>1494</v>
      </c>
      <c r="B37" s="1372" t="s">
        <v>209</v>
      </c>
      <c r="C37" s="1637">
        <v>0</v>
      </c>
      <c r="D37" s="2053" t="str">
        <f>+'[9]4.4.14'!$A$1</f>
        <v>4.4.14</v>
      </c>
      <c r="E37" s="1372" t="s">
        <v>202</v>
      </c>
      <c r="F37" s="1638">
        <v>1568</v>
      </c>
      <c r="G37" s="1638">
        <v>1568</v>
      </c>
      <c r="H37" s="1638">
        <v>1568</v>
      </c>
      <c r="I37" s="1638">
        <v>1568</v>
      </c>
      <c r="J37" s="1372" t="str">
        <f>+'[9]4.4.14'!$B$27</f>
        <v>CI-HVC-PINS-V04-160601</v>
      </c>
      <c r="K37" s="1372" t="str">
        <f t="shared" si="30"/>
        <v>Nicor Gas PY7-PY10 Adjustable Goals Template_2017-06-30, Tab 4.4.14</v>
      </c>
      <c r="L37" s="1841">
        <v>6.2725912019826513</v>
      </c>
      <c r="M37" s="1639">
        <v>6.2725912019826513</v>
      </c>
      <c r="N37" s="1639">
        <v>6.2725912019826513</v>
      </c>
      <c r="O37" s="1639">
        <v>6.2725912019826513</v>
      </c>
      <c r="P37" s="1637">
        <v>0.68</v>
      </c>
      <c r="Q37" s="1637">
        <v>0.68</v>
      </c>
      <c r="R37" s="1637">
        <v>0.68</v>
      </c>
      <c r="S37" s="1637">
        <v>0.68</v>
      </c>
      <c r="T37" s="1640">
        <f t="shared" si="31"/>
        <v>6688.0876432019822</v>
      </c>
      <c r="U37" s="1640">
        <f t="shared" si="32"/>
        <v>6688.0876432019822</v>
      </c>
      <c r="V37" s="1640">
        <f t="shared" si="33"/>
        <v>6688.0876432019822</v>
      </c>
      <c r="W37" s="1640">
        <f t="shared" si="34"/>
        <v>6688.0876432019822</v>
      </c>
      <c r="X37" s="1640">
        <f t="shared" si="35"/>
        <v>26752.350572807929</v>
      </c>
      <c r="Y37" s="1372" t="str">
        <f t="shared" si="59"/>
        <v>CI-HVC-PINS-V04-160601</v>
      </c>
      <c r="Z37" s="1372" t="str">
        <f t="shared" si="57"/>
        <v>Nicor Gas PY7-PY10 Adjustable Goals Template_2017-06-30, Tab 4.4.14</v>
      </c>
      <c r="AA37" s="1840">
        <f t="shared" si="58"/>
        <v>6.2725912019826513</v>
      </c>
      <c r="AB37" s="2028"/>
      <c r="AC37" s="1840">
        <f t="shared" si="37"/>
        <v>6688.0876432019822</v>
      </c>
      <c r="AD37" s="1840">
        <f t="shared" si="38"/>
        <v>0</v>
      </c>
      <c r="AE37" s="1372" t="s">
        <v>2577</v>
      </c>
      <c r="AF37" s="1372" t="s">
        <v>3368</v>
      </c>
      <c r="AG37" s="1639">
        <v>6.2725912019826513</v>
      </c>
      <c r="AH37" s="1372" t="s">
        <v>3445</v>
      </c>
      <c r="AI37" s="1640">
        <f t="shared" si="39"/>
        <v>6688.0876432019822</v>
      </c>
      <c r="AJ37" s="1638">
        <f t="shared" si="40"/>
        <v>0</v>
      </c>
      <c r="AK37" s="1372" t="s">
        <v>2577</v>
      </c>
      <c r="AL37" s="1372" t="s">
        <v>3368</v>
      </c>
      <c r="AM37" s="1639">
        <v>6.2725912019826513</v>
      </c>
      <c r="AN37" s="1372" t="str">
        <f t="shared" si="60"/>
        <v>No change</v>
      </c>
      <c r="AO37" s="1640">
        <f t="shared" si="41"/>
        <v>6688.0876432019822</v>
      </c>
      <c r="AP37" s="1638">
        <f t="shared" si="42"/>
        <v>0</v>
      </c>
      <c r="AQ37" s="1372" t="s">
        <v>2577</v>
      </c>
      <c r="AR37" s="1372" t="s">
        <v>3368</v>
      </c>
      <c r="AS37" s="1639">
        <v>6.2725912019826513</v>
      </c>
      <c r="AT37" s="1372" t="str">
        <f t="shared" si="61"/>
        <v>No change</v>
      </c>
      <c r="AU37" s="1640">
        <f t="shared" si="44"/>
        <v>6688.0876432019822</v>
      </c>
      <c r="AV37" s="1638">
        <f t="shared" si="45"/>
        <v>0</v>
      </c>
      <c r="AW37" s="2044">
        <f t="shared" si="46"/>
        <v>6688.0876432019822</v>
      </c>
      <c r="AX37" s="2044">
        <f t="shared" si="47"/>
        <v>6688.0876432019822</v>
      </c>
      <c r="AY37" s="2044">
        <f t="shared" si="48"/>
        <v>6688.0876432019822</v>
      </c>
      <c r="AZ37" s="2044">
        <f t="shared" si="49"/>
        <v>6688.0876432019822</v>
      </c>
      <c r="BA37" s="2045">
        <f t="shared" si="50"/>
        <v>26752.350572807929</v>
      </c>
      <c r="BB37" s="2045" t="str">
        <f>+'[9]4.4.14'!$A$1</f>
        <v>4.4.14</v>
      </c>
      <c r="BC37" s="2045" t="str">
        <f>+'[9]4.4.14'!$A$1</f>
        <v>4.4.14</v>
      </c>
      <c r="BD37" s="2045">
        <v>0</v>
      </c>
      <c r="BE37" s="2051">
        <v>15</v>
      </c>
      <c r="BF37" s="2051">
        <v>15</v>
      </c>
      <c r="BG37" s="2051">
        <v>15</v>
      </c>
      <c r="BH37" s="2051">
        <v>15</v>
      </c>
      <c r="BI37" s="2045">
        <f t="shared" si="6"/>
        <v>100321.31464802973</v>
      </c>
      <c r="BJ37" s="2045">
        <f t="shared" si="7"/>
        <v>100321.31464802973</v>
      </c>
      <c r="BK37" s="2045">
        <f t="shared" si="8"/>
        <v>100321.31464802973</v>
      </c>
      <c r="BL37" s="2045">
        <f t="shared" si="9"/>
        <v>100321.31464802973</v>
      </c>
      <c r="BM37" s="2045">
        <f t="shared" si="51"/>
        <v>401285.25859211892</v>
      </c>
      <c r="BN37" s="2047">
        <v>15</v>
      </c>
      <c r="BO37" s="2047">
        <v>15</v>
      </c>
      <c r="BP37" s="2047">
        <v>15</v>
      </c>
      <c r="BQ37" s="2047">
        <v>15</v>
      </c>
      <c r="BR37" s="2048">
        <f t="shared" si="52"/>
        <v>100321.31464802973</v>
      </c>
      <c r="BS37" s="2048">
        <f t="shared" si="53"/>
        <v>100321.31464802973</v>
      </c>
      <c r="BT37" s="2048">
        <f t="shared" si="54"/>
        <v>100321.31464802973</v>
      </c>
      <c r="BU37" s="2048">
        <f t="shared" si="55"/>
        <v>100321.31464802973</v>
      </c>
      <c r="BV37" s="1840">
        <f t="shared" si="56"/>
        <v>401285.25859211892</v>
      </c>
      <c r="BW37" s="2064" t="e">
        <f>INT(#REF!)=INT(BA37)</f>
        <v>#REF!</v>
      </c>
      <c r="BX37" s="2064">
        <v>30</v>
      </c>
      <c r="BY37" s="2064" t="s">
        <v>512</v>
      </c>
    </row>
    <row r="38" spans="1:77" s="1976" customFormat="1" ht="62" x14ac:dyDescent="0.35">
      <c r="A38" s="1372" t="s">
        <v>1494</v>
      </c>
      <c r="B38" s="1372" t="s">
        <v>210</v>
      </c>
      <c r="C38" s="1637">
        <v>0</v>
      </c>
      <c r="D38" s="2053" t="str">
        <f>+'[9]4.4.14'!$A$1</f>
        <v>4.4.14</v>
      </c>
      <c r="E38" s="1372" t="s">
        <v>202</v>
      </c>
      <c r="F38" s="1638">
        <v>1568</v>
      </c>
      <c r="G38" s="1638">
        <v>1568</v>
      </c>
      <c r="H38" s="1638">
        <v>1568</v>
      </c>
      <c r="I38" s="1638">
        <v>1568</v>
      </c>
      <c r="J38" s="1372" t="str">
        <f>+'[9]4.4.14'!$B$27</f>
        <v>CI-HVC-PINS-V04-160601</v>
      </c>
      <c r="K38" s="1372" t="str">
        <f t="shared" si="30"/>
        <v>Nicor Gas PY7-PY10 Adjustable Goals Template_2017-06-30, Tab 4.4.14</v>
      </c>
      <c r="L38" s="1841">
        <v>8.1973935563816607</v>
      </c>
      <c r="M38" s="1639">
        <v>8.1973935563816607</v>
      </c>
      <c r="N38" s="1639">
        <v>8.1973935563816607</v>
      </c>
      <c r="O38" s="1639">
        <v>8.1973935563816607</v>
      </c>
      <c r="P38" s="1637">
        <v>0.68</v>
      </c>
      <c r="Q38" s="1637">
        <v>0.68</v>
      </c>
      <c r="R38" s="1637">
        <v>0.68</v>
      </c>
      <c r="S38" s="1637">
        <v>0.68</v>
      </c>
      <c r="T38" s="1640">
        <f t="shared" si="31"/>
        <v>8740.3889055563832</v>
      </c>
      <c r="U38" s="1640">
        <f t="shared" si="32"/>
        <v>8740.3889055563832</v>
      </c>
      <c r="V38" s="1640">
        <f t="shared" si="33"/>
        <v>8740.3889055563832</v>
      </c>
      <c r="W38" s="1640">
        <f t="shared" si="34"/>
        <v>8740.3889055563832</v>
      </c>
      <c r="X38" s="1640">
        <f t="shared" si="35"/>
        <v>34961.555622225533</v>
      </c>
      <c r="Y38" s="1372" t="str">
        <f t="shared" si="59"/>
        <v>CI-HVC-PINS-V04-160601</v>
      </c>
      <c r="Z38" s="1372" t="str">
        <f t="shared" si="57"/>
        <v>Nicor Gas PY7-PY10 Adjustable Goals Template_2017-06-30, Tab 4.4.14</v>
      </c>
      <c r="AA38" s="1840">
        <f t="shared" si="58"/>
        <v>8.1973935563816607</v>
      </c>
      <c r="AB38" s="2028"/>
      <c r="AC38" s="1840">
        <f t="shared" si="37"/>
        <v>8740.3889055563832</v>
      </c>
      <c r="AD38" s="1840">
        <f t="shared" si="38"/>
        <v>0</v>
      </c>
      <c r="AE38" s="1372" t="s">
        <v>2577</v>
      </c>
      <c r="AF38" s="1372" t="s">
        <v>3368</v>
      </c>
      <c r="AG38" s="1639">
        <v>8.1973935563816607</v>
      </c>
      <c r="AH38" s="1372" t="s">
        <v>3445</v>
      </c>
      <c r="AI38" s="1640">
        <f t="shared" si="39"/>
        <v>8740.3889055563832</v>
      </c>
      <c r="AJ38" s="1638">
        <f t="shared" si="40"/>
        <v>0</v>
      </c>
      <c r="AK38" s="1372" t="s">
        <v>2577</v>
      </c>
      <c r="AL38" s="1372" t="s">
        <v>3368</v>
      </c>
      <c r="AM38" s="1639">
        <v>8.1973935563816607</v>
      </c>
      <c r="AN38" s="1372" t="str">
        <f t="shared" si="60"/>
        <v>No change</v>
      </c>
      <c r="AO38" s="1640">
        <f t="shared" si="41"/>
        <v>8740.3889055563832</v>
      </c>
      <c r="AP38" s="1638">
        <f t="shared" si="42"/>
        <v>0</v>
      </c>
      <c r="AQ38" s="1372" t="s">
        <v>2577</v>
      </c>
      <c r="AR38" s="1372" t="s">
        <v>3368</v>
      </c>
      <c r="AS38" s="1639">
        <v>8.1973935563816607</v>
      </c>
      <c r="AT38" s="1372" t="str">
        <f t="shared" si="61"/>
        <v>No change</v>
      </c>
      <c r="AU38" s="1640">
        <f t="shared" si="44"/>
        <v>8740.3889055563832</v>
      </c>
      <c r="AV38" s="1638">
        <f t="shared" si="45"/>
        <v>0</v>
      </c>
      <c r="AW38" s="2044">
        <f t="shared" si="46"/>
        <v>8740.3889055563832</v>
      </c>
      <c r="AX38" s="2044">
        <f t="shared" si="47"/>
        <v>8740.3889055563832</v>
      </c>
      <c r="AY38" s="2044">
        <f t="shared" si="48"/>
        <v>8740.3889055563832</v>
      </c>
      <c r="AZ38" s="2044">
        <f t="shared" si="49"/>
        <v>8740.3889055563832</v>
      </c>
      <c r="BA38" s="2045">
        <f t="shared" si="50"/>
        <v>34961.555622225533</v>
      </c>
      <c r="BB38" s="2045" t="str">
        <f>+'[9]4.4.14'!$A$1</f>
        <v>4.4.14</v>
      </c>
      <c r="BC38" s="2045" t="str">
        <f>+'[9]4.4.14'!$A$1</f>
        <v>4.4.14</v>
      </c>
      <c r="BD38" s="2045">
        <v>0</v>
      </c>
      <c r="BE38" s="2051">
        <v>15</v>
      </c>
      <c r="BF38" s="2051">
        <v>15</v>
      </c>
      <c r="BG38" s="2051">
        <v>15</v>
      </c>
      <c r="BH38" s="2051">
        <v>15</v>
      </c>
      <c r="BI38" s="2045">
        <f t="shared" si="6"/>
        <v>131105.83358334572</v>
      </c>
      <c r="BJ38" s="2045">
        <f t="shared" si="7"/>
        <v>131105.83358334572</v>
      </c>
      <c r="BK38" s="2045">
        <f t="shared" si="8"/>
        <v>131105.83358334572</v>
      </c>
      <c r="BL38" s="2045">
        <f t="shared" si="9"/>
        <v>131105.83358334572</v>
      </c>
      <c r="BM38" s="2045">
        <f t="shared" si="51"/>
        <v>524423.3343333829</v>
      </c>
      <c r="BN38" s="2047">
        <v>15</v>
      </c>
      <c r="BO38" s="2047">
        <v>15</v>
      </c>
      <c r="BP38" s="2047">
        <v>15</v>
      </c>
      <c r="BQ38" s="2047">
        <v>15</v>
      </c>
      <c r="BR38" s="2048">
        <f t="shared" si="52"/>
        <v>131105.83358334572</v>
      </c>
      <c r="BS38" s="2048">
        <f t="shared" si="53"/>
        <v>131105.83358334572</v>
      </c>
      <c r="BT38" s="2048">
        <f t="shared" si="54"/>
        <v>131105.83358334572</v>
      </c>
      <c r="BU38" s="2048">
        <f t="shared" si="55"/>
        <v>131105.83358334572</v>
      </c>
      <c r="BV38" s="1840">
        <f t="shared" si="56"/>
        <v>524423.3343333829</v>
      </c>
      <c r="BW38" s="2064" t="e">
        <f>INT(#REF!)=INT(BA38)</f>
        <v>#REF!</v>
      </c>
      <c r="BX38" s="2064">
        <v>31</v>
      </c>
      <c r="BY38" s="2064" t="s">
        <v>512</v>
      </c>
    </row>
    <row r="39" spans="1:77" s="1976" customFormat="1" ht="62" x14ac:dyDescent="0.35">
      <c r="A39" s="1372" t="s">
        <v>1494</v>
      </c>
      <c r="B39" s="1372" t="s">
        <v>211</v>
      </c>
      <c r="C39" s="1637">
        <v>0</v>
      </c>
      <c r="D39" s="2053" t="str">
        <f>+'[9]4.4.14'!$A$1</f>
        <v>4.4.14</v>
      </c>
      <c r="E39" s="1372" t="s">
        <v>202</v>
      </c>
      <c r="F39" s="1638">
        <v>5254</v>
      </c>
      <c r="G39" s="1638">
        <v>5254</v>
      </c>
      <c r="H39" s="1638">
        <v>5254</v>
      </c>
      <c r="I39" s="1638">
        <v>5254</v>
      </c>
      <c r="J39" s="1372" t="str">
        <f>+'[9]4.4.14'!$B$27</f>
        <v>CI-HVC-PINS-V04-160601</v>
      </c>
      <c r="K39" s="1372" t="str">
        <f t="shared" si="30"/>
        <v>Nicor Gas PY7-PY10 Adjustable Goals Template_2017-06-30, Tab 4.4.14</v>
      </c>
      <c r="L39" s="1841">
        <v>2.0533046641791044</v>
      </c>
      <c r="M39" s="1639">
        <v>2.0533046641791044</v>
      </c>
      <c r="N39" s="1639">
        <v>2.0533046641791044</v>
      </c>
      <c r="O39" s="1639">
        <v>2.0533046641791044</v>
      </c>
      <c r="P39" s="1637">
        <v>0.68</v>
      </c>
      <c r="Q39" s="1637">
        <v>0.68</v>
      </c>
      <c r="R39" s="1637">
        <v>0.68</v>
      </c>
      <c r="S39" s="1637">
        <v>0.68</v>
      </c>
      <c r="T39" s="1640">
        <f t="shared" si="31"/>
        <v>7335.88263980597</v>
      </c>
      <c r="U39" s="1640">
        <f t="shared" si="32"/>
        <v>7335.88263980597</v>
      </c>
      <c r="V39" s="1640">
        <f t="shared" si="33"/>
        <v>7335.88263980597</v>
      </c>
      <c r="W39" s="1640">
        <f t="shared" si="34"/>
        <v>7335.88263980597</v>
      </c>
      <c r="X39" s="1640">
        <f t="shared" si="35"/>
        <v>29343.53055922388</v>
      </c>
      <c r="Y39" s="1372" t="str">
        <f t="shared" si="59"/>
        <v>CI-HVC-PINS-V04-160601</v>
      </c>
      <c r="Z39" s="1372" t="str">
        <f t="shared" si="57"/>
        <v>Nicor Gas PY7-PY10 Adjustable Goals Template_2017-06-30, Tab 4.4.14</v>
      </c>
      <c r="AA39" s="1840">
        <f t="shared" si="58"/>
        <v>2.0533046641791044</v>
      </c>
      <c r="AB39" s="2028"/>
      <c r="AC39" s="1840">
        <f t="shared" si="37"/>
        <v>7335.88263980597</v>
      </c>
      <c r="AD39" s="1840">
        <f t="shared" si="38"/>
        <v>0</v>
      </c>
      <c r="AE39" s="1372" t="s">
        <v>2577</v>
      </c>
      <c r="AF39" s="1372" t="s">
        <v>3368</v>
      </c>
      <c r="AG39" s="1639">
        <v>2.0533046641791044</v>
      </c>
      <c r="AH39" s="1372" t="s">
        <v>3445</v>
      </c>
      <c r="AI39" s="1640">
        <f t="shared" si="39"/>
        <v>7335.88263980597</v>
      </c>
      <c r="AJ39" s="1638">
        <f t="shared" si="40"/>
        <v>0</v>
      </c>
      <c r="AK39" s="1372" t="s">
        <v>2577</v>
      </c>
      <c r="AL39" s="1372" t="s">
        <v>3368</v>
      </c>
      <c r="AM39" s="1639">
        <v>2.0533046641791044</v>
      </c>
      <c r="AN39" s="1372" t="str">
        <f t="shared" si="60"/>
        <v>No change</v>
      </c>
      <c r="AO39" s="1640">
        <f t="shared" si="41"/>
        <v>7335.88263980597</v>
      </c>
      <c r="AP39" s="1638">
        <f t="shared" si="42"/>
        <v>0</v>
      </c>
      <c r="AQ39" s="1372" t="s">
        <v>2577</v>
      </c>
      <c r="AR39" s="1372" t="s">
        <v>3368</v>
      </c>
      <c r="AS39" s="1639">
        <v>2.0533046641791044</v>
      </c>
      <c r="AT39" s="1372" t="str">
        <f t="shared" si="61"/>
        <v>No change</v>
      </c>
      <c r="AU39" s="1640">
        <f t="shared" si="44"/>
        <v>7335.88263980597</v>
      </c>
      <c r="AV39" s="1638">
        <f t="shared" si="45"/>
        <v>0</v>
      </c>
      <c r="AW39" s="2044">
        <f t="shared" si="46"/>
        <v>7335.88263980597</v>
      </c>
      <c r="AX39" s="2044">
        <f t="shared" si="47"/>
        <v>7335.88263980597</v>
      </c>
      <c r="AY39" s="2044">
        <f t="shared" si="48"/>
        <v>7335.88263980597</v>
      </c>
      <c r="AZ39" s="2044">
        <f t="shared" si="49"/>
        <v>7335.88263980597</v>
      </c>
      <c r="BA39" s="2045">
        <f t="shared" si="50"/>
        <v>29343.53055922388</v>
      </c>
      <c r="BB39" s="2045" t="str">
        <f>+'[9]4.4.14'!$A$1</f>
        <v>4.4.14</v>
      </c>
      <c r="BC39" s="2045" t="str">
        <f>+'[9]4.4.14'!$A$1</f>
        <v>4.4.14</v>
      </c>
      <c r="BD39" s="2045">
        <v>0</v>
      </c>
      <c r="BE39" s="2051">
        <v>15</v>
      </c>
      <c r="BF39" s="2051">
        <v>15</v>
      </c>
      <c r="BG39" s="2051">
        <v>15</v>
      </c>
      <c r="BH39" s="2051">
        <v>15</v>
      </c>
      <c r="BI39" s="2045">
        <f t="shared" si="6"/>
        <v>110038.23959708954</v>
      </c>
      <c r="BJ39" s="2045">
        <f t="shared" si="7"/>
        <v>110038.23959708954</v>
      </c>
      <c r="BK39" s="2045">
        <f t="shared" si="8"/>
        <v>110038.23959708954</v>
      </c>
      <c r="BL39" s="2045">
        <f t="shared" si="9"/>
        <v>110038.23959708954</v>
      </c>
      <c r="BM39" s="2045">
        <f t="shared" si="51"/>
        <v>440152.95838835818</v>
      </c>
      <c r="BN39" s="2047">
        <v>15</v>
      </c>
      <c r="BO39" s="2047">
        <v>15</v>
      </c>
      <c r="BP39" s="2047">
        <v>15</v>
      </c>
      <c r="BQ39" s="2047">
        <v>15</v>
      </c>
      <c r="BR39" s="2048">
        <f t="shared" si="52"/>
        <v>110038.23959708954</v>
      </c>
      <c r="BS39" s="2048">
        <f t="shared" si="53"/>
        <v>110038.23959708954</v>
      </c>
      <c r="BT39" s="2048">
        <f t="shared" si="54"/>
        <v>110038.23959708954</v>
      </c>
      <c r="BU39" s="2048">
        <f t="shared" si="55"/>
        <v>110038.23959708954</v>
      </c>
      <c r="BV39" s="1840">
        <f t="shared" si="56"/>
        <v>440152.95838835818</v>
      </c>
      <c r="BW39" s="2064" t="e">
        <f>INT(#REF!)=INT(BA39)</f>
        <v>#REF!</v>
      </c>
      <c r="BX39" s="2064">
        <v>32</v>
      </c>
      <c r="BY39" s="2064" t="s">
        <v>512</v>
      </c>
    </row>
    <row r="40" spans="1:77" s="1976" customFormat="1" ht="62" x14ac:dyDescent="0.35">
      <c r="A40" s="1372" t="s">
        <v>1494</v>
      </c>
      <c r="B40" s="1372" t="s">
        <v>212</v>
      </c>
      <c r="C40" s="1637">
        <v>0</v>
      </c>
      <c r="D40" s="2053" t="str">
        <f>+'[9]4.4.14'!$A$1</f>
        <v>4.4.14</v>
      </c>
      <c r="E40" s="1372" t="s">
        <v>202</v>
      </c>
      <c r="F40" s="1638">
        <v>1184</v>
      </c>
      <c r="G40" s="1638">
        <v>1184</v>
      </c>
      <c r="H40" s="1638">
        <v>1184</v>
      </c>
      <c r="I40" s="1638">
        <v>1184</v>
      </c>
      <c r="J40" s="1372" t="str">
        <f>+'[9]4.4.14'!$B$27</f>
        <v>CI-HVC-PINS-V04-160601</v>
      </c>
      <c r="K40" s="1372" t="str">
        <f t="shared" si="30"/>
        <v>Nicor Gas PY7-PY10 Adjustable Goals Template_2017-06-30, Tab 4.4.14</v>
      </c>
      <c r="L40" s="1841">
        <v>7.4695851301115237</v>
      </c>
      <c r="M40" s="1639">
        <v>7.4695851301115237</v>
      </c>
      <c r="N40" s="1639">
        <v>7.4695851301115237</v>
      </c>
      <c r="O40" s="1639">
        <v>7.4695851301115237</v>
      </c>
      <c r="P40" s="1637">
        <v>0.68</v>
      </c>
      <c r="Q40" s="1637">
        <v>0.68</v>
      </c>
      <c r="R40" s="1637">
        <v>0.68</v>
      </c>
      <c r="S40" s="1637">
        <v>0.68</v>
      </c>
      <c r="T40" s="1640">
        <f t="shared" si="31"/>
        <v>6013.91237995539</v>
      </c>
      <c r="U40" s="1640">
        <f t="shared" si="32"/>
        <v>6013.91237995539</v>
      </c>
      <c r="V40" s="1640">
        <f t="shared" si="33"/>
        <v>6013.91237995539</v>
      </c>
      <c r="W40" s="1640">
        <f t="shared" si="34"/>
        <v>6013.91237995539</v>
      </c>
      <c r="X40" s="1640">
        <f t="shared" si="35"/>
        <v>24055.64951982156</v>
      </c>
      <c r="Y40" s="1372" t="str">
        <f t="shared" si="59"/>
        <v>CI-HVC-PINS-V04-160601</v>
      </c>
      <c r="Z40" s="1372" t="str">
        <f t="shared" si="57"/>
        <v>Nicor Gas PY7-PY10 Adjustable Goals Template_2017-06-30, Tab 4.4.14</v>
      </c>
      <c r="AA40" s="1840">
        <f t="shared" si="58"/>
        <v>7.4695851301115237</v>
      </c>
      <c r="AB40" s="2028"/>
      <c r="AC40" s="1840">
        <f t="shared" si="37"/>
        <v>6013.91237995539</v>
      </c>
      <c r="AD40" s="1840">
        <f t="shared" si="38"/>
        <v>0</v>
      </c>
      <c r="AE40" s="1372" t="s">
        <v>2577</v>
      </c>
      <c r="AF40" s="1372" t="s">
        <v>3368</v>
      </c>
      <c r="AG40" s="1639">
        <v>7.4695851301115237</v>
      </c>
      <c r="AH40" s="1372" t="s">
        <v>3445</v>
      </c>
      <c r="AI40" s="1640">
        <f t="shared" si="39"/>
        <v>6013.91237995539</v>
      </c>
      <c r="AJ40" s="1638">
        <f t="shared" si="40"/>
        <v>0</v>
      </c>
      <c r="AK40" s="1372" t="s">
        <v>2577</v>
      </c>
      <c r="AL40" s="1372" t="s">
        <v>3368</v>
      </c>
      <c r="AM40" s="1639">
        <v>7.4695851301115237</v>
      </c>
      <c r="AN40" s="1372" t="str">
        <f t="shared" si="60"/>
        <v>No change</v>
      </c>
      <c r="AO40" s="1640">
        <f t="shared" si="41"/>
        <v>6013.91237995539</v>
      </c>
      <c r="AP40" s="1638">
        <f t="shared" si="42"/>
        <v>0</v>
      </c>
      <c r="AQ40" s="1372" t="s">
        <v>2577</v>
      </c>
      <c r="AR40" s="1372" t="s">
        <v>3368</v>
      </c>
      <c r="AS40" s="1639">
        <v>7.4695851301115237</v>
      </c>
      <c r="AT40" s="1372" t="str">
        <f t="shared" si="61"/>
        <v>No change</v>
      </c>
      <c r="AU40" s="1640">
        <f t="shared" si="44"/>
        <v>6013.91237995539</v>
      </c>
      <c r="AV40" s="1638">
        <f t="shared" si="45"/>
        <v>0</v>
      </c>
      <c r="AW40" s="2044">
        <f t="shared" si="46"/>
        <v>6013.91237995539</v>
      </c>
      <c r="AX40" s="2044">
        <f t="shared" si="47"/>
        <v>6013.91237995539</v>
      </c>
      <c r="AY40" s="2044">
        <f t="shared" si="48"/>
        <v>6013.91237995539</v>
      </c>
      <c r="AZ40" s="2044">
        <f t="shared" si="49"/>
        <v>6013.91237995539</v>
      </c>
      <c r="BA40" s="2045">
        <f t="shared" si="50"/>
        <v>24055.64951982156</v>
      </c>
      <c r="BB40" s="2045" t="str">
        <f>+'[9]4.4.14'!$A$1</f>
        <v>4.4.14</v>
      </c>
      <c r="BC40" s="2045" t="str">
        <f>+'[9]4.4.14'!$A$1</f>
        <v>4.4.14</v>
      </c>
      <c r="BD40" s="2045">
        <v>0</v>
      </c>
      <c r="BE40" s="2051">
        <v>15</v>
      </c>
      <c r="BF40" s="2051">
        <v>15</v>
      </c>
      <c r="BG40" s="2051">
        <v>15</v>
      </c>
      <c r="BH40" s="2051">
        <v>15</v>
      </c>
      <c r="BI40" s="2045">
        <f t="shared" si="6"/>
        <v>90208.685699330847</v>
      </c>
      <c r="BJ40" s="2045">
        <f t="shared" si="7"/>
        <v>90208.685699330847</v>
      </c>
      <c r="BK40" s="2045">
        <f t="shared" si="8"/>
        <v>90208.685699330847</v>
      </c>
      <c r="BL40" s="2045">
        <f t="shared" si="9"/>
        <v>90208.685699330847</v>
      </c>
      <c r="BM40" s="2045">
        <f t="shared" si="51"/>
        <v>360834.74279732339</v>
      </c>
      <c r="BN40" s="2047">
        <v>15</v>
      </c>
      <c r="BO40" s="2047">
        <v>15</v>
      </c>
      <c r="BP40" s="2047">
        <v>15</v>
      </c>
      <c r="BQ40" s="2047">
        <v>15</v>
      </c>
      <c r="BR40" s="2048">
        <f t="shared" si="52"/>
        <v>90208.685699330847</v>
      </c>
      <c r="BS40" s="2048">
        <f t="shared" si="53"/>
        <v>90208.685699330847</v>
      </c>
      <c r="BT40" s="2048">
        <f t="shared" si="54"/>
        <v>90208.685699330847</v>
      </c>
      <c r="BU40" s="2048">
        <f t="shared" si="55"/>
        <v>90208.685699330847</v>
      </c>
      <c r="BV40" s="1840">
        <f t="shared" si="56"/>
        <v>360834.74279732339</v>
      </c>
      <c r="BW40" s="2064" t="e">
        <f>INT(#REF!)=INT(BA40)</f>
        <v>#REF!</v>
      </c>
      <c r="BX40" s="2064">
        <v>33</v>
      </c>
      <c r="BY40" s="2064" t="s">
        <v>512</v>
      </c>
    </row>
    <row r="41" spans="1:77" s="1976" customFormat="1" ht="62" x14ac:dyDescent="0.35">
      <c r="A41" s="1372" t="s">
        <v>1494</v>
      </c>
      <c r="B41" s="1372" t="s">
        <v>213</v>
      </c>
      <c r="C41" s="1637">
        <v>0</v>
      </c>
      <c r="D41" s="2053" t="str">
        <f>+'[9]4.4.14'!$A$1</f>
        <v>4.4.14</v>
      </c>
      <c r="E41" s="1372" t="s">
        <v>202</v>
      </c>
      <c r="F41" s="1638">
        <v>1184</v>
      </c>
      <c r="G41" s="1638">
        <v>1184</v>
      </c>
      <c r="H41" s="1638">
        <v>1184</v>
      </c>
      <c r="I41" s="1638">
        <v>1184</v>
      </c>
      <c r="J41" s="1372" t="str">
        <f>+'[9]4.4.14'!$B$27</f>
        <v>CI-HVC-PINS-V04-160601</v>
      </c>
      <c r="K41" s="1372" t="str">
        <f t="shared" si="30"/>
        <v>Nicor Gas PY7-PY10 Adjustable Goals Template_2017-06-30, Tab 4.4.14</v>
      </c>
      <c r="L41" s="1841">
        <v>10.776432713754645</v>
      </c>
      <c r="M41" s="1639">
        <v>10.776432713754645</v>
      </c>
      <c r="N41" s="1639">
        <v>10.776432713754645</v>
      </c>
      <c r="O41" s="1639">
        <v>10.776432713754645</v>
      </c>
      <c r="P41" s="1637">
        <v>0.68</v>
      </c>
      <c r="Q41" s="1637">
        <v>0.68</v>
      </c>
      <c r="R41" s="1637">
        <v>0.68</v>
      </c>
      <c r="S41" s="1637">
        <v>0.68</v>
      </c>
      <c r="T41" s="1640">
        <f t="shared" si="31"/>
        <v>8676.3215064981396</v>
      </c>
      <c r="U41" s="1640">
        <f t="shared" si="32"/>
        <v>8676.3215064981396</v>
      </c>
      <c r="V41" s="1640">
        <f t="shared" si="33"/>
        <v>8676.3215064981396</v>
      </c>
      <c r="W41" s="1640">
        <f t="shared" si="34"/>
        <v>8676.3215064981396</v>
      </c>
      <c r="X41" s="1640">
        <f t="shared" si="35"/>
        <v>34705.286025992558</v>
      </c>
      <c r="Y41" s="1372" t="str">
        <f t="shared" si="59"/>
        <v>CI-HVC-PINS-V04-160601</v>
      </c>
      <c r="Z41" s="1372" t="str">
        <f t="shared" si="57"/>
        <v>Nicor Gas PY7-PY10 Adjustable Goals Template_2017-06-30, Tab 4.4.14</v>
      </c>
      <c r="AA41" s="1840">
        <f t="shared" si="58"/>
        <v>10.776432713754645</v>
      </c>
      <c r="AB41" s="2028"/>
      <c r="AC41" s="1840">
        <f t="shared" si="37"/>
        <v>8676.3215064981396</v>
      </c>
      <c r="AD41" s="1840">
        <f t="shared" si="38"/>
        <v>0</v>
      </c>
      <c r="AE41" s="1372" t="s">
        <v>2577</v>
      </c>
      <c r="AF41" s="1372" t="s">
        <v>3368</v>
      </c>
      <c r="AG41" s="1639">
        <v>10.776432713754645</v>
      </c>
      <c r="AH41" s="1372" t="s">
        <v>3445</v>
      </c>
      <c r="AI41" s="1640">
        <f t="shared" si="39"/>
        <v>8676.3215064981396</v>
      </c>
      <c r="AJ41" s="1638">
        <f t="shared" si="40"/>
        <v>0</v>
      </c>
      <c r="AK41" s="1372" t="s">
        <v>2577</v>
      </c>
      <c r="AL41" s="1372" t="s">
        <v>3368</v>
      </c>
      <c r="AM41" s="1639">
        <v>10.776432713754645</v>
      </c>
      <c r="AN41" s="1372" t="str">
        <f t="shared" si="60"/>
        <v>No change</v>
      </c>
      <c r="AO41" s="1640">
        <f t="shared" si="41"/>
        <v>8676.3215064981396</v>
      </c>
      <c r="AP41" s="1638">
        <f t="shared" si="42"/>
        <v>0</v>
      </c>
      <c r="AQ41" s="1372" t="s">
        <v>2577</v>
      </c>
      <c r="AR41" s="1372" t="s">
        <v>3368</v>
      </c>
      <c r="AS41" s="1639">
        <v>10.776432713754645</v>
      </c>
      <c r="AT41" s="1372" t="str">
        <f t="shared" si="61"/>
        <v>No change</v>
      </c>
      <c r="AU41" s="1640">
        <f t="shared" si="44"/>
        <v>8676.3215064981396</v>
      </c>
      <c r="AV41" s="1638">
        <f t="shared" si="45"/>
        <v>0</v>
      </c>
      <c r="AW41" s="2044">
        <f t="shared" si="46"/>
        <v>8676.3215064981396</v>
      </c>
      <c r="AX41" s="2044">
        <f t="shared" si="47"/>
        <v>8676.3215064981396</v>
      </c>
      <c r="AY41" s="2044">
        <f t="shared" si="48"/>
        <v>8676.3215064981396</v>
      </c>
      <c r="AZ41" s="2044">
        <f t="shared" si="49"/>
        <v>8676.3215064981396</v>
      </c>
      <c r="BA41" s="2045">
        <f t="shared" si="50"/>
        <v>34705.286025992558</v>
      </c>
      <c r="BB41" s="2045" t="str">
        <f>+'[9]4.4.14'!$A$1</f>
        <v>4.4.14</v>
      </c>
      <c r="BC41" s="2045" t="str">
        <f>+'[9]4.4.14'!$A$1</f>
        <v>4.4.14</v>
      </c>
      <c r="BD41" s="2045">
        <v>0</v>
      </c>
      <c r="BE41" s="2051">
        <v>15</v>
      </c>
      <c r="BF41" s="2051">
        <v>15</v>
      </c>
      <c r="BG41" s="2051">
        <v>15</v>
      </c>
      <c r="BH41" s="2051">
        <v>15</v>
      </c>
      <c r="BI41" s="2045">
        <f t="shared" si="6"/>
        <v>130144.8225974721</v>
      </c>
      <c r="BJ41" s="2045">
        <f t="shared" si="7"/>
        <v>130144.8225974721</v>
      </c>
      <c r="BK41" s="2045">
        <f t="shared" si="8"/>
        <v>130144.8225974721</v>
      </c>
      <c r="BL41" s="2045">
        <f t="shared" si="9"/>
        <v>130144.8225974721</v>
      </c>
      <c r="BM41" s="2045">
        <f t="shared" si="51"/>
        <v>520579.2903898884</v>
      </c>
      <c r="BN41" s="2047">
        <v>15</v>
      </c>
      <c r="BO41" s="2047">
        <v>15</v>
      </c>
      <c r="BP41" s="2047">
        <v>15</v>
      </c>
      <c r="BQ41" s="2047">
        <v>15</v>
      </c>
      <c r="BR41" s="2048">
        <f t="shared" si="52"/>
        <v>130144.8225974721</v>
      </c>
      <c r="BS41" s="2048">
        <f t="shared" si="53"/>
        <v>130144.8225974721</v>
      </c>
      <c r="BT41" s="2048">
        <f t="shared" si="54"/>
        <v>130144.8225974721</v>
      </c>
      <c r="BU41" s="2048">
        <f t="shared" si="55"/>
        <v>130144.8225974721</v>
      </c>
      <c r="BV41" s="1840">
        <f t="shared" si="56"/>
        <v>520579.2903898884</v>
      </c>
      <c r="BW41" s="2064" t="e">
        <f>INT(#REF!)=INT(BA41)</f>
        <v>#REF!</v>
      </c>
      <c r="BX41" s="2064">
        <v>34</v>
      </c>
      <c r="BY41" s="2064" t="s">
        <v>512</v>
      </c>
    </row>
    <row r="42" spans="1:77" s="1976" customFormat="1" ht="62" x14ac:dyDescent="0.35">
      <c r="A42" s="1372" t="s">
        <v>1494</v>
      </c>
      <c r="B42" s="1372" t="s">
        <v>214</v>
      </c>
      <c r="C42" s="1637">
        <v>0</v>
      </c>
      <c r="D42" s="2053" t="str">
        <f>+'[9]4.4.14'!$A$1</f>
        <v>4.4.14</v>
      </c>
      <c r="E42" s="1372" t="s">
        <v>202</v>
      </c>
      <c r="F42" s="1638">
        <v>1184</v>
      </c>
      <c r="G42" s="1638">
        <v>1184</v>
      </c>
      <c r="H42" s="1638">
        <v>1184</v>
      </c>
      <c r="I42" s="1638">
        <v>1184</v>
      </c>
      <c r="J42" s="1372" t="str">
        <f>+'[9]4.4.14'!$B$27</f>
        <v>CI-HVC-PINS-V04-160601</v>
      </c>
      <c r="K42" s="1372" t="str">
        <f t="shared" si="30"/>
        <v>Nicor Gas PY7-PY10 Adjustable Goals Template_2017-06-30, Tab 4.4.14</v>
      </c>
      <c r="L42" s="1842">
        <v>14.083280297397769</v>
      </c>
      <c r="M42" s="1639">
        <v>14.083280297397769</v>
      </c>
      <c r="N42" s="1639">
        <v>14.083280297397769</v>
      </c>
      <c r="O42" s="1639">
        <v>14.083280297397769</v>
      </c>
      <c r="P42" s="1637">
        <v>0.68</v>
      </c>
      <c r="Q42" s="1637">
        <v>0.68</v>
      </c>
      <c r="R42" s="1637">
        <v>0.68</v>
      </c>
      <c r="S42" s="1637">
        <v>0.68</v>
      </c>
      <c r="T42" s="1640">
        <f t="shared" si="31"/>
        <v>11338.730633040892</v>
      </c>
      <c r="U42" s="1640">
        <f t="shared" si="32"/>
        <v>11338.730633040892</v>
      </c>
      <c r="V42" s="1640">
        <f t="shared" si="33"/>
        <v>11338.730633040892</v>
      </c>
      <c r="W42" s="1640">
        <f t="shared" si="34"/>
        <v>11338.730633040892</v>
      </c>
      <c r="X42" s="1640">
        <f t="shared" si="35"/>
        <v>45354.922532163568</v>
      </c>
      <c r="Y42" s="1372" t="str">
        <f t="shared" si="59"/>
        <v>CI-HVC-PINS-V04-160601</v>
      </c>
      <c r="Z42" s="1372" t="str">
        <f t="shared" si="57"/>
        <v>Nicor Gas PY7-PY10 Adjustable Goals Template_2017-06-30, Tab 4.4.14</v>
      </c>
      <c r="AA42" s="1840">
        <f t="shared" si="58"/>
        <v>14.083280297397769</v>
      </c>
      <c r="AB42" s="2028"/>
      <c r="AC42" s="1840">
        <f t="shared" si="37"/>
        <v>11338.730633040892</v>
      </c>
      <c r="AD42" s="1840">
        <f t="shared" si="38"/>
        <v>0</v>
      </c>
      <c r="AE42" s="1372" t="s">
        <v>2577</v>
      </c>
      <c r="AF42" s="1372" t="s">
        <v>3368</v>
      </c>
      <c r="AG42" s="1639">
        <v>14.083280297397769</v>
      </c>
      <c r="AH42" s="1372" t="s">
        <v>3445</v>
      </c>
      <c r="AI42" s="1640">
        <f t="shared" si="39"/>
        <v>11338.730633040892</v>
      </c>
      <c r="AJ42" s="1638">
        <f t="shared" si="40"/>
        <v>0</v>
      </c>
      <c r="AK42" s="1372" t="s">
        <v>2577</v>
      </c>
      <c r="AL42" s="1372" t="s">
        <v>3368</v>
      </c>
      <c r="AM42" s="1639">
        <v>14.083280297397769</v>
      </c>
      <c r="AN42" s="1372" t="str">
        <f t="shared" si="60"/>
        <v>No change</v>
      </c>
      <c r="AO42" s="1640">
        <f t="shared" si="41"/>
        <v>11338.730633040892</v>
      </c>
      <c r="AP42" s="1638">
        <f t="shared" si="42"/>
        <v>0</v>
      </c>
      <c r="AQ42" s="1372" t="s">
        <v>2577</v>
      </c>
      <c r="AR42" s="1372" t="s">
        <v>3368</v>
      </c>
      <c r="AS42" s="1639">
        <v>14.083280297397769</v>
      </c>
      <c r="AT42" s="1372" t="str">
        <f t="shared" si="61"/>
        <v>No change</v>
      </c>
      <c r="AU42" s="1640">
        <f t="shared" si="44"/>
        <v>11338.730633040892</v>
      </c>
      <c r="AV42" s="1638">
        <f t="shared" si="45"/>
        <v>0</v>
      </c>
      <c r="AW42" s="2044">
        <f t="shared" si="46"/>
        <v>11338.730633040892</v>
      </c>
      <c r="AX42" s="2044">
        <f t="shared" si="47"/>
        <v>11338.730633040892</v>
      </c>
      <c r="AY42" s="2044">
        <f t="shared" si="48"/>
        <v>11338.730633040892</v>
      </c>
      <c r="AZ42" s="2044">
        <f t="shared" si="49"/>
        <v>11338.730633040892</v>
      </c>
      <c r="BA42" s="2045">
        <f t="shared" si="50"/>
        <v>45354.922532163568</v>
      </c>
      <c r="BB42" s="2045" t="str">
        <f>+'[9]4.4.14'!$A$1</f>
        <v>4.4.14</v>
      </c>
      <c r="BC42" s="2045" t="str">
        <f>+'[9]4.4.14'!$A$1</f>
        <v>4.4.14</v>
      </c>
      <c r="BD42" s="2045">
        <v>0</v>
      </c>
      <c r="BE42" s="2051">
        <v>15</v>
      </c>
      <c r="BF42" s="2051">
        <v>15</v>
      </c>
      <c r="BG42" s="2051">
        <v>15</v>
      </c>
      <c r="BH42" s="2051">
        <v>15</v>
      </c>
      <c r="BI42" s="2045">
        <f t="shared" si="6"/>
        <v>170080.95949561338</v>
      </c>
      <c r="BJ42" s="2045">
        <f t="shared" si="7"/>
        <v>170080.95949561338</v>
      </c>
      <c r="BK42" s="2045">
        <f t="shared" si="8"/>
        <v>170080.95949561338</v>
      </c>
      <c r="BL42" s="2045">
        <f t="shared" si="9"/>
        <v>170080.95949561338</v>
      </c>
      <c r="BM42" s="2045">
        <f t="shared" si="51"/>
        <v>680323.83798245352</v>
      </c>
      <c r="BN42" s="2047">
        <v>15</v>
      </c>
      <c r="BO42" s="2047">
        <v>15</v>
      </c>
      <c r="BP42" s="2047">
        <v>15</v>
      </c>
      <c r="BQ42" s="2047">
        <v>15</v>
      </c>
      <c r="BR42" s="2048">
        <f t="shared" si="52"/>
        <v>170080.95949561338</v>
      </c>
      <c r="BS42" s="2048">
        <f t="shared" si="53"/>
        <v>170080.95949561338</v>
      </c>
      <c r="BT42" s="2048">
        <f t="shared" si="54"/>
        <v>170080.95949561338</v>
      </c>
      <c r="BU42" s="2048">
        <f t="shared" si="55"/>
        <v>170080.95949561338</v>
      </c>
      <c r="BV42" s="1840">
        <f t="shared" si="56"/>
        <v>680323.83798245352</v>
      </c>
      <c r="BW42" s="2064" t="e">
        <f>INT(#REF!)=INT(BA42)</f>
        <v>#REF!</v>
      </c>
      <c r="BX42" s="2064">
        <v>35</v>
      </c>
      <c r="BY42" s="2064" t="s">
        <v>512</v>
      </c>
    </row>
    <row r="43" spans="1:77" s="1976" customFormat="1" ht="62" x14ac:dyDescent="0.35">
      <c r="A43" s="1372" t="s">
        <v>1494</v>
      </c>
      <c r="B43" s="1372" t="s">
        <v>215</v>
      </c>
      <c r="C43" s="1637">
        <v>0</v>
      </c>
      <c r="D43" s="2053" t="str">
        <f>+'[9]4.4.14'!$A$1</f>
        <v>4.4.14</v>
      </c>
      <c r="E43" s="1372" t="s">
        <v>202</v>
      </c>
      <c r="F43" s="1638">
        <v>1568</v>
      </c>
      <c r="G43" s="1638">
        <v>1568</v>
      </c>
      <c r="H43" s="1638">
        <v>1568</v>
      </c>
      <c r="I43" s="1638">
        <v>1568</v>
      </c>
      <c r="J43" s="1372" t="str">
        <f>+'[9]4.4.14'!$B$27</f>
        <v>CI-HVC-PINS-V04-160601</v>
      </c>
      <c r="K43" s="1372" t="str">
        <f t="shared" si="30"/>
        <v>Nicor Gas PY7-PY10 Adjustable Goals Template_2017-06-30, Tab 4.4.14</v>
      </c>
      <c r="L43" s="1842">
        <v>23.699963369963367</v>
      </c>
      <c r="M43" s="1639">
        <v>23.699963369963367</v>
      </c>
      <c r="N43" s="1639">
        <v>23.699963369963367</v>
      </c>
      <c r="O43" s="1639">
        <v>23.699963369963367</v>
      </c>
      <c r="P43" s="1637">
        <v>0.68</v>
      </c>
      <c r="Q43" s="1637">
        <v>0.68</v>
      </c>
      <c r="R43" s="1637">
        <v>0.68</v>
      </c>
      <c r="S43" s="1637">
        <v>0.68</v>
      </c>
      <c r="T43" s="1640">
        <f t="shared" si="31"/>
        <v>25269.848943589743</v>
      </c>
      <c r="U43" s="1640">
        <f t="shared" si="32"/>
        <v>25269.848943589743</v>
      </c>
      <c r="V43" s="1640">
        <f t="shared" si="33"/>
        <v>25269.848943589743</v>
      </c>
      <c r="W43" s="1640">
        <f t="shared" si="34"/>
        <v>25269.848943589743</v>
      </c>
      <c r="X43" s="1640">
        <f t="shared" si="35"/>
        <v>101079.39577435897</v>
      </c>
      <c r="Y43" s="1372" t="str">
        <f t="shared" si="59"/>
        <v>CI-HVC-PINS-V04-160601</v>
      </c>
      <c r="Z43" s="1372" t="str">
        <f t="shared" si="57"/>
        <v>Nicor Gas PY7-PY10 Adjustable Goals Template_2017-06-30, Tab 4.4.14</v>
      </c>
      <c r="AA43" s="1840">
        <f t="shared" si="58"/>
        <v>23.699963369963367</v>
      </c>
      <c r="AB43" s="2028"/>
      <c r="AC43" s="1840">
        <f t="shared" si="37"/>
        <v>25269.848943589743</v>
      </c>
      <c r="AD43" s="1840">
        <f t="shared" si="38"/>
        <v>0</v>
      </c>
      <c r="AE43" s="1372" t="s">
        <v>2577</v>
      </c>
      <c r="AF43" s="1372" t="s">
        <v>3368</v>
      </c>
      <c r="AG43" s="1639">
        <v>23.699963369963367</v>
      </c>
      <c r="AH43" s="1372" t="s">
        <v>3445</v>
      </c>
      <c r="AI43" s="1640">
        <f t="shared" si="39"/>
        <v>25269.848943589743</v>
      </c>
      <c r="AJ43" s="1638">
        <f t="shared" si="40"/>
        <v>0</v>
      </c>
      <c r="AK43" s="1372" t="s">
        <v>2577</v>
      </c>
      <c r="AL43" s="1372" t="s">
        <v>3368</v>
      </c>
      <c r="AM43" s="1639">
        <v>23.699963369963367</v>
      </c>
      <c r="AN43" s="1372" t="str">
        <f t="shared" si="60"/>
        <v>No change</v>
      </c>
      <c r="AO43" s="1640">
        <f t="shared" si="41"/>
        <v>25269.848943589743</v>
      </c>
      <c r="AP43" s="1638">
        <f t="shared" si="42"/>
        <v>0</v>
      </c>
      <c r="AQ43" s="1372" t="s">
        <v>2577</v>
      </c>
      <c r="AR43" s="1372" t="s">
        <v>3368</v>
      </c>
      <c r="AS43" s="1639">
        <v>23.699963369963367</v>
      </c>
      <c r="AT43" s="1372" t="str">
        <f t="shared" si="61"/>
        <v>No change</v>
      </c>
      <c r="AU43" s="1640">
        <f t="shared" si="44"/>
        <v>25269.848943589743</v>
      </c>
      <c r="AV43" s="1638">
        <f t="shared" si="45"/>
        <v>0</v>
      </c>
      <c r="AW43" s="2044">
        <f t="shared" si="46"/>
        <v>25269.848943589743</v>
      </c>
      <c r="AX43" s="2044">
        <f t="shared" si="47"/>
        <v>25269.848943589743</v>
      </c>
      <c r="AY43" s="2044">
        <f t="shared" si="48"/>
        <v>25269.848943589743</v>
      </c>
      <c r="AZ43" s="2044">
        <f t="shared" si="49"/>
        <v>25269.848943589743</v>
      </c>
      <c r="BA43" s="2045">
        <f t="shared" si="50"/>
        <v>101079.39577435897</v>
      </c>
      <c r="BB43" s="2045" t="str">
        <f>+'[9]4.4.14'!$A$1</f>
        <v>4.4.14</v>
      </c>
      <c r="BC43" s="2045" t="str">
        <f>+'[9]4.4.14'!$A$1</f>
        <v>4.4.14</v>
      </c>
      <c r="BD43" s="2045">
        <v>0</v>
      </c>
      <c r="BE43" s="2051">
        <v>15</v>
      </c>
      <c r="BF43" s="2051">
        <v>15</v>
      </c>
      <c r="BG43" s="2051">
        <v>15</v>
      </c>
      <c r="BH43" s="2051">
        <v>15</v>
      </c>
      <c r="BI43" s="2045">
        <f t="shared" si="6"/>
        <v>379047.7341538461</v>
      </c>
      <c r="BJ43" s="2045">
        <f t="shared" si="7"/>
        <v>379047.7341538461</v>
      </c>
      <c r="BK43" s="2045">
        <f t="shared" si="8"/>
        <v>379047.7341538461</v>
      </c>
      <c r="BL43" s="2045">
        <f t="shared" si="9"/>
        <v>379047.7341538461</v>
      </c>
      <c r="BM43" s="2045">
        <f t="shared" si="51"/>
        <v>1516190.9366153844</v>
      </c>
      <c r="BN43" s="2047">
        <v>15</v>
      </c>
      <c r="BO43" s="2047">
        <v>15</v>
      </c>
      <c r="BP43" s="2047">
        <v>15</v>
      </c>
      <c r="BQ43" s="2047">
        <v>15</v>
      </c>
      <c r="BR43" s="2048">
        <f t="shared" si="52"/>
        <v>379047.7341538461</v>
      </c>
      <c r="BS43" s="2048">
        <f t="shared" si="53"/>
        <v>379047.7341538461</v>
      </c>
      <c r="BT43" s="2048">
        <f t="shared" si="54"/>
        <v>379047.7341538461</v>
      </c>
      <c r="BU43" s="2048">
        <f t="shared" si="55"/>
        <v>379047.7341538461</v>
      </c>
      <c r="BV43" s="1840">
        <f t="shared" si="56"/>
        <v>1516190.9366153844</v>
      </c>
      <c r="BW43" s="2064" t="e">
        <f>INT(#REF!)=INT(BA43)</f>
        <v>#REF!</v>
      </c>
      <c r="BX43" s="2064">
        <v>36</v>
      </c>
      <c r="BY43" s="2064" t="s">
        <v>512</v>
      </c>
    </row>
    <row r="44" spans="1:77" s="1976" customFormat="1" ht="62" x14ac:dyDescent="0.35">
      <c r="A44" s="1372" t="s">
        <v>1494</v>
      </c>
      <c r="B44" s="1372" t="s">
        <v>216</v>
      </c>
      <c r="C44" s="1637">
        <v>0</v>
      </c>
      <c r="D44" s="2053" t="str">
        <f>+'[9]4.4.14'!$A$1</f>
        <v>4.4.14</v>
      </c>
      <c r="E44" s="1372" t="s">
        <v>202</v>
      </c>
      <c r="F44" s="1638">
        <v>1568</v>
      </c>
      <c r="G44" s="1638">
        <v>1568</v>
      </c>
      <c r="H44" s="1638">
        <v>1568</v>
      </c>
      <c r="I44" s="1638">
        <v>1568</v>
      </c>
      <c r="J44" s="1372" t="str">
        <f>+'[9]4.4.14'!$B$27</f>
        <v>CI-HVC-PINS-V04-160601</v>
      </c>
      <c r="K44" s="1372" t="str">
        <f t="shared" si="30"/>
        <v>Nicor Gas PY7-PY10 Adjustable Goals Template_2017-06-30, Tab 4.4.14</v>
      </c>
      <c r="L44" s="1842">
        <v>41.494944237918219</v>
      </c>
      <c r="M44" s="1639">
        <v>41.494944237918219</v>
      </c>
      <c r="N44" s="1639">
        <v>41.494944237918219</v>
      </c>
      <c r="O44" s="1639">
        <v>41.494944237918219</v>
      </c>
      <c r="P44" s="1637">
        <v>0.68</v>
      </c>
      <c r="Q44" s="1637">
        <v>0.68</v>
      </c>
      <c r="R44" s="1637">
        <v>0.68</v>
      </c>
      <c r="S44" s="1637">
        <v>0.68</v>
      </c>
      <c r="T44" s="1640">
        <f t="shared" si="31"/>
        <v>44243.569344237927</v>
      </c>
      <c r="U44" s="1640">
        <f t="shared" si="32"/>
        <v>44243.569344237927</v>
      </c>
      <c r="V44" s="1640">
        <f t="shared" si="33"/>
        <v>44243.569344237927</v>
      </c>
      <c r="W44" s="1640">
        <f t="shared" si="34"/>
        <v>44243.569344237927</v>
      </c>
      <c r="X44" s="1640">
        <f t="shared" si="35"/>
        <v>176974.27737695171</v>
      </c>
      <c r="Y44" s="1372" t="str">
        <f t="shared" si="59"/>
        <v>CI-HVC-PINS-V04-160601</v>
      </c>
      <c r="Z44" s="1372" t="str">
        <f t="shared" si="57"/>
        <v>Nicor Gas PY7-PY10 Adjustable Goals Template_2017-06-30, Tab 4.4.14</v>
      </c>
      <c r="AA44" s="1840">
        <f t="shared" si="58"/>
        <v>41.494944237918219</v>
      </c>
      <c r="AB44" s="2028"/>
      <c r="AC44" s="1840">
        <f t="shared" si="37"/>
        <v>44243.569344237927</v>
      </c>
      <c r="AD44" s="1840">
        <f t="shared" si="38"/>
        <v>0</v>
      </c>
      <c r="AE44" s="1372" t="s">
        <v>2577</v>
      </c>
      <c r="AF44" s="1372" t="s">
        <v>3368</v>
      </c>
      <c r="AG44" s="1639">
        <v>41.494944237918219</v>
      </c>
      <c r="AH44" s="1372" t="s">
        <v>3445</v>
      </c>
      <c r="AI44" s="1640">
        <f t="shared" si="39"/>
        <v>44243.569344237927</v>
      </c>
      <c r="AJ44" s="1638">
        <f t="shared" si="40"/>
        <v>0</v>
      </c>
      <c r="AK44" s="1372" t="s">
        <v>2577</v>
      </c>
      <c r="AL44" s="1372" t="s">
        <v>3368</v>
      </c>
      <c r="AM44" s="1639">
        <v>41.494944237918219</v>
      </c>
      <c r="AN44" s="1372" t="str">
        <f t="shared" si="60"/>
        <v>No change</v>
      </c>
      <c r="AO44" s="1640">
        <f t="shared" si="41"/>
        <v>44243.569344237927</v>
      </c>
      <c r="AP44" s="1638">
        <f t="shared" si="42"/>
        <v>0</v>
      </c>
      <c r="AQ44" s="1372" t="s">
        <v>2577</v>
      </c>
      <c r="AR44" s="1372" t="s">
        <v>3368</v>
      </c>
      <c r="AS44" s="1639">
        <v>41.494944237918219</v>
      </c>
      <c r="AT44" s="1372" t="str">
        <f t="shared" si="61"/>
        <v>No change</v>
      </c>
      <c r="AU44" s="1640">
        <f t="shared" si="44"/>
        <v>44243.569344237927</v>
      </c>
      <c r="AV44" s="1638">
        <f t="shared" si="45"/>
        <v>0</v>
      </c>
      <c r="AW44" s="2044">
        <f t="shared" si="46"/>
        <v>44243.569344237927</v>
      </c>
      <c r="AX44" s="2044">
        <f t="shared" si="47"/>
        <v>44243.569344237927</v>
      </c>
      <c r="AY44" s="2044">
        <f t="shared" si="48"/>
        <v>44243.569344237927</v>
      </c>
      <c r="AZ44" s="2044">
        <f t="shared" si="49"/>
        <v>44243.569344237927</v>
      </c>
      <c r="BA44" s="2045">
        <f t="shared" si="50"/>
        <v>176974.27737695171</v>
      </c>
      <c r="BB44" s="2045" t="str">
        <f>+'[9]4.4.14'!$A$1</f>
        <v>4.4.14</v>
      </c>
      <c r="BC44" s="2045" t="str">
        <f>+'[9]4.4.14'!$A$1</f>
        <v>4.4.14</v>
      </c>
      <c r="BD44" s="2045">
        <v>0</v>
      </c>
      <c r="BE44" s="2051">
        <v>15</v>
      </c>
      <c r="BF44" s="2051">
        <v>15</v>
      </c>
      <c r="BG44" s="2051">
        <v>15</v>
      </c>
      <c r="BH44" s="2051">
        <v>15</v>
      </c>
      <c r="BI44" s="2045">
        <f t="shared" si="6"/>
        <v>663653.5401635688</v>
      </c>
      <c r="BJ44" s="2045">
        <f t="shared" si="7"/>
        <v>663653.5401635688</v>
      </c>
      <c r="BK44" s="2045">
        <f t="shared" si="8"/>
        <v>663653.5401635688</v>
      </c>
      <c r="BL44" s="2045">
        <f t="shared" si="9"/>
        <v>663653.5401635688</v>
      </c>
      <c r="BM44" s="2045">
        <f t="shared" si="51"/>
        <v>2654614.1606542752</v>
      </c>
      <c r="BN44" s="2047">
        <v>15</v>
      </c>
      <c r="BO44" s="2047">
        <v>15</v>
      </c>
      <c r="BP44" s="2047">
        <v>15</v>
      </c>
      <c r="BQ44" s="2047">
        <v>15</v>
      </c>
      <c r="BR44" s="2048">
        <f t="shared" si="52"/>
        <v>663653.5401635688</v>
      </c>
      <c r="BS44" s="2048">
        <f t="shared" si="53"/>
        <v>663653.5401635688</v>
      </c>
      <c r="BT44" s="2048">
        <f t="shared" si="54"/>
        <v>663653.5401635688</v>
      </c>
      <c r="BU44" s="2048">
        <f t="shared" si="55"/>
        <v>663653.5401635688</v>
      </c>
      <c r="BV44" s="1840">
        <f t="shared" si="56"/>
        <v>2654614.1606542752</v>
      </c>
      <c r="BW44" s="2064" t="e">
        <f>INT(#REF!)=INT(BA44)</f>
        <v>#REF!</v>
      </c>
      <c r="BX44" s="2064">
        <v>37</v>
      </c>
      <c r="BY44" s="2064" t="s">
        <v>512</v>
      </c>
    </row>
    <row r="45" spans="1:77" s="1976" customFormat="1" ht="62" x14ac:dyDescent="0.35">
      <c r="A45" s="1372" t="s">
        <v>1494</v>
      </c>
      <c r="B45" s="1372" t="s">
        <v>217</v>
      </c>
      <c r="C45" s="1637">
        <v>0</v>
      </c>
      <c r="D45" s="2053" t="str">
        <f>+'[9]4.4.14'!$A$1</f>
        <v>4.4.14</v>
      </c>
      <c r="E45" s="1372" t="s">
        <v>202</v>
      </c>
      <c r="F45" s="1638">
        <v>1568</v>
      </c>
      <c r="G45" s="1638">
        <v>1568</v>
      </c>
      <c r="H45" s="1638">
        <v>1568</v>
      </c>
      <c r="I45" s="1638">
        <v>1568</v>
      </c>
      <c r="J45" s="1372" t="str">
        <f>+'[9]4.4.14'!$B$27</f>
        <v>CI-HVC-PINS-V04-160601</v>
      </c>
      <c r="K45" s="1372" t="str">
        <f t="shared" si="30"/>
        <v>Nicor Gas PY7-PY10 Adjustable Goals Template_2017-06-30, Tab 4.4.14</v>
      </c>
      <c r="L45" s="1842">
        <v>52.847912019826516</v>
      </c>
      <c r="M45" s="1639">
        <v>52.847912019826516</v>
      </c>
      <c r="N45" s="1639">
        <v>52.847912019826516</v>
      </c>
      <c r="O45" s="1639">
        <v>52.847912019826516</v>
      </c>
      <c r="P45" s="1637">
        <v>0.68</v>
      </c>
      <c r="Q45" s="1637">
        <v>0.68</v>
      </c>
      <c r="R45" s="1637">
        <v>0.68</v>
      </c>
      <c r="S45" s="1637">
        <v>0.68</v>
      </c>
      <c r="T45" s="1640">
        <f t="shared" si="31"/>
        <v>56348.557712019829</v>
      </c>
      <c r="U45" s="1640">
        <f t="shared" si="32"/>
        <v>56348.557712019829</v>
      </c>
      <c r="V45" s="1640">
        <f t="shared" si="33"/>
        <v>56348.557712019829</v>
      </c>
      <c r="W45" s="1640">
        <f t="shared" si="34"/>
        <v>56348.557712019829</v>
      </c>
      <c r="X45" s="1640">
        <f t="shared" si="35"/>
        <v>225394.23084807931</v>
      </c>
      <c r="Y45" s="1372" t="str">
        <f t="shared" si="59"/>
        <v>CI-HVC-PINS-V04-160601</v>
      </c>
      <c r="Z45" s="1372" t="str">
        <f t="shared" si="57"/>
        <v>Nicor Gas PY7-PY10 Adjustable Goals Template_2017-06-30, Tab 4.4.14</v>
      </c>
      <c r="AA45" s="1840">
        <f t="shared" si="58"/>
        <v>52.847912019826516</v>
      </c>
      <c r="AB45" s="2028"/>
      <c r="AC45" s="1840">
        <f t="shared" si="37"/>
        <v>56348.557712019829</v>
      </c>
      <c r="AD45" s="1840">
        <f t="shared" si="38"/>
        <v>0</v>
      </c>
      <c r="AE45" s="1372" t="s">
        <v>2577</v>
      </c>
      <c r="AF45" s="1372" t="s">
        <v>3368</v>
      </c>
      <c r="AG45" s="1639">
        <v>52.847912019826516</v>
      </c>
      <c r="AH45" s="1372" t="s">
        <v>3445</v>
      </c>
      <c r="AI45" s="1640">
        <f t="shared" si="39"/>
        <v>56348.557712019829</v>
      </c>
      <c r="AJ45" s="1638">
        <f t="shared" si="40"/>
        <v>0</v>
      </c>
      <c r="AK45" s="1372" t="s">
        <v>2577</v>
      </c>
      <c r="AL45" s="1372" t="s">
        <v>3368</v>
      </c>
      <c r="AM45" s="1639">
        <v>52.847912019826516</v>
      </c>
      <c r="AN45" s="1372" t="str">
        <f t="shared" si="60"/>
        <v>No change</v>
      </c>
      <c r="AO45" s="1640">
        <f t="shared" si="41"/>
        <v>56348.557712019829</v>
      </c>
      <c r="AP45" s="1638">
        <f t="shared" si="42"/>
        <v>0</v>
      </c>
      <c r="AQ45" s="1372" t="s">
        <v>2577</v>
      </c>
      <c r="AR45" s="1372" t="s">
        <v>3368</v>
      </c>
      <c r="AS45" s="1639">
        <v>52.847912019826516</v>
      </c>
      <c r="AT45" s="1372" t="str">
        <f t="shared" si="61"/>
        <v>No change</v>
      </c>
      <c r="AU45" s="1640">
        <f t="shared" si="44"/>
        <v>56348.557712019829</v>
      </c>
      <c r="AV45" s="1638">
        <f t="shared" si="45"/>
        <v>0</v>
      </c>
      <c r="AW45" s="2044">
        <f t="shared" si="46"/>
        <v>56348.557712019829</v>
      </c>
      <c r="AX45" s="2044">
        <f t="shared" si="47"/>
        <v>56348.557712019829</v>
      </c>
      <c r="AY45" s="2044">
        <f t="shared" si="48"/>
        <v>56348.557712019829</v>
      </c>
      <c r="AZ45" s="2044">
        <f t="shared" si="49"/>
        <v>56348.557712019829</v>
      </c>
      <c r="BA45" s="2045">
        <f t="shared" si="50"/>
        <v>225394.23084807931</v>
      </c>
      <c r="BB45" s="2045" t="str">
        <f>+'[9]4.4.14'!$A$1</f>
        <v>4.4.14</v>
      </c>
      <c r="BC45" s="2045" t="str">
        <f>+'[9]4.4.14'!$A$1</f>
        <v>4.4.14</v>
      </c>
      <c r="BD45" s="2045">
        <v>0</v>
      </c>
      <c r="BE45" s="2051">
        <v>15</v>
      </c>
      <c r="BF45" s="2051">
        <v>15</v>
      </c>
      <c r="BG45" s="2051">
        <v>15</v>
      </c>
      <c r="BH45" s="2051">
        <v>15</v>
      </c>
      <c r="BI45" s="2045">
        <f t="shared" si="6"/>
        <v>845228.36568029737</v>
      </c>
      <c r="BJ45" s="2045">
        <f t="shared" si="7"/>
        <v>845228.36568029737</v>
      </c>
      <c r="BK45" s="2045">
        <f t="shared" si="8"/>
        <v>845228.36568029737</v>
      </c>
      <c r="BL45" s="2045">
        <f t="shared" si="9"/>
        <v>845228.36568029737</v>
      </c>
      <c r="BM45" s="2045">
        <f t="shared" si="51"/>
        <v>3380913.4627211895</v>
      </c>
      <c r="BN45" s="2047">
        <v>15</v>
      </c>
      <c r="BO45" s="2047">
        <v>15</v>
      </c>
      <c r="BP45" s="2047">
        <v>15</v>
      </c>
      <c r="BQ45" s="2047">
        <v>15</v>
      </c>
      <c r="BR45" s="2048">
        <f t="shared" si="52"/>
        <v>845228.36568029737</v>
      </c>
      <c r="BS45" s="2048">
        <f t="shared" si="53"/>
        <v>845228.36568029737</v>
      </c>
      <c r="BT45" s="2048">
        <f t="shared" si="54"/>
        <v>845228.36568029737</v>
      </c>
      <c r="BU45" s="2048">
        <f t="shared" si="55"/>
        <v>845228.36568029737</v>
      </c>
      <c r="BV45" s="1840">
        <f t="shared" si="56"/>
        <v>3380913.4627211895</v>
      </c>
      <c r="BW45" s="2064" t="e">
        <f>INT(#REF!)=INT(BA45)</f>
        <v>#REF!</v>
      </c>
      <c r="BX45" s="2064">
        <v>38</v>
      </c>
      <c r="BY45" s="2064" t="s">
        <v>512</v>
      </c>
    </row>
    <row r="46" spans="1:77" s="1976" customFormat="1" ht="62" x14ac:dyDescent="0.35">
      <c r="A46" s="1372" t="s">
        <v>1494</v>
      </c>
      <c r="B46" s="1372" t="s">
        <v>218</v>
      </c>
      <c r="C46" s="1637">
        <v>0</v>
      </c>
      <c r="D46" s="2053" t="str">
        <f>+'[9]4.4.14'!$A$1</f>
        <v>4.4.14</v>
      </c>
      <c r="E46" s="1372" t="s">
        <v>202</v>
      </c>
      <c r="F46" s="1638">
        <v>1568</v>
      </c>
      <c r="G46" s="1638">
        <v>1568</v>
      </c>
      <c r="H46" s="1638">
        <v>1568</v>
      </c>
      <c r="I46" s="1638">
        <v>1568</v>
      </c>
      <c r="J46" s="1372" t="str">
        <f>+'[9]4.4.14'!$B$27</f>
        <v>CI-HVC-PINS-V04-160601</v>
      </c>
      <c r="K46" s="1372" t="str">
        <f t="shared" si="30"/>
        <v>Nicor Gas PY7-PY10 Adjustable Goals Template_2017-06-30, Tab 4.4.14</v>
      </c>
      <c r="L46" s="1842">
        <v>64.200879801734814</v>
      </c>
      <c r="M46" s="1639">
        <v>64.200879801734814</v>
      </c>
      <c r="N46" s="1639">
        <v>64.200879801734814</v>
      </c>
      <c r="O46" s="1639">
        <v>64.200879801734814</v>
      </c>
      <c r="P46" s="1637">
        <v>0.68</v>
      </c>
      <c r="Q46" s="1637">
        <v>0.68</v>
      </c>
      <c r="R46" s="1637">
        <v>0.68</v>
      </c>
      <c r="S46" s="1637">
        <v>0.68</v>
      </c>
      <c r="T46" s="1640">
        <f t="shared" si="31"/>
        <v>68453.54607980173</v>
      </c>
      <c r="U46" s="1640">
        <f t="shared" si="32"/>
        <v>68453.54607980173</v>
      </c>
      <c r="V46" s="1640">
        <f t="shared" si="33"/>
        <v>68453.54607980173</v>
      </c>
      <c r="W46" s="1640">
        <f t="shared" si="34"/>
        <v>68453.54607980173</v>
      </c>
      <c r="X46" s="1640">
        <f t="shared" si="35"/>
        <v>273814.18431920692</v>
      </c>
      <c r="Y46" s="1372" t="str">
        <f t="shared" si="59"/>
        <v>CI-HVC-PINS-V04-160601</v>
      </c>
      <c r="Z46" s="1372" t="str">
        <f t="shared" si="57"/>
        <v>Nicor Gas PY7-PY10 Adjustable Goals Template_2017-06-30, Tab 4.4.14</v>
      </c>
      <c r="AA46" s="1840">
        <f t="shared" si="58"/>
        <v>64.200879801734814</v>
      </c>
      <c r="AB46" s="2028"/>
      <c r="AC46" s="1840">
        <f t="shared" si="37"/>
        <v>68453.54607980173</v>
      </c>
      <c r="AD46" s="1840">
        <f t="shared" si="38"/>
        <v>0</v>
      </c>
      <c r="AE46" s="1372" t="s">
        <v>2577</v>
      </c>
      <c r="AF46" s="1372" t="s">
        <v>3368</v>
      </c>
      <c r="AG46" s="1639">
        <v>64.200879801734814</v>
      </c>
      <c r="AH46" s="1372" t="s">
        <v>3445</v>
      </c>
      <c r="AI46" s="1640">
        <f t="shared" si="39"/>
        <v>68453.54607980173</v>
      </c>
      <c r="AJ46" s="1638">
        <f t="shared" si="40"/>
        <v>0</v>
      </c>
      <c r="AK46" s="1372" t="s">
        <v>2577</v>
      </c>
      <c r="AL46" s="1372" t="s">
        <v>3368</v>
      </c>
      <c r="AM46" s="1639">
        <v>64.200879801734814</v>
      </c>
      <c r="AN46" s="1372" t="str">
        <f t="shared" si="60"/>
        <v>No change</v>
      </c>
      <c r="AO46" s="1640">
        <f t="shared" si="41"/>
        <v>68453.54607980173</v>
      </c>
      <c r="AP46" s="1638">
        <f t="shared" si="42"/>
        <v>0</v>
      </c>
      <c r="AQ46" s="1372" t="s">
        <v>2577</v>
      </c>
      <c r="AR46" s="1372" t="s">
        <v>3368</v>
      </c>
      <c r="AS46" s="1639">
        <v>64.200879801734814</v>
      </c>
      <c r="AT46" s="1372" t="str">
        <f t="shared" si="61"/>
        <v>No change</v>
      </c>
      <c r="AU46" s="1640">
        <f t="shared" si="44"/>
        <v>68453.54607980173</v>
      </c>
      <c r="AV46" s="1638">
        <f t="shared" si="45"/>
        <v>0</v>
      </c>
      <c r="AW46" s="2044">
        <f t="shared" si="46"/>
        <v>68453.54607980173</v>
      </c>
      <c r="AX46" s="2044">
        <f t="shared" si="47"/>
        <v>68453.54607980173</v>
      </c>
      <c r="AY46" s="2044">
        <f t="shared" si="48"/>
        <v>68453.54607980173</v>
      </c>
      <c r="AZ46" s="2044">
        <f t="shared" si="49"/>
        <v>68453.54607980173</v>
      </c>
      <c r="BA46" s="2045">
        <f t="shared" si="50"/>
        <v>273814.18431920692</v>
      </c>
      <c r="BB46" s="2045" t="str">
        <f>+'[9]4.4.14'!$A$1</f>
        <v>4.4.14</v>
      </c>
      <c r="BC46" s="2045" t="str">
        <f>+'[9]4.4.14'!$A$1</f>
        <v>4.4.14</v>
      </c>
      <c r="BD46" s="2045">
        <v>0</v>
      </c>
      <c r="BE46" s="2051">
        <v>15</v>
      </c>
      <c r="BF46" s="2051">
        <v>15</v>
      </c>
      <c r="BG46" s="2051">
        <v>15</v>
      </c>
      <c r="BH46" s="2051">
        <v>15</v>
      </c>
      <c r="BI46" s="2045">
        <f t="shared" si="6"/>
        <v>1026803.1911970259</v>
      </c>
      <c r="BJ46" s="2045">
        <f t="shared" si="7"/>
        <v>1026803.1911970259</v>
      </c>
      <c r="BK46" s="2045">
        <f t="shared" si="8"/>
        <v>1026803.1911970259</v>
      </c>
      <c r="BL46" s="2045">
        <f t="shared" si="9"/>
        <v>1026803.1911970259</v>
      </c>
      <c r="BM46" s="2045">
        <f t="shared" si="51"/>
        <v>4107212.7647881038</v>
      </c>
      <c r="BN46" s="2047">
        <v>15</v>
      </c>
      <c r="BO46" s="2047">
        <v>15</v>
      </c>
      <c r="BP46" s="2047">
        <v>15</v>
      </c>
      <c r="BQ46" s="2047">
        <v>15</v>
      </c>
      <c r="BR46" s="2048">
        <f t="shared" si="52"/>
        <v>1026803.1911970259</v>
      </c>
      <c r="BS46" s="2048">
        <f t="shared" si="53"/>
        <v>1026803.1911970259</v>
      </c>
      <c r="BT46" s="2048">
        <f t="shared" si="54"/>
        <v>1026803.1911970259</v>
      </c>
      <c r="BU46" s="2048">
        <f t="shared" si="55"/>
        <v>1026803.1911970259</v>
      </c>
      <c r="BV46" s="1840">
        <f t="shared" si="56"/>
        <v>4107212.7647881038</v>
      </c>
      <c r="BW46" s="2064" t="e">
        <f>INT(#REF!)=INT(BA46)</f>
        <v>#REF!</v>
      </c>
      <c r="BX46" s="2064">
        <v>39</v>
      </c>
      <c r="BY46" s="2064" t="s">
        <v>512</v>
      </c>
    </row>
    <row r="47" spans="1:77" s="1976" customFormat="1" ht="62" x14ac:dyDescent="0.35">
      <c r="A47" s="1372" t="s">
        <v>1494</v>
      </c>
      <c r="B47" s="1372" t="s">
        <v>219</v>
      </c>
      <c r="C47" s="1637">
        <v>0</v>
      </c>
      <c r="D47" s="2053" t="str">
        <f>+'[9]4.4.14'!$A$1</f>
        <v>4.4.14</v>
      </c>
      <c r="E47" s="1372" t="s">
        <v>202</v>
      </c>
      <c r="F47" s="1638">
        <v>1024</v>
      </c>
      <c r="G47" s="1638">
        <v>1024</v>
      </c>
      <c r="H47" s="1638">
        <v>1024</v>
      </c>
      <c r="I47" s="1638">
        <v>1024</v>
      </c>
      <c r="J47" s="1372" t="str">
        <f>+'[9]4.4.14'!$B$27</f>
        <v>CI-HVC-PINS-V04-160601</v>
      </c>
      <c r="K47" s="1372" t="str">
        <f t="shared" si="30"/>
        <v>Nicor Gas PY7-PY10 Adjustable Goals Template_2017-06-30, Tab 4.4.14</v>
      </c>
      <c r="L47" s="1842">
        <v>65.128327137546464</v>
      </c>
      <c r="M47" s="1639">
        <v>65.128327137546464</v>
      </c>
      <c r="N47" s="1639">
        <v>65.128327137546464</v>
      </c>
      <c r="O47" s="1639">
        <v>65.128327137546464</v>
      </c>
      <c r="P47" s="1637">
        <v>0.68</v>
      </c>
      <c r="Q47" s="1637">
        <v>0.68</v>
      </c>
      <c r="R47" s="1637">
        <v>0.68</v>
      </c>
      <c r="S47" s="1637">
        <v>0.68</v>
      </c>
      <c r="T47" s="1640">
        <f t="shared" si="31"/>
        <v>45350.156752416355</v>
      </c>
      <c r="U47" s="1640">
        <f t="shared" si="32"/>
        <v>45350.156752416355</v>
      </c>
      <c r="V47" s="1640">
        <f t="shared" si="33"/>
        <v>45350.156752416355</v>
      </c>
      <c r="W47" s="1640">
        <f t="shared" si="34"/>
        <v>45350.156752416355</v>
      </c>
      <c r="X47" s="1640">
        <f t="shared" si="35"/>
        <v>181400.62700966542</v>
      </c>
      <c r="Y47" s="1372" t="str">
        <f t="shared" si="59"/>
        <v>CI-HVC-PINS-V04-160601</v>
      </c>
      <c r="Z47" s="1372" t="str">
        <f t="shared" si="57"/>
        <v>Nicor Gas PY7-PY10 Adjustable Goals Template_2017-06-30, Tab 4.4.14</v>
      </c>
      <c r="AA47" s="1840">
        <f t="shared" si="58"/>
        <v>65.128327137546464</v>
      </c>
      <c r="AB47" s="2028"/>
      <c r="AC47" s="1840">
        <f t="shared" si="37"/>
        <v>45350.156752416355</v>
      </c>
      <c r="AD47" s="1840">
        <f t="shared" si="38"/>
        <v>0</v>
      </c>
      <c r="AE47" s="1372" t="s">
        <v>2577</v>
      </c>
      <c r="AF47" s="1372" t="s">
        <v>3368</v>
      </c>
      <c r="AG47" s="1639">
        <v>65.128327137546464</v>
      </c>
      <c r="AH47" s="1372" t="s">
        <v>3445</v>
      </c>
      <c r="AI47" s="1640">
        <f t="shared" si="39"/>
        <v>45350.156752416355</v>
      </c>
      <c r="AJ47" s="1638">
        <f t="shared" si="40"/>
        <v>0</v>
      </c>
      <c r="AK47" s="1372" t="s">
        <v>2577</v>
      </c>
      <c r="AL47" s="1372" t="s">
        <v>3368</v>
      </c>
      <c r="AM47" s="1639">
        <v>65.128327137546464</v>
      </c>
      <c r="AN47" s="1372" t="str">
        <f t="shared" si="60"/>
        <v>No change</v>
      </c>
      <c r="AO47" s="1640">
        <f t="shared" si="41"/>
        <v>45350.156752416355</v>
      </c>
      <c r="AP47" s="1638">
        <f t="shared" si="42"/>
        <v>0</v>
      </c>
      <c r="AQ47" s="1372" t="s">
        <v>2577</v>
      </c>
      <c r="AR47" s="1372" t="s">
        <v>3368</v>
      </c>
      <c r="AS47" s="1639">
        <v>65.128327137546464</v>
      </c>
      <c r="AT47" s="1372" t="str">
        <f t="shared" si="61"/>
        <v>No change</v>
      </c>
      <c r="AU47" s="1640">
        <f t="shared" si="44"/>
        <v>45350.156752416355</v>
      </c>
      <c r="AV47" s="1638">
        <f t="shared" si="45"/>
        <v>0</v>
      </c>
      <c r="AW47" s="2044">
        <f t="shared" si="46"/>
        <v>45350.156752416355</v>
      </c>
      <c r="AX47" s="2044">
        <f t="shared" si="47"/>
        <v>45350.156752416355</v>
      </c>
      <c r="AY47" s="2044">
        <f t="shared" si="48"/>
        <v>45350.156752416355</v>
      </c>
      <c r="AZ47" s="2044">
        <f t="shared" si="49"/>
        <v>45350.156752416355</v>
      </c>
      <c r="BA47" s="2045">
        <f t="shared" si="50"/>
        <v>181400.62700966542</v>
      </c>
      <c r="BB47" s="2045" t="str">
        <f>+'[9]4.4.14'!$A$1</f>
        <v>4.4.14</v>
      </c>
      <c r="BC47" s="2045" t="str">
        <f>+'[9]4.4.14'!$A$1</f>
        <v>4.4.14</v>
      </c>
      <c r="BD47" s="2045">
        <v>0</v>
      </c>
      <c r="BE47" s="2051">
        <v>15</v>
      </c>
      <c r="BF47" s="2051">
        <v>15</v>
      </c>
      <c r="BG47" s="2051">
        <v>15</v>
      </c>
      <c r="BH47" s="2051">
        <v>15</v>
      </c>
      <c r="BI47" s="2045">
        <f t="shared" si="6"/>
        <v>680252.35128624528</v>
      </c>
      <c r="BJ47" s="2045">
        <f t="shared" si="7"/>
        <v>680252.35128624528</v>
      </c>
      <c r="BK47" s="2045">
        <f t="shared" si="8"/>
        <v>680252.35128624528</v>
      </c>
      <c r="BL47" s="2045">
        <f t="shared" si="9"/>
        <v>680252.35128624528</v>
      </c>
      <c r="BM47" s="2045">
        <f t="shared" si="51"/>
        <v>2721009.4051449811</v>
      </c>
      <c r="BN47" s="2047">
        <v>15</v>
      </c>
      <c r="BO47" s="2047">
        <v>15</v>
      </c>
      <c r="BP47" s="2047">
        <v>15</v>
      </c>
      <c r="BQ47" s="2047">
        <v>15</v>
      </c>
      <c r="BR47" s="2048">
        <f t="shared" si="52"/>
        <v>680252.35128624528</v>
      </c>
      <c r="BS47" s="2048">
        <f t="shared" si="53"/>
        <v>680252.35128624528</v>
      </c>
      <c r="BT47" s="2048">
        <f t="shared" si="54"/>
        <v>680252.35128624528</v>
      </c>
      <c r="BU47" s="2048">
        <f t="shared" si="55"/>
        <v>680252.35128624528</v>
      </c>
      <c r="BV47" s="1840">
        <f t="shared" si="56"/>
        <v>2721009.4051449811</v>
      </c>
      <c r="BW47" s="2064" t="e">
        <f>INT(#REF!)=INT(BA47)</f>
        <v>#REF!</v>
      </c>
      <c r="BX47" s="2064">
        <v>40</v>
      </c>
      <c r="BY47" s="2064" t="s">
        <v>512</v>
      </c>
    </row>
    <row r="48" spans="1:77" s="1976" customFormat="1" ht="62" x14ac:dyDescent="0.35">
      <c r="A48" s="1372" t="s">
        <v>1494</v>
      </c>
      <c r="B48" s="1372" t="s">
        <v>220</v>
      </c>
      <c r="C48" s="1637">
        <v>0</v>
      </c>
      <c r="D48" s="2053" t="str">
        <f>+'[9]4.4.14'!$A$1</f>
        <v>4.4.14</v>
      </c>
      <c r="E48" s="1372" t="s">
        <v>202</v>
      </c>
      <c r="F48" s="1638">
        <v>1024</v>
      </c>
      <c r="G48" s="1638">
        <v>1024</v>
      </c>
      <c r="H48" s="1638">
        <v>1024</v>
      </c>
      <c r="I48" s="1638">
        <v>1024</v>
      </c>
      <c r="J48" s="1372" t="str">
        <f>+'[9]4.4.14'!$B$27</f>
        <v>CI-HVC-PINS-V04-160601</v>
      </c>
      <c r="K48" s="1372" t="str">
        <f t="shared" si="30"/>
        <v>Nicor Gas PY7-PY10 Adjustable Goals Template_2017-06-30, Tab 4.4.14</v>
      </c>
      <c r="L48" s="1842">
        <v>82.947360594795541</v>
      </c>
      <c r="M48" s="1639">
        <v>82.947360594795541</v>
      </c>
      <c r="N48" s="1639">
        <v>82.947360594795541</v>
      </c>
      <c r="O48" s="1639">
        <v>82.947360594795541</v>
      </c>
      <c r="P48" s="1637">
        <v>0.68</v>
      </c>
      <c r="Q48" s="1637">
        <v>0.68</v>
      </c>
      <c r="R48" s="1637">
        <v>0.68</v>
      </c>
      <c r="S48" s="1637">
        <v>0.68</v>
      </c>
      <c r="T48" s="1640">
        <f t="shared" si="31"/>
        <v>57757.906129368035</v>
      </c>
      <c r="U48" s="1640">
        <f t="shared" si="32"/>
        <v>57757.906129368035</v>
      </c>
      <c r="V48" s="1640">
        <f t="shared" si="33"/>
        <v>57757.906129368035</v>
      </c>
      <c r="W48" s="1640">
        <f t="shared" si="34"/>
        <v>57757.906129368035</v>
      </c>
      <c r="X48" s="1640">
        <f t="shared" si="35"/>
        <v>231031.62451747214</v>
      </c>
      <c r="Y48" s="1372" t="str">
        <f t="shared" si="59"/>
        <v>CI-HVC-PINS-V04-160601</v>
      </c>
      <c r="Z48" s="1372" t="str">
        <f t="shared" si="57"/>
        <v>Nicor Gas PY7-PY10 Adjustable Goals Template_2017-06-30, Tab 4.4.14</v>
      </c>
      <c r="AA48" s="1840">
        <f t="shared" si="58"/>
        <v>82.947360594795541</v>
      </c>
      <c r="AB48" s="2028"/>
      <c r="AC48" s="1840">
        <f t="shared" si="37"/>
        <v>57757.906129368035</v>
      </c>
      <c r="AD48" s="1840">
        <f t="shared" si="38"/>
        <v>0</v>
      </c>
      <c r="AE48" s="1372" t="s">
        <v>2577</v>
      </c>
      <c r="AF48" s="1372" t="s">
        <v>3368</v>
      </c>
      <c r="AG48" s="1639">
        <v>82.947360594795541</v>
      </c>
      <c r="AH48" s="1372" t="s">
        <v>3445</v>
      </c>
      <c r="AI48" s="1640">
        <f t="shared" si="39"/>
        <v>57757.906129368035</v>
      </c>
      <c r="AJ48" s="1638">
        <f t="shared" si="40"/>
        <v>0</v>
      </c>
      <c r="AK48" s="1372" t="s">
        <v>2577</v>
      </c>
      <c r="AL48" s="1372" t="s">
        <v>3368</v>
      </c>
      <c r="AM48" s="1639">
        <v>82.947360594795541</v>
      </c>
      <c r="AN48" s="1372" t="str">
        <f t="shared" si="60"/>
        <v>No change</v>
      </c>
      <c r="AO48" s="1640">
        <f t="shared" si="41"/>
        <v>57757.906129368035</v>
      </c>
      <c r="AP48" s="1638">
        <f t="shared" si="42"/>
        <v>0</v>
      </c>
      <c r="AQ48" s="1372" t="s">
        <v>2577</v>
      </c>
      <c r="AR48" s="1372" t="s">
        <v>3368</v>
      </c>
      <c r="AS48" s="1639">
        <v>82.947360594795541</v>
      </c>
      <c r="AT48" s="1372" t="str">
        <f t="shared" si="61"/>
        <v>No change</v>
      </c>
      <c r="AU48" s="1640">
        <f t="shared" si="44"/>
        <v>57757.906129368035</v>
      </c>
      <c r="AV48" s="1638">
        <f t="shared" si="45"/>
        <v>0</v>
      </c>
      <c r="AW48" s="2044">
        <f t="shared" si="46"/>
        <v>57757.906129368035</v>
      </c>
      <c r="AX48" s="2044">
        <f t="shared" si="47"/>
        <v>57757.906129368035</v>
      </c>
      <c r="AY48" s="2044">
        <f t="shared" si="48"/>
        <v>57757.906129368035</v>
      </c>
      <c r="AZ48" s="2044">
        <f t="shared" si="49"/>
        <v>57757.906129368035</v>
      </c>
      <c r="BA48" s="2045">
        <f t="shared" si="50"/>
        <v>231031.62451747214</v>
      </c>
      <c r="BB48" s="2045" t="str">
        <f>+'[9]4.4.14'!$A$1</f>
        <v>4.4.14</v>
      </c>
      <c r="BC48" s="2045" t="str">
        <f>+'[9]4.4.14'!$A$1</f>
        <v>4.4.14</v>
      </c>
      <c r="BD48" s="2045">
        <v>0</v>
      </c>
      <c r="BE48" s="2051">
        <v>15</v>
      </c>
      <c r="BF48" s="2051">
        <v>15</v>
      </c>
      <c r="BG48" s="2051">
        <v>15</v>
      </c>
      <c r="BH48" s="2051">
        <v>15</v>
      </c>
      <c r="BI48" s="2045">
        <f t="shared" si="6"/>
        <v>866368.59194052056</v>
      </c>
      <c r="BJ48" s="2045">
        <f t="shared" si="7"/>
        <v>866368.59194052056</v>
      </c>
      <c r="BK48" s="2045">
        <f t="shared" si="8"/>
        <v>866368.59194052056</v>
      </c>
      <c r="BL48" s="2045">
        <f t="shared" si="9"/>
        <v>866368.59194052056</v>
      </c>
      <c r="BM48" s="2045">
        <f t="shared" si="51"/>
        <v>3465474.3677620823</v>
      </c>
      <c r="BN48" s="2047">
        <v>15</v>
      </c>
      <c r="BO48" s="2047">
        <v>15</v>
      </c>
      <c r="BP48" s="2047">
        <v>15</v>
      </c>
      <c r="BQ48" s="2047">
        <v>15</v>
      </c>
      <c r="BR48" s="2048">
        <f t="shared" si="52"/>
        <v>866368.59194052056</v>
      </c>
      <c r="BS48" s="2048">
        <f t="shared" si="53"/>
        <v>866368.59194052056</v>
      </c>
      <c r="BT48" s="2048">
        <f t="shared" si="54"/>
        <v>866368.59194052056</v>
      </c>
      <c r="BU48" s="2048">
        <f t="shared" si="55"/>
        <v>866368.59194052056</v>
      </c>
      <c r="BV48" s="1840">
        <f t="shared" si="56"/>
        <v>3465474.3677620823</v>
      </c>
      <c r="BW48" s="2064" t="e">
        <f>INT(#REF!)=INT(BA48)</f>
        <v>#REF!</v>
      </c>
      <c r="BX48" s="2064">
        <v>41</v>
      </c>
      <c r="BY48" s="2064" t="s">
        <v>512</v>
      </c>
    </row>
    <row r="49" spans="1:77" s="1976" customFormat="1" ht="62" x14ac:dyDescent="0.35">
      <c r="A49" s="1372" t="s">
        <v>1494</v>
      </c>
      <c r="B49" s="1372" t="s">
        <v>221</v>
      </c>
      <c r="C49" s="1637">
        <v>0</v>
      </c>
      <c r="D49" s="2053" t="str">
        <f>+'[9]4.4.14'!$A$1</f>
        <v>4.4.14</v>
      </c>
      <c r="E49" s="1372" t="s">
        <v>202</v>
      </c>
      <c r="F49" s="1638">
        <v>1024</v>
      </c>
      <c r="G49" s="1638">
        <v>1024</v>
      </c>
      <c r="H49" s="1638">
        <v>1024</v>
      </c>
      <c r="I49" s="1638">
        <v>1024</v>
      </c>
      <c r="J49" s="1372" t="str">
        <f>+'[9]4.4.14'!$B$27</f>
        <v>CI-HVC-PINS-V04-160601</v>
      </c>
      <c r="K49" s="1372" t="str">
        <f t="shared" si="30"/>
        <v>Nicor Gas PY7-PY10 Adjustable Goals Template_2017-06-30, Tab 4.4.14</v>
      </c>
      <c r="L49" s="1842">
        <v>100.7663940520446</v>
      </c>
      <c r="M49" s="1639">
        <v>100.7663940520446</v>
      </c>
      <c r="N49" s="1639">
        <v>100.7663940520446</v>
      </c>
      <c r="O49" s="1639">
        <v>100.7663940520446</v>
      </c>
      <c r="P49" s="1637">
        <v>0.68</v>
      </c>
      <c r="Q49" s="1637">
        <v>0.68</v>
      </c>
      <c r="R49" s="1637">
        <v>0.68</v>
      </c>
      <c r="S49" s="1637">
        <v>0.68</v>
      </c>
      <c r="T49" s="1640">
        <f t="shared" si="31"/>
        <v>70165.655506319701</v>
      </c>
      <c r="U49" s="1640">
        <f t="shared" si="32"/>
        <v>70165.655506319701</v>
      </c>
      <c r="V49" s="1640">
        <f t="shared" si="33"/>
        <v>70165.655506319701</v>
      </c>
      <c r="W49" s="1640">
        <f t="shared" si="34"/>
        <v>70165.655506319701</v>
      </c>
      <c r="X49" s="1640">
        <f t="shared" si="35"/>
        <v>280662.6220252788</v>
      </c>
      <c r="Y49" s="1372" t="str">
        <f t="shared" si="59"/>
        <v>CI-HVC-PINS-V04-160601</v>
      </c>
      <c r="Z49" s="1372" t="str">
        <f t="shared" si="57"/>
        <v>Nicor Gas PY7-PY10 Adjustable Goals Template_2017-06-30, Tab 4.4.14</v>
      </c>
      <c r="AA49" s="1840">
        <f t="shared" si="58"/>
        <v>100.7663940520446</v>
      </c>
      <c r="AB49" s="2028"/>
      <c r="AC49" s="1840">
        <f t="shared" si="37"/>
        <v>70165.655506319701</v>
      </c>
      <c r="AD49" s="1840">
        <f t="shared" si="38"/>
        <v>0</v>
      </c>
      <c r="AE49" s="1372" t="s">
        <v>2577</v>
      </c>
      <c r="AF49" s="1372" t="s">
        <v>3368</v>
      </c>
      <c r="AG49" s="1639">
        <v>100.7663940520446</v>
      </c>
      <c r="AH49" s="1372" t="s">
        <v>3445</v>
      </c>
      <c r="AI49" s="1640">
        <f t="shared" si="39"/>
        <v>70165.655506319701</v>
      </c>
      <c r="AJ49" s="1638">
        <f t="shared" si="40"/>
        <v>0</v>
      </c>
      <c r="AK49" s="1372" t="s">
        <v>2577</v>
      </c>
      <c r="AL49" s="1372" t="s">
        <v>3368</v>
      </c>
      <c r="AM49" s="1639">
        <v>100.7663940520446</v>
      </c>
      <c r="AN49" s="1372" t="str">
        <f t="shared" si="60"/>
        <v>No change</v>
      </c>
      <c r="AO49" s="1640">
        <f t="shared" si="41"/>
        <v>70165.655506319701</v>
      </c>
      <c r="AP49" s="1638">
        <f t="shared" si="42"/>
        <v>0</v>
      </c>
      <c r="AQ49" s="1372" t="s">
        <v>2577</v>
      </c>
      <c r="AR49" s="1372" t="s">
        <v>3368</v>
      </c>
      <c r="AS49" s="1639">
        <v>100.7663940520446</v>
      </c>
      <c r="AT49" s="1372" t="str">
        <f t="shared" si="61"/>
        <v>No change</v>
      </c>
      <c r="AU49" s="1640">
        <f t="shared" si="44"/>
        <v>70165.655506319701</v>
      </c>
      <c r="AV49" s="1638">
        <f t="shared" si="45"/>
        <v>0</v>
      </c>
      <c r="AW49" s="2044">
        <f t="shared" si="46"/>
        <v>70165.655506319701</v>
      </c>
      <c r="AX49" s="2044">
        <f t="shared" si="47"/>
        <v>70165.655506319701</v>
      </c>
      <c r="AY49" s="2044">
        <f t="shared" si="48"/>
        <v>70165.655506319701</v>
      </c>
      <c r="AZ49" s="2044">
        <f t="shared" si="49"/>
        <v>70165.655506319701</v>
      </c>
      <c r="BA49" s="2045">
        <f t="shared" si="50"/>
        <v>280662.6220252788</v>
      </c>
      <c r="BB49" s="2045" t="str">
        <f>+'[9]4.4.14'!$A$1</f>
        <v>4.4.14</v>
      </c>
      <c r="BC49" s="2045" t="str">
        <f>+'[9]4.4.14'!$A$1</f>
        <v>4.4.14</v>
      </c>
      <c r="BD49" s="2045">
        <v>0</v>
      </c>
      <c r="BE49" s="2051">
        <v>15</v>
      </c>
      <c r="BF49" s="2051">
        <v>15</v>
      </c>
      <c r="BG49" s="2051">
        <v>15</v>
      </c>
      <c r="BH49" s="2051">
        <v>15</v>
      </c>
      <c r="BI49" s="2045">
        <f t="shared" si="6"/>
        <v>1052484.8325947956</v>
      </c>
      <c r="BJ49" s="2045">
        <f t="shared" si="7"/>
        <v>1052484.8325947956</v>
      </c>
      <c r="BK49" s="2045">
        <f t="shared" si="8"/>
        <v>1052484.8325947956</v>
      </c>
      <c r="BL49" s="2045">
        <f t="shared" si="9"/>
        <v>1052484.8325947956</v>
      </c>
      <c r="BM49" s="2045">
        <f t="shared" si="51"/>
        <v>4209939.3303791825</v>
      </c>
      <c r="BN49" s="2047">
        <v>15</v>
      </c>
      <c r="BO49" s="2047">
        <v>15</v>
      </c>
      <c r="BP49" s="2047">
        <v>15</v>
      </c>
      <c r="BQ49" s="2047">
        <v>15</v>
      </c>
      <c r="BR49" s="2048">
        <f t="shared" si="52"/>
        <v>1052484.8325947956</v>
      </c>
      <c r="BS49" s="2048">
        <f t="shared" si="53"/>
        <v>1052484.8325947956</v>
      </c>
      <c r="BT49" s="2048">
        <f t="shared" si="54"/>
        <v>1052484.8325947956</v>
      </c>
      <c r="BU49" s="2048">
        <f t="shared" si="55"/>
        <v>1052484.8325947956</v>
      </c>
      <c r="BV49" s="1840">
        <f t="shared" si="56"/>
        <v>4209939.3303791825</v>
      </c>
      <c r="BW49" s="2064" t="e">
        <f>INT(#REF!)=INT(BA49)</f>
        <v>#REF!</v>
      </c>
      <c r="BX49" s="2064">
        <v>42</v>
      </c>
      <c r="BY49" s="2064" t="s">
        <v>512</v>
      </c>
    </row>
    <row r="50" spans="1:77" s="1976" customFormat="1" ht="62" x14ac:dyDescent="0.35">
      <c r="A50" s="1372" t="s">
        <v>1494</v>
      </c>
      <c r="B50" s="1372" t="s">
        <v>203</v>
      </c>
      <c r="C50" s="1637">
        <v>0</v>
      </c>
      <c r="D50" s="2053" t="str">
        <f>+'[9]4.3.4'!$A$1</f>
        <v>4.3.4</v>
      </c>
      <c r="E50" s="1372" t="s">
        <v>163</v>
      </c>
      <c r="F50" s="1638">
        <v>2</v>
      </c>
      <c r="G50" s="1638">
        <v>2</v>
      </c>
      <c r="H50" s="1638">
        <v>2</v>
      </c>
      <c r="I50" s="1638">
        <v>2</v>
      </c>
      <c r="J50" s="1372" t="str">
        <f>+'[9]4.3.4'!$B$10</f>
        <v>CI-HWE-PLCV-V01-130601</v>
      </c>
      <c r="K50" s="1372" t="str">
        <f t="shared" si="30"/>
        <v>Nicor Gas PY7-PY10 Adjustable Goals Template_2017-06-30, Tab 4.3.4</v>
      </c>
      <c r="L50" s="1639">
        <v>2610</v>
      </c>
      <c r="M50" s="1639">
        <v>2610</v>
      </c>
      <c r="N50" s="1639">
        <v>2610</v>
      </c>
      <c r="O50" s="1639">
        <v>2610</v>
      </c>
      <c r="P50" s="1637">
        <v>0.68</v>
      </c>
      <c r="Q50" s="1637">
        <v>0.68</v>
      </c>
      <c r="R50" s="1637">
        <v>0.68</v>
      </c>
      <c r="S50" s="1637">
        <v>0.68</v>
      </c>
      <c r="T50" s="1640">
        <f t="shared" si="31"/>
        <v>3549.6000000000004</v>
      </c>
      <c r="U50" s="1640">
        <f t="shared" si="32"/>
        <v>3549.6000000000004</v>
      </c>
      <c r="V50" s="1640">
        <f t="shared" si="33"/>
        <v>3549.6000000000004</v>
      </c>
      <c r="W50" s="1640">
        <f t="shared" si="34"/>
        <v>3549.6000000000004</v>
      </c>
      <c r="X50" s="1640">
        <f t="shared" si="35"/>
        <v>14198.400000000001</v>
      </c>
      <c r="Y50" s="1372" t="str">
        <f t="shared" si="59"/>
        <v>CI-HWE-PLCV-V01-130601</v>
      </c>
      <c r="Z50" s="1372" t="str">
        <f t="shared" si="57"/>
        <v>Nicor Gas PY7-PY10 Adjustable Goals Template_2017-06-30, Tab 4.3.4</v>
      </c>
      <c r="AA50" s="1840">
        <f t="shared" si="58"/>
        <v>2610</v>
      </c>
      <c r="AB50" s="2028"/>
      <c r="AC50" s="1840">
        <f t="shared" si="37"/>
        <v>3549.6000000000004</v>
      </c>
      <c r="AD50" s="1840">
        <f t="shared" si="38"/>
        <v>0</v>
      </c>
      <c r="AE50" s="1372" t="s">
        <v>2793</v>
      </c>
      <c r="AF50" s="1372" t="s">
        <v>3369</v>
      </c>
      <c r="AG50" s="1639">
        <v>2610</v>
      </c>
      <c r="AH50" s="1372" t="s">
        <v>3445</v>
      </c>
      <c r="AI50" s="1640">
        <f t="shared" si="39"/>
        <v>3549.6000000000004</v>
      </c>
      <c r="AJ50" s="1638">
        <f t="shared" si="40"/>
        <v>0</v>
      </c>
      <c r="AK50" s="1372" t="s">
        <v>2793</v>
      </c>
      <c r="AL50" s="1372" t="s">
        <v>3369</v>
      </c>
      <c r="AM50" s="1639">
        <v>2610</v>
      </c>
      <c r="AN50" s="1372" t="str">
        <f t="shared" si="60"/>
        <v>No change</v>
      </c>
      <c r="AO50" s="1640">
        <f t="shared" si="41"/>
        <v>3549.6000000000004</v>
      </c>
      <c r="AP50" s="1638">
        <f t="shared" si="42"/>
        <v>0</v>
      </c>
      <c r="AQ50" s="1372" t="s">
        <v>2793</v>
      </c>
      <c r="AR50" s="1372" t="s">
        <v>3369</v>
      </c>
      <c r="AS50" s="1639">
        <v>2610</v>
      </c>
      <c r="AT50" s="1372" t="str">
        <f t="shared" si="61"/>
        <v>No change</v>
      </c>
      <c r="AU50" s="1640">
        <f t="shared" si="44"/>
        <v>3549.6000000000004</v>
      </c>
      <c r="AV50" s="1638">
        <f t="shared" si="45"/>
        <v>0</v>
      </c>
      <c r="AW50" s="2044">
        <f t="shared" si="46"/>
        <v>3549.6000000000004</v>
      </c>
      <c r="AX50" s="2044">
        <f t="shared" si="47"/>
        <v>3549.6000000000004</v>
      </c>
      <c r="AY50" s="2044">
        <f t="shared" si="48"/>
        <v>3549.6000000000004</v>
      </c>
      <c r="AZ50" s="2044">
        <f t="shared" si="49"/>
        <v>3549.6000000000004</v>
      </c>
      <c r="BA50" s="2045">
        <f t="shared" si="50"/>
        <v>14198.400000000001</v>
      </c>
      <c r="BB50" s="2045" t="str">
        <f>+'[9]4.3.4'!$A$1</f>
        <v>4.3.4</v>
      </c>
      <c r="BC50" s="2045" t="str">
        <f>+'[9]4.3.4'!$A$1</f>
        <v>4.3.4</v>
      </c>
      <c r="BD50" s="2045">
        <v>0</v>
      </c>
      <c r="BE50" s="2051">
        <v>6</v>
      </c>
      <c r="BF50" s="2051">
        <v>6</v>
      </c>
      <c r="BG50" s="2051">
        <v>6</v>
      </c>
      <c r="BH50" s="2051">
        <v>6</v>
      </c>
      <c r="BI50" s="2045">
        <f t="shared" si="6"/>
        <v>21297.600000000002</v>
      </c>
      <c r="BJ50" s="2045">
        <f t="shared" si="7"/>
        <v>21297.600000000002</v>
      </c>
      <c r="BK50" s="2045">
        <f t="shared" si="8"/>
        <v>21297.600000000002</v>
      </c>
      <c r="BL50" s="2045">
        <f t="shared" si="9"/>
        <v>21297.600000000002</v>
      </c>
      <c r="BM50" s="2045">
        <f t="shared" si="51"/>
        <v>85190.400000000009</v>
      </c>
      <c r="BN50" s="2047">
        <v>6</v>
      </c>
      <c r="BO50" s="2047">
        <v>6</v>
      </c>
      <c r="BP50" s="2047">
        <v>6</v>
      </c>
      <c r="BQ50" s="2047">
        <v>6</v>
      </c>
      <c r="BR50" s="2048">
        <f t="shared" si="52"/>
        <v>21297.600000000002</v>
      </c>
      <c r="BS50" s="2048">
        <f t="shared" si="53"/>
        <v>21297.600000000002</v>
      </c>
      <c r="BT50" s="2048">
        <f t="shared" si="54"/>
        <v>21297.600000000002</v>
      </c>
      <c r="BU50" s="2048">
        <f t="shared" si="55"/>
        <v>21297.600000000002</v>
      </c>
      <c r="BV50" s="1840">
        <f t="shared" si="56"/>
        <v>85190.400000000009</v>
      </c>
      <c r="BW50" s="2064" t="e">
        <f>INT(#REF!)=INT(BA50)</f>
        <v>#REF!</v>
      </c>
      <c r="BX50" s="2064">
        <v>43</v>
      </c>
      <c r="BY50" s="2064" t="s">
        <v>512</v>
      </c>
    </row>
    <row r="51" spans="1:77" s="1976" customFormat="1" ht="62" x14ac:dyDescent="0.35">
      <c r="A51" s="1372" t="s">
        <v>1494</v>
      </c>
      <c r="B51" s="1372" t="s">
        <v>204</v>
      </c>
      <c r="C51" s="1637">
        <v>0</v>
      </c>
      <c r="D51" s="2053" t="str">
        <f>+'[9]4.3.4'!$A$1</f>
        <v>4.3.4</v>
      </c>
      <c r="E51" s="1372" t="s">
        <v>163</v>
      </c>
      <c r="F51" s="1638">
        <v>5</v>
      </c>
      <c r="G51" s="1638">
        <v>5</v>
      </c>
      <c r="H51" s="1638">
        <v>5</v>
      </c>
      <c r="I51" s="1638">
        <v>5</v>
      </c>
      <c r="J51" s="1372" t="str">
        <f>+'[9]4.3.4'!$B$10</f>
        <v>CI-HWE-PLCV-V01-130601</v>
      </c>
      <c r="K51" s="1372" t="str">
        <f t="shared" si="30"/>
        <v>Nicor Gas PY7-PY10 Adjustable Goals Template_2017-06-30, Tab 4.3.4</v>
      </c>
      <c r="L51" s="1639">
        <v>1010</v>
      </c>
      <c r="M51" s="1639">
        <v>1010</v>
      </c>
      <c r="N51" s="1639">
        <v>1010</v>
      </c>
      <c r="O51" s="1639">
        <v>1010</v>
      </c>
      <c r="P51" s="1637">
        <v>0.68</v>
      </c>
      <c r="Q51" s="1637">
        <v>0.68</v>
      </c>
      <c r="R51" s="1637">
        <v>0.68</v>
      </c>
      <c r="S51" s="1637">
        <v>0.68</v>
      </c>
      <c r="T51" s="1640">
        <f t="shared" si="31"/>
        <v>3434.0000000000005</v>
      </c>
      <c r="U51" s="1640">
        <f t="shared" si="32"/>
        <v>3434.0000000000005</v>
      </c>
      <c r="V51" s="1640">
        <f t="shared" si="33"/>
        <v>3434.0000000000005</v>
      </c>
      <c r="W51" s="1640">
        <f t="shared" si="34"/>
        <v>3434.0000000000005</v>
      </c>
      <c r="X51" s="1640">
        <f t="shared" si="35"/>
        <v>13736.000000000002</v>
      </c>
      <c r="Y51" s="1372" t="str">
        <f t="shared" si="59"/>
        <v>CI-HWE-PLCV-V01-130601</v>
      </c>
      <c r="Z51" s="1372" t="str">
        <f t="shared" si="57"/>
        <v>Nicor Gas PY7-PY10 Adjustable Goals Template_2017-06-30, Tab 4.3.4</v>
      </c>
      <c r="AA51" s="1840">
        <f t="shared" si="58"/>
        <v>1010</v>
      </c>
      <c r="AB51" s="2028"/>
      <c r="AC51" s="1840">
        <f t="shared" si="37"/>
        <v>3434.0000000000005</v>
      </c>
      <c r="AD51" s="1840">
        <f t="shared" si="38"/>
        <v>0</v>
      </c>
      <c r="AE51" s="1372" t="s">
        <v>2793</v>
      </c>
      <c r="AF51" s="1372" t="s">
        <v>3369</v>
      </c>
      <c r="AG51" s="1639">
        <v>1010</v>
      </c>
      <c r="AH51" s="1372" t="s">
        <v>3445</v>
      </c>
      <c r="AI51" s="1640">
        <f t="shared" si="39"/>
        <v>3434.0000000000005</v>
      </c>
      <c r="AJ51" s="1638">
        <f t="shared" si="40"/>
        <v>0</v>
      </c>
      <c r="AK51" s="1372" t="s">
        <v>2793</v>
      </c>
      <c r="AL51" s="1372" t="s">
        <v>3369</v>
      </c>
      <c r="AM51" s="1639">
        <v>1010</v>
      </c>
      <c r="AN51" s="1372" t="str">
        <f t="shared" si="60"/>
        <v>No change</v>
      </c>
      <c r="AO51" s="1640">
        <f t="shared" si="41"/>
        <v>3434.0000000000005</v>
      </c>
      <c r="AP51" s="1638">
        <f t="shared" si="42"/>
        <v>0</v>
      </c>
      <c r="AQ51" s="1372" t="s">
        <v>2793</v>
      </c>
      <c r="AR51" s="1372" t="s">
        <v>3369</v>
      </c>
      <c r="AS51" s="1639">
        <v>1010</v>
      </c>
      <c r="AT51" s="1372" t="str">
        <f t="shared" si="61"/>
        <v>No change</v>
      </c>
      <c r="AU51" s="1640">
        <f t="shared" si="44"/>
        <v>3434.0000000000005</v>
      </c>
      <c r="AV51" s="1638">
        <f t="shared" si="45"/>
        <v>0</v>
      </c>
      <c r="AW51" s="2044">
        <f t="shared" si="46"/>
        <v>3434.0000000000005</v>
      </c>
      <c r="AX51" s="2044">
        <f t="shared" si="47"/>
        <v>3434.0000000000005</v>
      </c>
      <c r="AY51" s="2044">
        <f t="shared" si="48"/>
        <v>3434.0000000000005</v>
      </c>
      <c r="AZ51" s="2044">
        <f t="shared" si="49"/>
        <v>3434.0000000000005</v>
      </c>
      <c r="BA51" s="2045">
        <f t="shared" si="50"/>
        <v>13736.000000000002</v>
      </c>
      <c r="BB51" s="2045" t="str">
        <f>+'[9]4.3.4'!$A$1</f>
        <v>4.3.4</v>
      </c>
      <c r="BC51" s="2045" t="str">
        <f>+'[9]4.3.4'!$A$1</f>
        <v>4.3.4</v>
      </c>
      <c r="BD51" s="2045">
        <v>0</v>
      </c>
      <c r="BE51" s="2051">
        <v>6</v>
      </c>
      <c r="BF51" s="2051">
        <v>6</v>
      </c>
      <c r="BG51" s="2051">
        <v>6</v>
      </c>
      <c r="BH51" s="2051">
        <v>6</v>
      </c>
      <c r="BI51" s="2045">
        <f t="shared" si="6"/>
        <v>20604.000000000004</v>
      </c>
      <c r="BJ51" s="2045">
        <f t="shared" si="7"/>
        <v>20604.000000000004</v>
      </c>
      <c r="BK51" s="2045">
        <f t="shared" si="8"/>
        <v>20604.000000000004</v>
      </c>
      <c r="BL51" s="2045">
        <f t="shared" si="9"/>
        <v>20604.000000000004</v>
      </c>
      <c r="BM51" s="2045">
        <f t="shared" si="51"/>
        <v>82416.000000000015</v>
      </c>
      <c r="BN51" s="2047">
        <v>6</v>
      </c>
      <c r="BO51" s="2047">
        <v>6</v>
      </c>
      <c r="BP51" s="2047">
        <v>6</v>
      </c>
      <c r="BQ51" s="2047">
        <v>6</v>
      </c>
      <c r="BR51" s="2048">
        <f t="shared" si="52"/>
        <v>20604.000000000004</v>
      </c>
      <c r="BS51" s="2048">
        <f t="shared" si="53"/>
        <v>20604.000000000004</v>
      </c>
      <c r="BT51" s="2048">
        <f t="shared" si="54"/>
        <v>20604.000000000004</v>
      </c>
      <c r="BU51" s="2048">
        <f t="shared" si="55"/>
        <v>20604.000000000004</v>
      </c>
      <c r="BV51" s="1840">
        <f t="shared" si="56"/>
        <v>82416.000000000015</v>
      </c>
      <c r="BW51" s="2064" t="e">
        <f>INT(#REF!)=INT(BA51)</f>
        <v>#REF!</v>
      </c>
      <c r="BX51" s="2064">
        <v>44</v>
      </c>
      <c r="BY51" s="2064" t="s">
        <v>512</v>
      </c>
    </row>
    <row r="52" spans="1:77" s="1976" customFormat="1" ht="62" x14ac:dyDescent="0.35">
      <c r="A52" s="1372" t="s">
        <v>1494</v>
      </c>
      <c r="B52" s="1372" t="s">
        <v>157</v>
      </c>
      <c r="C52" s="1637">
        <v>0</v>
      </c>
      <c r="D52" s="2053" t="str">
        <f>+'[9]4.2.15'!$A$1</f>
        <v>4.2.15</v>
      </c>
      <c r="E52" s="1372" t="s">
        <v>163</v>
      </c>
      <c r="F52" s="1638">
        <v>3</v>
      </c>
      <c r="G52" s="1638">
        <v>3</v>
      </c>
      <c r="H52" s="1638">
        <v>3</v>
      </c>
      <c r="I52" s="1638">
        <v>3</v>
      </c>
      <c r="J52" s="1372" t="str">
        <f>'[9]4.2.15'!$B$8</f>
        <v>CI-FSE-IRUB-V02-180101</v>
      </c>
      <c r="K52" s="1372" t="str">
        <f t="shared" si="30"/>
        <v>Nicor Gas PY7-PY10 Adjustable Goals Template_2017-06-30, Tab 4.2.15</v>
      </c>
      <c r="L52" s="1639">
        <v>943.48799999999983</v>
      </c>
      <c r="M52" s="1639">
        <v>943.48799999999983</v>
      </c>
      <c r="N52" s="1639">
        <v>943.48799999999983</v>
      </c>
      <c r="O52" s="1639">
        <v>943.48799999999983</v>
      </c>
      <c r="P52" s="1637">
        <v>0.68</v>
      </c>
      <c r="Q52" s="1637">
        <v>0.68</v>
      </c>
      <c r="R52" s="1637">
        <v>0.68</v>
      </c>
      <c r="S52" s="1637">
        <v>0.68</v>
      </c>
      <c r="T52" s="1640">
        <f t="shared" si="31"/>
        <v>1924.7155199999997</v>
      </c>
      <c r="U52" s="1640">
        <f t="shared" si="32"/>
        <v>1924.7155199999997</v>
      </c>
      <c r="V52" s="1640">
        <f t="shared" si="33"/>
        <v>1924.7155199999997</v>
      </c>
      <c r="W52" s="1640">
        <f t="shared" si="34"/>
        <v>1924.7155199999997</v>
      </c>
      <c r="X52" s="1640">
        <f t="shared" si="35"/>
        <v>7698.862079999999</v>
      </c>
      <c r="Y52" s="1372" t="str">
        <f t="shared" si="59"/>
        <v>CI-FSE-IRUB-V02-180101</v>
      </c>
      <c r="Z52" s="1372" t="str">
        <f t="shared" si="57"/>
        <v>Nicor Gas PY7-PY10 Adjustable Goals Template_2017-06-30, Tab 4.2.15</v>
      </c>
      <c r="AA52" s="1840">
        <f t="shared" si="58"/>
        <v>943.48799999999983</v>
      </c>
      <c r="AB52" s="2028"/>
      <c r="AC52" s="1840">
        <f t="shared" si="37"/>
        <v>1924.7155199999997</v>
      </c>
      <c r="AD52" s="1840">
        <f t="shared" si="38"/>
        <v>0</v>
      </c>
      <c r="AE52" s="1372" t="s">
        <v>2787</v>
      </c>
      <c r="AF52" s="1372" t="s">
        <v>3370</v>
      </c>
      <c r="AG52" s="1639">
        <v>943.48799999999983</v>
      </c>
      <c r="AH52" s="1372" t="s">
        <v>3445</v>
      </c>
      <c r="AI52" s="1640">
        <f t="shared" si="39"/>
        <v>1924.7155199999997</v>
      </c>
      <c r="AJ52" s="1638">
        <f t="shared" si="40"/>
        <v>0</v>
      </c>
      <c r="AK52" s="1372" t="s">
        <v>2787</v>
      </c>
      <c r="AL52" s="1372" t="s">
        <v>3370</v>
      </c>
      <c r="AM52" s="1639">
        <v>943.48799999999983</v>
      </c>
      <c r="AN52" s="1372" t="str">
        <f t="shared" si="60"/>
        <v>No change</v>
      </c>
      <c r="AO52" s="1640">
        <f t="shared" si="41"/>
        <v>1924.7155199999997</v>
      </c>
      <c r="AP52" s="1638">
        <f t="shared" si="42"/>
        <v>0</v>
      </c>
      <c r="AQ52" s="1372" t="s">
        <v>2787</v>
      </c>
      <c r="AR52" s="1372" t="s">
        <v>3370</v>
      </c>
      <c r="AS52" s="1639">
        <v>943.48799999999983</v>
      </c>
      <c r="AT52" s="1372" t="str">
        <f t="shared" si="61"/>
        <v>No change</v>
      </c>
      <c r="AU52" s="1640">
        <f t="shared" si="44"/>
        <v>1924.7155199999997</v>
      </c>
      <c r="AV52" s="1638">
        <f t="shared" si="45"/>
        <v>0</v>
      </c>
      <c r="AW52" s="2044">
        <f t="shared" si="46"/>
        <v>1924.7155199999997</v>
      </c>
      <c r="AX52" s="2044">
        <f t="shared" si="47"/>
        <v>1924.7155199999997</v>
      </c>
      <c r="AY52" s="2044">
        <f t="shared" si="48"/>
        <v>1924.7155199999997</v>
      </c>
      <c r="AZ52" s="2044">
        <f t="shared" si="49"/>
        <v>1924.7155199999997</v>
      </c>
      <c r="BA52" s="2045">
        <f t="shared" si="50"/>
        <v>7698.862079999999</v>
      </c>
      <c r="BB52" s="2045" t="str">
        <f>+'[9]4.2.15'!$A$1</f>
        <v>4.2.15</v>
      </c>
      <c r="BC52" s="2045" t="str">
        <f>+'[9]4.2.15'!$A$1</f>
        <v>4.2.15</v>
      </c>
      <c r="BD52" s="2045">
        <v>0</v>
      </c>
      <c r="BE52" s="2051">
        <v>12</v>
      </c>
      <c r="BF52" s="2051">
        <v>12</v>
      </c>
      <c r="BG52" s="2051">
        <v>12</v>
      </c>
      <c r="BH52" s="2051">
        <v>12</v>
      </c>
      <c r="BI52" s="2045">
        <f t="shared" si="6"/>
        <v>23096.586239999997</v>
      </c>
      <c r="BJ52" s="2045">
        <f t="shared" si="7"/>
        <v>23096.586239999997</v>
      </c>
      <c r="BK52" s="2045">
        <f t="shared" si="8"/>
        <v>23096.586239999997</v>
      </c>
      <c r="BL52" s="2045">
        <f t="shared" si="9"/>
        <v>23096.586239999997</v>
      </c>
      <c r="BM52" s="2045">
        <f t="shared" si="51"/>
        <v>92386.344959999988</v>
      </c>
      <c r="BN52" s="2047">
        <v>12</v>
      </c>
      <c r="BO52" s="2047">
        <v>12</v>
      </c>
      <c r="BP52" s="2047">
        <v>12</v>
      </c>
      <c r="BQ52" s="2047">
        <v>12</v>
      </c>
      <c r="BR52" s="2048">
        <f t="shared" si="52"/>
        <v>23096.586239999997</v>
      </c>
      <c r="BS52" s="2048">
        <f t="shared" si="53"/>
        <v>23096.586239999997</v>
      </c>
      <c r="BT52" s="2048">
        <f t="shared" si="54"/>
        <v>23096.586239999997</v>
      </c>
      <c r="BU52" s="2048">
        <f t="shared" si="55"/>
        <v>23096.586239999997</v>
      </c>
      <c r="BV52" s="1840">
        <f t="shared" si="56"/>
        <v>92386.344959999988</v>
      </c>
      <c r="BW52" s="2064" t="e">
        <f>INT(#REF!)=INT(BA52)</f>
        <v>#REF!</v>
      </c>
      <c r="BX52" s="2064">
        <v>45</v>
      </c>
      <c r="BY52" s="2064" t="s">
        <v>512</v>
      </c>
    </row>
    <row r="53" spans="1:77" s="1976" customFormat="1" ht="62" x14ac:dyDescent="0.35">
      <c r="A53" s="1372" t="s">
        <v>1494</v>
      </c>
      <c r="B53" s="1372" t="s">
        <v>153</v>
      </c>
      <c r="C53" s="1637">
        <v>0</v>
      </c>
      <c r="D53" s="2053" t="str">
        <f>+'[9]4.2.12'!$A$1</f>
        <v>4.2.12</v>
      </c>
      <c r="E53" s="1372" t="s">
        <v>163</v>
      </c>
      <c r="F53" s="1638">
        <v>5</v>
      </c>
      <c r="G53" s="1638">
        <v>5</v>
      </c>
      <c r="H53" s="1638">
        <v>5</v>
      </c>
      <c r="I53" s="1638">
        <v>5</v>
      </c>
      <c r="J53" s="1372" t="str">
        <f>'[9]4.2.12'!$B$8</f>
        <v>CI-FSE-IRCB-V02-180101</v>
      </c>
      <c r="K53" s="1372" t="str">
        <f t="shared" si="30"/>
        <v>Nicor Gas PY7-PY10 Adjustable Goals Template_2017-06-30, Tab 4.2.12</v>
      </c>
      <c r="L53" s="1639">
        <v>706.68</v>
      </c>
      <c r="M53" s="1639">
        <v>706.68</v>
      </c>
      <c r="N53" s="1639">
        <v>706.68</v>
      </c>
      <c r="O53" s="1639">
        <v>706.68</v>
      </c>
      <c r="P53" s="1637">
        <v>0.68</v>
      </c>
      <c r="Q53" s="1637">
        <v>0.68</v>
      </c>
      <c r="R53" s="1637">
        <v>0.68</v>
      </c>
      <c r="S53" s="1637">
        <v>0.68</v>
      </c>
      <c r="T53" s="1640">
        <f t="shared" si="31"/>
        <v>2402.712</v>
      </c>
      <c r="U53" s="1640">
        <f t="shared" si="32"/>
        <v>2402.712</v>
      </c>
      <c r="V53" s="1640">
        <f t="shared" si="33"/>
        <v>2402.712</v>
      </c>
      <c r="W53" s="1640">
        <f t="shared" si="34"/>
        <v>2402.712</v>
      </c>
      <c r="X53" s="1640">
        <f t="shared" si="35"/>
        <v>9610.848</v>
      </c>
      <c r="Y53" s="1372" t="str">
        <f t="shared" si="59"/>
        <v>CI-FSE-IRCB-V02-180101</v>
      </c>
      <c r="Z53" s="1372" t="str">
        <f t="shared" si="57"/>
        <v>Nicor Gas PY7-PY10 Adjustable Goals Template_2017-06-30, Tab 4.2.12</v>
      </c>
      <c r="AA53" s="1840">
        <f t="shared" si="58"/>
        <v>706.68</v>
      </c>
      <c r="AB53" s="2028"/>
      <c r="AC53" s="1840">
        <f t="shared" si="37"/>
        <v>2402.712</v>
      </c>
      <c r="AD53" s="1840">
        <f t="shared" si="38"/>
        <v>0</v>
      </c>
      <c r="AE53" s="1372" t="s">
        <v>2784</v>
      </c>
      <c r="AF53" s="1372" t="s">
        <v>3371</v>
      </c>
      <c r="AG53" s="1639">
        <v>706.68</v>
      </c>
      <c r="AH53" s="1372" t="s">
        <v>3445</v>
      </c>
      <c r="AI53" s="1640">
        <f t="shared" si="39"/>
        <v>2402.712</v>
      </c>
      <c r="AJ53" s="1638">
        <f t="shared" si="40"/>
        <v>0</v>
      </c>
      <c r="AK53" s="1372" t="s">
        <v>2784</v>
      </c>
      <c r="AL53" s="1372" t="s">
        <v>3371</v>
      </c>
      <c r="AM53" s="1639">
        <v>706.68</v>
      </c>
      <c r="AN53" s="1372" t="str">
        <f t="shared" si="60"/>
        <v>No change</v>
      </c>
      <c r="AO53" s="1640">
        <f t="shared" si="41"/>
        <v>2402.712</v>
      </c>
      <c r="AP53" s="1638">
        <f t="shared" si="42"/>
        <v>0</v>
      </c>
      <c r="AQ53" s="1372" t="s">
        <v>2784</v>
      </c>
      <c r="AR53" s="1372" t="s">
        <v>3371</v>
      </c>
      <c r="AS53" s="1639">
        <v>706.68</v>
      </c>
      <c r="AT53" s="1372" t="str">
        <f t="shared" si="61"/>
        <v>No change</v>
      </c>
      <c r="AU53" s="1640">
        <f t="shared" si="44"/>
        <v>2402.712</v>
      </c>
      <c r="AV53" s="1638">
        <f t="shared" si="45"/>
        <v>0</v>
      </c>
      <c r="AW53" s="2044">
        <f t="shared" si="46"/>
        <v>2402.712</v>
      </c>
      <c r="AX53" s="2044">
        <f t="shared" si="47"/>
        <v>2402.712</v>
      </c>
      <c r="AY53" s="2044">
        <f t="shared" si="48"/>
        <v>2402.712</v>
      </c>
      <c r="AZ53" s="2044">
        <f t="shared" si="49"/>
        <v>2402.712</v>
      </c>
      <c r="BA53" s="2045">
        <f t="shared" si="50"/>
        <v>9610.848</v>
      </c>
      <c r="BB53" s="2045" t="str">
        <f>+'[9]4.2.12'!$A$1</f>
        <v>4.2.12</v>
      </c>
      <c r="BC53" s="2045" t="str">
        <f>+'[9]4.2.12'!$A$1</f>
        <v>4.2.12</v>
      </c>
      <c r="BD53" s="2045">
        <v>0</v>
      </c>
      <c r="BE53" s="2051">
        <v>12</v>
      </c>
      <c r="BF53" s="2051">
        <v>12</v>
      </c>
      <c r="BG53" s="2051">
        <v>12</v>
      </c>
      <c r="BH53" s="2051">
        <v>12</v>
      </c>
      <c r="BI53" s="2045">
        <f t="shared" si="6"/>
        <v>28832.544000000002</v>
      </c>
      <c r="BJ53" s="2045">
        <f t="shared" si="7"/>
        <v>28832.544000000002</v>
      </c>
      <c r="BK53" s="2045">
        <f t="shared" si="8"/>
        <v>28832.544000000002</v>
      </c>
      <c r="BL53" s="2045">
        <f t="shared" si="9"/>
        <v>28832.544000000002</v>
      </c>
      <c r="BM53" s="2045">
        <f t="shared" si="51"/>
        <v>115330.17600000001</v>
      </c>
      <c r="BN53" s="2047">
        <v>12</v>
      </c>
      <c r="BO53" s="2047">
        <v>12</v>
      </c>
      <c r="BP53" s="2047">
        <v>12</v>
      </c>
      <c r="BQ53" s="2047">
        <v>12</v>
      </c>
      <c r="BR53" s="2048">
        <f t="shared" si="52"/>
        <v>28832.544000000002</v>
      </c>
      <c r="BS53" s="2048">
        <f t="shared" si="53"/>
        <v>28832.544000000002</v>
      </c>
      <c r="BT53" s="2048">
        <f t="shared" si="54"/>
        <v>28832.544000000002</v>
      </c>
      <c r="BU53" s="2048">
        <f t="shared" si="55"/>
        <v>28832.544000000002</v>
      </c>
      <c r="BV53" s="1840">
        <f t="shared" si="56"/>
        <v>115330.17600000001</v>
      </c>
      <c r="BW53" s="2064" t="e">
        <f>INT(#REF!)=INT(BA53)</f>
        <v>#REF!</v>
      </c>
      <c r="BX53" s="2064">
        <v>46</v>
      </c>
      <c r="BY53" s="2064" t="s">
        <v>512</v>
      </c>
    </row>
    <row r="54" spans="1:77" s="1976" customFormat="1" ht="62" x14ac:dyDescent="0.35">
      <c r="A54" s="1372" t="s">
        <v>1494</v>
      </c>
      <c r="B54" s="1372" t="s">
        <v>159</v>
      </c>
      <c r="C54" s="1637">
        <v>0</v>
      </c>
      <c r="D54" s="2053" t="str">
        <f>+'[9]4.2.17'!$A$1</f>
        <v>4.2.17</v>
      </c>
      <c r="E54" s="1372" t="s">
        <v>163</v>
      </c>
      <c r="F54" s="1638">
        <v>8</v>
      </c>
      <c r="G54" s="1638">
        <v>8</v>
      </c>
      <c r="H54" s="1638">
        <v>8</v>
      </c>
      <c r="I54" s="1638">
        <v>8</v>
      </c>
      <c r="J54" s="1372" t="str">
        <f>'[9]4.2.17'!$B$12</f>
        <v>CI-FSE-PCOK-V02-180101</v>
      </c>
      <c r="K54" s="1372" t="str">
        <f t="shared" si="30"/>
        <v>Nicor Gas PY7-PY10 Adjustable Goals Template_2017-06-30, Tab 4.2.17</v>
      </c>
      <c r="L54" s="1639">
        <v>1380</v>
      </c>
      <c r="M54" s="1639">
        <v>1380</v>
      </c>
      <c r="N54" s="1639">
        <v>1380</v>
      </c>
      <c r="O54" s="1639">
        <v>1380</v>
      </c>
      <c r="P54" s="1637">
        <v>0.68</v>
      </c>
      <c r="Q54" s="1637">
        <v>0.68</v>
      </c>
      <c r="R54" s="1637">
        <v>0.68</v>
      </c>
      <c r="S54" s="1637">
        <v>0.68</v>
      </c>
      <c r="T54" s="1640">
        <f t="shared" si="31"/>
        <v>7507.2000000000007</v>
      </c>
      <c r="U54" s="1640">
        <f t="shared" si="32"/>
        <v>7507.2000000000007</v>
      </c>
      <c r="V54" s="1640">
        <f t="shared" si="33"/>
        <v>7507.2000000000007</v>
      </c>
      <c r="W54" s="1640">
        <f t="shared" si="34"/>
        <v>7507.2000000000007</v>
      </c>
      <c r="X54" s="1640">
        <f t="shared" si="35"/>
        <v>30028.800000000003</v>
      </c>
      <c r="Y54" s="1372" t="str">
        <f t="shared" si="59"/>
        <v>CI-FSE-PCOK-V02-180101</v>
      </c>
      <c r="Z54" s="1372" t="str">
        <f t="shared" si="57"/>
        <v>Nicor Gas PY7-PY10 Adjustable Goals Template_2017-06-30, Tab 4.2.17</v>
      </c>
      <c r="AA54" s="1840">
        <f t="shared" si="58"/>
        <v>1380</v>
      </c>
      <c r="AB54" s="2028"/>
      <c r="AC54" s="1840">
        <f t="shared" si="37"/>
        <v>7507.2000000000007</v>
      </c>
      <c r="AD54" s="1840">
        <f t="shared" si="38"/>
        <v>0</v>
      </c>
      <c r="AE54" s="1372" t="s">
        <v>2788</v>
      </c>
      <c r="AF54" s="1372" t="s">
        <v>3372</v>
      </c>
      <c r="AG54" s="1639">
        <v>1380</v>
      </c>
      <c r="AH54" s="1372" t="s">
        <v>3445</v>
      </c>
      <c r="AI54" s="1640">
        <f t="shared" si="39"/>
        <v>7507.2000000000007</v>
      </c>
      <c r="AJ54" s="1638">
        <f t="shared" si="40"/>
        <v>0</v>
      </c>
      <c r="AK54" s="1372" t="s">
        <v>2788</v>
      </c>
      <c r="AL54" s="1372" t="s">
        <v>3372</v>
      </c>
      <c r="AM54" s="1639">
        <v>1380</v>
      </c>
      <c r="AN54" s="1372" t="str">
        <f t="shared" si="60"/>
        <v>No change</v>
      </c>
      <c r="AO54" s="1640">
        <f t="shared" si="41"/>
        <v>7507.2000000000007</v>
      </c>
      <c r="AP54" s="1638">
        <f t="shared" si="42"/>
        <v>0</v>
      </c>
      <c r="AQ54" s="1372" t="s">
        <v>2788</v>
      </c>
      <c r="AR54" s="1372" t="s">
        <v>3372</v>
      </c>
      <c r="AS54" s="1639">
        <v>1380</v>
      </c>
      <c r="AT54" s="1372" t="str">
        <f t="shared" si="61"/>
        <v>No change</v>
      </c>
      <c r="AU54" s="1640">
        <f t="shared" si="44"/>
        <v>7507.2000000000007</v>
      </c>
      <c r="AV54" s="1638">
        <f t="shared" si="45"/>
        <v>0</v>
      </c>
      <c r="AW54" s="2044">
        <f t="shared" si="46"/>
        <v>7507.2000000000007</v>
      </c>
      <c r="AX54" s="2044">
        <f t="shared" si="47"/>
        <v>7507.2000000000007</v>
      </c>
      <c r="AY54" s="2044">
        <f t="shared" si="48"/>
        <v>7507.2000000000007</v>
      </c>
      <c r="AZ54" s="2044">
        <f t="shared" si="49"/>
        <v>7507.2000000000007</v>
      </c>
      <c r="BA54" s="2045">
        <f t="shared" si="50"/>
        <v>30028.800000000003</v>
      </c>
      <c r="BB54" s="2045" t="str">
        <f>+'[9]4.2.17'!$A$1</f>
        <v>4.2.17</v>
      </c>
      <c r="BC54" s="2045" t="str">
        <f>+'[9]4.2.17'!$A$1</f>
        <v>4.2.17</v>
      </c>
      <c r="BD54" s="2045">
        <v>0</v>
      </c>
      <c r="BE54" s="2051">
        <v>12</v>
      </c>
      <c r="BF54" s="2051">
        <v>12</v>
      </c>
      <c r="BG54" s="2051">
        <v>12</v>
      </c>
      <c r="BH54" s="2051">
        <v>12</v>
      </c>
      <c r="BI54" s="2045">
        <f t="shared" si="6"/>
        <v>90086.400000000009</v>
      </c>
      <c r="BJ54" s="2045">
        <f t="shared" si="7"/>
        <v>90086.400000000009</v>
      </c>
      <c r="BK54" s="2045">
        <f t="shared" si="8"/>
        <v>90086.400000000009</v>
      </c>
      <c r="BL54" s="2045">
        <f t="shared" si="9"/>
        <v>90086.400000000009</v>
      </c>
      <c r="BM54" s="2045">
        <f t="shared" si="51"/>
        <v>360345.60000000003</v>
      </c>
      <c r="BN54" s="2047">
        <v>12</v>
      </c>
      <c r="BO54" s="2047">
        <v>12</v>
      </c>
      <c r="BP54" s="2047">
        <v>12</v>
      </c>
      <c r="BQ54" s="2047">
        <v>12</v>
      </c>
      <c r="BR54" s="2048">
        <f t="shared" si="52"/>
        <v>90086.400000000009</v>
      </c>
      <c r="BS54" s="2048">
        <f t="shared" si="53"/>
        <v>90086.400000000009</v>
      </c>
      <c r="BT54" s="2048">
        <f t="shared" si="54"/>
        <v>90086.400000000009</v>
      </c>
      <c r="BU54" s="2048">
        <f t="shared" si="55"/>
        <v>90086.400000000009</v>
      </c>
      <c r="BV54" s="1840">
        <f t="shared" si="56"/>
        <v>360345.60000000003</v>
      </c>
      <c r="BW54" s="2064" t="e">
        <f>INT(#REF!)=INT(BA54)</f>
        <v>#REF!</v>
      </c>
      <c r="BX54" s="2064">
        <v>47</v>
      </c>
      <c r="BY54" s="2064" t="s">
        <v>512</v>
      </c>
    </row>
    <row r="55" spans="1:77" s="1976" customFormat="1" ht="62" x14ac:dyDescent="0.35">
      <c r="A55" s="1372" t="s">
        <v>1494</v>
      </c>
      <c r="B55" s="1372" t="s">
        <v>155</v>
      </c>
      <c r="C55" s="1637">
        <v>0</v>
      </c>
      <c r="D55" s="2053" t="str">
        <f>+'[9]4.2.13'!$A$1</f>
        <v>4.2.13</v>
      </c>
      <c r="E55" s="1372" t="s">
        <v>163</v>
      </c>
      <c r="F55" s="1638">
        <v>4</v>
      </c>
      <c r="G55" s="1638">
        <v>4</v>
      </c>
      <c r="H55" s="1638">
        <v>4</v>
      </c>
      <c r="I55" s="1638">
        <v>4</v>
      </c>
      <c r="J55" s="1372" t="str">
        <f>'[9]4.2.13'!$B$8</f>
        <v>CI-FSE-IROV-V02-180101</v>
      </c>
      <c r="K55" s="1372" t="str">
        <f t="shared" si="30"/>
        <v>Nicor Gas PY7-PY10 Adjustable Goals Template_2017-06-30, Tab 4.2.13</v>
      </c>
      <c r="L55" s="1639">
        <v>599.04</v>
      </c>
      <c r="M55" s="1639">
        <v>599.04</v>
      </c>
      <c r="N55" s="1639">
        <v>599.04</v>
      </c>
      <c r="O55" s="1639">
        <v>599.04</v>
      </c>
      <c r="P55" s="1637">
        <v>0.68</v>
      </c>
      <c r="Q55" s="1637">
        <v>0.68</v>
      </c>
      <c r="R55" s="1637">
        <v>0.68</v>
      </c>
      <c r="S55" s="1637">
        <v>0.68</v>
      </c>
      <c r="T55" s="1640">
        <f t="shared" si="31"/>
        <v>1629.3887999999999</v>
      </c>
      <c r="U55" s="1640">
        <f t="shared" si="32"/>
        <v>1629.3887999999999</v>
      </c>
      <c r="V55" s="1640">
        <f t="shared" si="33"/>
        <v>1629.3887999999999</v>
      </c>
      <c r="W55" s="1640">
        <f t="shared" si="34"/>
        <v>1629.3887999999999</v>
      </c>
      <c r="X55" s="1640">
        <f t="shared" si="35"/>
        <v>6517.5551999999998</v>
      </c>
      <c r="Y55" s="1372" t="str">
        <f t="shared" si="59"/>
        <v>CI-FSE-IROV-V02-180101</v>
      </c>
      <c r="Z55" s="1372" t="str">
        <f t="shared" si="57"/>
        <v>Nicor Gas PY7-PY10 Adjustable Goals Template_2017-06-30, Tab 4.2.13</v>
      </c>
      <c r="AA55" s="1840">
        <f t="shared" si="58"/>
        <v>599.04</v>
      </c>
      <c r="AB55" s="2028"/>
      <c r="AC55" s="1840">
        <f t="shared" si="37"/>
        <v>1629.3887999999999</v>
      </c>
      <c r="AD55" s="1840">
        <f t="shared" si="38"/>
        <v>0</v>
      </c>
      <c r="AE55" s="1372" t="s">
        <v>2785</v>
      </c>
      <c r="AF55" s="1372" t="s">
        <v>3373</v>
      </c>
      <c r="AG55" s="1639">
        <v>599.04</v>
      </c>
      <c r="AH55" s="1372" t="s">
        <v>3445</v>
      </c>
      <c r="AI55" s="1640">
        <f t="shared" si="39"/>
        <v>1629.3887999999999</v>
      </c>
      <c r="AJ55" s="1638">
        <f t="shared" si="40"/>
        <v>0</v>
      </c>
      <c r="AK55" s="1372" t="s">
        <v>2785</v>
      </c>
      <c r="AL55" s="1372" t="s">
        <v>3373</v>
      </c>
      <c r="AM55" s="1639">
        <v>599.04</v>
      </c>
      <c r="AN55" s="1372" t="str">
        <f t="shared" si="60"/>
        <v>No change</v>
      </c>
      <c r="AO55" s="1640">
        <f t="shared" si="41"/>
        <v>1629.3887999999999</v>
      </c>
      <c r="AP55" s="1638">
        <f t="shared" si="42"/>
        <v>0</v>
      </c>
      <c r="AQ55" s="1372" t="s">
        <v>2785</v>
      </c>
      <c r="AR55" s="1372" t="s">
        <v>3373</v>
      </c>
      <c r="AS55" s="1639">
        <v>599.04</v>
      </c>
      <c r="AT55" s="1372" t="str">
        <f t="shared" si="61"/>
        <v>No change</v>
      </c>
      <c r="AU55" s="1640">
        <f t="shared" si="44"/>
        <v>1629.3887999999999</v>
      </c>
      <c r="AV55" s="1638">
        <f t="shared" si="45"/>
        <v>0</v>
      </c>
      <c r="AW55" s="2044">
        <f t="shared" si="46"/>
        <v>1629.3887999999999</v>
      </c>
      <c r="AX55" s="2044">
        <f t="shared" si="47"/>
        <v>1629.3887999999999</v>
      </c>
      <c r="AY55" s="2044">
        <f t="shared" si="48"/>
        <v>1629.3887999999999</v>
      </c>
      <c r="AZ55" s="2044">
        <f t="shared" si="49"/>
        <v>1629.3887999999999</v>
      </c>
      <c r="BA55" s="2045">
        <f t="shared" si="50"/>
        <v>6517.5551999999998</v>
      </c>
      <c r="BB55" s="2045" t="str">
        <f>+'[9]4.2.13'!$A$1</f>
        <v>4.2.13</v>
      </c>
      <c r="BC55" s="2045" t="str">
        <f>+'[9]4.2.13'!$A$1</f>
        <v>4.2.13</v>
      </c>
      <c r="BD55" s="2045">
        <v>0</v>
      </c>
      <c r="BE55" s="2051">
        <v>12</v>
      </c>
      <c r="BF55" s="2051">
        <v>12</v>
      </c>
      <c r="BG55" s="2051">
        <v>12</v>
      </c>
      <c r="BH55" s="2051">
        <v>12</v>
      </c>
      <c r="BI55" s="2045">
        <f t="shared" si="6"/>
        <v>19552.6656</v>
      </c>
      <c r="BJ55" s="2045">
        <f t="shared" si="7"/>
        <v>19552.6656</v>
      </c>
      <c r="BK55" s="2045">
        <f t="shared" si="8"/>
        <v>19552.6656</v>
      </c>
      <c r="BL55" s="2045">
        <f t="shared" si="9"/>
        <v>19552.6656</v>
      </c>
      <c r="BM55" s="2045">
        <f t="shared" si="51"/>
        <v>78210.662400000001</v>
      </c>
      <c r="BN55" s="2047">
        <v>12</v>
      </c>
      <c r="BO55" s="2047">
        <v>12</v>
      </c>
      <c r="BP55" s="2047">
        <v>12</v>
      </c>
      <c r="BQ55" s="2047">
        <v>12</v>
      </c>
      <c r="BR55" s="2048">
        <f t="shared" si="52"/>
        <v>19552.6656</v>
      </c>
      <c r="BS55" s="2048">
        <f t="shared" si="53"/>
        <v>19552.6656</v>
      </c>
      <c r="BT55" s="2048">
        <f t="shared" si="54"/>
        <v>19552.6656</v>
      </c>
      <c r="BU55" s="2048">
        <f t="shared" si="55"/>
        <v>19552.6656</v>
      </c>
      <c r="BV55" s="1840">
        <f t="shared" si="56"/>
        <v>78210.662400000001</v>
      </c>
      <c r="BW55" s="2064" t="e">
        <f>INT(#REF!)=INT(BA55)</f>
        <v>#REF!</v>
      </c>
      <c r="BX55" s="2064">
        <v>48</v>
      </c>
      <c r="BY55" s="2064" t="s">
        <v>512</v>
      </c>
    </row>
    <row r="56" spans="1:77" s="1976" customFormat="1" ht="62" x14ac:dyDescent="0.35">
      <c r="A56" s="1372" t="s">
        <v>1494</v>
      </c>
      <c r="B56" s="1372" t="s">
        <v>151</v>
      </c>
      <c r="C56" s="1637">
        <v>0</v>
      </c>
      <c r="D56" s="2053" t="str">
        <f>+'[9]4.2.14'!$A$1</f>
        <v>4.2.14</v>
      </c>
      <c r="E56" s="1372" t="s">
        <v>163</v>
      </c>
      <c r="F56" s="1638">
        <v>7</v>
      </c>
      <c r="G56" s="1638">
        <v>7</v>
      </c>
      <c r="H56" s="1638">
        <v>7</v>
      </c>
      <c r="I56" s="1638">
        <v>7</v>
      </c>
      <c r="J56" s="1372" t="str">
        <f>'[9]4.2.14'!$B$8</f>
        <v>CI-FSE-IRBL-V02-180101</v>
      </c>
      <c r="K56" s="1372" t="str">
        <f t="shared" si="30"/>
        <v>Nicor Gas PY7-PY10 Adjustable Goals Template_2017-06-30, Tab 4.2.14</v>
      </c>
      <c r="L56" s="1639">
        <v>240.23999999999995</v>
      </c>
      <c r="M56" s="1639">
        <v>240.23999999999995</v>
      </c>
      <c r="N56" s="1639">
        <v>240.23999999999995</v>
      </c>
      <c r="O56" s="1639">
        <v>240.23999999999995</v>
      </c>
      <c r="P56" s="1637">
        <v>0.68</v>
      </c>
      <c r="Q56" s="1637">
        <v>0.68</v>
      </c>
      <c r="R56" s="1637">
        <v>0.68</v>
      </c>
      <c r="S56" s="1637">
        <v>0.68</v>
      </c>
      <c r="T56" s="1640">
        <f t="shared" si="31"/>
        <v>1143.5423999999998</v>
      </c>
      <c r="U56" s="1640">
        <f t="shared" si="32"/>
        <v>1143.5423999999998</v>
      </c>
      <c r="V56" s="1640">
        <f t="shared" si="33"/>
        <v>1143.5423999999998</v>
      </c>
      <c r="W56" s="1640">
        <f t="shared" si="34"/>
        <v>1143.5423999999998</v>
      </c>
      <c r="X56" s="1640">
        <f t="shared" si="35"/>
        <v>4574.1695999999993</v>
      </c>
      <c r="Y56" s="1372" t="str">
        <f t="shared" si="59"/>
        <v>CI-FSE-IRBL-V02-180101</v>
      </c>
      <c r="Z56" s="1372" t="str">
        <f t="shared" si="57"/>
        <v>Nicor Gas PY7-PY10 Adjustable Goals Template_2017-06-30, Tab 4.2.14</v>
      </c>
      <c r="AA56" s="1840">
        <f t="shared" si="58"/>
        <v>240.23999999999995</v>
      </c>
      <c r="AB56" s="2028"/>
      <c r="AC56" s="1840">
        <f t="shared" si="37"/>
        <v>1143.5423999999998</v>
      </c>
      <c r="AD56" s="1840">
        <f t="shared" si="38"/>
        <v>0</v>
      </c>
      <c r="AE56" s="1372" t="s">
        <v>2786</v>
      </c>
      <c r="AF56" s="1372" t="s">
        <v>3374</v>
      </c>
      <c r="AG56" s="1639">
        <v>240.23999999999995</v>
      </c>
      <c r="AH56" s="1372" t="s">
        <v>3445</v>
      </c>
      <c r="AI56" s="1640">
        <f t="shared" si="39"/>
        <v>1143.5423999999998</v>
      </c>
      <c r="AJ56" s="1638">
        <f t="shared" si="40"/>
        <v>0</v>
      </c>
      <c r="AK56" s="1372" t="s">
        <v>2786</v>
      </c>
      <c r="AL56" s="1372" t="s">
        <v>3374</v>
      </c>
      <c r="AM56" s="1639">
        <v>240.23999999999995</v>
      </c>
      <c r="AN56" s="1372" t="str">
        <f t="shared" si="60"/>
        <v>No change</v>
      </c>
      <c r="AO56" s="1640">
        <f t="shared" si="41"/>
        <v>1143.5423999999998</v>
      </c>
      <c r="AP56" s="1638">
        <f t="shared" si="42"/>
        <v>0</v>
      </c>
      <c r="AQ56" s="1372" t="s">
        <v>2786</v>
      </c>
      <c r="AR56" s="1372" t="s">
        <v>3374</v>
      </c>
      <c r="AS56" s="1639">
        <v>240.23999999999995</v>
      </c>
      <c r="AT56" s="1372" t="str">
        <f t="shared" si="61"/>
        <v>No change</v>
      </c>
      <c r="AU56" s="1640">
        <f t="shared" si="44"/>
        <v>1143.5423999999998</v>
      </c>
      <c r="AV56" s="1638">
        <f t="shared" si="45"/>
        <v>0</v>
      </c>
      <c r="AW56" s="2044">
        <f t="shared" si="46"/>
        <v>1143.5423999999998</v>
      </c>
      <c r="AX56" s="2044">
        <f t="shared" si="47"/>
        <v>1143.5423999999998</v>
      </c>
      <c r="AY56" s="2044">
        <f t="shared" si="48"/>
        <v>1143.5423999999998</v>
      </c>
      <c r="AZ56" s="2044">
        <f t="shared" si="49"/>
        <v>1143.5423999999998</v>
      </c>
      <c r="BA56" s="2045">
        <f t="shared" si="50"/>
        <v>4574.1695999999993</v>
      </c>
      <c r="BB56" s="2045" t="str">
        <f>+'[9]4.2.14'!$A$1</f>
        <v>4.2.14</v>
      </c>
      <c r="BC56" s="2045" t="str">
        <f>+'[9]4.2.14'!$A$1</f>
        <v>4.2.14</v>
      </c>
      <c r="BD56" s="2045">
        <v>0</v>
      </c>
      <c r="BE56" s="2051">
        <v>12</v>
      </c>
      <c r="BF56" s="2051">
        <v>12</v>
      </c>
      <c r="BG56" s="2051">
        <v>12</v>
      </c>
      <c r="BH56" s="2051">
        <v>12</v>
      </c>
      <c r="BI56" s="2045">
        <f t="shared" si="6"/>
        <v>13722.5088</v>
      </c>
      <c r="BJ56" s="2045">
        <f t="shared" si="7"/>
        <v>13722.5088</v>
      </c>
      <c r="BK56" s="2045">
        <f t="shared" si="8"/>
        <v>13722.5088</v>
      </c>
      <c r="BL56" s="2045">
        <f t="shared" si="9"/>
        <v>13722.5088</v>
      </c>
      <c r="BM56" s="2045">
        <f t="shared" si="51"/>
        <v>54890.035199999998</v>
      </c>
      <c r="BN56" s="2047">
        <v>12</v>
      </c>
      <c r="BO56" s="2047">
        <v>12</v>
      </c>
      <c r="BP56" s="2047">
        <v>12</v>
      </c>
      <c r="BQ56" s="2047">
        <v>12</v>
      </c>
      <c r="BR56" s="2048">
        <f t="shared" si="52"/>
        <v>13722.5088</v>
      </c>
      <c r="BS56" s="2048">
        <f t="shared" si="53"/>
        <v>13722.5088</v>
      </c>
      <c r="BT56" s="2048">
        <f t="shared" si="54"/>
        <v>13722.5088</v>
      </c>
      <c r="BU56" s="2048">
        <f t="shared" si="55"/>
        <v>13722.5088</v>
      </c>
      <c r="BV56" s="1840">
        <f t="shared" si="56"/>
        <v>54890.035199999998</v>
      </c>
      <c r="BW56" s="2064" t="e">
        <f>INT(#REF!)=INT(BA56)</f>
        <v>#REF!</v>
      </c>
      <c r="BX56" s="2064">
        <v>49</v>
      </c>
      <c r="BY56" s="2064" t="s">
        <v>512</v>
      </c>
    </row>
    <row r="57" spans="1:77" s="1976" customFormat="1" ht="62" x14ac:dyDescent="0.35">
      <c r="A57" s="1372" t="s">
        <v>1494</v>
      </c>
      <c r="B57" s="1372" t="s">
        <v>166</v>
      </c>
      <c r="C57" s="1637">
        <v>0</v>
      </c>
      <c r="D57" s="2053" t="str">
        <f>+'[9]4.2.3'!$A$1</f>
        <v>4.2.3</v>
      </c>
      <c r="E57" s="1372" t="s">
        <v>163</v>
      </c>
      <c r="F57" s="1638">
        <v>1</v>
      </c>
      <c r="G57" s="1638">
        <v>1</v>
      </c>
      <c r="H57" s="1638">
        <v>1</v>
      </c>
      <c r="I57" s="1638">
        <v>1</v>
      </c>
      <c r="J57" s="1372" t="str">
        <f>'[9]4.2.3'!$B$16</f>
        <v>CI-FSE-STMC-V04-160601</v>
      </c>
      <c r="K57" s="1372" t="str">
        <f t="shared" si="30"/>
        <v>Nicor Gas PY7-PY10 Adjustable Goals Template_2017-06-30, Tab 4.2.3</v>
      </c>
      <c r="L57" s="1639">
        <v>752.01231086676478</v>
      </c>
      <c r="M57" s="1639">
        <v>752.01231086676478</v>
      </c>
      <c r="N57" s="1639">
        <v>752.01231086676478</v>
      </c>
      <c r="O57" s="1639">
        <v>752.01231086676478</v>
      </c>
      <c r="P57" s="1637">
        <v>0.68</v>
      </c>
      <c r="Q57" s="1637">
        <v>0.68</v>
      </c>
      <c r="R57" s="1637">
        <v>0.68</v>
      </c>
      <c r="S57" s="1637">
        <v>0.68</v>
      </c>
      <c r="T57" s="1640">
        <f t="shared" si="31"/>
        <v>511.36837138940007</v>
      </c>
      <c r="U57" s="1640">
        <f t="shared" si="32"/>
        <v>511.36837138940007</v>
      </c>
      <c r="V57" s="1640">
        <f t="shared" si="33"/>
        <v>511.36837138940007</v>
      </c>
      <c r="W57" s="1640">
        <f t="shared" si="34"/>
        <v>511.36837138940007</v>
      </c>
      <c r="X57" s="1640">
        <f t="shared" si="35"/>
        <v>2045.4734855576003</v>
      </c>
      <c r="Y57" s="1372" t="str">
        <f t="shared" si="59"/>
        <v>CI-FSE-STMC-V04-160601</v>
      </c>
      <c r="Z57" s="1372" t="str">
        <f t="shared" si="57"/>
        <v>Nicor Gas PY7-PY10 Adjustable Goals Template_2017-06-30, Tab 4.2.3</v>
      </c>
      <c r="AA57" s="1840">
        <f t="shared" si="58"/>
        <v>752.01231086676478</v>
      </c>
      <c r="AB57" s="2028"/>
      <c r="AC57" s="1840">
        <f t="shared" si="37"/>
        <v>511.36837138940007</v>
      </c>
      <c r="AD57" s="1840">
        <f t="shared" si="38"/>
        <v>0</v>
      </c>
      <c r="AE57" s="1372" t="s">
        <v>2566</v>
      </c>
      <c r="AF57" s="1372" t="s">
        <v>3375</v>
      </c>
      <c r="AG57" s="1639">
        <v>752.01231086676478</v>
      </c>
      <c r="AH57" s="1372" t="s">
        <v>3445</v>
      </c>
      <c r="AI57" s="1640">
        <f t="shared" si="39"/>
        <v>511.36837138940007</v>
      </c>
      <c r="AJ57" s="1638">
        <f t="shared" si="40"/>
        <v>0</v>
      </c>
      <c r="AK57" s="1372" t="s">
        <v>2566</v>
      </c>
      <c r="AL57" s="1372" t="s">
        <v>3375</v>
      </c>
      <c r="AM57" s="1639">
        <v>752.01231086676478</v>
      </c>
      <c r="AN57" s="1372" t="str">
        <f t="shared" si="60"/>
        <v>No change</v>
      </c>
      <c r="AO57" s="1640">
        <f t="shared" si="41"/>
        <v>511.36837138940007</v>
      </c>
      <c r="AP57" s="1638">
        <f t="shared" si="42"/>
        <v>0</v>
      </c>
      <c r="AQ57" s="1372" t="s">
        <v>2566</v>
      </c>
      <c r="AR57" s="1372" t="s">
        <v>3375</v>
      </c>
      <c r="AS57" s="1639">
        <v>752.01231086676478</v>
      </c>
      <c r="AT57" s="1372" t="str">
        <f t="shared" si="61"/>
        <v>No change</v>
      </c>
      <c r="AU57" s="1640">
        <f t="shared" si="44"/>
        <v>511.36837138940007</v>
      </c>
      <c r="AV57" s="1638">
        <f t="shared" si="45"/>
        <v>0</v>
      </c>
      <c r="AW57" s="2044">
        <f t="shared" si="46"/>
        <v>511.36837138940007</v>
      </c>
      <c r="AX57" s="2044">
        <f t="shared" si="47"/>
        <v>511.36837138940007</v>
      </c>
      <c r="AY57" s="2044">
        <f t="shared" si="48"/>
        <v>511.36837138940007</v>
      </c>
      <c r="AZ57" s="2044">
        <f t="shared" si="49"/>
        <v>511.36837138940007</v>
      </c>
      <c r="BA57" s="2045">
        <f t="shared" si="50"/>
        <v>2045.4734855576003</v>
      </c>
      <c r="BB57" s="2045" t="str">
        <f>+'[9]4.2.3'!$A$1</f>
        <v>4.2.3</v>
      </c>
      <c r="BC57" s="2045" t="str">
        <f>+'[9]4.2.3'!$A$1</f>
        <v>4.2.3</v>
      </c>
      <c r="BD57" s="2045">
        <v>0</v>
      </c>
      <c r="BE57" s="2051">
        <v>12</v>
      </c>
      <c r="BF57" s="2051">
        <v>12</v>
      </c>
      <c r="BG57" s="2051">
        <v>12</v>
      </c>
      <c r="BH57" s="2051">
        <v>12</v>
      </c>
      <c r="BI57" s="2045">
        <f t="shared" si="6"/>
        <v>6136.4204566728004</v>
      </c>
      <c r="BJ57" s="2045">
        <f t="shared" si="7"/>
        <v>6136.4204566728004</v>
      </c>
      <c r="BK57" s="2045">
        <f t="shared" si="8"/>
        <v>6136.4204566728004</v>
      </c>
      <c r="BL57" s="2045">
        <f t="shared" si="9"/>
        <v>6136.4204566728004</v>
      </c>
      <c r="BM57" s="2045">
        <f t="shared" si="51"/>
        <v>24545.681826691201</v>
      </c>
      <c r="BN57" s="2047">
        <v>12</v>
      </c>
      <c r="BO57" s="2047">
        <v>12</v>
      </c>
      <c r="BP57" s="2047">
        <v>12</v>
      </c>
      <c r="BQ57" s="2047">
        <v>12</v>
      </c>
      <c r="BR57" s="2048">
        <f t="shared" si="52"/>
        <v>6136.4204566728004</v>
      </c>
      <c r="BS57" s="2048">
        <f t="shared" si="53"/>
        <v>6136.4204566728004</v>
      </c>
      <c r="BT57" s="2048">
        <f t="shared" si="54"/>
        <v>6136.4204566728004</v>
      </c>
      <c r="BU57" s="2048">
        <f t="shared" si="55"/>
        <v>6136.4204566728004</v>
      </c>
      <c r="BV57" s="1840">
        <f t="shared" si="56"/>
        <v>24545.681826691201</v>
      </c>
      <c r="BW57" s="2064" t="e">
        <f>INT(#REF!)=INT(BA57)</f>
        <v>#REF!</v>
      </c>
      <c r="BX57" s="2064">
        <v>50</v>
      </c>
      <c r="BY57" s="2064" t="s">
        <v>512</v>
      </c>
    </row>
    <row r="58" spans="1:77" s="1976" customFormat="1" ht="62" x14ac:dyDescent="0.35">
      <c r="A58" s="1372" t="s">
        <v>1494</v>
      </c>
      <c r="B58" s="1372" t="s">
        <v>2657</v>
      </c>
      <c r="C58" s="1637">
        <v>0</v>
      </c>
      <c r="D58" s="2053" t="str">
        <f>+'[9]4.2.5'!$A$1</f>
        <v>4.2.5</v>
      </c>
      <c r="E58" s="1372" t="s">
        <v>163</v>
      </c>
      <c r="F58" s="1638">
        <v>14</v>
      </c>
      <c r="G58" s="1638">
        <v>14</v>
      </c>
      <c r="H58" s="1638">
        <v>14</v>
      </c>
      <c r="I58" s="1638">
        <v>14</v>
      </c>
      <c r="J58" s="1372" t="str">
        <f>'[9]4.2.5'!$B$11</f>
        <v>CI-FSE-ESCV-V02-180101</v>
      </c>
      <c r="K58" s="1372" t="str">
        <f t="shared" si="30"/>
        <v>Nicor Gas PY7-PY10 Adjustable Goals Template_2017-06-30, Tab 4.2.5</v>
      </c>
      <c r="L58" s="1639">
        <v>353.45688664596281</v>
      </c>
      <c r="M58" s="1639">
        <v>353.45688664596281</v>
      </c>
      <c r="N58" s="1639">
        <v>353.45688664596281</v>
      </c>
      <c r="O58" s="1639">
        <v>353.45688664596281</v>
      </c>
      <c r="P58" s="1637">
        <v>0.68</v>
      </c>
      <c r="Q58" s="1637">
        <v>0.68</v>
      </c>
      <c r="R58" s="1637">
        <v>0.68</v>
      </c>
      <c r="S58" s="1637">
        <v>0.68</v>
      </c>
      <c r="T58" s="1640">
        <f t="shared" si="31"/>
        <v>3364.9095608695666</v>
      </c>
      <c r="U58" s="1640">
        <f t="shared" si="32"/>
        <v>3364.9095608695666</v>
      </c>
      <c r="V58" s="1640">
        <f t="shared" si="33"/>
        <v>3364.9095608695666</v>
      </c>
      <c r="W58" s="1640">
        <f t="shared" si="34"/>
        <v>3364.9095608695666</v>
      </c>
      <c r="X58" s="1640">
        <f t="shared" si="35"/>
        <v>13459.638243478266</v>
      </c>
      <c r="Y58" s="1372" t="str">
        <f t="shared" si="59"/>
        <v>CI-FSE-ESCV-V02-180101</v>
      </c>
      <c r="Z58" s="1372" t="str">
        <f t="shared" si="57"/>
        <v>Nicor Gas PY7-PY10 Adjustable Goals Template_2017-06-30, Tab 4.2.5</v>
      </c>
      <c r="AA58" s="1840">
        <f t="shared" si="58"/>
        <v>353.45688664596281</v>
      </c>
      <c r="AB58" s="2028"/>
      <c r="AC58" s="1840">
        <f t="shared" si="37"/>
        <v>3364.9095608695666</v>
      </c>
      <c r="AD58" s="1840">
        <f t="shared" si="38"/>
        <v>0</v>
      </c>
      <c r="AE58" s="1372" t="s">
        <v>2782</v>
      </c>
      <c r="AF58" s="1372" t="s">
        <v>3376</v>
      </c>
      <c r="AG58" s="1639">
        <v>353.45688664596281</v>
      </c>
      <c r="AH58" s="1372" t="s">
        <v>3445</v>
      </c>
      <c r="AI58" s="1640">
        <f t="shared" si="39"/>
        <v>3364.9095608695666</v>
      </c>
      <c r="AJ58" s="1638">
        <f t="shared" si="40"/>
        <v>0</v>
      </c>
      <c r="AK58" s="1372" t="s">
        <v>2782</v>
      </c>
      <c r="AL58" s="1372" t="s">
        <v>3376</v>
      </c>
      <c r="AM58" s="1639">
        <v>353.45688664596281</v>
      </c>
      <c r="AN58" s="1372" t="str">
        <f t="shared" si="60"/>
        <v>No change</v>
      </c>
      <c r="AO58" s="1640">
        <f t="shared" si="41"/>
        <v>3364.9095608695666</v>
      </c>
      <c r="AP58" s="1638">
        <f t="shared" si="42"/>
        <v>0</v>
      </c>
      <c r="AQ58" s="1372" t="s">
        <v>2782</v>
      </c>
      <c r="AR58" s="1372" t="s">
        <v>3376</v>
      </c>
      <c r="AS58" s="1639">
        <v>353.45688664596281</v>
      </c>
      <c r="AT58" s="1372" t="str">
        <f t="shared" si="61"/>
        <v>No change</v>
      </c>
      <c r="AU58" s="1640">
        <f t="shared" si="44"/>
        <v>3364.9095608695666</v>
      </c>
      <c r="AV58" s="1638">
        <f t="shared" si="45"/>
        <v>0</v>
      </c>
      <c r="AW58" s="2044">
        <f t="shared" si="46"/>
        <v>3364.9095608695666</v>
      </c>
      <c r="AX58" s="2044">
        <f t="shared" si="47"/>
        <v>3364.9095608695666</v>
      </c>
      <c r="AY58" s="2044">
        <f t="shared" si="48"/>
        <v>3364.9095608695666</v>
      </c>
      <c r="AZ58" s="2044">
        <f t="shared" si="49"/>
        <v>3364.9095608695666</v>
      </c>
      <c r="BA58" s="2045">
        <f t="shared" si="50"/>
        <v>13459.638243478266</v>
      </c>
      <c r="BB58" s="2045" t="str">
        <f>+'[9]4.2.5'!$A$1</f>
        <v>4.2.5</v>
      </c>
      <c r="BC58" s="2045" t="str">
        <f>+'[9]4.2.5'!$A$1</f>
        <v>4.2.5</v>
      </c>
      <c r="BD58" s="2045">
        <v>0</v>
      </c>
      <c r="BE58" s="2051">
        <v>12</v>
      </c>
      <c r="BF58" s="2051">
        <v>12</v>
      </c>
      <c r="BG58" s="2051">
        <v>12</v>
      </c>
      <c r="BH58" s="2051">
        <v>12</v>
      </c>
      <c r="BI58" s="2045">
        <f t="shared" si="6"/>
        <v>40378.914730434801</v>
      </c>
      <c r="BJ58" s="2045">
        <f t="shared" si="7"/>
        <v>40378.914730434801</v>
      </c>
      <c r="BK58" s="2045">
        <f t="shared" si="8"/>
        <v>40378.914730434801</v>
      </c>
      <c r="BL58" s="2045">
        <f t="shared" si="9"/>
        <v>40378.914730434801</v>
      </c>
      <c r="BM58" s="2045">
        <f t="shared" si="51"/>
        <v>161515.6589217392</v>
      </c>
      <c r="BN58" s="2047">
        <v>12</v>
      </c>
      <c r="BO58" s="2047">
        <v>12</v>
      </c>
      <c r="BP58" s="2047">
        <v>12</v>
      </c>
      <c r="BQ58" s="2047">
        <v>12</v>
      </c>
      <c r="BR58" s="2048">
        <f t="shared" si="52"/>
        <v>40378.914730434801</v>
      </c>
      <c r="BS58" s="2048">
        <f t="shared" si="53"/>
        <v>40378.914730434801</v>
      </c>
      <c r="BT58" s="2048">
        <f t="shared" si="54"/>
        <v>40378.914730434801</v>
      </c>
      <c r="BU58" s="2048">
        <f t="shared" si="55"/>
        <v>40378.914730434801</v>
      </c>
      <c r="BV58" s="1840">
        <f t="shared" si="56"/>
        <v>161515.6589217392</v>
      </c>
      <c r="BW58" s="2064" t="e">
        <f>INT(#REF!)=INT(BA58)</f>
        <v>#REF!</v>
      </c>
      <c r="BX58" s="2064">
        <v>51</v>
      </c>
      <c r="BY58" s="2064" t="s">
        <v>512</v>
      </c>
    </row>
    <row r="59" spans="1:77" s="1976" customFormat="1" ht="61.5" customHeight="1" x14ac:dyDescent="0.35">
      <c r="A59" s="1372" t="s">
        <v>1494</v>
      </c>
      <c r="B59" s="1372" t="s">
        <v>1835</v>
      </c>
      <c r="C59" s="1637">
        <v>0</v>
      </c>
      <c r="D59" s="2053" t="str">
        <f>+'[9]4.2.1'!$A$1</f>
        <v>4.2.1</v>
      </c>
      <c r="E59" s="1372" t="s">
        <v>163</v>
      </c>
      <c r="F59" s="1638">
        <v>4</v>
      </c>
      <c r="G59" s="1638">
        <v>4</v>
      </c>
      <c r="H59" s="1638">
        <v>4</v>
      </c>
      <c r="I59" s="1638">
        <v>4</v>
      </c>
      <c r="J59" s="1372" t="str">
        <f>'[9]4.2.1'!$B$12</f>
        <v>CI-FSE-CBOV-V02-160601</v>
      </c>
      <c r="K59" s="1372" t="str">
        <f t="shared" si="30"/>
        <v>Nicor Gas PY7-PY10 Adjustable Goals Template_2017-06-30, Tab 4.2.1</v>
      </c>
      <c r="L59" s="1639">
        <v>363.70538907682175</v>
      </c>
      <c r="M59" s="1639">
        <v>363.70538907682175</v>
      </c>
      <c r="N59" s="1639">
        <v>363.70538907682175</v>
      </c>
      <c r="O59" s="1639">
        <v>363.70538907682175</v>
      </c>
      <c r="P59" s="1637">
        <v>0.68</v>
      </c>
      <c r="Q59" s="1637">
        <v>0.68</v>
      </c>
      <c r="R59" s="1637">
        <v>0.68</v>
      </c>
      <c r="S59" s="1637">
        <v>0.68</v>
      </c>
      <c r="T59" s="1640">
        <f t="shared" si="31"/>
        <v>989.27865828895517</v>
      </c>
      <c r="U59" s="1640">
        <f t="shared" si="32"/>
        <v>989.27865828895517</v>
      </c>
      <c r="V59" s="1640">
        <f t="shared" si="33"/>
        <v>989.27865828895517</v>
      </c>
      <c r="W59" s="1640">
        <f t="shared" si="34"/>
        <v>989.27865828895517</v>
      </c>
      <c r="X59" s="1640">
        <f t="shared" si="35"/>
        <v>3957.1146331558207</v>
      </c>
      <c r="Y59" s="1372" t="str">
        <f t="shared" si="59"/>
        <v>CI-FSE-CBOV-V02-160601</v>
      </c>
      <c r="Z59" s="1372" t="str">
        <f t="shared" si="57"/>
        <v>Nicor Gas PY7-PY10 Adjustable Goals Template_2017-06-30, Tab 4.2.1</v>
      </c>
      <c r="AA59" s="2024">
        <f t="shared" si="58"/>
        <v>363.70538907682175</v>
      </c>
      <c r="AB59" s="2028"/>
      <c r="AC59" s="1840">
        <f t="shared" si="37"/>
        <v>989.27865828895517</v>
      </c>
      <c r="AD59" s="1840">
        <f t="shared" si="38"/>
        <v>0</v>
      </c>
      <c r="AE59" s="1372" t="s">
        <v>2565</v>
      </c>
      <c r="AF59" s="1372" t="s">
        <v>3377</v>
      </c>
      <c r="AG59" s="1639">
        <v>363.70538907682175</v>
      </c>
      <c r="AH59" s="1372" t="s">
        <v>3445</v>
      </c>
      <c r="AI59" s="1640">
        <f t="shared" si="39"/>
        <v>989.27865828895517</v>
      </c>
      <c r="AJ59" s="1638">
        <f t="shared" si="40"/>
        <v>0</v>
      </c>
      <c r="AK59" s="1372" t="s">
        <v>2565</v>
      </c>
      <c r="AL59" s="1372" t="s">
        <v>3377</v>
      </c>
      <c r="AM59" s="1639">
        <v>363.70538907682175</v>
      </c>
      <c r="AN59" s="1372" t="str">
        <f t="shared" si="60"/>
        <v>No change</v>
      </c>
      <c r="AO59" s="1640">
        <f t="shared" si="41"/>
        <v>989.27865828895517</v>
      </c>
      <c r="AP59" s="1638">
        <f t="shared" si="42"/>
        <v>0</v>
      </c>
      <c r="AQ59" s="1372" t="s">
        <v>2565</v>
      </c>
      <c r="AR59" s="1372" t="s">
        <v>3377</v>
      </c>
      <c r="AS59" s="1639">
        <v>363.70538907682175</v>
      </c>
      <c r="AT59" s="1372" t="str">
        <f t="shared" si="61"/>
        <v>No change</v>
      </c>
      <c r="AU59" s="1640">
        <f t="shared" si="44"/>
        <v>989.27865828895517</v>
      </c>
      <c r="AV59" s="1638">
        <f t="shared" si="45"/>
        <v>0</v>
      </c>
      <c r="AW59" s="2044">
        <f t="shared" si="46"/>
        <v>989.27865828895517</v>
      </c>
      <c r="AX59" s="2044">
        <f t="shared" si="47"/>
        <v>989.27865828895517</v>
      </c>
      <c r="AY59" s="2044">
        <f t="shared" si="48"/>
        <v>989.27865828895517</v>
      </c>
      <c r="AZ59" s="2044">
        <f t="shared" si="49"/>
        <v>989.27865828895517</v>
      </c>
      <c r="BA59" s="2045">
        <f t="shared" si="50"/>
        <v>3957.1146331558207</v>
      </c>
      <c r="BB59" s="2045" t="str">
        <f>+'[9]4.2.1'!$A$1</f>
        <v>4.2.1</v>
      </c>
      <c r="BC59" s="2045" t="str">
        <f>+'[9]4.2.1'!$A$1</f>
        <v>4.2.1</v>
      </c>
      <c r="BD59" s="2045">
        <v>0</v>
      </c>
      <c r="BE59" s="2051">
        <v>12</v>
      </c>
      <c r="BF59" s="2051">
        <v>12</v>
      </c>
      <c r="BG59" s="2051">
        <v>12</v>
      </c>
      <c r="BH59" s="2051">
        <v>12</v>
      </c>
      <c r="BI59" s="2045">
        <f t="shared" si="6"/>
        <v>11871.343899467462</v>
      </c>
      <c r="BJ59" s="2045">
        <f t="shared" si="7"/>
        <v>11871.343899467462</v>
      </c>
      <c r="BK59" s="2045">
        <f t="shared" si="8"/>
        <v>11871.343899467462</v>
      </c>
      <c r="BL59" s="2045">
        <f t="shared" si="9"/>
        <v>11871.343899467462</v>
      </c>
      <c r="BM59" s="2045">
        <f t="shared" si="51"/>
        <v>47485.375597869846</v>
      </c>
      <c r="BN59" s="2047">
        <v>12</v>
      </c>
      <c r="BO59" s="2047">
        <v>12</v>
      </c>
      <c r="BP59" s="2047">
        <v>12</v>
      </c>
      <c r="BQ59" s="2047">
        <v>12</v>
      </c>
      <c r="BR59" s="2048">
        <f t="shared" si="52"/>
        <v>11871.343899467462</v>
      </c>
      <c r="BS59" s="2048">
        <f t="shared" si="53"/>
        <v>11871.343899467462</v>
      </c>
      <c r="BT59" s="2048">
        <f t="shared" si="54"/>
        <v>11871.343899467462</v>
      </c>
      <c r="BU59" s="2048">
        <f t="shared" si="55"/>
        <v>11871.343899467462</v>
      </c>
      <c r="BV59" s="1840">
        <f t="shared" si="56"/>
        <v>47485.375597869846</v>
      </c>
      <c r="BW59" s="2064" t="e">
        <f>INT(#REF!)=INT(BA59)</f>
        <v>#REF!</v>
      </c>
      <c r="BX59" s="2064">
        <v>52</v>
      </c>
      <c r="BY59" s="2064" t="s">
        <v>512</v>
      </c>
    </row>
    <row r="60" spans="1:77" s="1976" customFormat="1" ht="18" customHeight="1" x14ac:dyDescent="0.35">
      <c r="A60" s="1372" t="s">
        <v>1494</v>
      </c>
      <c r="B60" s="1372" t="s">
        <v>272</v>
      </c>
      <c r="C60" s="1637">
        <v>0</v>
      </c>
      <c r="D60" s="1372" t="s">
        <v>3516</v>
      </c>
      <c r="E60" s="1843" t="s">
        <v>163</v>
      </c>
      <c r="F60" s="1845">
        <v>6</v>
      </c>
      <c r="G60" s="1845">
        <v>6</v>
      </c>
      <c r="H60" s="1845">
        <v>6</v>
      </c>
      <c r="I60" s="1845">
        <v>6</v>
      </c>
      <c r="J60" s="1843" t="s">
        <v>295</v>
      </c>
      <c r="K60" s="1843" t="str">
        <f t="shared" si="30"/>
        <v>Nicor Gas PY7-PY10 Adjustable Goals Template_2017-06-30, Tab Customized TRM</v>
      </c>
      <c r="L60" s="1846">
        <v>1034</v>
      </c>
      <c r="M60" s="1846">
        <v>1034</v>
      </c>
      <c r="N60" s="1846">
        <v>1034</v>
      </c>
      <c r="O60" s="1846">
        <v>1034</v>
      </c>
      <c r="P60" s="1844">
        <v>0.68</v>
      </c>
      <c r="Q60" s="1844">
        <v>0.68</v>
      </c>
      <c r="R60" s="1844">
        <v>0.68</v>
      </c>
      <c r="S60" s="1844">
        <v>0.68</v>
      </c>
      <c r="T60" s="1847">
        <f t="shared" si="31"/>
        <v>4218.72</v>
      </c>
      <c r="U60" s="1847">
        <f t="shared" si="32"/>
        <v>4218.72</v>
      </c>
      <c r="V60" s="1847">
        <f t="shared" si="33"/>
        <v>4218.72</v>
      </c>
      <c r="W60" s="1847">
        <f t="shared" si="34"/>
        <v>4218.72</v>
      </c>
      <c r="X60" s="1847">
        <f t="shared" si="35"/>
        <v>16874.88</v>
      </c>
      <c r="Y60" s="1843"/>
      <c r="Z60" s="1843" t="str">
        <f t="shared" si="57"/>
        <v>Nicor Gas PY7-PY10 Adjustable Goals Template_2017-06-30, Tab Customized TRM</v>
      </c>
      <c r="AA60" s="1848">
        <f t="shared" si="58"/>
        <v>1034</v>
      </c>
      <c r="AB60" s="1848"/>
      <c r="AC60" s="1848">
        <f t="shared" si="37"/>
        <v>4218.72</v>
      </c>
      <c r="AD60" s="1848">
        <f t="shared" si="38"/>
        <v>0</v>
      </c>
      <c r="AE60" s="1843"/>
      <c r="AF60" s="1843" t="s">
        <v>3361</v>
      </c>
      <c r="AG60" s="1846">
        <v>1034</v>
      </c>
      <c r="AH60" s="1843" t="s">
        <v>3445</v>
      </c>
      <c r="AI60" s="1847">
        <f t="shared" si="39"/>
        <v>4218.72</v>
      </c>
      <c r="AJ60" s="1845">
        <f t="shared" si="40"/>
        <v>0</v>
      </c>
      <c r="AK60" s="1843"/>
      <c r="AL60" s="1843" t="s">
        <v>3361</v>
      </c>
      <c r="AM60" s="1846">
        <v>1034</v>
      </c>
      <c r="AN60" s="1843" t="str">
        <f t="shared" si="60"/>
        <v>No change</v>
      </c>
      <c r="AO60" s="1847">
        <f t="shared" si="41"/>
        <v>4218.72</v>
      </c>
      <c r="AP60" s="1845">
        <f t="shared" si="42"/>
        <v>0</v>
      </c>
      <c r="AQ60" s="1843"/>
      <c r="AR60" s="1843" t="s">
        <v>3361</v>
      </c>
      <c r="AS60" s="1846">
        <v>1034</v>
      </c>
      <c r="AT60" s="1843" t="str">
        <f t="shared" si="61"/>
        <v>No change</v>
      </c>
      <c r="AU60" s="1847">
        <f t="shared" si="44"/>
        <v>4218.72</v>
      </c>
      <c r="AV60" s="1845">
        <f t="shared" si="45"/>
        <v>0</v>
      </c>
      <c r="AW60" s="2123">
        <f t="shared" si="46"/>
        <v>4218.72</v>
      </c>
      <c r="AX60" s="2123">
        <f t="shared" si="47"/>
        <v>4218.72</v>
      </c>
      <c r="AY60" s="2123">
        <f t="shared" si="48"/>
        <v>4218.72</v>
      </c>
      <c r="AZ60" s="2123">
        <f t="shared" si="49"/>
        <v>4218.72</v>
      </c>
      <c r="BA60" s="2051">
        <f t="shared" si="50"/>
        <v>16874.88</v>
      </c>
      <c r="BB60" s="2051"/>
      <c r="BC60" s="2051"/>
      <c r="BD60" s="2045">
        <v>0</v>
      </c>
      <c r="BE60" s="2051">
        <v>12</v>
      </c>
      <c r="BF60" s="2051">
        <v>12</v>
      </c>
      <c r="BG60" s="2051">
        <v>12</v>
      </c>
      <c r="BH60" s="2051">
        <v>12</v>
      </c>
      <c r="BI60" s="2045">
        <f t="shared" si="6"/>
        <v>50624.639999999999</v>
      </c>
      <c r="BJ60" s="2045">
        <f t="shared" si="7"/>
        <v>50624.639999999999</v>
      </c>
      <c r="BK60" s="2045">
        <f t="shared" si="8"/>
        <v>50624.639999999999</v>
      </c>
      <c r="BL60" s="2045">
        <f t="shared" si="9"/>
        <v>50624.639999999999</v>
      </c>
      <c r="BM60" s="2045">
        <f t="shared" si="51"/>
        <v>202498.56</v>
      </c>
      <c r="BN60" s="2047">
        <v>12</v>
      </c>
      <c r="BO60" s="2047">
        <v>12</v>
      </c>
      <c r="BP60" s="2047">
        <v>12</v>
      </c>
      <c r="BQ60" s="2047">
        <v>12</v>
      </c>
      <c r="BR60" s="2048">
        <f t="shared" si="52"/>
        <v>50624.639999999999</v>
      </c>
      <c r="BS60" s="2048">
        <f t="shared" si="53"/>
        <v>50624.639999999999</v>
      </c>
      <c r="BT60" s="2048">
        <f t="shared" si="54"/>
        <v>50624.639999999999</v>
      </c>
      <c r="BU60" s="2048">
        <f t="shared" si="55"/>
        <v>50624.639999999999</v>
      </c>
      <c r="BV60" s="1840">
        <f t="shared" si="56"/>
        <v>202498.56</v>
      </c>
      <c r="BW60" s="2064" t="e">
        <f>INT(#REF!)=INT(BA60)</f>
        <v>#REF!</v>
      </c>
      <c r="BX60" s="2064">
        <v>53</v>
      </c>
      <c r="BY60" s="2064" t="s">
        <v>3485</v>
      </c>
    </row>
    <row r="61" spans="1:77" s="1976" customFormat="1" ht="61.5" customHeight="1" x14ac:dyDescent="0.35">
      <c r="A61" s="1372" t="s">
        <v>1494</v>
      </c>
      <c r="B61" s="1372" t="s">
        <v>161</v>
      </c>
      <c r="C61" s="1637">
        <v>0</v>
      </c>
      <c r="D61" s="2053" t="str">
        <f>+'[9]4.2.18'!$A$1</f>
        <v>4.2.18</v>
      </c>
      <c r="E61" s="1372" t="s">
        <v>163</v>
      </c>
      <c r="F61" s="1638">
        <v>5</v>
      </c>
      <c r="G61" s="1638">
        <v>5</v>
      </c>
      <c r="H61" s="1638">
        <v>5</v>
      </c>
      <c r="I61" s="1638">
        <v>5</v>
      </c>
      <c r="J61" s="1372" t="str">
        <f>'[9]4.2.18'!$B$8</f>
        <v>CI-FSE-RKOV-VO2-180101</v>
      </c>
      <c r="K61" s="1372" t="str">
        <f t="shared" si="30"/>
        <v>Nicor Gas PY7-PY10 Adjustable Goals Template_2017-06-30, Tab 4.2.18</v>
      </c>
      <c r="L61" s="1639">
        <v>1930.5000000000007</v>
      </c>
      <c r="M61" s="1639">
        <v>1930.5000000000007</v>
      </c>
      <c r="N61" s="1639">
        <v>1930.5000000000007</v>
      </c>
      <c r="O61" s="1639">
        <v>1930.5000000000007</v>
      </c>
      <c r="P61" s="1637">
        <v>0.68</v>
      </c>
      <c r="Q61" s="1637">
        <v>0.68</v>
      </c>
      <c r="R61" s="1637">
        <v>0.68</v>
      </c>
      <c r="S61" s="1637">
        <v>0.68</v>
      </c>
      <c r="T61" s="1640">
        <f t="shared" si="31"/>
        <v>6563.7000000000025</v>
      </c>
      <c r="U61" s="1640">
        <f t="shared" si="32"/>
        <v>6563.7000000000025</v>
      </c>
      <c r="V61" s="1640">
        <f t="shared" si="33"/>
        <v>6563.7000000000025</v>
      </c>
      <c r="W61" s="1640">
        <f t="shared" si="34"/>
        <v>6563.7000000000025</v>
      </c>
      <c r="X61" s="1640">
        <f t="shared" si="35"/>
        <v>26254.80000000001</v>
      </c>
      <c r="Y61" s="1372" t="str">
        <f>J61</f>
        <v>CI-FSE-RKOV-VO2-180101</v>
      </c>
      <c r="Z61" s="1372" t="str">
        <f t="shared" si="57"/>
        <v>Nicor Gas PY7-PY10 Adjustable Goals Template_2017-06-30, Tab 4.2.18</v>
      </c>
      <c r="AA61" s="1840">
        <f t="shared" si="58"/>
        <v>1930.5000000000007</v>
      </c>
      <c r="AB61" s="2028"/>
      <c r="AC61" s="1840">
        <f t="shared" si="37"/>
        <v>6563.7000000000025</v>
      </c>
      <c r="AD61" s="1840">
        <f t="shared" si="38"/>
        <v>0</v>
      </c>
      <c r="AE61" s="1372" t="s">
        <v>2789</v>
      </c>
      <c r="AF61" s="1372" t="s">
        <v>3378</v>
      </c>
      <c r="AG61" s="1639">
        <v>1930.5000000000007</v>
      </c>
      <c r="AH61" s="1372" t="s">
        <v>3445</v>
      </c>
      <c r="AI61" s="1640">
        <f t="shared" si="39"/>
        <v>6563.7000000000025</v>
      </c>
      <c r="AJ61" s="1638">
        <f t="shared" si="40"/>
        <v>0</v>
      </c>
      <c r="AK61" s="1372" t="s">
        <v>2789</v>
      </c>
      <c r="AL61" s="1372" t="s">
        <v>3378</v>
      </c>
      <c r="AM61" s="1639">
        <v>1930.5000000000007</v>
      </c>
      <c r="AN61" s="1372" t="str">
        <f t="shared" si="60"/>
        <v>No change</v>
      </c>
      <c r="AO61" s="1640">
        <f t="shared" si="41"/>
        <v>6563.7000000000025</v>
      </c>
      <c r="AP61" s="1638">
        <f t="shared" si="42"/>
        <v>0</v>
      </c>
      <c r="AQ61" s="1372" t="s">
        <v>2789</v>
      </c>
      <c r="AR61" s="1372" t="s">
        <v>3378</v>
      </c>
      <c r="AS61" s="1639">
        <v>1930.5000000000007</v>
      </c>
      <c r="AT61" s="1372" t="str">
        <f t="shared" si="61"/>
        <v>No change</v>
      </c>
      <c r="AU61" s="1640">
        <f t="shared" si="44"/>
        <v>6563.7000000000025</v>
      </c>
      <c r="AV61" s="1638">
        <f t="shared" si="45"/>
        <v>0</v>
      </c>
      <c r="AW61" s="2044">
        <f t="shared" si="46"/>
        <v>6563.7000000000025</v>
      </c>
      <c r="AX61" s="2044">
        <f t="shared" si="47"/>
        <v>6563.7000000000025</v>
      </c>
      <c r="AY61" s="2044">
        <f t="shared" si="48"/>
        <v>6563.7000000000025</v>
      </c>
      <c r="AZ61" s="2044">
        <f t="shared" si="49"/>
        <v>6563.7000000000025</v>
      </c>
      <c r="BA61" s="2045">
        <f t="shared" si="50"/>
        <v>26254.80000000001</v>
      </c>
      <c r="BB61" s="2045" t="str">
        <f>+'[9]4.2.18'!$A$1</f>
        <v>4.2.18</v>
      </c>
      <c r="BC61" s="2045" t="str">
        <f>+'[9]4.2.18'!$A$1</f>
        <v>4.2.18</v>
      </c>
      <c r="BD61" s="2045">
        <v>0</v>
      </c>
      <c r="BE61" s="2051">
        <v>12</v>
      </c>
      <c r="BF61" s="2051">
        <v>12</v>
      </c>
      <c r="BG61" s="2051">
        <v>12</v>
      </c>
      <c r="BH61" s="2051">
        <v>12</v>
      </c>
      <c r="BI61" s="2045">
        <f t="shared" si="6"/>
        <v>78764.400000000038</v>
      </c>
      <c r="BJ61" s="2045">
        <f t="shared" si="7"/>
        <v>78764.400000000038</v>
      </c>
      <c r="BK61" s="2045">
        <f t="shared" si="8"/>
        <v>78764.400000000038</v>
      </c>
      <c r="BL61" s="2045">
        <f t="shared" si="9"/>
        <v>78764.400000000038</v>
      </c>
      <c r="BM61" s="2045">
        <f t="shared" si="51"/>
        <v>315057.60000000015</v>
      </c>
      <c r="BN61" s="2047">
        <v>12</v>
      </c>
      <c r="BO61" s="2047">
        <v>12</v>
      </c>
      <c r="BP61" s="2047">
        <v>12</v>
      </c>
      <c r="BQ61" s="2047">
        <v>12</v>
      </c>
      <c r="BR61" s="2048">
        <f t="shared" si="52"/>
        <v>78764.400000000038</v>
      </c>
      <c r="BS61" s="2048">
        <f t="shared" si="53"/>
        <v>78764.400000000038</v>
      </c>
      <c r="BT61" s="2048">
        <f t="shared" si="54"/>
        <v>78764.400000000038</v>
      </c>
      <c r="BU61" s="2048">
        <f t="shared" si="55"/>
        <v>78764.400000000038</v>
      </c>
      <c r="BV61" s="1840">
        <f t="shared" si="56"/>
        <v>315057.60000000015</v>
      </c>
      <c r="BW61" s="2064" t="e">
        <f>INT(#REF!)=INT(BA61)</f>
        <v>#REF!</v>
      </c>
      <c r="BX61" s="2064">
        <v>54</v>
      </c>
      <c r="BY61" s="2064" t="s">
        <v>512</v>
      </c>
    </row>
    <row r="62" spans="1:77" s="1976" customFormat="1" ht="18" customHeight="1" x14ac:dyDescent="0.35">
      <c r="A62" s="1372" t="s">
        <v>1494</v>
      </c>
      <c r="B62" s="1372" t="s">
        <v>273</v>
      </c>
      <c r="C62" s="1637">
        <v>0</v>
      </c>
      <c r="D62" s="1372" t="s">
        <v>3516</v>
      </c>
      <c r="E62" s="1843" t="s">
        <v>163</v>
      </c>
      <c r="F62" s="1845">
        <v>13</v>
      </c>
      <c r="G62" s="1845">
        <v>13</v>
      </c>
      <c r="H62" s="1845">
        <v>13</v>
      </c>
      <c r="I62" s="1845">
        <v>13</v>
      </c>
      <c r="J62" s="1843" t="s">
        <v>295</v>
      </c>
      <c r="K62" s="1843" t="str">
        <f t="shared" si="30"/>
        <v>Nicor Gas PY7-PY10 Adjustable Goals Template_2017-06-30, Tab Customized TRM</v>
      </c>
      <c r="L62" s="1846">
        <v>577.99999999999989</v>
      </c>
      <c r="M62" s="1846">
        <v>577.99999999999989</v>
      </c>
      <c r="N62" s="1846">
        <v>577.99999999999989</v>
      </c>
      <c r="O62" s="1846">
        <v>577.99999999999989</v>
      </c>
      <c r="P62" s="1844">
        <v>0.68</v>
      </c>
      <c r="Q62" s="1844">
        <v>0.68</v>
      </c>
      <c r="R62" s="1844">
        <v>0.68</v>
      </c>
      <c r="S62" s="1844">
        <v>0.68</v>
      </c>
      <c r="T62" s="1847">
        <f t="shared" si="31"/>
        <v>5109.5199999999995</v>
      </c>
      <c r="U62" s="1847">
        <f t="shared" si="32"/>
        <v>5109.5199999999995</v>
      </c>
      <c r="V62" s="1847">
        <f t="shared" si="33"/>
        <v>5109.5199999999995</v>
      </c>
      <c r="W62" s="1847">
        <f t="shared" si="34"/>
        <v>5109.5199999999995</v>
      </c>
      <c r="X62" s="1847">
        <f t="shared" si="35"/>
        <v>20438.079999999998</v>
      </c>
      <c r="Y62" s="1843"/>
      <c r="Z62" s="1843" t="str">
        <f t="shared" si="57"/>
        <v>Nicor Gas PY7-PY10 Adjustable Goals Template_2017-06-30, Tab Customized TRM</v>
      </c>
      <c r="AA62" s="1848">
        <f t="shared" si="58"/>
        <v>577.99999999999989</v>
      </c>
      <c r="AB62" s="1848"/>
      <c r="AC62" s="1848">
        <f t="shared" si="37"/>
        <v>5109.5199999999995</v>
      </c>
      <c r="AD62" s="1848">
        <f t="shared" si="38"/>
        <v>0</v>
      </c>
      <c r="AE62" s="1843"/>
      <c r="AF62" s="1843" t="s">
        <v>3361</v>
      </c>
      <c r="AG62" s="1846">
        <v>577.99999999999989</v>
      </c>
      <c r="AH62" s="1843" t="s">
        <v>3445</v>
      </c>
      <c r="AI62" s="1847">
        <f t="shared" si="39"/>
        <v>5109.5199999999995</v>
      </c>
      <c r="AJ62" s="1845">
        <f t="shared" si="40"/>
        <v>0</v>
      </c>
      <c r="AK62" s="1843"/>
      <c r="AL62" s="1843" t="s">
        <v>3361</v>
      </c>
      <c r="AM62" s="1846">
        <v>577.99999999999989</v>
      </c>
      <c r="AN62" s="1843" t="str">
        <f t="shared" si="60"/>
        <v>No change</v>
      </c>
      <c r="AO62" s="1847">
        <f t="shared" si="41"/>
        <v>5109.5199999999995</v>
      </c>
      <c r="AP62" s="1845">
        <f t="shared" si="42"/>
        <v>0</v>
      </c>
      <c r="AQ62" s="1843"/>
      <c r="AR62" s="1843" t="s">
        <v>3361</v>
      </c>
      <c r="AS62" s="1846">
        <v>577.99999999999989</v>
      </c>
      <c r="AT62" s="1843" t="str">
        <f t="shared" si="61"/>
        <v>No change</v>
      </c>
      <c r="AU62" s="1847">
        <f t="shared" si="44"/>
        <v>5109.5199999999995</v>
      </c>
      <c r="AV62" s="1845">
        <f t="shared" si="45"/>
        <v>0</v>
      </c>
      <c r="AW62" s="2123">
        <f t="shared" si="46"/>
        <v>5109.5199999999995</v>
      </c>
      <c r="AX62" s="2123">
        <f t="shared" si="47"/>
        <v>5109.5199999999995</v>
      </c>
      <c r="AY62" s="2123">
        <f t="shared" si="48"/>
        <v>5109.5199999999995</v>
      </c>
      <c r="AZ62" s="2123">
        <f t="shared" si="49"/>
        <v>5109.5199999999995</v>
      </c>
      <c r="BA62" s="2051">
        <f t="shared" si="50"/>
        <v>20438.079999999998</v>
      </c>
      <c r="BB62" s="2051"/>
      <c r="BC62" s="2051"/>
      <c r="BD62" s="2045">
        <v>0</v>
      </c>
      <c r="BE62" s="2051">
        <v>12</v>
      </c>
      <c r="BF62" s="2051">
        <v>12</v>
      </c>
      <c r="BG62" s="2051">
        <v>12</v>
      </c>
      <c r="BH62" s="2051">
        <v>12</v>
      </c>
      <c r="BI62" s="2045">
        <f t="shared" si="6"/>
        <v>61314.239999999983</v>
      </c>
      <c r="BJ62" s="2045">
        <f t="shared" si="7"/>
        <v>61314.239999999983</v>
      </c>
      <c r="BK62" s="2045">
        <f t="shared" si="8"/>
        <v>61314.239999999983</v>
      </c>
      <c r="BL62" s="2045">
        <f t="shared" si="9"/>
        <v>61314.239999999983</v>
      </c>
      <c r="BM62" s="2045">
        <f t="shared" si="51"/>
        <v>245256.95999999993</v>
      </c>
      <c r="BN62" s="2047">
        <v>12</v>
      </c>
      <c r="BO62" s="2047">
        <v>12</v>
      </c>
      <c r="BP62" s="2047">
        <v>12</v>
      </c>
      <c r="BQ62" s="2047">
        <v>12</v>
      </c>
      <c r="BR62" s="2048">
        <f t="shared" si="52"/>
        <v>61314.239999999983</v>
      </c>
      <c r="BS62" s="2048">
        <f t="shared" si="53"/>
        <v>61314.239999999983</v>
      </c>
      <c r="BT62" s="2048">
        <f t="shared" si="54"/>
        <v>61314.239999999983</v>
      </c>
      <c r="BU62" s="2048">
        <f t="shared" si="55"/>
        <v>61314.239999999983</v>
      </c>
      <c r="BV62" s="1840">
        <f t="shared" si="56"/>
        <v>245256.95999999993</v>
      </c>
      <c r="BW62" s="2064" t="e">
        <f>INT(#REF!)=INT(BA62)</f>
        <v>#REF!</v>
      </c>
      <c r="BX62" s="2064">
        <v>55</v>
      </c>
      <c r="BY62" s="2064" t="s">
        <v>3485</v>
      </c>
    </row>
    <row r="63" spans="1:77" s="1976" customFormat="1" ht="62" x14ac:dyDescent="0.35">
      <c r="A63" s="1372" t="s">
        <v>1494</v>
      </c>
      <c r="B63" s="1372" t="s">
        <v>149</v>
      </c>
      <c r="C63" s="1637">
        <v>0</v>
      </c>
      <c r="D63" s="2053" t="str">
        <f>+'[9]4.2.7'!$A$1</f>
        <v>4.2.7</v>
      </c>
      <c r="E63" s="1372" t="s">
        <v>163</v>
      </c>
      <c r="F63" s="1638">
        <v>41</v>
      </c>
      <c r="G63" s="1638">
        <v>41</v>
      </c>
      <c r="H63" s="1638">
        <v>41</v>
      </c>
      <c r="I63" s="1638">
        <v>41</v>
      </c>
      <c r="J63" s="1372" t="str">
        <f>'[9]4.2.7'!$B$12</f>
        <v>CI-FSE-ESFR-V01-120601</v>
      </c>
      <c r="K63" s="1372" t="str">
        <f t="shared" si="30"/>
        <v>Nicor Gas PY7-PY10 Adjustable Goals Template_2017-06-30, Tab 4.2.7</v>
      </c>
      <c r="L63" s="1639">
        <v>505.15881181318684</v>
      </c>
      <c r="M63" s="1639">
        <v>505.15881181318684</v>
      </c>
      <c r="N63" s="1639">
        <v>505.15881181318684</v>
      </c>
      <c r="O63" s="1639">
        <v>505.15881181318684</v>
      </c>
      <c r="P63" s="1637">
        <v>0.68</v>
      </c>
      <c r="Q63" s="1637">
        <v>0.68</v>
      </c>
      <c r="R63" s="1637">
        <v>0.68</v>
      </c>
      <c r="S63" s="1637">
        <v>0.68</v>
      </c>
      <c r="T63" s="1640">
        <f t="shared" si="31"/>
        <v>14083.82767335165</v>
      </c>
      <c r="U63" s="1640">
        <f t="shared" si="32"/>
        <v>14083.82767335165</v>
      </c>
      <c r="V63" s="1640">
        <f t="shared" si="33"/>
        <v>14083.82767335165</v>
      </c>
      <c r="W63" s="1640">
        <f t="shared" si="34"/>
        <v>14083.82767335165</v>
      </c>
      <c r="X63" s="1640">
        <f t="shared" si="35"/>
        <v>56335.310693406602</v>
      </c>
      <c r="Y63" s="1372" t="str">
        <f>J63</f>
        <v>CI-FSE-ESFR-V01-120601</v>
      </c>
      <c r="Z63" s="1372" t="str">
        <f t="shared" si="57"/>
        <v>Nicor Gas PY7-PY10 Adjustable Goals Template_2017-06-30, Tab 4.2.7</v>
      </c>
      <c r="AA63" s="2024">
        <f t="shared" si="58"/>
        <v>505.15881181318684</v>
      </c>
      <c r="AB63" s="2028"/>
      <c r="AC63" s="1840">
        <f t="shared" si="37"/>
        <v>14083.82767335165</v>
      </c>
      <c r="AD63" s="1840">
        <f t="shared" si="38"/>
        <v>0</v>
      </c>
      <c r="AE63" s="1372" t="s">
        <v>164</v>
      </c>
      <c r="AF63" s="1372" t="s">
        <v>3379</v>
      </c>
      <c r="AG63" s="1639">
        <v>505.15881181318684</v>
      </c>
      <c r="AH63" s="1372" t="s">
        <v>3445</v>
      </c>
      <c r="AI63" s="1640">
        <f t="shared" si="39"/>
        <v>14083.82767335165</v>
      </c>
      <c r="AJ63" s="1638">
        <f t="shared" si="40"/>
        <v>0</v>
      </c>
      <c r="AK63" s="1372" t="s">
        <v>164</v>
      </c>
      <c r="AL63" s="1372" t="s">
        <v>3379</v>
      </c>
      <c r="AM63" s="1639">
        <v>505.15881181318684</v>
      </c>
      <c r="AN63" s="1372" t="str">
        <f t="shared" si="60"/>
        <v>No change</v>
      </c>
      <c r="AO63" s="1640">
        <f t="shared" si="41"/>
        <v>14083.82767335165</v>
      </c>
      <c r="AP63" s="1638">
        <f t="shared" si="42"/>
        <v>0</v>
      </c>
      <c r="AQ63" s="1372" t="s">
        <v>164</v>
      </c>
      <c r="AR63" s="1372" t="s">
        <v>3379</v>
      </c>
      <c r="AS63" s="1639">
        <v>505.15881181318684</v>
      </c>
      <c r="AT63" s="1372" t="str">
        <f t="shared" si="61"/>
        <v>No change</v>
      </c>
      <c r="AU63" s="1640">
        <f t="shared" si="44"/>
        <v>14083.82767335165</v>
      </c>
      <c r="AV63" s="1638">
        <f t="shared" si="45"/>
        <v>0</v>
      </c>
      <c r="AW63" s="2044">
        <f t="shared" si="46"/>
        <v>14083.82767335165</v>
      </c>
      <c r="AX63" s="2044">
        <f t="shared" si="47"/>
        <v>14083.82767335165</v>
      </c>
      <c r="AY63" s="2044">
        <f t="shared" si="48"/>
        <v>14083.82767335165</v>
      </c>
      <c r="AZ63" s="2044">
        <f t="shared" si="49"/>
        <v>14083.82767335165</v>
      </c>
      <c r="BA63" s="2045">
        <f t="shared" si="50"/>
        <v>56335.310693406602</v>
      </c>
      <c r="BB63" s="2045" t="str">
        <f>+'[9]4.2.7'!$A$1</f>
        <v>4.2.7</v>
      </c>
      <c r="BC63" s="2045" t="str">
        <f>+'[9]4.2.7'!$A$1</f>
        <v>4.2.7</v>
      </c>
      <c r="BD63" s="2121">
        <v>1</v>
      </c>
      <c r="BE63" s="2051">
        <v>15</v>
      </c>
      <c r="BF63" s="2051">
        <v>15</v>
      </c>
      <c r="BG63" s="2051">
        <v>15</v>
      </c>
      <c r="BH63" s="2051">
        <v>15</v>
      </c>
      <c r="BI63" s="2045">
        <f t="shared" si="6"/>
        <v>211257.41510027475</v>
      </c>
      <c r="BJ63" s="2045">
        <f t="shared" si="7"/>
        <v>211257.41510027475</v>
      </c>
      <c r="BK63" s="2045">
        <f t="shared" si="8"/>
        <v>211257.41510027475</v>
      </c>
      <c r="BL63" s="2045">
        <f t="shared" si="9"/>
        <v>211257.41510027475</v>
      </c>
      <c r="BM63" s="2045">
        <f t="shared" si="51"/>
        <v>845029.66040109901</v>
      </c>
      <c r="BN63" s="2047">
        <v>15</v>
      </c>
      <c r="BO63" s="2050">
        <v>12</v>
      </c>
      <c r="BP63" s="2050">
        <v>12</v>
      </c>
      <c r="BQ63" s="2050">
        <v>12</v>
      </c>
      <c r="BR63" s="2048">
        <f t="shared" si="52"/>
        <v>211257.41510027475</v>
      </c>
      <c r="BS63" s="2048">
        <f t="shared" si="53"/>
        <v>169005.93208021979</v>
      </c>
      <c r="BT63" s="2048">
        <f t="shared" si="54"/>
        <v>169005.93208021979</v>
      </c>
      <c r="BU63" s="2048">
        <f t="shared" si="55"/>
        <v>169005.93208021979</v>
      </c>
      <c r="BV63" s="1840">
        <f t="shared" si="56"/>
        <v>718275.21134093404</v>
      </c>
      <c r="BW63" s="2064" t="e">
        <f>INT(#REF!)=INT(BA63)</f>
        <v>#REF!</v>
      </c>
      <c r="BX63" s="2064">
        <v>56</v>
      </c>
      <c r="BY63" s="2064" t="s">
        <v>512</v>
      </c>
    </row>
    <row r="64" spans="1:77" s="1976" customFormat="1" ht="62" x14ac:dyDescent="0.35">
      <c r="A64" s="1372" t="s">
        <v>1494</v>
      </c>
      <c r="B64" s="1372" t="s">
        <v>150</v>
      </c>
      <c r="C64" s="1637">
        <v>0</v>
      </c>
      <c r="D64" s="2053" t="str">
        <f>+'[9]4.2.8'!$A$1</f>
        <v>4.2.8</v>
      </c>
      <c r="E64" s="1372" t="s">
        <v>163</v>
      </c>
      <c r="F64" s="1638">
        <v>5</v>
      </c>
      <c r="G64" s="1638">
        <v>5</v>
      </c>
      <c r="H64" s="1638">
        <v>5</v>
      </c>
      <c r="I64" s="1638">
        <v>5</v>
      </c>
      <c r="J64" s="1372" t="str">
        <f>'[9]4.2.8'!$B$16</f>
        <v>CI-FSE-ESGR-V02-160601</v>
      </c>
      <c r="K64" s="1372" t="str">
        <f t="shared" si="30"/>
        <v>Nicor Gas PY7-PY10 Adjustable Goals Template_2017-06-30, Tab 4.2.8</v>
      </c>
      <c r="L64" s="1639">
        <v>148.64153124999993</v>
      </c>
      <c r="M64" s="1639">
        <v>148.64153124999993</v>
      </c>
      <c r="N64" s="1639">
        <v>148.64153124999993</v>
      </c>
      <c r="O64" s="1639">
        <v>148.64153124999993</v>
      </c>
      <c r="P64" s="1637">
        <v>0.68</v>
      </c>
      <c r="Q64" s="1637">
        <v>0.68</v>
      </c>
      <c r="R64" s="1637">
        <v>0.68</v>
      </c>
      <c r="S64" s="1637">
        <v>0.68</v>
      </c>
      <c r="T64" s="1640">
        <f t="shared" si="31"/>
        <v>505.38120624999982</v>
      </c>
      <c r="U64" s="1640">
        <f t="shared" si="32"/>
        <v>505.38120624999982</v>
      </c>
      <c r="V64" s="1640">
        <f t="shared" si="33"/>
        <v>505.38120624999982</v>
      </c>
      <c r="W64" s="1640">
        <f t="shared" si="34"/>
        <v>505.38120624999982</v>
      </c>
      <c r="X64" s="1640">
        <f t="shared" si="35"/>
        <v>2021.5248249999993</v>
      </c>
      <c r="Y64" s="1372" t="str">
        <f>J64</f>
        <v>CI-FSE-ESGR-V02-160601</v>
      </c>
      <c r="Z64" s="1372" t="str">
        <f t="shared" si="57"/>
        <v>Nicor Gas PY7-PY10 Adjustable Goals Template_2017-06-30, Tab 4.2.8</v>
      </c>
      <c r="AA64" s="1840">
        <f t="shared" si="58"/>
        <v>148.64153124999993</v>
      </c>
      <c r="AB64" s="2028"/>
      <c r="AC64" s="1840">
        <f t="shared" si="37"/>
        <v>505.38120624999982</v>
      </c>
      <c r="AD64" s="1840">
        <f t="shared" si="38"/>
        <v>0</v>
      </c>
      <c r="AE64" s="1372" t="s">
        <v>2576</v>
      </c>
      <c r="AF64" s="1372" t="s">
        <v>3380</v>
      </c>
      <c r="AG64" s="1639">
        <v>148.64153124999993</v>
      </c>
      <c r="AH64" s="1372" t="s">
        <v>3445</v>
      </c>
      <c r="AI64" s="1640">
        <f t="shared" si="39"/>
        <v>505.38120624999982</v>
      </c>
      <c r="AJ64" s="1638">
        <f t="shared" si="40"/>
        <v>0</v>
      </c>
      <c r="AK64" s="1372" t="s">
        <v>2576</v>
      </c>
      <c r="AL64" s="1372" t="s">
        <v>3380</v>
      </c>
      <c r="AM64" s="1639">
        <v>148.64153124999993</v>
      </c>
      <c r="AN64" s="1372" t="str">
        <f t="shared" si="60"/>
        <v>No change</v>
      </c>
      <c r="AO64" s="1640">
        <f t="shared" si="41"/>
        <v>505.38120624999982</v>
      </c>
      <c r="AP64" s="1638">
        <f t="shared" si="42"/>
        <v>0</v>
      </c>
      <c r="AQ64" s="1372" t="s">
        <v>2576</v>
      </c>
      <c r="AR64" s="1372" t="s">
        <v>3380</v>
      </c>
      <c r="AS64" s="1639">
        <v>148.64153124999993</v>
      </c>
      <c r="AT64" s="1372" t="str">
        <f t="shared" si="61"/>
        <v>No change</v>
      </c>
      <c r="AU64" s="1640">
        <f t="shared" si="44"/>
        <v>505.38120624999982</v>
      </c>
      <c r="AV64" s="1638">
        <f t="shared" si="45"/>
        <v>0</v>
      </c>
      <c r="AW64" s="2044">
        <f t="shared" si="46"/>
        <v>505.38120624999982</v>
      </c>
      <c r="AX64" s="2044">
        <f t="shared" si="47"/>
        <v>505.38120624999982</v>
      </c>
      <c r="AY64" s="2044">
        <f t="shared" si="48"/>
        <v>505.38120624999982</v>
      </c>
      <c r="AZ64" s="2044">
        <f t="shared" si="49"/>
        <v>505.38120624999982</v>
      </c>
      <c r="BA64" s="2045">
        <f t="shared" si="50"/>
        <v>2021.5248249999993</v>
      </c>
      <c r="BB64" s="2045" t="str">
        <f>+'[9]4.2.8'!$A$1</f>
        <v>4.2.8</v>
      </c>
      <c r="BC64" s="2045" t="str">
        <f>+'[9]4.2.8'!$A$1</f>
        <v>4.2.8</v>
      </c>
      <c r="BD64" s="2045">
        <v>0</v>
      </c>
      <c r="BE64" s="2051">
        <v>12</v>
      </c>
      <c r="BF64" s="2051">
        <v>12</v>
      </c>
      <c r="BG64" s="2051">
        <v>12</v>
      </c>
      <c r="BH64" s="2051">
        <v>12</v>
      </c>
      <c r="BI64" s="2045">
        <f t="shared" si="6"/>
        <v>6064.5744749999976</v>
      </c>
      <c r="BJ64" s="2045">
        <f t="shared" si="7"/>
        <v>6064.5744749999976</v>
      </c>
      <c r="BK64" s="2045">
        <f t="shared" si="8"/>
        <v>6064.5744749999976</v>
      </c>
      <c r="BL64" s="2045">
        <f t="shared" si="9"/>
        <v>6064.5744749999976</v>
      </c>
      <c r="BM64" s="2045">
        <f t="shared" si="51"/>
        <v>24258.29789999999</v>
      </c>
      <c r="BN64" s="2047">
        <v>12</v>
      </c>
      <c r="BO64" s="2047">
        <v>12</v>
      </c>
      <c r="BP64" s="2047">
        <v>12</v>
      </c>
      <c r="BQ64" s="2047">
        <v>12</v>
      </c>
      <c r="BR64" s="2048">
        <f t="shared" si="52"/>
        <v>6064.5744749999976</v>
      </c>
      <c r="BS64" s="2048">
        <f t="shared" si="53"/>
        <v>6064.5744749999976</v>
      </c>
      <c r="BT64" s="2048">
        <f t="shared" si="54"/>
        <v>6064.5744749999976</v>
      </c>
      <c r="BU64" s="2048">
        <f t="shared" si="55"/>
        <v>6064.5744749999976</v>
      </c>
      <c r="BV64" s="1840">
        <f t="shared" si="56"/>
        <v>24258.29789999999</v>
      </c>
      <c r="BW64" s="2064" t="e">
        <f>INT(#REF!)=INT(BA64)</f>
        <v>#REF!</v>
      </c>
      <c r="BX64" s="2064">
        <v>57</v>
      </c>
      <c r="BY64" s="2064" t="s">
        <v>512</v>
      </c>
    </row>
    <row r="65" spans="1:78" s="1976" customFormat="1" ht="61.5" customHeight="1" x14ac:dyDescent="0.35">
      <c r="A65" s="1372" t="s">
        <v>1494</v>
      </c>
      <c r="B65" s="1372" t="s">
        <v>148</v>
      </c>
      <c r="C65" s="1637">
        <v>0</v>
      </c>
      <c r="D65" s="2053" t="str">
        <f>+'[9]4.2.4'!$A$1</f>
        <v>4.2.4</v>
      </c>
      <c r="E65" s="1372" t="s">
        <v>163</v>
      </c>
      <c r="F65" s="1638">
        <v>9</v>
      </c>
      <c r="G65" s="1638">
        <v>9</v>
      </c>
      <c r="H65" s="1638">
        <v>9</v>
      </c>
      <c r="I65" s="1638">
        <v>9</v>
      </c>
      <c r="J65" s="1372" t="str">
        <f>'[9]4.2.4'!$B$14</f>
        <v>CI-FSE-CVOV-V02-180101</v>
      </c>
      <c r="K65" s="1372" t="str">
        <f t="shared" si="30"/>
        <v>Nicor Gas PY7-PY10 Adjustable Goals Template_2017-06-30, Tab 4.2.4</v>
      </c>
      <c r="L65" s="1639">
        <v>883.99999999999989</v>
      </c>
      <c r="M65" s="1639">
        <v>883.99999999999989</v>
      </c>
      <c r="N65" s="1639">
        <v>883.99999999999989</v>
      </c>
      <c r="O65" s="1639">
        <v>883.99999999999989</v>
      </c>
      <c r="P65" s="1637">
        <v>0.68</v>
      </c>
      <c r="Q65" s="1637">
        <v>0.68</v>
      </c>
      <c r="R65" s="1637">
        <v>0.68</v>
      </c>
      <c r="S65" s="1637">
        <v>0.68</v>
      </c>
      <c r="T65" s="1640">
        <f t="shared" si="31"/>
        <v>5410.08</v>
      </c>
      <c r="U65" s="1640">
        <f t="shared" si="32"/>
        <v>5410.08</v>
      </c>
      <c r="V65" s="1640">
        <f t="shared" si="33"/>
        <v>5410.08</v>
      </c>
      <c r="W65" s="1640">
        <f t="shared" si="34"/>
        <v>5410.08</v>
      </c>
      <c r="X65" s="1640">
        <f t="shared" si="35"/>
        <v>21640.32</v>
      </c>
      <c r="Y65" s="1372" t="str">
        <f>J65</f>
        <v>CI-FSE-CVOV-V02-180101</v>
      </c>
      <c r="Z65" s="1372" t="str">
        <f t="shared" si="57"/>
        <v>Nicor Gas PY7-PY10 Adjustable Goals Template_2017-06-30, Tab 4.2.4</v>
      </c>
      <c r="AA65" s="1840">
        <f t="shared" si="58"/>
        <v>883.99999999999989</v>
      </c>
      <c r="AB65" s="2028"/>
      <c r="AC65" s="1840">
        <f t="shared" si="37"/>
        <v>5410.08</v>
      </c>
      <c r="AD65" s="1840">
        <f t="shared" si="38"/>
        <v>0</v>
      </c>
      <c r="AE65" s="1372" t="s">
        <v>2781</v>
      </c>
      <c r="AF65" s="1372" t="s">
        <v>3381</v>
      </c>
      <c r="AG65" s="1639">
        <v>883.99999999999989</v>
      </c>
      <c r="AH65" s="1372" t="s">
        <v>3445</v>
      </c>
      <c r="AI65" s="1640">
        <f t="shared" si="39"/>
        <v>5410.08</v>
      </c>
      <c r="AJ65" s="1638">
        <f t="shared" si="40"/>
        <v>0</v>
      </c>
      <c r="AK65" s="1372" t="s">
        <v>2781</v>
      </c>
      <c r="AL65" s="1372" t="s">
        <v>3381</v>
      </c>
      <c r="AM65" s="1639">
        <v>883.99999999999989</v>
      </c>
      <c r="AN65" s="1372" t="str">
        <f t="shared" si="60"/>
        <v>No change</v>
      </c>
      <c r="AO65" s="1640">
        <f t="shared" si="41"/>
        <v>5410.08</v>
      </c>
      <c r="AP65" s="1638">
        <f t="shared" si="42"/>
        <v>0</v>
      </c>
      <c r="AQ65" s="1372" t="s">
        <v>2781</v>
      </c>
      <c r="AR65" s="1372" t="s">
        <v>3381</v>
      </c>
      <c r="AS65" s="1639">
        <v>883.99999999999989</v>
      </c>
      <c r="AT65" s="1372" t="str">
        <f t="shared" si="61"/>
        <v>No change</v>
      </c>
      <c r="AU65" s="1640">
        <f t="shared" si="44"/>
        <v>5410.08</v>
      </c>
      <c r="AV65" s="1638">
        <f t="shared" si="45"/>
        <v>0</v>
      </c>
      <c r="AW65" s="2044">
        <f t="shared" si="46"/>
        <v>5410.08</v>
      </c>
      <c r="AX65" s="2044">
        <f t="shared" si="47"/>
        <v>5410.08</v>
      </c>
      <c r="AY65" s="2044">
        <f t="shared" si="48"/>
        <v>5410.08</v>
      </c>
      <c r="AZ65" s="2044">
        <f t="shared" si="49"/>
        <v>5410.08</v>
      </c>
      <c r="BA65" s="2045">
        <f t="shared" si="50"/>
        <v>21640.32</v>
      </c>
      <c r="BB65" s="2045" t="str">
        <f>+'[9]4.2.4'!$A$1</f>
        <v>4.2.4</v>
      </c>
      <c r="BC65" s="2045" t="str">
        <f>+'[9]4.2.4'!$A$1</f>
        <v>4.2.4</v>
      </c>
      <c r="BD65" s="2045">
        <v>0</v>
      </c>
      <c r="BE65" s="2051">
        <v>17</v>
      </c>
      <c r="BF65" s="2051">
        <v>17</v>
      </c>
      <c r="BG65" s="2051">
        <v>17</v>
      </c>
      <c r="BH65" s="2051">
        <v>17</v>
      </c>
      <c r="BI65" s="2045">
        <f t="shared" si="6"/>
        <v>91971.359999999986</v>
      </c>
      <c r="BJ65" s="2045">
        <f t="shared" si="7"/>
        <v>91971.359999999986</v>
      </c>
      <c r="BK65" s="2045">
        <f t="shared" si="8"/>
        <v>91971.359999999986</v>
      </c>
      <c r="BL65" s="2045">
        <f t="shared" si="9"/>
        <v>91971.359999999986</v>
      </c>
      <c r="BM65" s="2045">
        <f t="shared" si="51"/>
        <v>367885.43999999994</v>
      </c>
      <c r="BN65" s="2047">
        <v>17</v>
      </c>
      <c r="BO65" s="2047">
        <v>17</v>
      </c>
      <c r="BP65" s="2047">
        <v>17</v>
      </c>
      <c r="BQ65" s="2047">
        <v>17</v>
      </c>
      <c r="BR65" s="2048">
        <f t="shared" si="52"/>
        <v>91971.359999999986</v>
      </c>
      <c r="BS65" s="2048">
        <f t="shared" si="53"/>
        <v>91971.359999999986</v>
      </c>
      <c r="BT65" s="2048">
        <f t="shared" si="54"/>
        <v>91971.359999999986</v>
      </c>
      <c r="BU65" s="2048">
        <f t="shared" si="55"/>
        <v>91971.359999999986</v>
      </c>
      <c r="BV65" s="1840">
        <f t="shared" si="56"/>
        <v>367885.43999999994</v>
      </c>
      <c r="BW65" s="2064" t="e">
        <f>INT(#REF!)=INT(BA65)</f>
        <v>#REF!</v>
      </c>
      <c r="BX65" s="2064">
        <v>58</v>
      </c>
      <c r="BY65" s="2064" t="s">
        <v>512</v>
      </c>
    </row>
    <row r="66" spans="1:78" s="1976" customFormat="1" ht="15.5" x14ac:dyDescent="0.35">
      <c r="A66" s="1372" t="s">
        <v>1494</v>
      </c>
      <c r="B66" s="1372" t="s">
        <v>274</v>
      </c>
      <c r="C66" s="1637">
        <v>0</v>
      </c>
      <c r="D66" s="1372" t="s">
        <v>295</v>
      </c>
      <c r="E66" s="1372" t="s">
        <v>163</v>
      </c>
      <c r="F66" s="1638">
        <v>5</v>
      </c>
      <c r="G66" s="1638">
        <v>5</v>
      </c>
      <c r="H66" s="1638">
        <v>5</v>
      </c>
      <c r="I66" s="1638">
        <v>5</v>
      </c>
      <c r="J66" s="1372" t="s">
        <v>295</v>
      </c>
      <c r="K66" s="1372" t="str">
        <f t="shared" si="30"/>
        <v/>
      </c>
      <c r="L66" s="1639">
        <v>733</v>
      </c>
      <c r="M66" s="1639">
        <v>733</v>
      </c>
      <c r="N66" s="1639">
        <v>733</v>
      </c>
      <c r="O66" s="1639">
        <v>733</v>
      </c>
      <c r="P66" s="1637">
        <v>0.68</v>
      </c>
      <c r="Q66" s="1637">
        <v>0.68</v>
      </c>
      <c r="R66" s="1637">
        <v>0.68</v>
      </c>
      <c r="S66" s="1637">
        <v>0.68</v>
      </c>
      <c r="T66" s="1640">
        <f t="shared" si="31"/>
        <v>2492.2000000000003</v>
      </c>
      <c r="U66" s="1640">
        <f t="shared" si="32"/>
        <v>2492.2000000000003</v>
      </c>
      <c r="V66" s="1640">
        <f t="shared" si="33"/>
        <v>2492.2000000000003</v>
      </c>
      <c r="W66" s="1640">
        <f t="shared" si="34"/>
        <v>2492.2000000000003</v>
      </c>
      <c r="X66" s="1640">
        <f t="shared" si="35"/>
        <v>9968.8000000000011</v>
      </c>
      <c r="Y66" s="1829"/>
      <c r="Z66" s="1372" t="str">
        <f t="shared" si="57"/>
        <v/>
      </c>
      <c r="AA66" s="1840">
        <f t="shared" si="58"/>
        <v>733</v>
      </c>
      <c r="AB66" s="2028"/>
      <c r="AC66" s="1840">
        <f t="shared" si="37"/>
        <v>2492.2000000000003</v>
      </c>
      <c r="AD66" s="1840">
        <f t="shared" si="38"/>
        <v>0</v>
      </c>
      <c r="AE66" s="1829"/>
      <c r="AF66" s="1829" t="s">
        <v>3361</v>
      </c>
      <c r="AG66" s="1830">
        <v>733</v>
      </c>
      <c r="AH66" s="1372" t="s">
        <v>3445</v>
      </c>
      <c r="AI66" s="1640">
        <f t="shared" si="39"/>
        <v>2492.2000000000003</v>
      </c>
      <c r="AJ66" s="1638">
        <f t="shared" si="40"/>
        <v>0</v>
      </c>
      <c r="AK66" s="1829"/>
      <c r="AL66" s="1829" t="s">
        <v>3361</v>
      </c>
      <c r="AM66" s="1830">
        <v>733</v>
      </c>
      <c r="AN66" s="1372" t="str">
        <f t="shared" si="60"/>
        <v>No change</v>
      </c>
      <c r="AO66" s="1640">
        <f t="shared" si="41"/>
        <v>2492.2000000000003</v>
      </c>
      <c r="AP66" s="1638">
        <f t="shared" si="42"/>
        <v>0</v>
      </c>
      <c r="AQ66" s="1829"/>
      <c r="AR66" s="1829" t="s">
        <v>3361</v>
      </c>
      <c r="AS66" s="1830">
        <v>733</v>
      </c>
      <c r="AT66" s="1372" t="str">
        <f t="shared" si="61"/>
        <v>No change</v>
      </c>
      <c r="AU66" s="1640">
        <f t="shared" si="44"/>
        <v>2492.2000000000003</v>
      </c>
      <c r="AV66" s="1638">
        <f t="shared" si="45"/>
        <v>0</v>
      </c>
      <c r="AW66" s="2044">
        <f t="shared" si="46"/>
        <v>2492.2000000000003</v>
      </c>
      <c r="AX66" s="2044">
        <f t="shared" si="47"/>
        <v>2492.2000000000003</v>
      </c>
      <c r="AY66" s="2044">
        <f t="shared" si="48"/>
        <v>2492.2000000000003</v>
      </c>
      <c r="AZ66" s="2044">
        <f t="shared" si="49"/>
        <v>2492.2000000000003</v>
      </c>
      <c r="BA66" s="2045">
        <f t="shared" si="50"/>
        <v>9968.8000000000011</v>
      </c>
      <c r="BB66" s="2049"/>
      <c r="BC66" s="2049"/>
      <c r="BD66" s="2045">
        <v>0</v>
      </c>
      <c r="BE66" s="2051">
        <v>12</v>
      </c>
      <c r="BF66" s="2051">
        <v>12</v>
      </c>
      <c r="BG66" s="2051">
        <v>12</v>
      </c>
      <c r="BH66" s="2051">
        <v>12</v>
      </c>
      <c r="BI66" s="2045">
        <f t="shared" si="6"/>
        <v>29906.400000000001</v>
      </c>
      <c r="BJ66" s="2045">
        <f t="shared" si="7"/>
        <v>29906.400000000001</v>
      </c>
      <c r="BK66" s="2045">
        <f t="shared" si="8"/>
        <v>29906.400000000001</v>
      </c>
      <c r="BL66" s="2045">
        <f t="shared" si="9"/>
        <v>29906.400000000001</v>
      </c>
      <c r="BM66" s="2045">
        <f t="shared" si="51"/>
        <v>119625.60000000001</v>
      </c>
      <c r="BN66" s="2047">
        <v>12</v>
      </c>
      <c r="BO66" s="2047">
        <v>12</v>
      </c>
      <c r="BP66" s="2047">
        <v>12</v>
      </c>
      <c r="BQ66" s="2047">
        <v>12</v>
      </c>
      <c r="BR66" s="2048">
        <f t="shared" si="52"/>
        <v>29906.400000000001</v>
      </c>
      <c r="BS66" s="2048">
        <f t="shared" si="53"/>
        <v>29906.400000000001</v>
      </c>
      <c r="BT66" s="2048">
        <f t="shared" si="54"/>
        <v>29906.400000000001</v>
      </c>
      <c r="BU66" s="2048">
        <f t="shared" si="55"/>
        <v>29906.400000000001</v>
      </c>
      <c r="BV66" s="1840">
        <f t="shared" si="56"/>
        <v>119625.60000000001</v>
      </c>
      <c r="BW66" s="2064" t="e">
        <f>INT(#REF!)=INT(BA66)</f>
        <v>#REF!</v>
      </c>
      <c r="BX66" s="2064">
        <v>59</v>
      </c>
      <c r="BY66" s="2064" t="s">
        <v>295</v>
      </c>
    </row>
    <row r="67" spans="1:78" s="1976" customFormat="1" ht="18" customHeight="1" x14ac:dyDescent="0.35">
      <c r="A67" s="1372" t="s">
        <v>1494</v>
      </c>
      <c r="B67" s="1372" t="s">
        <v>275</v>
      </c>
      <c r="C67" s="1637">
        <v>0</v>
      </c>
      <c r="D67" s="1372" t="s">
        <v>295</v>
      </c>
      <c r="E67" s="1372" t="s">
        <v>163</v>
      </c>
      <c r="F67" s="1638">
        <v>9</v>
      </c>
      <c r="G67" s="1638">
        <v>9</v>
      </c>
      <c r="H67" s="1638">
        <v>9</v>
      </c>
      <c r="I67" s="1638">
        <v>9</v>
      </c>
      <c r="J67" s="1372" t="s">
        <v>295</v>
      </c>
      <c r="K67" s="1372" t="str">
        <f t="shared" si="30"/>
        <v/>
      </c>
      <c r="L67" s="1639">
        <v>50.9</v>
      </c>
      <c r="M67" s="1639">
        <v>50.9</v>
      </c>
      <c r="N67" s="1639">
        <v>50.9</v>
      </c>
      <c r="O67" s="1639">
        <v>50.9</v>
      </c>
      <c r="P67" s="1637">
        <v>0.68</v>
      </c>
      <c r="Q67" s="1637">
        <v>0.68</v>
      </c>
      <c r="R67" s="1637">
        <v>0.68</v>
      </c>
      <c r="S67" s="1637">
        <v>0.68</v>
      </c>
      <c r="T67" s="1640">
        <f t="shared" si="31"/>
        <v>311.50799999999998</v>
      </c>
      <c r="U67" s="1640">
        <f t="shared" si="32"/>
        <v>311.50799999999998</v>
      </c>
      <c r="V67" s="1640">
        <f t="shared" si="33"/>
        <v>311.50799999999998</v>
      </c>
      <c r="W67" s="1640">
        <f t="shared" si="34"/>
        <v>311.50799999999998</v>
      </c>
      <c r="X67" s="1640">
        <f t="shared" si="35"/>
        <v>1246.0319999999999</v>
      </c>
      <c r="Y67" s="1829"/>
      <c r="Z67" s="1372" t="str">
        <f t="shared" si="57"/>
        <v/>
      </c>
      <c r="AA67" s="1840">
        <f t="shared" si="58"/>
        <v>50.9</v>
      </c>
      <c r="AB67" s="2028"/>
      <c r="AC67" s="1840">
        <f t="shared" si="37"/>
        <v>311.50799999999998</v>
      </c>
      <c r="AD67" s="1840">
        <f t="shared" si="38"/>
        <v>0</v>
      </c>
      <c r="AE67" s="1829"/>
      <c r="AF67" s="1829" t="s">
        <v>3361</v>
      </c>
      <c r="AG67" s="1830">
        <v>50.9</v>
      </c>
      <c r="AH67" s="1372" t="s">
        <v>3445</v>
      </c>
      <c r="AI67" s="1640">
        <f t="shared" si="39"/>
        <v>311.50799999999998</v>
      </c>
      <c r="AJ67" s="1638">
        <f t="shared" si="40"/>
        <v>0</v>
      </c>
      <c r="AK67" s="1829"/>
      <c r="AL67" s="1829" t="s">
        <v>3361</v>
      </c>
      <c r="AM67" s="1830">
        <v>50.9</v>
      </c>
      <c r="AN67" s="1372" t="str">
        <f t="shared" si="60"/>
        <v>No change</v>
      </c>
      <c r="AO67" s="1640">
        <f t="shared" si="41"/>
        <v>311.50799999999998</v>
      </c>
      <c r="AP67" s="1638">
        <f t="shared" si="42"/>
        <v>0</v>
      </c>
      <c r="AQ67" s="1829"/>
      <c r="AR67" s="1829" t="s">
        <v>3361</v>
      </c>
      <c r="AS67" s="1830">
        <v>50.9</v>
      </c>
      <c r="AT67" s="1372" t="str">
        <f t="shared" si="61"/>
        <v>No change</v>
      </c>
      <c r="AU67" s="1640">
        <f t="shared" si="44"/>
        <v>311.50799999999998</v>
      </c>
      <c r="AV67" s="1638">
        <f t="shared" si="45"/>
        <v>0</v>
      </c>
      <c r="AW67" s="2044">
        <f t="shared" si="46"/>
        <v>311.50799999999998</v>
      </c>
      <c r="AX67" s="2044">
        <f t="shared" si="47"/>
        <v>311.50799999999998</v>
      </c>
      <c r="AY67" s="2044">
        <f t="shared" si="48"/>
        <v>311.50799999999998</v>
      </c>
      <c r="AZ67" s="2044">
        <f t="shared" si="49"/>
        <v>311.50799999999998</v>
      </c>
      <c r="BA67" s="2045">
        <f t="shared" si="50"/>
        <v>1246.0319999999999</v>
      </c>
      <c r="BB67" s="2049"/>
      <c r="BC67" s="2049"/>
      <c r="BD67" s="2045">
        <v>0</v>
      </c>
      <c r="BE67" s="2051">
        <v>3</v>
      </c>
      <c r="BF67" s="2051">
        <v>3</v>
      </c>
      <c r="BG67" s="2051">
        <v>3</v>
      </c>
      <c r="BH67" s="2051">
        <v>3</v>
      </c>
      <c r="BI67" s="2045">
        <f t="shared" si="6"/>
        <v>934.52399999999989</v>
      </c>
      <c r="BJ67" s="2045">
        <f t="shared" si="7"/>
        <v>934.52399999999989</v>
      </c>
      <c r="BK67" s="2045">
        <f t="shared" si="8"/>
        <v>934.52399999999989</v>
      </c>
      <c r="BL67" s="2045">
        <f t="shared" si="9"/>
        <v>934.52399999999989</v>
      </c>
      <c r="BM67" s="2045">
        <f t="shared" si="51"/>
        <v>3738.0959999999995</v>
      </c>
      <c r="BN67" s="2047">
        <v>3</v>
      </c>
      <c r="BO67" s="2047">
        <v>3</v>
      </c>
      <c r="BP67" s="2047">
        <v>3</v>
      </c>
      <c r="BQ67" s="2047">
        <v>3</v>
      </c>
      <c r="BR67" s="2048">
        <f t="shared" si="52"/>
        <v>934.52399999999989</v>
      </c>
      <c r="BS67" s="2048">
        <f t="shared" si="53"/>
        <v>934.52399999999989</v>
      </c>
      <c r="BT67" s="2048">
        <f t="shared" si="54"/>
        <v>934.52399999999989</v>
      </c>
      <c r="BU67" s="2048">
        <f t="shared" si="55"/>
        <v>934.52399999999989</v>
      </c>
      <c r="BV67" s="1840">
        <f t="shared" si="56"/>
        <v>3738.0959999999995</v>
      </c>
      <c r="BW67" s="2064" t="e">
        <f>INT(#REF!)=INT(BA67)</f>
        <v>#REF!</v>
      </c>
      <c r="BX67" s="2064">
        <v>60</v>
      </c>
      <c r="BY67" s="2064" t="s">
        <v>295</v>
      </c>
    </row>
    <row r="68" spans="1:78" s="1976" customFormat="1" ht="62" x14ac:dyDescent="0.35">
      <c r="A68" s="1372" t="s">
        <v>1494</v>
      </c>
      <c r="B68" s="1372" t="s">
        <v>189</v>
      </c>
      <c r="C68" s="1637">
        <v>0</v>
      </c>
      <c r="D68" s="2053" t="str">
        <f>+'[9]4.4.16'!$A$1</f>
        <v>4.4.16</v>
      </c>
      <c r="E68" s="1372" t="s">
        <v>163</v>
      </c>
      <c r="F68" s="1638">
        <v>440</v>
      </c>
      <c r="G68" s="1638">
        <v>440</v>
      </c>
      <c r="H68" s="1638">
        <v>440</v>
      </c>
      <c r="I68" s="1638">
        <v>440</v>
      </c>
      <c r="J68" s="1372" t="str">
        <f>+'[9]4.4.16'!$B$22</f>
        <v>CI-HVC-STRE-V05-180101</v>
      </c>
      <c r="K68" s="1372" t="str">
        <f t="shared" si="30"/>
        <v>Nicor Gas PY7-PY10 Adjustable Goals Template_2017-06-30, Tab 4.4.16</v>
      </c>
      <c r="L68" s="1639">
        <v>89.462647935000021</v>
      </c>
      <c r="M68" s="1639">
        <v>89.462647935000021</v>
      </c>
      <c r="N68" s="1639">
        <v>89.462647935000021</v>
      </c>
      <c r="O68" s="1639">
        <v>89.462647935000021</v>
      </c>
      <c r="P68" s="1637">
        <v>0.68</v>
      </c>
      <c r="Q68" s="1637">
        <v>0.68</v>
      </c>
      <c r="R68" s="1637">
        <v>0.68</v>
      </c>
      <c r="S68" s="1637">
        <v>0.68</v>
      </c>
      <c r="T68" s="1640">
        <f t="shared" si="31"/>
        <v>26767.224262152005</v>
      </c>
      <c r="U68" s="1640">
        <f t="shared" si="32"/>
        <v>26767.224262152005</v>
      </c>
      <c r="V68" s="1640">
        <f t="shared" si="33"/>
        <v>26767.224262152005</v>
      </c>
      <c r="W68" s="1640">
        <f t="shared" si="34"/>
        <v>26767.224262152005</v>
      </c>
      <c r="X68" s="1640">
        <f t="shared" si="35"/>
        <v>107068.89704860802</v>
      </c>
      <c r="Y68" s="1372" t="str">
        <f t="shared" ref="Y68:Y87" si="62">J68</f>
        <v>CI-HVC-STRE-V05-180101</v>
      </c>
      <c r="Z68" s="1372" t="str">
        <f t="shared" si="57"/>
        <v>Nicor Gas PY7-PY10 Adjustable Goals Template_2017-06-30, Tab 4.4.16</v>
      </c>
      <c r="AA68" s="1840">
        <f t="shared" si="58"/>
        <v>89.462647935000021</v>
      </c>
      <c r="AB68" s="2028"/>
      <c r="AC68" s="1840">
        <f t="shared" si="37"/>
        <v>26767.224262152005</v>
      </c>
      <c r="AD68" s="1840">
        <f t="shared" si="38"/>
        <v>0</v>
      </c>
      <c r="AE68" s="1372" t="s">
        <v>2796</v>
      </c>
      <c r="AF68" s="1372" t="s">
        <v>3382</v>
      </c>
      <c r="AG68" s="1639">
        <v>89.462647935000021</v>
      </c>
      <c r="AH68" s="1372" t="s">
        <v>3445</v>
      </c>
      <c r="AI68" s="1640">
        <f t="shared" si="39"/>
        <v>26767.224262152005</v>
      </c>
      <c r="AJ68" s="1638">
        <f t="shared" si="40"/>
        <v>0</v>
      </c>
      <c r="AK68" s="1372" t="s">
        <v>2796</v>
      </c>
      <c r="AL68" s="1372" t="s">
        <v>3382</v>
      </c>
      <c r="AM68" s="1639">
        <v>89.462647935000021</v>
      </c>
      <c r="AN68" s="1372" t="str">
        <f t="shared" si="60"/>
        <v>No change</v>
      </c>
      <c r="AO68" s="1640">
        <f t="shared" si="41"/>
        <v>26767.224262152005</v>
      </c>
      <c r="AP68" s="1638">
        <f t="shared" si="42"/>
        <v>0</v>
      </c>
      <c r="AQ68" s="1372" t="s">
        <v>2796</v>
      </c>
      <c r="AR68" s="1372" t="s">
        <v>3382</v>
      </c>
      <c r="AS68" s="1639">
        <v>89.462647935000021</v>
      </c>
      <c r="AT68" s="1372" t="str">
        <f t="shared" si="61"/>
        <v>No change</v>
      </c>
      <c r="AU68" s="1640">
        <f t="shared" si="44"/>
        <v>26767.224262152005</v>
      </c>
      <c r="AV68" s="1638">
        <f t="shared" si="45"/>
        <v>0</v>
      </c>
      <c r="AW68" s="2044">
        <f t="shared" si="46"/>
        <v>26767.224262152005</v>
      </c>
      <c r="AX68" s="2044">
        <f t="shared" si="47"/>
        <v>26767.224262152005</v>
      </c>
      <c r="AY68" s="2044">
        <f t="shared" si="48"/>
        <v>26767.224262152005</v>
      </c>
      <c r="AZ68" s="2044">
        <f t="shared" si="49"/>
        <v>26767.224262152005</v>
      </c>
      <c r="BA68" s="2045">
        <f t="shared" si="50"/>
        <v>107068.89704860802</v>
      </c>
      <c r="BB68" s="2045" t="str">
        <f>+'[9]4.4.16'!$A$1</f>
        <v>4.4.16</v>
      </c>
      <c r="BC68" s="2045" t="str">
        <f>+'[9]4.4.16'!$A$1</f>
        <v>4.4.16</v>
      </c>
      <c r="BD68" s="2045">
        <v>0</v>
      </c>
      <c r="BE68" s="2051">
        <v>6</v>
      </c>
      <c r="BF68" s="2051">
        <v>6</v>
      </c>
      <c r="BG68" s="2051">
        <v>6</v>
      </c>
      <c r="BH68" s="2051">
        <v>6</v>
      </c>
      <c r="BI68" s="2045">
        <f t="shared" si="6"/>
        <v>160603.34557291205</v>
      </c>
      <c r="BJ68" s="2045">
        <f t="shared" si="7"/>
        <v>160603.34557291205</v>
      </c>
      <c r="BK68" s="2045">
        <f t="shared" si="8"/>
        <v>160603.34557291205</v>
      </c>
      <c r="BL68" s="2045">
        <f t="shared" si="9"/>
        <v>160603.34557291205</v>
      </c>
      <c r="BM68" s="2045">
        <f t="shared" si="51"/>
        <v>642413.38229164819</v>
      </c>
      <c r="BN68" s="2047">
        <v>6</v>
      </c>
      <c r="BO68" s="2047">
        <v>6</v>
      </c>
      <c r="BP68" s="2047">
        <v>6</v>
      </c>
      <c r="BQ68" s="2047">
        <v>6</v>
      </c>
      <c r="BR68" s="2048">
        <f t="shared" si="52"/>
        <v>160603.34557291205</v>
      </c>
      <c r="BS68" s="2048">
        <f t="shared" si="53"/>
        <v>160603.34557291205</v>
      </c>
      <c r="BT68" s="2048">
        <f t="shared" si="54"/>
        <v>160603.34557291205</v>
      </c>
      <c r="BU68" s="2048">
        <f t="shared" si="55"/>
        <v>160603.34557291205</v>
      </c>
      <c r="BV68" s="1840">
        <f t="shared" si="56"/>
        <v>642413.38229164819</v>
      </c>
      <c r="BW68" s="2064" t="e">
        <f>INT(#REF!)=INT(BA68)</f>
        <v>#REF!</v>
      </c>
      <c r="BX68" s="2064">
        <v>61</v>
      </c>
      <c r="BY68" s="2064" t="s">
        <v>512</v>
      </c>
    </row>
    <row r="69" spans="1:78" s="1976" customFormat="1" ht="62" x14ac:dyDescent="0.35">
      <c r="A69" s="1372" t="s">
        <v>1494</v>
      </c>
      <c r="B69" s="1372" t="s">
        <v>190</v>
      </c>
      <c r="C69" s="1637">
        <v>0</v>
      </c>
      <c r="D69" s="2053" t="str">
        <f>+'[9]4.4.16'!$A$1</f>
        <v>4.4.16</v>
      </c>
      <c r="E69" s="1372" t="s">
        <v>163</v>
      </c>
      <c r="F69" s="1638">
        <v>8</v>
      </c>
      <c r="G69" s="1638">
        <v>8</v>
      </c>
      <c r="H69" s="1638">
        <v>8</v>
      </c>
      <c r="I69" s="1638">
        <v>8</v>
      </c>
      <c r="J69" s="1372" t="str">
        <f>+'[9]4.4.16'!$B$22</f>
        <v>CI-HVC-STRE-V05-180101</v>
      </c>
      <c r="K69" s="1372" t="str">
        <f t="shared" si="30"/>
        <v>Nicor Gas PY7-PY10 Adjustable Goals Template_2017-06-30, Tab 4.4.16</v>
      </c>
      <c r="L69" s="1639">
        <v>639.19118528437491</v>
      </c>
      <c r="M69" s="1639">
        <v>639.19118528437491</v>
      </c>
      <c r="N69" s="1639">
        <v>639.19118528437491</v>
      </c>
      <c r="O69" s="1639">
        <v>639.19118528437491</v>
      </c>
      <c r="P69" s="1637">
        <v>0.68</v>
      </c>
      <c r="Q69" s="1637">
        <v>0.68</v>
      </c>
      <c r="R69" s="1637">
        <v>0.68</v>
      </c>
      <c r="S69" s="1637">
        <v>0.68</v>
      </c>
      <c r="T69" s="1640">
        <f t="shared" si="31"/>
        <v>3477.2000479469998</v>
      </c>
      <c r="U69" s="1640">
        <f t="shared" si="32"/>
        <v>3477.2000479469998</v>
      </c>
      <c r="V69" s="1640">
        <f t="shared" si="33"/>
        <v>3477.2000479469998</v>
      </c>
      <c r="W69" s="1640">
        <f t="shared" si="34"/>
        <v>3477.2000479469998</v>
      </c>
      <c r="X69" s="1640">
        <f t="shared" si="35"/>
        <v>13908.800191787999</v>
      </c>
      <c r="Y69" s="1372" t="str">
        <f t="shared" si="62"/>
        <v>CI-HVC-STRE-V05-180101</v>
      </c>
      <c r="Z69" s="1372" t="str">
        <f t="shared" si="57"/>
        <v>Nicor Gas PY7-PY10 Adjustable Goals Template_2017-06-30, Tab 4.4.16</v>
      </c>
      <c r="AA69" s="1840">
        <f t="shared" si="58"/>
        <v>639.19118528437491</v>
      </c>
      <c r="AB69" s="2028"/>
      <c r="AC69" s="1840">
        <f t="shared" si="37"/>
        <v>3477.2000479469998</v>
      </c>
      <c r="AD69" s="1840">
        <f t="shared" si="38"/>
        <v>0</v>
      </c>
      <c r="AE69" s="1372" t="s">
        <v>2796</v>
      </c>
      <c r="AF69" s="1372" t="s">
        <v>3382</v>
      </c>
      <c r="AG69" s="1639">
        <v>639.19118528437491</v>
      </c>
      <c r="AH69" s="1372" t="s">
        <v>3445</v>
      </c>
      <c r="AI69" s="1640">
        <f t="shared" si="39"/>
        <v>3477.2000479469998</v>
      </c>
      <c r="AJ69" s="1638">
        <f t="shared" si="40"/>
        <v>0</v>
      </c>
      <c r="AK69" s="1372" t="s">
        <v>2796</v>
      </c>
      <c r="AL69" s="1372" t="s">
        <v>3382</v>
      </c>
      <c r="AM69" s="1639">
        <v>639.19118528437491</v>
      </c>
      <c r="AN69" s="1372" t="str">
        <f t="shared" si="60"/>
        <v>No change</v>
      </c>
      <c r="AO69" s="1640">
        <f t="shared" si="41"/>
        <v>3477.2000479469998</v>
      </c>
      <c r="AP69" s="1638">
        <f t="shared" si="42"/>
        <v>0</v>
      </c>
      <c r="AQ69" s="1372" t="s">
        <v>2796</v>
      </c>
      <c r="AR69" s="1372" t="s">
        <v>3382</v>
      </c>
      <c r="AS69" s="1639">
        <v>639.19118528437491</v>
      </c>
      <c r="AT69" s="1372" t="str">
        <f t="shared" si="61"/>
        <v>No change</v>
      </c>
      <c r="AU69" s="1640">
        <f t="shared" si="44"/>
        <v>3477.2000479469998</v>
      </c>
      <c r="AV69" s="1638">
        <f t="shared" si="45"/>
        <v>0</v>
      </c>
      <c r="AW69" s="2044">
        <f t="shared" si="46"/>
        <v>3477.2000479469998</v>
      </c>
      <c r="AX69" s="2044">
        <f t="shared" si="47"/>
        <v>3477.2000479469998</v>
      </c>
      <c r="AY69" s="2044">
        <f t="shared" si="48"/>
        <v>3477.2000479469998</v>
      </c>
      <c r="AZ69" s="2044">
        <f t="shared" si="49"/>
        <v>3477.2000479469998</v>
      </c>
      <c r="BA69" s="2045">
        <f t="shared" si="50"/>
        <v>13908.800191787999</v>
      </c>
      <c r="BB69" s="2045" t="str">
        <f>+'[9]4.4.16'!$A$1</f>
        <v>4.4.16</v>
      </c>
      <c r="BC69" s="2045" t="str">
        <f>+'[9]4.4.16'!$A$1</f>
        <v>4.4.16</v>
      </c>
      <c r="BD69" s="2045">
        <v>0</v>
      </c>
      <c r="BE69" s="2051">
        <v>6</v>
      </c>
      <c r="BF69" s="2051">
        <v>6</v>
      </c>
      <c r="BG69" s="2051">
        <v>6</v>
      </c>
      <c r="BH69" s="2051">
        <v>6</v>
      </c>
      <c r="BI69" s="2045">
        <f t="shared" si="6"/>
        <v>20863.200287681997</v>
      </c>
      <c r="BJ69" s="2045">
        <f t="shared" si="7"/>
        <v>20863.200287681997</v>
      </c>
      <c r="BK69" s="2045">
        <f t="shared" si="8"/>
        <v>20863.200287681997</v>
      </c>
      <c r="BL69" s="2045">
        <f t="shared" si="9"/>
        <v>20863.200287681997</v>
      </c>
      <c r="BM69" s="2045">
        <f t="shared" si="51"/>
        <v>83452.801150727988</v>
      </c>
      <c r="BN69" s="2047">
        <v>6</v>
      </c>
      <c r="BO69" s="2047">
        <v>6</v>
      </c>
      <c r="BP69" s="2047">
        <v>6</v>
      </c>
      <c r="BQ69" s="2047">
        <v>6</v>
      </c>
      <c r="BR69" s="2048">
        <f t="shared" si="52"/>
        <v>20863.200287681997</v>
      </c>
      <c r="BS69" s="2048">
        <f t="shared" si="53"/>
        <v>20863.200287681997</v>
      </c>
      <c r="BT69" s="2048">
        <f t="shared" si="54"/>
        <v>20863.200287681997</v>
      </c>
      <c r="BU69" s="2048">
        <f t="shared" si="55"/>
        <v>20863.200287681997</v>
      </c>
      <c r="BV69" s="1840">
        <f t="shared" si="56"/>
        <v>83452.801150727988</v>
      </c>
      <c r="BW69" s="2064" t="e">
        <f>INT(#REF!)=INT(BA69)</f>
        <v>#REF!</v>
      </c>
      <c r="BX69" s="2064">
        <v>62</v>
      </c>
      <c r="BY69" s="2064" t="s">
        <v>512</v>
      </c>
    </row>
    <row r="70" spans="1:78" s="1976" customFormat="1" ht="62" x14ac:dyDescent="0.35">
      <c r="A70" s="1372" t="s">
        <v>1494</v>
      </c>
      <c r="B70" s="1372" t="s">
        <v>191</v>
      </c>
      <c r="C70" s="1637">
        <v>0</v>
      </c>
      <c r="D70" s="2053" t="str">
        <f>+'[9]4.4.16'!$A$1</f>
        <v>4.4.16</v>
      </c>
      <c r="E70" s="1372" t="s">
        <v>163</v>
      </c>
      <c r="F70" s="1638">
        <v>8</v>
      </c>
      <c r="G70" s="1638">
        <v>8</v>
      </c>
      <c r="H70" s="1638">
        <v>8</v>
      </c>
      <c r="I70" s="1638">
        <v>8</v>
      </c>
      <c r="J70" s="1372" t="str">
        <f>+'[9]4.4.16'!$B$22</f>
        <v>CI-HVC-STRE-V05-180101</v>
      </c>
      <c r="K70" s="1372" t="str">
        <f t="shared" si="30"/>
        <v>Nicor Gas PY7-PY10 Adjustable Goals Template_2017-06-30, Tab 4.4.16</v>
      </c>
      <c r="L70" s="1639">
        <v>2213.6254477031248</v>
      </c>
      <c r="M70" s="1639">
        <v>2213.6254477031248</v>
      </c>
      <c r="N70" s="1639">
        <v>2213.6254477031248</v>
      </c>
      <c r="O70" s="1639">
        <v>2213.6254477031248</v>
      </c>
      <c r="P70" s="1637">
        <v>0.68</v>
      </c>
      <c r="Q70" s="1637">
        <v>0.68</v>
      </c>
      <c r="R70" s="1637">
        <v>0.68</v>
      </c>
      <c r="S70" s="1637">
        <v>0.68</v>
      </c>
      <c r="T70" s="1640">
        <f t="shared" si="31"/>
        <v>12042.122435505</v>
      </c>
      <c r="U70" s="1640">
        <f t="shared" si="32"/>
        <v>12042.122435505</v>
      </c>
      <c r="V70" s="1640">
        <f t="shared" si="33"/>
        <v>12042.122435505</v>
      </c>
      <c r="W70" s="1640">
        <f t="shared" si="34"/>
        <v>12042.122435505</v>
      </c>
      <c r="X70" s="1640">
        <f t="shared" si="35"/>
        <v>48168.48974202</v>
      </c>
      <c r="Y70" s="1372" t="str">
        <f t="shared" si="62"/>
        <v>CI-HVC-STRE-V05-180101</v>
      </c>
      <c r="Z70" s="1372" t="str">
        <f t="shared" si="57"/>
        <v>Nicor Gas PY7-PY10 Adjustable Goals Template_2017-06-30, Tab 4.4.16</v>
      </c>
      <c r="AA70" s="1840">
        <f t="shared" si="58"/>
        <v>2213.6254477031248</v>
      </c>
      <c r="AB70" s="2028"/>
      <c r="AC70" s="1840">
        <f t="shared" si="37"/>
        <v>12042.122435505</v>
      </c>
      <c r="AD70" s="1840">
        <f t="shared" si="38"/>
        <v>0</v>
      </c>
      <c r="AE70" s="1372" t="s">
        <v>2796</v>
      </c>
      <c r="AF70" s="1372" t="s">
        <v>3382</v>
      </c>
      <c r="AG70" s="1639">
        <v>2213.6254477031248</v>
      </c>
      <c r="AH70" s="1372" t="s">
        <v>3445</v>
      </c>
      <c r="AI70" s="1640">
        <f t="shared" si="39"/>
        <v>12042.122435505</v>
      </c>
      <c r="AJ70" s="1638">
        <f t="shared" si="40"/>
        <v>0</v>
      </c>
      <c r="AK70" s="1372" t="s">
        <v>2796</v>
      </c>
      <c r="AL70" s="1372" t="s">
        <v>3382</v>
      </c>
      <c r="AM70" s="1639">
        <v>2213.6254477031248</v>
      </c>
      <c r="AN70" s="1372" t="str">
        <f t="shared" si="60"/>
        <v>No change</v>
      </c>
      <c r="AO70" s="1640">
        <f t="shared" si="41"/>
        <v>12042.122435505</v>
      </c>
      <c r="AP70" s="1638">
        <f t="shared" si="42"/>
        <v>0</v>
      </c>
      <c r="AQ70" s="1372" t="s">
        <v>2796</v>
      </c>
      <c r="AR70" s="1372" t="s">
        <v>3382</v>
      </c>
      <c r="AS70" s="1639">
        <v>2213.6254477031248</v>
      </c>
      <c r="AT70" s="1372" t="str">
        <f t="shared" si="61"/>
        <v>No change</v>
      </c>
      <c r="AU70" s="1640">
        <f t="shared" si="44"/>
        <v>12042.122435505</v>
      </c>
      <c r="AV70" s="1638">
        <f t="shared" si="45"/>
        <v>0</v>
      </c>
      <c r="AW70" s="2044">
        <f t="shared" si="46"/>
        <v>12042.122435505</v>
      </c>
      <c r="AX70" s="2044">
        <f t="shared" si="47"/>
        <v>12042.122435505</v>
      </c>
      <c r="AY70" s="2044">
        <f t="shared" si="48"/>
        <v>12042.122435505</v>
      </c>
      <c r="AZ70" s="2044">
        <f t="shared" si="49"/>
        <v>12042.122435505</v>
      </c>
      <c r="BA70" s="2045">
        <f t="shared" si="50"/>
        <v>48168.48974202</v>
      </c>
      <c r="BB70" s="2045" t="str">
        <f>+'[9]4.4.16'!$A$1</f>
        <v>4.4.16</v>
      </c>
      <c r="BC70" s="2045" t="str">
        <f>+'[9]4.4.16'!$A$1</f>
        <v>4.4.16</v>
      </c>
      <c r="BD70" s="2045">
        <v>0</v>
      </c>
      <c r="BE70" s="2051">
        <v>6</v>
      </c>
      <c r="BF70" s="2051">
        <v>6</v>
      </c>
      <c r="BG70" s="2051">
        <v>6</v>
      </c>
      <c r="BH70" s="2051">
        <v>6</v>
      </c>
      <c r="BI70" s="2045">
        <f t="shared" si="6"/>
        <v>72252.734613029999</v>
      </c>
      <c r="BJ70" s="2045">
        <f t="shared" si="7"/>
        <v>72252.734613029999</v>
      </c>
      <c r="BK70" s="2045">
        <f t="shared" si="8"/>
        <v>72252.734613029999</v>
      </c>
      <c r="BL70" s="2045">
        <f t="shared" si="9"/>
        <v>72252.734613029999</v>
      </c>
      <c r="BM70" s="2045">
        <f t="shared" si="51"/>
        <v>289010.93845212</v>
      </c>
      <c r="BN70" s="2047">
        <v>6</v>
      </c>
      <c r="BO70" s="2047">
        <v>6</v>
      </c>
      <c r="BP70" s="2047">
        <v>6</v>
      </c>
      <c r="BQ70" s="2047">
        <v>6</v>
      </c>
      <c r="BR70" s="2048">
        <f t="shared" si="52"/>
        <v>72252.734613029999</v>
      </c>
      <c r="BS70" s="2048">
        <f t="shared" si="53"/>
        <v>72252.734613029999</v>
      </c>
      <c r="BT70" s="2048">
        <f t="shared" si="54"/>
        <v>72252.734613029999</v>
      </c>
      <c r="BU70" s="2048">
        <f t="shared" si="55"/>
        <v>72252.734613029999</v>
      </c>
      <c r="BV70" s="1840">
        <f t="shared" si="56"/>
        <v>289010.93845212</v>
      </c>
      <c r="BW70" s="2064" t="e">
        <f>INT(#REF!)=INT(BA70)</f>
        <v>#REF!</v>
      </c>
      <c r="BX70" s="2064">
        <v>63</v>
      </c>
      <c r="BY70" s="2064" t="s">
        <v>512</v>
      </c>
    </row>
    <row r="71" spans="1:78" s="1976" customFormat="1" ht="62" x14ac:dyDescent="0.35">
      <c r="A71" s="1372" t="s">
        <v>1494</v>
      </c>
      <c r="B71" s="1372" t="s">
        <v>192</v>
      </c>
      <c r="C71" s="1637">
        <v>0</v>
      </c>
      <c r="D71" s="2053" t="str">
        <f>+'[9]4.4.16'!$A$1</f>
        <v>4.4.16</v>
      </c>
      <c r="E71" s="1372" t="s">
        <v>163</v>
      </c>
      <c r="F71" s="1638">
        <v>140</v>
      </c>
      <c r="G71" s="1638">
        <v>140</v>
      </c>
      <c r="H71" s="1638">
        <v>140</v>
      </c>
      <c r="I71" s="1638">
        <v>140</v>
      </c>
      <c r="J71" s="1372" t="str">
        <f>+'[9]4.4.16'!$B$22</f>
        <v>CI-HVC-STRE-V05-180101</v>
      </c>
      <c r="K71" s="1372" t="str">
        <f t="shared" si="30"/>
        <v>Nicor Gas PY7-PY10 Adjustable Goals Template_2017-06-30, Tab 4.4.16</v>
      </c>
      <c r="L71" s="1639">
        <v>3992.2149052500004</v>
      </c>
      <c r="M71" s="1639">
        <v>3992.2149052500004</v>
      </c>
      <c r="N71" s="1639">
        <v>3992.2149052500004</v>
      </c>
      <c r="O71" s="1639">
        <v>3992.2149052500004</v>
      </c>
      <c r="P71" s="1637">
        <v>0.68</v>
      </c>
      <c r="Q71" s="1637">
        <v>0.68</v>
      </c>
      <c r="R71" s="1637">
        <v>0.68</v>
      </c>
      <c r="S71" s="1637">
        <v>0.68</v>
      </c>
      <c r="T71" s="1640">
        <f t="shared" si="31"/>
        <v>380058.85897980002</v>
      </c>
      <c r="U71" s="1640">
        <f t="shared" si="32"/>
        <v>380058.85897980002</v>
      </c>
      <c r="V71" s="1640">
        <f t="shared" si="33"/>
        <v>380058.85897980002</v>
      </c>
      <c r="W71" s="1640">
        <f t="shared" si="34"/>
        <v>380058.85897980002</v>
      </c>
      <c r="X71" s="1640">
        <f t="shared" si="35"/>
        <v>1520235.4359192001</v>
      </c>
      <c r="Y71" s="1372" t="str">
        <f t="shared" si="62"/>
        <v>CI-HVC-STRE-V05-180101</v>
      </c>
      <c r="Z71" s="1372" t="str">
        <f t="shared" si="57"/>
        <v>Nicor Gas PY7-PY10 Adjustable Goals Template_2017-06-30, Tab 4.4.16</v>
      </c>
      <c r="AA71" s="1840">
        <f t="shared" si="58"/>
        <v>3992.2149052500004</v>
      </c>
      <c r="AB71" s="2028"/>
      <c r="AC71" s="1840">
        <f t="shared" si="37"/>
        <v>380058.85897980002</v>
      </c>
      <c r="AD71" s="1840">
        <f t="shared" si="38"/>
        <v>0</v>
      </c>
      <c r="AE71" s="1372" t="s">
        <v>2796</v>
      </c>
      <c r="AF71" s="1372" t="s">
        <v>3382</v>
      </c>
      <c r="AG71" s="1639">
        <v>3992.2149052500004</v>
      </c>
      <c r="AH71" s="1372" t="s">
        <v>3445</v>
      </c>
      <c r="AI71" s="1640">
        <f t="shared" si="39"/>
        <v>380058.85897980002</v>
      </c>
      <c r="AJ71" s="1638">
        <f t="shared" si="40"/>
        <v>0</v>
      </c>
      <c r="AK71" s="1372" t="s">
        <v>2796</v>
      </c>
      <c r="AL71" s="1372" t="s">
        <v>3382</v>
      </c>
      <c r="AM71" s="1639">
        <v>3992.2149052500004</v>
      </c>
      <c r="AN71" s="1372" t="str">
        <f t="shared" si="60"/>
        <v>No change</v>
      </c>
      <c r="AO71" s="1640">
        <f t="shared" si="41"/>
        <v>380058.85897980002</v>
      </c>
      <c r="AP71" s="1638">
        <f t="shared" si="42"/>
        <v>0</v>
      </c>
      <c r="AQ71" s="1372" t="s">
        <v>2796</v>
      </c>
      <c r="AR71" s="1372" t="s">
        <v>3382</v>
      </c>
      <c r="AS71" s="1639">
        <v>3992.2149052500004</v>
      </c>
      <c r="AT71" s="1372" t="str">
        <f t="shared" si="61"/>
        <v>No change</v>
      </c>
      <c r="AU71" s="1640">
        <f t="shared" si="44"/>
        <v>380058.85897980002</v>
      </c>
      <c r="AV71" s="1638">
        <f t="shared" si="45"/>
        <v>0</v>
      </c>
      <c r="AW71" s="2044">
        <f t="shared" si="46"/>
        <v>380058.85897980002</v>
      </c>
      <c r="AX71" s="2044">
        <f t="shared" si="47"/>
        <v>380058.85897980002</v>
      </c>
      <c r="AY71" s="2044">
        <f t="shared" si="48"/>
        <v>380058.85897980002</v>
      </c>
      <c r="AZ71" s="2044">
        <f t="shared" si="49"/>
        <v>380058.85897980002</v>
      </c>
      <c r="BA71" s="2045">
        <f t="shared" si="50"/>
        <v>1520235.4359192001</v>
      </c>
      <c r="BB71" s="2045" t="str">
        <f>+'[9]4.4.16'!$A$1</f>
        <v>4.4.16</v>
      </c>
      <c r="BC71" s="2045" t="str">
        <f>+'[9]4.4.16'!$A$1</f>
        <v>4.4.16</v>
      </c>
      <c r="BD71" s="2045">
        <v>0</v>
      </c>
      <c r="BE71" s="2051">
        <v>6</v>
      </c>
      <c r="BF71" s="2051">
        <v>6</v>
      </c>
      <c r="BG71" s="2051">
        <v>6</v>
      </c>
      <c r="BH71" s="2051">
        <v>6</v>
      </c>
      <c r="BI71" s="2045">
        <f t="shared" si="6"/>
        <v>2280353.1538788001</v>
      </c>
      <c r="BJ71" s="2045">
        <f t="shared" si="7"/>
        <v>2280353.1538788001</v>
      </c>
      <c r="BK71" s="2045">
        <f t="shared" si="8"/>
        <v>2280353.1538788001</v>
      </c>
      <c r="BL71" s="2045">
        <f t="shared" si="9"/>
        <v>2280353.1538788001</v>
      </c>
      <c r="BM71" s="2045">
        <f t="shared" si="51"/>
        <v>9121412.6155152004</v>
      </c>
      <c r="BN71" s="2047">
        <v>6</v>
      </c>
      <c r="BO71" s="2047">
        <v>6</v>
      </c>
      <c r="BP71" s="2047">
        <v>6</v>
      </c>
      <c r="BQ71" s="2047">
        <v>6</v>
      </c>
      <c r="BR71" s="2048">
        <f t="shared" si="52"/>
        <v>2280353.1538788001</v>
      </c>
      <c r="BS71" s="2048">
        <f t="shared" si="53"/>
        <v>2280353.1538788001</v>
      </c>
      <c r="BT71" s="2048">
        <f t="shared" si="54"/>
        <v>2280353.1538788001</v>
      </c>
      <c r="BU71" s="2048">
        <f t="shared" si="55"/>
        <v>2280353.1538788001</v>
      </c>
      <c r="BV71" s="1840">
        <f t="shared" si="56"/>
        <v>9121412.6155152004</v>
      </c>
      <c r="BW71" s="2064" t="e">
        <f>INT(#REF!)=INT(BA71)</f>
        <v>#REF!</v>
      </c>
      <c r="BX71" s="2064">
        <v>64</v>
      </c>
      <c r="BY71" s="2064" t="s">
        <v>512</v>
      </c>
    </row>
    <row r="72" spans="1:78" s="1976" customFormat="1" ht="62" x14ac:dyDescent="0.35">
      <c r="A72" s="1372" t="s">
        <v>1494</v>
      </c>
      <c r="B72" s="1372" t="s">
        <v>193</v>
      </c>
      <c r="C72" s="1637">
        <v>0</v>
      </c>
      <c r="D72" s="2053" t="str">
        <f>+'[9]4.4.16'!$A$1</f>
        <v>4.4.16</v>
      </c>
      <c r="E72" s="1372" t="s">
        <v>163</v>
      </c>
      <c r="F72" s="1638">
        <v>64</v>
      </c>
      <c r="G72" s="1638">
        <v>64</v>
      </c>
      <c r="H72" s="1638">
        <v>64</v>
      </c>
      <c r="I72" s="1638">
        <v>64</v>
      </c>
      <c r="J72" s="1372" t="str">
        <f>+'[9]4.4.16'!$B$22</f>
        <v>CI-HVC-STRE-V05-180101</v>
      </c>
      <c r="K72" s="1372" t="str">
        <f t="shared" si="30"/>
        <v>Nicor Gas PY7-PY10 Adjustable Goals Template_2017-06-30, Tab 4.4.16</v>
      </c>
      <c r="L72" s="1639">
        <v>5412.6123143718742</v>
      </c>
      <c r="M72" s="1639">
        <v>5412.6123143718742</v>
      </c>
      <c r="N72" s="1639">
        <v>5412.6123143718742</v>
      </c>
      <c r="O72" s="1639">
        <v>5412.6123143718742</v>
      </c>
      <c r="P72" s="1637">
        <v>0.68</v>
      </c>
      <c r="Q72" s="1637">
        <v>0.68</v>
      </c>
      <c r="R72" s="1637">
        <v>0.68</v>
      </c>
      <c r="S72" s="1637">
        <v>0.68</v>
      </c>
      <c r="T72" s="1640">
        <f t="shared" si="31"/>
        <v>235556.88792146399</v>
      </c>
      <c r="U72" s="1640">
        <f t="shared" si="32"/>
        <v>235556.88792146399</v>
      </c>
      <c r="V72" s="1640">
        <f t="shared" si="33"/>
        <v>235556.88792146399</v>
      </c>
      <c r="W72" s="1640">
        <f t="shared" si="34"/>
        <v>235556.88792146399</v>
      </c>
      <c r="X72" s="1640">
        <f t="shared" si="35"/>
        <v>942227.55168585596</v>
      </c>
      <c r="Y72" s="1372" t="str">
        <f t="shared" si="62"/>
        <v>CI-HVC-STRE-V05-180101</v>
      </c>
      <c r="Z72" s="1372" t="str">
        <f t="shared" si="57"/>
        <v>Nicor Gas PY7-PY10 Adjustable Goals Template_2017-06-30, Tab 4.4.16</v>
      </c>
      <c r="AA72" s="1840">
        <f t="shared" si="58"/>
        <v>5412.6123143718742</v>
      </c>
      <c r="AB72" s="2028"/>
      <c r="AC72" s="1840">
        <f t="shared" si="37"/>
        <v>235556.88792146399</v>
      </c>
      <c r="AD72" s="1840">
        <f t="shared" si="38"/>
        <v>0</v>
      </c>
      <c r="AE72" s="1372" t="s">
        <v>2796</v>
      </c>
      <c r="AF72" s="1372" t="s">
        <v>3382</v>
      </c>
      <c r="AG72" s="1639">
        <v>5412.6123143718742</v>
      </c>
      <c r="AH72" s="1372" t="s">
        <v>3445</v>
      </c>
      <c r="AI72" s="1640">
        <f t="shared" si="39"/>
        <v>235556.88792146399</v>
      </c>
      <c r="AJ72" s="1638">
        <f t="shared" si="40"/>
        <v>0</v>
      </c>
      <c r="AK72" s="1372" t="s">
        <v>2796</v>
      </c>
      <c r="AL72" s="1372" t="s">
        <v>3382</v>
      </c>
      <c r="AM72" s="1639">
        <v>5412.6123143718742</v>
      </c>
      <c r="AN72" s="1372" t="str">
        <f t="shared" si="60"/>
        <v>No change</v>
      </c>
      <c r="AO72" s="1640">
        <f t="shared" si="41"/>
        <v>235556.88792146399</v>
      </c>
      <c r="AP72" s="1638">
        <f t="shared" si="42"/>
        <v>0</v>
      </c>
      <c r="AQ72" s="1372" t="s">
        <v>2796</v>
      </c>
      <c r="AR72" s="1372" t="s">
        <v>3382</v>
      </c>
      <c r="AS72" s="1639">
        <v>5412.6123143718742</v>
      </c>
      <c r="AT72" s="1372" t="str">
        <f t="shared" si="61"/>
        <v>No change</v>
      </c>
      <c r="AU72" s="1640">
        <f t="shared" si="44"/>
        <v>235556.88792146399</v>
      </c>
      <c r="AV72" s="1638">
        <f t="shared" si="45"/>
        <v>0</v>
      </c>
      <c r="AW72" s="2044">
        <f t="shared" si="46"/>
        <v>235556.88792146399</v>
      </c>
      <c r="AX72" s="2044">
        <f t="shared" si="47"/>
        <v>235556.88792146399</v>
      </c>
      <c r="AY72" s="2044">
        <f t="shared" si="48"/>
        <v>235556.88792146399</v>
      </c>
      <c r="AZ72" s="2044">
        <f t="shared" si="49"/>
        <v>235556.88792146399</v>
      </c>
      <c r="BA72" s="2045">
        <f t="shared" si="50"/>
        <v>942227.55168585596</v>
      </c>
      <c r="BB72" s="2045" t="str">
        <f>+'[9]4.4.16'!$A$1</f>
        <v>4.4.16</v>
      </c>
      <c r="BC72" s="2045" t="str">
        <f>+'[9]4.4.16'!$A$1</f>
        <v>4.4.16</v>
      </c>
      <c r="BD72" s="2045">
        <v>0</v>
      </c>
      <c r="BE72" s="2051">
        <v>6</v>
      </c>
      <c r="BF72" s="2051">
        <v>6</v>
      </c>
      <c r="BG72" s="2051">
        <v>6</v>
      </c>
      <c r="BH72" s="2051">
        <v>6</v>
      </c>
      <c r="BI72" s="2045">
        <f t="shared" ref="BI72:BI135" si="63">F72*P72*L72*BE72</f>
        <v>1413341.3275287841</v>
      </c>
      <c r="BJ72" s="2045">
        <f t="shared" ref="BJ72:BJ135" si="64">G72*Q72*M72*BF72</f>
        <v>1413341.3275287841</v>
      </c>
      <c r="BK72" s="2045">
        <f t="shared" ref="BK72:BK135" si="65">H72*R72*N72*BG72</f>
        <v>1413341.3275287841</v>
      </c>
      <c r="BL72" s="2045">
        <f t="shared" ref="BL72:BL135" si="66">I72*S72*O72*BH72</f>
        <v>1413341.3275287841</v>
      </c>
      <c r="BM72" s="2045">
        <f t="shared" si="51"/>
        <v>5653365.3101151362</v>
      </c>
      <c r="BN72" s="2047">
        <v>6</v>
      </c>
      <c r="BO72" s="2047">
        <v>6</v>
      </c>
      <c r="BP72" s="2047">
        <v>6</v>
      </c>
      <c r="BQ72" s="2047">
        <v>6</v>
      </c>
      <c r="BR72" s="2048">
        <f t="shared" si="52"/>
        <v>1413341.3275287841</v>
      </c>
      <c r="BS72" s="2048">
        <f t="shared" si="53"/>
        <v>1413341.3275287841</v>
      </c>
      <c r="BT72" s="2048">
        <f t="shared" si="54"/>
        <v>1413341.3275287841</v>
      </c>
      <c r="BU72" s="2048">
        <f t="shared" si="55"/>
        <v>1413341.3275287841</v>
      </c>
      <c r="BV72" s="1840">
        <f t="shared" si="56"/>
        <v>5653365.3101151362</v>
      </c>
      <c r="BW72" s="2064" t="e">
        <f>INT(#REF!)=INT(BA72)</f>
        <v>#REF!</v>
      </c>
      <c r="BX72" s="2064">
        <v>65</v>
      </c>
      <c r="BY72" s="2064" t="s">
        <v>512</v>
      </c>
    </row>
    <row r="73" spans="1:78" s="1976" customFormat="1" ht="62" x14ac:dyDescent="0.35">
      <c r="A73" s="1372" t="s">
        <v>1494</v>
      </c>
      <c r="B73" s="1372" t="s">
        <v>194</v>
      </c>
      <c r="C73" s="1637">
        <v>0</v>
      </c>
      <c r="D73" s="2053" t="str">
        <f>+'[9]4.4.16'!$A$1</f>
        <v>4.4.16</v>
      </c>
      <c r="E73" s="1372" t="s">
        <v>163</v>
      </c>
      <c r="F73" s="1638">
        <v>40</v>
      </c>
      <c r="G73" s="1638">
        <v>40</v>
      </c>
      <c r="H73" s="1638">
        <v>40</v>
      </c>
      <c r="I73" s="1638">
        <v>40</v>
      </c>
      <c r="J73" s="1372" t="str">
        <f>+'[9]4.4.16'!$B$22</f>
        <v>CI-HVC-STRE-V05-180101</v>
      </c>
      <c r="K73" s="1372" t="str">
        <f t="shared" si="30"/>
        <v>Nicor Gas PY7-PY10 Adjustable Goals Template_2017-06-30, Tab 4.4.16</v>
      </c>
      <c r="L73" s="1639">
        <v>7111.844463178124</v>
      </c>
      <c r="M73" s="1639">
        <v>7111.844463178124</v>
      </c>
      <c r="N73" s="1639">
        <v>7111.844463178124</v>
      </c>
      <c r="O73" s="1639">
        <v>7111.844463178124</v>
      </c>
      <c r="P73" s="1637">
        <v>0.68</v>
      </c>
      <c r="Q73" s="1637">
        <v>0.68</v>
      </c>
      <c r="R73" s="1637">
        <v>0.68</v>
      </c>
      <c r="S73" s="1637">
        <v>0.68</v>
      </c>
      <c r="T73" s="1640">
        <f t="shared" si="31"/>
        <v>193442.169398445</v>
      </c>
      <c r="U73" s="1640">
        <f t="shared" si="32"/>
        <v>193442.169398445</v>
      </c>
      <c r="V73" s="1640">
        <f t="shared" si="33"/>
        <v>193442.169398445</v>
      </c>
      <c r="W73" s="1640">
        <f t="shared" si="34"/>
        <v>193442.169398445</v>
      </c>
      <c r="X73" s="1640">
        <f t="shared" si="35"/>
        <v>773768.67759377998</v>
      </c>
      <c r="Y73" s="1372" t="str">
        <f t="shared" si="62"/>
        <v>CI-HVC-STRE-V05-180101</v>
      </c>
      <c r="Z73" s="1372" t="str">
        <f t="shared" si="57"/>
        <v>Nicor Gas PY7-PY10 Adjustable Goals Template_2017-06-30, Tab 4.4.16</v>
      </c>
      <c r="AA73" s="1840">
        <f t="shared" si="58"/>
        <v>7111.844463178124</v>
      </c>
      <c r="AB73" s="2028"/>
      <c r="AC73" s="1840">
        <f t="shared" si="37"/>
        <v>193442.169398445</v>
      </c>
      <c r="AD73" s="1840">
        <f t="shared" si="38"/>
        <v>0</v>
      </c>
      <c r="AE73" s="1372" t="s">
        <v>2796</v>
      </c>
      <c r="AF73" s="1372" t="s">
        <v>3382</v>
      </c>
      <c r="AG73" s="1639">
        <v>7111.844463178124</v>
      </c>
      <c r="AH73" s="1372" t="s">
        <v>3445</v>
      </c>
      <c r="AI73" s="1640">
        <f t="shared" si="39"/>
        <v>193442.169398445</v>
      </c>
      <c r="AJ73" s="1638">
        <f t="shared" si="40"/>
        <v>0</v>
      </c>
      <c r="AK73" s="1372" t="s">
        <v>2796</v>
      </c>
      <c r="AL73" s="1372" t="s">
        <v>3382</v>
      </c>
      <c r="AM73" s="1639">
        <v>7111.844463178124</v>
      </c>
      <c r="AN73" s="1372" t="str">
        <f t="shared" si="60"/>
        <v>No change</v>
      </c>
      <c r="AO73" s="1640">
        <f t="shared" si="41"/>
        <v>193442.169398445</v>
      </c>
      <c r="AP73" s="1638">
        <f t="shared" si="42"/>
        <v>0</v>
      </c>
      <c r="AQ73" s="1372" t="s">
        <v>2796</v>
      </c>
      <c r="AR73" s="1372" t="s">
        <v>3382</v>
      </c>
      <c r="AS73" s="1639">
        <v>7111.844463178124</v>
      </c>
      <c r="AT73" s="1372" t="str">
        <f t="shared" si="61"/>
        <v>No change</v>
      </c>
      <c r="AU73" s="1640">
        <f t="shared" si="44"/>
        <v>193442.169398445</v>
      </c>
      <c r="AV73" s="1638">
        <f t="shared" si="45"/>
        <v>0</v>
      </c>
      <c r="AW73" s="2044">
        <f t="shared" si="46"/>
        <v>193442.169398445</v>
      </c>
      <c r="AX73" s="2044">
        <f t="shared" si="47"/>
        <v>193442.169398445</v>
      </c>
      <c r="AY73" s="2044">
        <f t="shared" si="48"/>
        <v>193442.169398445</v>
      </c>
      <c r="AZ73" s="2044">
        <f t="shared" si="49"/>
        <v>193442.169398445</v>
      </c>
      <c r="BA73" s="2045">
        <f t="shared" si="50"/>
        <v>773768.67759377998</v>
      </c>
      <c r="BB73" s="2045" t="str">
        <f>+'[9]4.4.16'!$A$1</f>
        <v>4.4.16</v>
      </c>
      <c r="BC73" s="2045" t="str">
        <f>+'[9]4.4.16'!$A$1</f>
        <v>4.4.16</v>
      </c>
      <c r="BD73" s="2045">
        <v>0</v>
      </c>
      <c r="BE73" s="2051">
        <v>6</v>
      </c>
      <c r="BF73" s="2051">
        <v>6</v>
      </c>
      <c r="BG73" s="2051">
        <v>6</v>
      </c>
      <c r="BH73" s="2051">
        <v>6</v>
      </c>
      <c r="BI73" s="2045">
        <f t="shared" si="63"/>
        <v>1160653.0163906701</v>
      </c>
      <c r="BJ73" s="2045">
        <f t="shared" si="64"/>
        <v>1160653.0163906701</v>
      </c>
      <c r="BK73" s="2045">
        <f t="shared" si="65"/>
        <v>1160653.0163906701</v>
      </c>
      <c r="BL73" s="2045">
        <f t="shared" si="66"/>
        <v>1160653.0163906701</v>
      </c>
      <c r="BM73" s="2045">
        <f t="shared" si="51"/>
        <v>4642612.0655626804</v>
      </c>
      <c r="BN73" s="2047">
        <v>6</v>
      </c>
      <c r="BO73" s="2047">
        <v>6</v>
      </c>
      <c r="BP73" s="2047">
        <v>6</v>
      </c>
      <c r="BQ73" s="2047">
        <v>6</v>
      </c>
      <c r="BR73" s="2048">
        <f t="shared" si="52"/>
        <v>1160653.0163906701</v>
      </c>
      <c r="BS73" s="2048">
        <f t="shared" si="53"/>
        <v>1160653.0163906701</v>
      </c>
      <c r="BT73" s="2048">
        <f t="shared" si="54"/>
        <v>1160653.0163906701</v>
      </c>
      <c r="BU73" s="2048">
        <f t="shared" si="55"/>
        <v>1160653.0163906701</v>
      </c>
      <c r="BV73" s="1840">
        <f t="shared" si="56"/>
        <v>4642612.0655626804</v>
      </c>
      <c r="BW73" s="2064" t="e">
        <f>INT(#REF!)=INT(BA73)</f>
        <v>#REF!</v>
      </c>
      <c r="BX73" s="2064">
        <v>66</v>
      </c>
      <c r="BY73" s="2064" t="s">
        <v>512</v>
      </c>
    </row>
    <row r="74" spans="1:78" s="1976" customFormat="1" ht="62" x14ac:dyDescent="0.35">
      <c r="A74" s="1372" t="s">
        <v>1494</v>
      </c>
      <c r="B74" s="1372" t="s">
        <v>195</v>
      </c>
      <c r="C74" s="1637">
        <v>0</v>
      </c>
      <c r="D74" s="2053" t="str">
        <f>+'[9]4.4.16'!$A$1</f>
        <v>4.4.16</v>
      </c>
      <c r="E74" s="1372" t="s">
        <v>163</v>
      </c>
      <c r="F74" s="1638">
        <v>20</v>
      </c>
      <c r="G74" s="1638">
        <v>20</v>
      </c>
      <c r="H74" s="1638">
        <v>20</v>
      </c>
      <c r="I74" s="1638">
        <v>20</v>
      </c>
      <c r="J74" s="1372" t="str">
        <f>+'[9]4.4.16'!$B$22</f>
        <v>CI-HVC-STRE-V05-180101</v>
      </c>
      <c r="K74" s="1372" t="str">
        <f t="shared" si="30"/>
        <v>Nicor Gas PY7-PY10 Adjustable Goals Template_2017-06-30, Tab 4.4.16</v>
      </c>
      <c r="L74" s="1639">
        <v>8885.1327160499986</v>
      </c>
      <c r="M74" s="1639">
        <v>8885.1327160499986</v>
      </c>
      <c r="N74" s="1639">
        <v>8885.1327160499986</v>
      </c>
      <c r="O74" s="1639">
        <v>8885.1327160499986</v>
      </c>
      <c r="P74" s="1637">
        <v>0.68</v>
      </c>
      <c r="Q74" s="1637">
        <v>0.68</v>
      </c>
      <c r="R74" s="1637">
        <v>0.68</v>
      </c>
      <c r="S74" s="1637">
        <v>0.68</v>
      </c>
      <c r="T74" s="1640">
        <f t="shared" si="31"/>
        <v>120837.80493827999</v>
      </c>
      <c r="U74" s="1640">
        <f t="shared" si="32"/>
        <v>120837.80493827999</v>
      </c>
      <c r="V74" s="1640">
        <f t="shared" si="33"/>
        <v>120837.80493827999</v>
      </c>
      <c r="W74" s="1640">
        <f t="shared" si="34"/>
        <v>120837.80493827999</v>
      </c>
      <c r="X74" s="1640">
        <f t="shared" si="35"/>
        <v>483351.21975311998</v>
      </c>
      <c r="Y74" s="1372" t="str">
        <f t="shared" si="62"/>
        <v>CI-HVC-STRE-V05-180101</v>
      </c>
      <c r="Z74" s="1372" t="str">
        <f t="shared" si="57"/>
        <v>Nicor Gas PY7-PY10 Adjustable Goals Template_2017-06-30, Tab 4.4.16</v>
      </c>
      <c r="AA74" s="1840">
        <f t="shared" si="58"/>
        <v>8885.1327160499986</v>
      </c>
      <c r="AB74" s="2028"/>
      <c r="AC74" s="1840">
        <f t="shared" si="37"/>
        <v>120837.80493827999</v>
      </c>
      <c r="AD74" s="1840">
        <f t="shared" si="38"/>
        <v>0</v>
      </c>
      <c r="AE74" s="1372" t="s">
        <v>2796</v>
      </c>
      <c r="AF74" s="1372" t="s">
        <v>3382</v>
      </c>
      <c r="AG74" s="1639">
        <v>8885.1327160499986</v>
      </c>
      <c r="AH74" s="1372" t="s">
        <v>3445</v>
      </c>
      <c r="AI74" s="1640">
        <f t="shared" si="39"/>
        <v>120837.80493827999</v>
      </c>
      <c r="AJ74" s="1638">
        <f t="shared" si="40"/>
        <v>0</v>
      </c>
      <c r="AK74" s="1372" t="s">
        <v>2796</v>
      </c>
      <c r="AL74" s="1372" t="s">
        <v>3382</v>
      </c>
      <c r="AM74" s="1639">
        <v>8885.1327160499986</v>
      </c>
      <c r="AN74" s="1372" t="str">
        <f t="shared" si="60"/>
        <v>No change</v>
      </c>
      <c r="AO74" s="1640">
        <f t="shared" si="41"/>
        <v>120837.80493827999</v>
      </c>
      <c r="AP74" s="1638">
        <f t="shared" si="42"/>
        <v>0</v>
      </c>
      <c r="AQ74" s="1372" t="s">
        <v>2796</v>
      </c>
      <c r="AR74" s="1372" t="s">
        <v>3382</v>
      </c>
      <c r="AS74" s="1639">
        <v>8885.1327160499986</v>
      </c>
      <c r="AT74" s="1372" t="str">
        <f t="shared" si="61"/>
        <v>No change</v>
      </c>
      <c r="AU74" s="1640">
        <f t="shared" si="44"/>
        <v>120837.80493827999</v>
      </c>
      <c r="AV74" s="1638">
        <f t="shared" si="45"/>
        <v>0</v>
      </c>
      <c r="AW74" s="2044">
        <f t="shared" si="46"/>
        <v>120837.80493827999</v>
      </c>
      <c r="AX74" s="2044">
        <f t="shared" si="47"/>
        <v>120837.80493827999</v>
      </c>
      <c r="AY74" s="2044">
        <f t="shared" si="48"/>
        <v>120837.80493827999</v>
      </c>
      <c r="AZ74" s="2044">
        <f t="shared" si="49"/>
        <v>120837.80493827999</v>
      </c>
      <c r="BA74" s="2045">
        <f t="shared" si="50"/>
        <v>483351.21975311998</v>
      </c>
      <c r="BB74" s="2045" t="str">
        <f>+'[9]4.4.16'!$A$1</f>
        <v>4.4.16</v>
      </c>
      <c r="BC74" s="2045" t="str">
        <f>+'[9]4.4.16'!$A$1</f>
        <v>4.4.16</v>
      </c>
      <c r="BD74" s="2045">
        <v>0</v>
      </c>
      <c r="BE74" s="2051">
        <v>6</v>
      </c>
      <c r="BF74" s="2051">
        <v>6</v>
      </c>
      <c r="BG74" s="2051">
        <v>6</v>
      </c>
      <c r="BH74" s="2051">
        <v>6</v>
      </c>
      <c r="BI74" s="2045">
        <f t="shared" si="63"/>
        <v>725026.82962967991</v>
      </c>
      <c r="BJ74" s="2045">
        <f t="shared" si="64"/>
        <v>725026.82962967991</v>
      </c>
      <c r="BK74" s="2045">
        <f t="shared" si="65"/>
        <v>725026.82962967991</v>
      </c>
      <c r="BL74" s="2045">
        <f t="shared" si="66"/>
        <v>725026.82962967991</v>
      </c>
      <c r="BM74" s="2045">
        <f t="shared" si="51"/>
        <v>2900107.3185187196</v>
      </c>
      <c r="BN74" s="2047">
        <v>6</v>
      </c>
      <c r="BO74" s="2047">
        <v>6</v>
      </c>
      <c r="BP74" s="2047">
        <v>6</v>
      </c>
      <c r="BQ74" s="2047">
        <v>6</v>
      </c>
      <c r="BR74" s="2048">
        <f t="shared" si="52"/>
        <v>725026.82962967991</v>
      </c>
      <c r="BS74" s="2048">
        <f t="shared" si="53"/>
        <v>725026.82962967991</v>
      </c>
      <c r="BT74" s="2048">
        <f t="shared" si="54"/>
        <v>725026.82962967991</v>
      </c>
      <c r="BU74" s="2048">
        <f t="shared" si="55"/>
        <v>725026.82962967991</v>
      </c>
      <c r="BV74" s="1840">
        <f t="shared" si="56"/>
        <v>2900107.3185187196</v>
      </c>
      <c r="BW74" s="2064" t="e">
        <f>INT(#REF!)=INT(BA74)</f>
        <v>#REF!</v>
      </c>
      <c r="BX74" s="2064">
        <v>67</v>
      </c>
      <c r="BY74" s="2064" t="s">
        <v>512</v>
      </c>
    </row>
    <row r="75" spans="1:78" s="1976" customFormat="1" ht="61.5" customHeight="1" x14ac:dyDescent="0.35">
      <c r="A75" s="1372" t="s">
        <v>1494</v>
      </c>
      <c r="B75" s="1372" t="s">
        <v>196</v>
      </c>
      <c r="C75" s="1637">
        <v>0</v>
      </c>
      <c r="D75" s="2053" t="str">
        <f>+'[9]4.4.16'!$A$1</f>
        <v>4.4.16</v>
      </c>
      <c r="E75" s="1372" t="s">
        <v>163</v>
      </c>
      <c r="F75" s="1638">
        <v>16</v>
      </c>
      <c r="G75" s="1638">
        <v>16</v>
      </c>
      <c r="H75" s="1638">
        <v>16</v>
      </c>
      <c r="I75" s="1638">
        <v>16</v>
      </c>
      <c r="J75" s="1372" t="str">
        <f>+'[9]4.4.16'!$B$22</f>
        <v>CI-HVC-STRE-V05-180101</v>
      </c>
      <c r="K75" s="1372" t="str">
        <f t="shared" si="30"/>
        <v>Nicor Gas PY7-PY10 Adjustable Goals Template_2017-06-30, Tab 4.4.16</v>
      </c>
      <c r="L75" s="1639">
        <v>515.28218749999996</v>
      </c>
      <c r="M75" s="1639">
        <v>515.28218749999996</v>
      </c>
      <c r="N75" s="1639">
        <v>515.28218749999996</v>
      </c>
      <c r="O75" s="1639">
        <v>515.28218749999996</v>
      </c>
      <c r="P75" s="1637">
        <v>0.68</v>
      </c>
      <c r="Q75" s="1637">
        <v>0.68</v>
      </c>
      <c r="R75" s="1637">
        <v>0.68</v>
      </c>
      <c r="S75" s="1637">
        <v>0.68</v>
      </c>
      <c r="T75" s="1640">
        <f t="shared" si="31"/>
        <v>5606.2701999999999</v>
      </c>
      <c r="U75" s="1640">
        <f t="shared" si="32"/>
        <v>5606.2701999999999</v>
      </c>
      <c r="V75" s="1640">
        <f t="shared" si="33"/>
        <v>5606.2701999999999</v>
      </c>
      <c r="W75" s="1640">
        <f t="shared" si="34"/>
        <v>5606.2701999999999</v>
      </c>
      <c r="X75" s="1640">
        <f t="shared" si="35"/>
        <v>22425.0808</v>
      </c>
      <c r="Y75" s="1372" t="str">
        <f t="shared" si="62"/>
        <v>CI-HVC-STRE-V05-180101</v>
      </c>
      <c r="Z75" s="1372" t="str">
        <f t="shared" si="57"/>
        <v>Nicor Gas PY7-PY10 Adjustable Goals Template_2017-06-30, Tab 4.4.16</v>
      </c>
      <c r="AA75" s="1840">
        <f t="shared" si="58"/>
        <v>515.28218749999996</v>
      </c>
      <c r="AB75" s="2028"/>
      <c r="AC75" s="1840">
        <f t="shared" si="37"/>
        <v>5606.2701999999999</v>
      </c>
      <c r="AD75" s="1840">
        <f t="shared" si="38"/>
        <v>0</v>
      </c>
      <c r="AE75" s="1372" t="s">
        <v>2796</v>
      </c>
      <c r="AF75" s="1372" t="s">
        <v>3382</v>
      </c>
      <c r="AG75" s="1639">
        <v>515.28218749999996</v>
      </c>
      <c r="AH75" s="1372" t="s">
        <v>3445</v>
      </c>
      <c r="AI75" s="1640">
        <f t="shared" si="39"/>
        <v>5606.2701999999999</v>
      </c>
      <c r="AJ75" s="1638">
        <f t="shared" si="40"/>
        <v>0</v>
      </c>
      <c r="AK75" s="1372" t="s">
        <v>2796</v>
      </c>
      <c r="AL75" s="1372" t="s">
        <v>3382</v>
      </c>
      <c r="AM75" s="1639">
        <v>515.28218749999996</v>
      </c>
      <c r="AN75" s="1372" t="str">
        <f t="shared" si="60"/>
        <v>No change</v>
      </c>
      <c r="AO75" s="1640">
        <f t="shared" si="41"/>
        <v>5606.2701999999999</v>
      </c>
      <c r="AP75" s="1638">
        <f t="shared" si="42"/>
        <v>0</v>
      </c>
      <c r="AQ75" s="1372" t="s">
        <v>2796</v>
      </c>
      <c r="AR75" s="1372" t="s">
        <v>3382</v>
      </c>
      <c r="AS75" s="1639">
        <v>515.28218749999996</v>
      </c>
      <c r="AT75" s="1372" t="str">
        <f t="shared" si="61"/>
        <v>No change</v>
      </c>
      <c r="AU75" s="1640">
        <f t="shared" si="44"/>
        <v>5606.2701999999999</v>
      </c>
      <c r="AV75" s="1638">
        <f t="shared" si="45"/>
        <v>0</v>
      </c>
      <c r="AW75" s="2044">
        <f t="shared" si="46"/>
        <v>5606.2701999999999</v>
      </c>
      <c r="AX75" s="2044">
        <f t="shared" si="47"/>
        <v>5606.2701999999999</v>
      </c>
      <c r="AY75" s="2044">
        <f t="shared" si="48"/>
        <v>5606.2701999999999</v>
      </c>
      <c r="AZ75" s="2044">
        <f t="shared" si="49"/>
        <v>5606.2701999999999</v>
      </c>
      <c r="BA75" s="2045">
        <f t="shared" si="50"/>
        <v>22425.0808</v>
      </c>
      <c r="BB75" s="2045" t="str">
        <f>+'[9]4.4.16'!$A$1</f>
        <v>4.4.16</v>
      </c>
      <c r="BC75" s="2045" t="str">
        <f>+'[9]4.4.16'!$A$1</f>
        <v>4.4.16</v>
      </c>
      <c r="BD75" s="2045">
        <v>0</v>
      </c>
      <c r="BE75" s="2051">
        <v>6</v>
      </c>
      <c r="BF75" s="2051">
        <v>6</v>
      </c>
      <c r="BG75" s="2051">
        <v>6</v>
      </c>
      <c r="BH75" s="2051">
        <v>6</v>
      </c>
      <c r="BI75" s="2045">
        <f t="shared" si="63"/>
        <v>33637.621200000001</v>
      </c>
      <c r="BJ75" s="2045">
        <f t="shared" si="64"/>
        <v>33637.621200000001</v>
      </c>
      <c r="BK75" s="2045">
        <f t="shared" si="65"/>
        <v>33637.621200000001</v>
      </c>
      <c r="BL75" s="2045">
        <f t="shared" si="66"/>
        <v>33637.621200000001</v>
      </c>
      <c r="BM75" s="2045">
        <f t="shared" si="51"/>
        <v>134550.48480000001</v>
      </c>
      <c r="BN75" s="2047">
        <v>6</v>
      </c>
      <c r="BO75" s="2047">
        <v>6</v>
      </c>
      <c r="BP75" s="2047">
        <v>6</v>
      </c>
      <c r="BQ75" s="2047">
        <v>6</v>
      </c>
      <c r="BR75" s="2048">
        <f t="shared" si="52"/>
        <v>33637.621200000001</v>
      </c>
      <c r="BS75" s="2048">
        <f t="shared" si="53"/>
        <v>33637.621200000001</v>
      </c>
      <c r="BT75" s="2048">
        <f t="shared" si="54"/>
        <v>33637.621200000001</v>
      </c>
      <c r="BU75" s="2048">
        <f t="shared" si="55"/>
        <v>33637.621200000001</v>
      </c>
      <c r="BV75" s="1840">
        <f t="shared" si="56"/>
        <v>134550.48480000001</v>
      </c>
      <c r="BW75" s="2064" t="e">
        <f>INT(#REF!)=INT(BA75)</f>
        <v>#REF!</v>
      </c>
      <c r="BX75" s="2064">
        <v>68</v>
      </c>
      <c r="BY75" s="2064" t="s">
        <v>512</v>
      </c>
    </row>
    <row r="76" spans="1:78" s="1849" customFormat="1" ht="62.25" customHeight="1" x14ac:dyDescent="0.35">
      <c r="A76" s="1843" t="s">
        <v>1494</v>
      </c>
      <c r="B76" s="1843" t="s">
        <v>2657</v>
      </c>
      <c r="C76" s="1637">
        <v>0</v>
      </c>
      <c r="D76" s="2056" t="str">
        <f>+'[9]4.2.5'!$A$1</f>
        <v>4.2.5</v>
      </c>
      <c r="E76" s="1843" t="s">
        <v>163</v>
      </c>
      <c r="F76" s="1845">
        <v>12</v>
      </c>
      <c r="G76" s="1845">
        <v>12</v>
      </c>
      <c r="H76" s="1845">
        <v>12</v>
      </c>
      <c r="I76" s="1845">
        <v>12</v>
      </c>
      <c r="J76" s="1843" t="str">
        <f>'[9]4.2.5'!$B$11</f>
        <v>CI-FSE-ESCV-V02-180101</v>
      </c>
      <c r="K76" s="1843" t="str">
        <f t="shared" si="30"/>
        <v>Nicor Gas PY7-PY10 Adjustable Goals Template_2017-06-30, Tab 4.2.5</v>
      </c>
      <c r="L76" s="1846">
        <v>353.45688664596281</v>
      </c>
      <c r="M76" s="1846">
        <v>353.45688664596281</v>
      </c>
      <c r="N76" s="1846">
        <v>353.45688664596281</v>
      </c>
      <c r="O76" s="1846">
        <v>353.45688664596281</v>
      </c>
      <c r="P76" s="1844">
        <v>0.68</v>
      </c>
      <c r="Q76" s="1844">
        <v>0.68</v>
      </c>
      <c r="R76" s="1844">
        <v>0.68</v>
      </c>
      <c r="S76" s="1844">
        <v>0.68</v>
      </c>
      <c r="T76" s="1847">
        <f t="shared" si="31"/>
        <v>2884.2081950310567</v>
      </c>
      <c r="U76" s="1847">
        <f t="shared" si="32"/>
        <v>2884.2081950310567</v>
      </c>
      <c r="V76" s="1847">
        <f t="shared" si="33"/>
        <v>2884.2081950310567</v>
      </c>
      <c r="W76" s="1847">
        <f t="shared" si="34"/>
        <v>2884.2081950310567</v>
      </c>
      <c r="X76" s="1847">
        <f t="shared" si="35"/>
        <v>11536.832780124227</v>
      </c>
      <c r="Y76" s="1843" t="str">
        <f t="shared" si="62"/>
        <v>CI-FSE-ESCV-V02-180101</v>
      </c>
      <c r="Z76" s="1843" t="str">
        <f t="shared" si="57"/>
        <v>Nicor Gas PY7-PY10 Adjustable Goals Template_2017-06-30, Tab 4.2.5</v>
      </c>
      <c r="AA76" s="1848">
        <f t="shared" si="58"/>
        <v>353.45688664596281</v>
      </c>
      <c r="AB76" s="2028"/>
      <c r="AC76" s="1848">
        <f t="shared" si="37"/>
        <v>2884.2081950310567</v>
      </c>
      <c r="AD76" s="1848">
        <f t="shared" si="38"/>
        <v>0</v>
      </c>
      <c r="AE76" s="1843" t="s">
        <v>2782</v>
      </c>
      <c r="AF76" s="1843" t="s">
        <v>3376</v>
      </c>
      <c r="AG76" s="1846">
        <v>353.45688664596281</v>
      </c>
      <c r="AH76" s="1843" t="s">
        <v>3446</v>
      </c>
      <c r="AI76" s="1847">
        <f t="shared" si="39"/>
        <v>2884.2081950310567</v>
      </c>
      <c r="AJ76" s="1845">
        <f t="shared" si="40"/>
        <v>0</v>
      </c>
      <c r="AK76" s="1843" t="s">
        <v>2782</v>
      </c>
      <c r="AL76" s="1843" t="s">
        <v>3376</v>
      </c>
      <c r="AM76" s="1846">
        <v>353.45688664596281</v>
      </c>
      <c r="AN76" s="1843"/>
      <c r="AO76" s="1847">
        <f t="shared" si="41"/>
        <v>2884.2081950310567</v>
      </c>
      <c r="AP76" s="1845">
        <f t="shared" si="42"/>
        <v>0</v>
      </c>
      <c r="AQ76" s="1843" t="s">
        <v>2782</v>
      </c>
      <c r="AR76" s="1843" t="s">
        <v>3376</v>
      </c>
      <c r="AS76" s="1846">
        <v>353.45688664596281</v>
      </c>
      <c r="AT76" s="1843"/>
      <c r="AU76" s="1847">
        <f t="shared" si="44"/>
        <v>2884.2081950310567</v>
      </c>
      <c r="AV76" s="1845">
        <f t="shared" si="45"/>
        <v>0</v>
      </c>
      <c r="AW76" s="2044">
        <f t="shared" si="46"/>
        <v>2884.2081950310567</v>
      </c>
      <c r="AX76" s="2044">
        <f t="shared" si="47"/>
        <v>2884.2081950310567</v>
      </c>
      <c r="AY76" s="2044">
        <f t="shared" si="48"/>
        <v>2884.2081950310567</v>
      </c>
      <c r="AZ76" s="2044">
        <f t="shared" si="49"/>
        <v>2884.2081950310567</v>
      </c>
      <c r="BA76" s="2045">
        <f t="shared" si="50"/>
        <v>11536.832780124227</v>
      </c>
      <c r="BB76" s="2051" t="str">
        <f>+'[9]4.2.5'!$A$1</f>
        <v>4.2.5</v>
      </c>
      <c r="BC76" s="2051" t="str">
        <f>+'[9]4.2.5'!$A$1</f>
        <v>4.2.5</v>
      </c>
      <c r="BD76" s="2045">
        <v>0</v>
      </c>
      <c r="BE76" s="2051">
        <v>12</v>
      </c>
      <c r="BF76" s="2051">
        <v>12</v>
      </c>
      <c r="BG76" s="2051">
        <v>12</v>
      </c>
      <c r="BH76" s="2051">
        <v>12</v>
      </c>
      <c r="BI76" s="2045">
        <f t="shared" si="63"/>
        <v>34610.49834037268</v>
      </c>
      <c r="BJ76" s="2045">
        <f t="shared" si="64"/>
        <v>34610.49834037268</v>
      </c>
      <c r="BK76" s="2045">
        <f t="shared" si="65"/>
        <v>34610.49834037268</v>
      </c>
      <c r="BL76" s="2045">
        <f t="shared" si="66"/>
        <v>34610.49834037268</v>
      </c>
      <c r="BM76" s="2045">
        <f t="shared" si="51"/>
        <v>138441.99336149072</v>
      </c>
      <c r="BN76" s="2047">
        <v>12</v>
      </c>
      <c r="BO76" s="2047">
        <v>12</v>
      </c>
      <c r="BP76" s="2047">
        <v>12</v>
      </c>
      <c r="BQ76" s="2047">
        <v>12</v>
      </c>
      <c r="BR76" s="2048">
        <f t="shared" si="52"/>
        <v>34610.49834037268</v>
      </c>
      <c r="BS76" s="2048">
        <f t="shared" si="53"/>
        <v>34610.49834037268</v>
      </c>
      <c r="BT76" s="2048">
        <f t="shared" si="54"/>
        <v>34610.49834037268</v>
      </c>
      <c r="BU76" s="2048">
        <f t="shared" si="55"/>
        <v>34610.49834037268</v>
      </c>
      <c r="BV76" s="1840">
        <f t="shared" si="56"/>
        <v>138441.99336149072</v>
      </c>
      <c r="BW76" s="2064" t="e">
        <f>INT(#REF!)=INT(BA76)</f>
        <v>#REF!</v>
      </c>
      <c r="BX76" s="2064">
        <v>69</v>
      </c>
      <c r="BY76" s="2064" t="s">
        <v>512</v>
      </c>
      <c r="BZ76" s="1976"/>
    </row>
    <row r="77" spans="1:78" s="1976" customFormat="1" ht="62" x14ac:dyDescent="0.35">
      <c r="A77" s="1372" t="s">
        <v>1494</v>
      </c>
      <c r="B77" s="1372" t="s">
        <v>149</v>
      </c>
      <c r="C77" s="1637">
        <v>0</v>
      </c>
      <c r="D77" s="2053" t="str">
        <f>+'[9]4.2.7'!$A$1</f>
        <v>4.2.7</v>
      </c>
      <c r="E77" s="1372" t="s">
        <v>163</v>
      </c>
      <c r="F77" s="1638">
        <v>12</v>
      </c>
      <c r="G77" s="1638">
        <v>12</v>
      </c>
      <c r="H77" s="1638">
        <v>12</v>
      </c>
      <c r="I77" s="1638">
        <v>12</v>
      </c>
      <c r="J77" s="1372" t="str">
        <f>'[9]4.2.7'!$B$12</f>
        <v>CI-FSE-ESFR-V01-120601</v>
      </c>
      <c r="K77" s="1372" t="str">
        <f t="shared" si="30"/>
        <v>Nicor Gas PY7-PY10 Adjustable Goals Template_2017-06-30, Tab 4.2.7</v>
      </c>
      <c r="L77" s="1639">
        <v>505.15881181318679</v>
      </c>
      <c r="M77" s="1639">
        <v>505.15881181318679</v>
      </c>
      <c r="N77" s="1639">
        <v>505.15881181318679</v>
      </c>
      <c r="O77" s="1639">
        <v>505.15881181318679</v>
      </c>
      <c r="P77" s="1637">
        <v>0.68</v>
      </c>
      <c r="Q77" s="1637">
        <v>0.68</v>
      </c>
      <c r="R77" s="1637">
        <v>0.68</v>
      </c>
      <c r="S77" s="1637">
        <v>0.68</v>
      </c>
      <c r="T77" s="1640">
        <f t="shared" si="31"/>
        <v>4122.0959043956045</v>
      </c>
      <c r="U77" s="1640">
        <f t="shared" si="32"/>
        <v>4122.0959043956045</v>
      </c>
      <c r="V77" s="1640">
        <f t="shared" si="33"/>
        <v>4122.0959043956045</v>
      </c>
      <c r="W77" s="1640">
        <f t="shared" si="34"/>
        <v>4122.0959043956045</v>
      </c>
      <c r="X77" s="1640">
        <f t="shared" si="35"/>
        <v>16488.383617582418</v>
      </c>
      <c r="Y77" s="1372" t="str">
        <f t="shared" si="62"/>
        <v>CI-FSE-ESFR-V01-120601</v>
      </c>
      <c r="Z77" s="1372" t="str">
        <f t="shared" si="57"/>
        <v>Nicor Gas PY7-PY10 Adjustable Goals Template_2017-06-30, Tab 4.2.7</v>
      </c>
      <c r="AA77" s="2024">
        <f t="shared" si="58"/>
        <v>505.15881181318679</v>
      </c>
      <c r="AB77" s="2028"/>
      <c r="AC77" s="1840">
        <f t="shared" si="37"/>
        <v>4122.0959043956045</v>
      </c>
      <c r="AD77" s="1840">
        <f t="shared" si="38"/>
        <v>0</v>
      </c>
      <c r="AE77" s="1372" t="s">
        <v>164</v>
      </c>
      <c r="AF77" s="1372" t="s">
        <v>3379</v>
      </c>
      <c r="AG77" s="1639">
        <v>505.15881181318679</v>
      </c>
      <c r="AH77" s="1372" t="s">
        <v>3445</v>
      </c>
      <c r="AI77" s="1640">
        <f t="shared" si="39"/>
        <v>4122.0959043956045</v>
      </c>
      <c r="AJ77" s="1638">
        <f t="shared" si="40"/>
        <v>0</v>
      </c>
      <c r="AK77" s="1372" t="s">
        <v>164</v>
      </c>
      <c r="AL77" s="1372" t="s">
        <v>3379</v>
      </c>
      <c r="AM77" s="1639">
        <v>505.15881181318679</v>
      </c>
      <c r="AN77" s="1372" t="str">
        <f t="shared" ref="AN77:AN87" si="67">$AH77</f>
        <v>No change</v>
      </c>
      <c r="AO77" s="1640">
        <f t="shared" si="41"/>
        <v>4122.0959043956045</v>
      </c>
      <c r="AP77" s="1638">
        <f t="shared" si="42"/>
        <v>0</v>
      </c>
      <c r="AQ77" s="1372" t="s">
        <v>164</v>
      </c>
      <c r="AR77" s="1372" t="s">
        <v>3379</v>
      </c>
      <c r="AS77" s="1639">
        <v>505.15881181318679</v>
      </c>
      <c r="AT77" s="1372" t="str">
        <f t="shared" ref="AT77:AT87" si="68">$AH77</f>
        <v>No change</v>
      </c>
      <c r="AU77" s="1640">
        <f t="shared" si="44"/>
        <v>4122.0959043956045</v>
      </c>
      <c r="AV77" s="1638">
        <f t="shared" si="45"/>
        <v>0</v>
      </c>
      <c r="AW77" s="2044">
        <f t="shared" si="46"/>
        <v>4122.0959043956045</v>
      </c>
      <c r="AX77" s="2044">
        <f t="shared" si="47"/>
        <v>4122.0959043956045</v>
      </c>
      <c r="AY77" s="2044">
        <f t="shared" si="48"/>
        <v>4122.0959043956045</v>
      </c>
      <c r="AZ77" s="2044">
        <f t="shared" si="49"/>
        <v>4122.0959043956045</v>
      </c>
      <c r="BA77" s="2045">
        <f t="shared" si="50"/>
        <v>16488.383617582418</v>
      </c>
      <c r="BB77" s="2045" t="str">
        <f>+'[9]4.2.7'!$A$1</f>
        <v>4.2.7</v>
      </c>
      <c r="BC77" s="2045" t="str">
        <f>+'[9]4.2.7'!$A$1</f>
        <v>4.2.7</v>
      </c>
      <c r="BD77" s="2121">
        <v>1</v>
      </c>
      <c r="BE77" s="2051">
        <v>15</v>
      </c>
      <c r="BF77" s="2051">
        <v>15</v>
      </c>
      <c r="BG77" s="2051">
        <v>15</v>
      </c>
      <c r="BH77" s="2051">
        <v>15</v>
      </c>
      <c r="BI77" s="2045">
        <f t="shared" si="63"/>
        <v>61831.43856593407</v>
      </c>
      <c r="BJ77" s="2045">
        <f t="shared" si="64"/>
        <v>61831.43856593407</v>
      </c>
      <c r="BK77" s="2045">
        <f t="shared" si="65"/>
        <v>61831.43856593407</v>
      </c>
      <c r="BL77" s="2045">
        <f t="shared" si="66"/>
        <v>61831.43856593407</v>
      </c>
      <c r="BM77" s="2045">
        <f t="shared" si="51"/>
        <v>247325.75426373628</v>
      </c>
      <c r="BN77" s="2047">
        <v>15</v>
      </c>
      <c r="BO77" s="2050">
        <v>12</v>
      </c>
      <c r="BP77" s="2050">
        <v>12</v>
      </c>
      <c r="BQ77" s="2050">
        <v>12</v>
      </c>
      <c r="BR77" s="2048">
        <f t="shared" si="52"/>
        <v>61831.43856593407</v>
      </c>
      <c r="BS77" s="2048">
        <f t="shared" si="53"/>
        <v>49465.150852747254</v>
      </c>
      <c r="BT77" s="2048">
        <f t="shared" si="54"/>
        <v>49465.150852747254</v>
      </c>
      <c r="BU77" s="2048">
        <f t="shared" si="55"/>
        <v>49465.150852747254</v>
      </c>
      <c r="BV77" s="1840">
        <f t="shared" si="56"/>
        <v>210226.89112417583</v>
      </c>
      <c r="BW77" s="2064" t="e">
        <f>INT(#REF!)=INT(BA77)</f>
        <v>#REF!</v>
      </c>
      <c r="BX77" s="2064">
        <v>70</v>
      </c>
      <c r="BY77" s="2064" t="s">
        <v>512</v>
      </c>
    </row>
    <row r="78" spans="1:78" s="1976" customFormat="1" ht="62" x14ac:dyDescent="0.35">
      <c r="A78" s="1372" t="s">
        <v>1494</v>
      </c>
      <c r="B78" s="1372" t="s">
        <v>150</v>
      </c>
      <c r="C78" s="1637">
        <v>0</v>
      </c>
      <c r="D78" s="2053" t="str">
        <f>+'[9]4.2.8'!$A$1</f>
        <v>4.2.8</v>
      </c>
      <c r="E78" s="1372" t="s">
        <v>163</v>
      </c>
      <c r="F78" s="1638">
        <v>12</v>
      </c>
      <c r="G78" s="1638">
        <v>12</v>
      </c>
      <c r="H78" s="1638">
        <v>12</v>
      </c>
      <c r="I78" s="1638">
        <v>12</v>
      </c>
      <c r="J78" s="1372" t="str">
        <f>'[9]4.2.8'!$B$16</f>
        <v>CI-FSE-ESGR-V02-160601</v>
      </c>
      <c r="K78" s="1372" t="str">
        <f t="shared" si="30"/>
        <v>Nicor Gas PY7-PY10 Adjustable Goals Template_2017-06-30, Tab 4.2.8</v>
      </c>
      <c r="L78" s="1639">
        <v>148.64153124999993</v>
      </c>
      <c r="M78" s="1639">
        <v>148.64153124999993</v>
      </c>
      <c r="N78" s="1639">
        <v>148.64153124999993</v>
      </c>
      <c r="O78" s="1639">
        <v>148.64153124999993</v>
      </c>
      <c r="P78" s="1637">
        <v>0.68</v>
      </c>
      <c r="Q78" s="1637">
        <v>0.68</v>
      </c>
      <c r="R78" s="1637">
        <v>0.68</v>
      </c>
      <c r="S78" s="1637">
        <v>0.68</v>
      </c>
      <c r="T78" s="1640">
        <f t="shared" si="31"/>
        <v>1212.9148949999994</v>
      </c>
      <c r="U78" s="1640">
        <f t="shared" si="32"/>
        <v>1212.9148949999994</v>
      </c>
      <c r="V78" s="1640">
        <f t="shared" si="33"/>
        <v>1212.9148949999994</v>
      </c>
      <c r="W78" s="1640">
        <f t="shared" si="34"/>
        <v>1212.9148949999994</v>
      </c>
      <c r="X78" s="1640">
        <f t="shared" si="35"/>
        <v>4851.6595799999977</v>
      </c>
      <c r="Y78" s="1372" t="str">
        <f t="shared" si="62"/>
        <v>CI-FSE-ESGR-V02-160601</v>
      </c>
      <c r="Z78" s="1372" t="str">
        <f t="shared" si="57"/>
        <v>Nicor Gas PY7-PY10 Adjustable Goals Template_2017-06-30, Tab 4.2.8</v>
      </c>
      <c r="AA78" s="1840">
        <f t="shared" si="58"/>
        <v>148.64153124999993</v>
      </c>
      <c r="AB78" s="2028"/>
      <c r="AC78" s="1840">
        <f t="shared" si="37"/>
        <v>1212.9148949999994</v>
      </c>
      <c r="AD78" s="1840">
        <f t="shared" si="38"/>
        <v>0</v>
      </c>
      <c r="AE78" s="1372" t="s">
        <v>2576</v>
      </c>
      <c r="AF78" s="1372" t="s">
        <v>3380</v>
      </c>
      <c r="AG78" s="1639">
        <v>148.64153124999993</v>
      </c>
      <c r="AH78" s="1372" t="s">
        <v>3445</v>
      </c>
      <c r="AI78" s="1640">
        <f t="shared" si="39"/>
        <v>1212.9148949999994</v>
      </c>
      <c r="AJ78" s="1638">
        <f t="shared" si="40"/>
        <v>0</v>
      </c>
      <c r="AK78" s="1372" t="s">
        <v>2576</v>
      </c>
      <c r="AL78" s="1372" t="s">
        <v>3380</v>
      </c>
      <c r="AM78" s="1639">
        <v>148.64153124999993</v>
      </c>
      <c r="AN78" s="1372" t="str">
        <f t="shared" si="67"/>
        <v>No change</v>
      </c>
      <c r="AO78" s="1640">
        <f t="shared" si="41"/>
        <v>1212.9148949999994</v>
      </c>
      <c r="AP78" s="1638">
        <f t="shared" si="42"/>
        <v>0</v>
      </c>
      <c r="AQ78" s="1372" t="s">
        <v>2576</v>
      </c>
      <c r="AR78" s="1372" t="s">
        <v>3380</v>
      </c>
      <c r="AS78" s="1639">
        <v>148.64153124999993</v>
      </c>
      <c r="AT78" s="1372" t="str">
        <f t="shared" si="68"/>
        <v>No change</v>
      </c>
      <c r="AU78" s="1640">
        <f t="shared" si="44"/>
        <v>1212.9148949999994</v>
      </c>
      <c r="AV78" s="1638">
        <f t="shared" si="45"/>
        <v>0</v>
      </c>
      <c r="AW78" s="2044">
        <f t="shared" si="46"/>
        <v>1212.9148949999994</v>
      </c>
      <c r="AX78" s="2044">
        <f t="shared" si="47"/>
        <v>1212.9148949999994</v>
      </c>
      <c r="AY78" s="2044">
        <f t="shared" si="48"/>
        <v>1212.9148949999994</v>
      </c>
      <c r="AZ78" s="2044">
        <f t="shared" si="49"/>
        <v>1212.9148949999994</v>
      </c>
      <c r="BA78" s="2045">
        <f t="shared" si="50"/>
        <v>4851.6595799999977</v>
      </c>
      <c r="BB78" s="2045" t="str">
        <f>+'[9]4.2.8'!$A$1</f>
        <v>4.2.8</v>
      </c>
      <c r="BC78" s="2045" t="str">
        <f>+'[9]4.2.8'!$A$1</f>
        <v>4.2.8</v>
      </c>
      <c r="BD78" s="2045">
        <v>0</v>
      </c>
      <c r="BE78" s="2051">
        <v>12</v>
      </c>
      <c r="BF78" s="2051">
        <v>12</v>
      </c>
      <c r="BG78" s="2051">
        <v>12</v>
      </c>
      <c r="BH78" s="2051">
        <v>12</v>
      </c>
      <c r="BI78" s="2045">
        <f t="shared" si="63"/>
        <v>14554.978739999993</v>
      </c>
      <c r="BJ78" s="2045">
        <f t="shared" si="64"/>
        <v>14554.978739999993</v>
      </c>
      <c r="BK78" s="2045">
        <f t="shared" si="65"/>
        <v>14554.978739999993</v>
      </c>
      <c r="BL78" s="2045">
        <f t="shared" si="66"/>
        <v>14554.978739999993</v>
      </c>
      <c r="BM78" s="2045">
        <f t="shared" si="51"/>
        <v>58219.914959999973</v>
      </c>
      <c r="BN78" s="2047">
        <v>12</v>
      </c>
      <c r="BO78" s="2047">
        <v>12</v>
      </c>
      <c r="BP78" s="2047">
        <v>12</v>
      </c>
      <c r="BQ78" s="2047">
        <v>12</v>
      </c>
      <c r="BR78" s="2048">
        <f t="shared" si="52"/>
        <v>14554.978739999993</v>
      </c>
      <c r="BS78" s="2048">
        <f t="shared" si="53"/>
        <v>14554.978739999993</v>
      </c>
      <c r="BT78" s="2048">
        <f t="shared" si="54"/>
        <v>14554.978739999993</v>
      </c>
      <c r="BU78" s="2048">
        <f t="shared" si="55"/>
        <v>14554.978739999993</v>
      </c>
      <c r="BV78" s="1840">
        <f t="shared" si="56"/>
        <v>58219.914959999973</v>
      </c>
      <c r="BW78" s="2064" t="e">
        <f>INT(#REF!)=INT(BA78)</f>
        <v>#REF!</v>
      </c>
      <c r="BX78" s="2064">
        <v>71</v>
      </c>
      <c r="BY78" s="2064" t="s">
        <v>512</v>
      </c>
    </row>
    <row r="79" spans="1:78" s="1976" customFormat="1" ht="62" x14ac:dyDescent="0.35">
      <c r="A79" s="1372" t="s">
        <v>1494</v>
      </c>
      <c r="B79" s="1372" t="s">
        <v>1836</v>
      </c>
      <c r="C79" s="1637">
        <v>0</v>
      </c>
      <c r="D79" s="2053" t="str">
        <f>+'[9]4.2.1'!$A$1</f>
        <v>4.2.1</v>
      </c>
      <c r="E79" s="1372" t="s">
        <v>163</v>
      </c>
      <c r="F79" s="1638">
        <v>12</v>
      </c>
      <c r="G79" s="1638">
        <v>12</v>
      </c>
      <c r="H79" s="1638">
        <v>12</v>
      </c>
      <c r="I79" s="1638">
        <v>12</v>
      </c>
      <c r="J79" s="1372" t="str">
        <f>'[9]4.2.1'!$B$12</f>
        <v>CI-FSE-CBOV-V02-160601</v>
      </c>
      <c r="K79" s="1372" t="str">
        <f t="shared" si="30"/>
        <v>Nicor Gas PY7-PY10 Adjustable Goals Template_2017-06-30, Tab 4.2.1</v>
      </c>
      <c r="L79" s="1639">
        <v>363.70538907682175</v>
      </c>
      <c r="M79" s="1639">
        <v>363.70538907682175</v>
      </c>
      <c r="N79" s="1639">
        <v>363.70538907682175</v>
      </c>
      <c r="O79" s="1639">
        <v>363.70538907682175</v>
      </c>
      <c r="P79" s="1637">
        <v>0.68</v>
      </c>
      <c r="Q79" s="1637">
        <v>0.68</v>
      </c>
      <c r="R79" s="1637">
        <v>0.68</v>
      </c>
      <c r="S79" s="1637">
        <v>0.68</v>
      </c>
      <c r="T79" s="1640">
        <f t="shared" si="31"/>
        <v>2967.8359748668654</v>
      </c>
      <c r="U79" s="1640">
        <f t="shared" si="32"/>
        <v>2967.8359748668654</v>
      </c>
      <c r="V79" s="1640">
        <f t="shared" si="33"/>
        <v>2967.8359748668654</v>
      </c>
      <c r="W79" s="1640">
        <f t="shared" si="34"/>
        <v>2967.8359748668654</v>
      </c>
      <c r="X79" s="1640">
        <f t="shared" si="35"/>
        <v>11871.343899467462</v>
      </c>
      <c r="Y79" s="1372" t="str">
        <f t="shared" si="62"/>
        <v>CI-FSE-CBOV-V02-160601</v>
      </c>
      <c r="Z79" s="1372" t="str">
        <f t="shared" si="57"/>
        <v>Nicor Gas PY7-PY10 Adjustable Goals Template_2017-06-30, Tab 4.2.1</v>
      </c>
      <c r="AA79" s="1840">
        <f t="shared" si="58"/>
        <v>363.70538907682175</v>
      </c>
      <c r="AB79" s="2028"/>
      <c r="AC79" s="1840">
        <f t="shared" si="37"/>
        <v>2967.8359748668654</v>
      </c>
      <c r="AD79" s="1840">
        <f t="shared" si="38"/>
        <v>0</v>
      </c>
      <c r="AE79" s="1372" t="s">
        <v>2565</v>
      </c>
      <c r="AF79" s="1372" t="s">
        <v>3377</v>
      </c>
      <c r="AG79" s="1639">
        <v>363.70538907682175</v>
      </c>
      <c r="AH79" s="1372" t="s">
        <v>3445</v>
      </c>
      <c r="AI79" s="1640">
        <f t="shared" si="39"/>
        <v>2967.8359748668654</v>
      </c>
      <c r="AJ79" s="1638">
        <f t="shared" si="40"/>
        <v>0</v>
      </c>
      <c r="AK79" s="1372" t="s">
        <v>2565</v>
      </c>
      <c r="AL79" s="1372" t="s">
        <v>3377</v>
      </c>
      <c r="AM79" s="1639">
        <v>363.70538907682175</v>
      </c>
      <c r="AN79" s="1372" t="str">
        <f t="shared" si="67"/>
        <v>No change</v>
      </c>
      <c r="AO79" s="1640">
        <f t="shared" si="41"/>
        <v>2967.8359748668654</v>
      </c>
      <c r="AP79" s="1638">
        <f t="shared" si="42"/>
        <v>0</v>
      </c>
      <c r="AQ79" s="1372" t="s">
        <v>2565</v>
      </c>
      <c r="AR79" s="1372" t="s">
        <v>3377</v>
      </c>
      <c r="AS79" s="1639">
        <v>363.70538907682175</v>
      </c>
      <c r="AT79" s="1372" t="str">
        <f t="shared" si="68"/>
        <v>No change</v>
      </c>
      <c r="AU79" s="1640">
        <f t="shared" si="44"/>
        <v>2967.8359748668654</v>
      </c>
      <c r="AV79" s="1638">
        <f t="shared" si="45"/>
        <v>0</v>
      </c>
      <c r="AW79" s="2044">
        <f t="shared" si="46"/>
        <v>2967.8359748668654</v>
      </c>
      <c r="AX79" s="2044">
        <f t="shared" si="47"/>
        <v>2967.8359748668654</v>
      </c>
      <c r="AY79" s="2044">
        <f t="shared" si="48"/>
        <v>2967.8359748668654</v>
      </c>
      <c r="AZ79" s="2044">
        <f t="shared" si="49"/>
        <v>2967.8359748668654</v>
      </c>
      <c r="BA79" s="2045">
        <f t="shared" si="50"/>
        <v>11871.343899467462</v>
      </c>
      <c r="BB79" s="2045" t="str">
        <f>+'[9]4.2.1'!$A$1</f>
        <v>4.2.1</v>
      </c>
      <c r="BC79" s="2045" t="str">
        <f>+'[9]4.2.1'!$A$1</f>
        <v>4.2.1</v>
      </c>
      <c r="BD79" s="2045">
        <v>0</v>
      </c>
      <c r="BE79" s="2051">
        <v>12</v>
      </c>
      <c r="BF79" s="2051">
        <v>12</v>
      </c>
      <c r="BG79" s="2051">
        <v>12</v>
      </c>
      <c r="BH79" s="2051">
        <v>12</v>
      </c>
      <c r="BI79" s="2045">
        <f t="shared" si="63"/>
        <v>35614.031698402381</v>
      </c>
      <c r="BJ79" s="2045">
        <f t="shared" si="64"/>
        <v>35614.031698402381</v>
      </c>
      <c r="BK79" s="2045">
        <f t="shared" si="65"/>
        <v>35614.031698402381</v>
      </c>
      <c r="BL79" s="2045">
        <f t="shared" si="66"/>
        <v>35614.031698402381</v>
      </c>
      <c r="BM79" s="2045">
        <f t="shared" si="51"/>
        <v>142456.12679360952</v>
      </c>
      <c r="BN79" s="2047">
        <v>12</v>
      </c>
      <c r="BO79" s="2047">
        <v>12</v>
      </c>
      <c r="BP79" s="2047">
        <v>12</v>
      </c>
      <c r="BQ79" s="2047">
        <v>12</v>
      </c>
      <c r="BR79" s="2048">
        <f t="shared" si="52"/>
        <v>35614.031698402381</v>
      </c>
      <c r="BS79" s="2048">
        <f t="shared" si="53"/>
        <v>35614.031698402381</v>
      </c>
      <c r="BT79" s="2048">
        <f t="shared" si="54"/>
        <v>35614.031698402381</v>
      </c>
      <c r="BU79" s="2048">
        <f t="shared" si="55"/>
        <v>35614.031698402381</v>
      </c>
      <c r="BV79" s="1840">
        <f t="shared" si="56"/>
        <v>142456.12679360952</v>
      </c>
      <c r="BW79" s="2064" t="e">
        <f>INT(#REF!)=INT(BA79)</f>
        <v>#REF!</v>
      </c>
      <c r="BX79" s="2064">
        <v>72</v>
      </c>
      <c r="BY79" s="2064" t="s">
        <v>512</v>
      </c>
    </row>
    <row r="80" spans="1:78" s="1976" customFormat="1" ht="62" x14ac:dyDescent="0.35">
      <c r="A80" s="1372" t="s">
        <v>1494</v>
      </c>
      <c r="B80" s="1372" t="s">
        <v>162</v>
      </c>
      <c r="C80" s="1637">
        <v>0</v>
      </c>
      <c r="D80" s="2053" t="str">
        <f>+'[9]4.2.18'!$A$1</f>
        <v>4.2.18</v>
      </c>
      <c r="E80" s="1372" t="s">
        <v>163</v>
      </c>
      <c r="F80" s="1638">
        <v>12</v>
      </c>
      <c r="G80" s="1638">
        <v>12</v>
      </c>
      <c r="H80" s="1638">
        <v>12</v>
      </c>
      <c r="I80" s="1638">
        <v>12</v>
      </c>
      <c r="J80" s="1372" t="str">
        <f>'[9]4.2.18'!$B$8</f>
        <v>CI-FSE-RKOV-VO2-180101</v>
      </c>
      <c r="K80" s="1372" t="str">
        <f t="shared" si="30"/>
        <v>Nicor Gas PY7-PY10 Adjustable Goals Template_2017-06-30, Tab 4.2.18</v>
      </c>
      <c r="L80" s="1639">
        <v>1930.5000000000007</v>
      </c>
      <c r="M80" s="1639">
        <v>1930.5000000000007</v>
      </c>
      <c r="N80" s="1639">
        <v>1930.5000000000007</v>
      </c>
      <c r="O80" s="1639">
        <v>1930.5000000000007</v>
      </c>
      <c r="P80" s="1637">
        <v>0.68</v>
      </c>
      <c r="Q80" s="1637">
        <v>0.68</v>
      </c>
      <c r="R80" s="1637">
        <v>0.68</v>
      </c>
      <c r="S80" s="1637">
        <v>0.68</v>
      </c>
      <c r="T80" s="1640">
        <f t="shared" si="31"/>
        <v>15752.880000000006</v>
      </c>
      <c r="U80" s="1640">
        <f t="shared" si="32"/>
        <v>15752.880000000006</v>
      </c>
      <c r="V80" s="1640">
        <f t="shared" si="33"/>
        <v>15752.880000000006</v>
      </c>
      <c r="W80" s="1640">
        <f t="shared" si="34"/>
        <v>15752.880000000006</v>
      </c>
      <c r="X80" s="1640">
        <f t="shared" si="35"/>
        <v>63011.520000000026</v>
      </c>
      <c r="Y80" s="1372" t="str">
        <f t="shared" si="62"/>
        <v>CI-FSE-RKOV-VO2-180101</v>
      </c>
      <c r="Z80" s="1372" t="str">
        <f t="shared" si="57"/>
        <v>Nicor Gas PY7-PY10 Adjustable Goals Template_2017-06-30, Tab 4.2.18</v>
      </c>
      <c r="AA80" s="1840">
        <f t="shared" si="58"/>
        <v>1930.5000000000007</v>
      </c>
      <c r="AB80" s="2028"/>
      <c r="AC80" s="1840">
        <f t="shared" si="37"/>
        <v>15752.880000000006</v>
      </c>
      <c r="AD80" s="1840">
        <f t="shared" si="38"/>
        <v>0</v>
      </c>
      <c r="AE80" s="1372" t="s">
        <v>2789</v>
      </c>
      <c r="AF80" s="1372" t="s">
        <v>3378</v>
      </c>
      <c r="AG80" s="1639">
        <v>1930.5000000000007</v>
      </c>
      <c r="AH80" s="1372" t="s">
        <v>3445</v>
      </c>
      <c r="AI80" s="1640">
        <f t="shared" si="39"/>
        <v>15752.880000000006</v>
      </c>
      <c r="AJ80" s="1638">
        <f t="shared" si="40"/>
        <v>0</v>
      </c>
      <c r="AK80" s="1372" t="s">
        <v>2789</v>
      </c>
      <c r="AL80" s="1372" t="s">
        <v>3378</v>
      </c>
      <c r="AM80" s="1639">
        <v>1930.5000000000007</v>
      </c>
      <c r="AN80" s="1372" t="str">
        <f t="shared" si="67"/>
        <v>No change</v>
      </c>
      <c r="AO80" s="1640">
        <f t="shared" si="41"/>
        <v>15752.880000000006</v>
      </c>
      <c r="AP80" s="1638">
        <f t="shared" si="42"/>
        <v>0</v>
      </c>
      <c r="AQ80" s="1372" t="s">
        <v>2789</v>
      </c>
      <c r="AR80" s="1372" t="s">
        <v>3378</v>
      </c>
      <c r="AS80" s="1639">
        <v>1930.5000000000007</v>
      </c>
      <c r="AT80" s="1372" t="str">
        <f t="shared" si="68"/>
        <v>No change</v>
      </c>
      <c r="AU80" s="1640">
        <f t="shared" si="44"/>
        <v>15752.880000000006</v>
      </c>
      <c r="AV80" s="1638">
        <f t="shared" si="45"/>
        <v>0</v>
      </c>
      <c r="AW80" s="2044">
        <f t="shared" si="46"/>
        <v>15752.880000000006</v>
      </c>
      <c r="AX80" s="2044">
        <f t="shared" si="47"/>
        <v>15752.880000000006</v>
      </c>
      <c r="AY80" s="2044">
        <f t="shared" si="48"/>
        <v>15752.880000000006</v>
      </c>
      <c r="AZ80" s="2044">
        <f t="shared" si="49"/>
        <v>15752.880000000006</v>
      </c>
      <c r="BA80" s="2045">
        <f t="shared" si="50"/>
        <v>63011.520000000026</v>
      </c>
      <c r="BB80" s="2045" t="str">
        <f>+'[9]4.2.18'!$A$1</f>
        <v>4.2.18</v>
      </c>
      <c r="BC80" s="2045" t="str">
        <f>+'[9]4.2.18'!$A$1</f>
        <v>4.2.18</v>
      </c>
      <c r="BD80" s="2045">
        <v>0</v>
      </c>
      <c r="BE80" s="2051">
        <v>12</v>
      </c>
      <c r="BF80" s="2051">
        <v>12</v>
      </c>
      <c r="BG80" s="2051">
        <v>12</v>
      </c>
      <c r="BH80" s="2051">
        <v>12</v>
      </c>
      <c r="BI80" s="2045">
        <f t="shared" si="63"/>
        <v>189034.56000000008</v>
      </c>
      <c r="BJ80" s="2045">
        <f t="shared" si="64"/>
        <v>189034.56000000008</v>
      </c>
      <c r="BK80" s="2045">
        <f t="shared" si="65"/>
        <v>189034.56000000008</v>
      </c>
      <c r="BL80" s="2045">
        <f t="shared" si="66"/>
        <v>189034.56000000008</v>
      </c>
      <c r="BM80" s="2045">
        <f t="shared" si="51"/>
        <v>756138.24000000034</v>
      </c>
      <c r="BN80" s="2047">
        <v>12</v>
      </c>
      <c r="BO80" s="2047">
        <v>12</v>
      </c>
      <c r="BP80" s="2047">
        <v>12</v>
      </c>
      <c r="BQ80" s="2047">
        <v>12</v>
      </c>
      <c r="BR80" s="2048">
        <f t="shared" si="52"/>
        <v>189034.56000000008</v>
      </c>
      <c r="BS80" s="2048">
        <f t="shared" si="53"/>
        <v>189034.56000000008</v>
      </c>
      <c r="BT80" s="2048">
        <f t="shared" si="54"/>
        <v>189034.56000000008</v>
      </c>
      <c r="BU80" s="2048">
        <f t="shared" si="55"/>
        <v>189034.56000000008</v>
      </c>
      <c r="BV80" s="1840">
        <f t="shared" si="56"/>
        <v>756138.24000000034</v>
      </c>
      <c r="BW80" s="2064" t="e">
        <f>INT(#REF!)=INT(BA80)</f>
        <v>#REF!</v>
      </c>
      <c r="BX80" s="2064">
        <v>73</v>
      </c>
      <c r="BY80" s="2064" t="s">
        <v>512</v>
      </c>
    </row>
    <row r="81" spans="1:77" s="1976" customFormat="1" ht="62" x14ac:dyDescent="0.35">
      <c r="A81" s="1372" t="s">
        <v>1494</v>
      </c>
      <c r="B81" s="1372" t="s">
        <v>158</v>
      </c>
      <c r="C81" s="1637">
        <v>0</v>
      </c>
      <c r="D81" s="2053" t="str">
        <f>+'[9]4.2.15'!$A$1</f>
        <v>4.2.15</v>
      </c>
      <c r="E81" s="1372" t="s">
        <v>163</v>
      </c>
      <c r="F81" s="1638">
        <v>16</v>
      </c>
      <c r="G81" s="1638">
        <v>16</v>
      </c>
      <c r="H81" s="1638">
        <v>16</v>
      </c>
      <c r="I81" s="1638">
        <v>16</v>
      </c>
      <c r="J81" s="1372" t="str">
        <f>'[9]4.2.15'!$B$8</f>
        <v>CI-FSE-IRUB-V02-180101</v>
      </c>
      <c r="K81" s="1372" t="str">
        <f t="shared" si="30"/>
        <v>Nicor Gas PY7-PY10 Adjustable Goals Template_2017-06-30, Tab 4.2.15</v>
      </c>
      <c r="L81" s="1639">
        <v>943.48799999999983</v>
      </c>
      <c r="M81" s="1639">
        <v>943.48799999999983</v>
      </c>
      <c r="N81" s="1639">
        <v>943.48799999999983</v>
      </c>
      <c r="O81" s="1639">
        <v>943.48799999999983</v>
      </c>
      <c r="P81" s="1637">
        <v>0.68</v>
      </c>
      <c r="Q81" s="1637">
        <v>0.68</v>
      </c>
      <c r="R81" s="1637">
        <v>0.68</v>
      </c>
      <c r="S81" s="1637">
        <v>0.68</v>
      </c>
      <c r="T81" s="1640">
        <f t="shared" si="31"/>
        <v>10265.149439999999</v>
      </c>
      <c r="U81" s="1640">
        <f t="shared" si="32"/>
        <v>10265.149439999999</v>
      </c>
      <c r="V81" s="1640">
        <f t="shared" si="33"/>
        <v>10265.149439999999</v>
      </c>
      <c r="W81" s="1640">
        <f t="shared" si="34"/>
        <v>10265.149439999999</v>
      </c>
      <c r="X81" s="1640">
        <f t="shared" si="35"/>
        <v>41060.597759999997</v>
      </c>
      <c r="Y81" s="1372" t="str">
        <f t="shared" si="62"/>
        <v>CI-FSE-IRUB-V02-180101</v>
      </c>
      <c r="Z81" s="1372" t="str">
        <f t="shared" si="57"/>
        <v>Nicor Gas PY7-PY10 Adjustable Goals Template_2017-06-30, Tab 4.2.15</v>
      </c>
      <c r="AA81" s="1840">
        <f t="shared" si="58"/>
        <v>943.48799999999983</v>
      </c>
      <c r="AB81" s="2028"/>
      <c r="AC81" s="1840">
        <f t="shared" si="37"/>
        <v>10265.149439999999</v>
      </c>
      <c r="AD81" s="1840">
        <f t="shared" si="38"/>
        <v>0</v>
      </c>
      <c r="AE81" s="1372" t="s">
        <v>2787</v>
      </c>
      <c r="AF81" s="1372" t="s">
        <v>3370</v>
      </c>
      <c r="AG81" s="1639">
        <v>943.48799999999983</v>
      </c>
      <c r="AH81" s="1372" t="s">
        <v>3445</v>
      </c>
      <c r="AI81" s="1640">
        <f t="shared" si="39"/>
        <v>10265.149439999999</v>
      </c>
      <c r="AJ81" s="1638">
        <f t="shared" si="40"/>
        <v>0</v>
      </c>
      <c r="AK81" s="1372" t="s">
        <v>2787</v>
      </c>
      <c r="AL81" s="1372" t="s">
        <v>3370</v>
      </c>
      <c r="AM81" s="1639">
        <v>943.48799999999983</v>
      </c>
      <c r="AN81" s="1372" t="str">
        <f t="shared" si="67"/>
        <v>No change</v>
      </c>
      <c r="AO81" s="1640">
        <f t="shared" si="41"/>
        <v>10265.149439999999</v>
      </c>
      <c r="AP81" s="1638">
        <f t="shared" si="42"/>
        <v>0</v>
      </c>
      <c r="AQ81" s="1372" t="s">
        <v>2787</v>
      </c>
      <c r="AR81" s="1372" t="s">
        <v>3370</v>
      </c>
      <c r="AS81" s="1639">
        <v>943.48799999999983</v>
      </c>
      <c r="AT81" s="1372" t="str">
        <f t="shared" si="68"/>
        <v>No change</v>
      </c>
      <c r="AU81" s="1640">
        <f t="shared" si="44"/>
        <v>10265.149439999999</v>
      </c>
      <c r="AV81" s="1638">
        <f t="shared" si="45"/>
        <v>0</v>
      </c>
      <c r="AW81" s="2044">
        <f t="shared" si="46"/>
        <v>10265.149439999999</v>
      </c>
      <c r="AX81" s="2044">
        <f t="shared" si="47"/>
        <v>10265.149439999999</v>
      </c>
      <c r="AY81" s="2044">
        <f t="shared" si="48"/>
        <v>10265.149439999999</v>
      </c>
      <c r="AZ81" s="2044">
        <f t="shared" si="49"/>
        <v>10265.149439999999</v>
      </c>
      <c r="BA81" s="2045">
        <f t="shared" si="50"/>
        <v>41060.597759999997</v>
      </c>
      <c r="BB81" s="2045" t="str">
        <f>+'[9]4.2.15'!$A$1</f>
        <v>4.2.15</v>
      </c>
      <c r="BC81" s="2045" t="str">
        <f>+'[9]4.2.15'!$A$1</f>
        <v>4.2.15</v>
      </c>
      <c r="BD81" s="2045">
        <v>0</v>
      </c>
      <c r="BE81" s="2051">
        <v>12</v>
      </c>
      <c r="BF81" s="2051">
        <v>12</v>
      </c>
      <c r="BG81" s="2051">
        <v>12</v>
      </c>
      <c r="BH81" s="2051">
        <v>12</v>
      </c>
      <c r="BI81" s="2045">
        <f t="shared" si="63"/>
        <v>123181.79327999998</v>
      </c>
      <c r="BJ81" s="2045">
        <f t="shared" si="64"/>
        <v>123181.79327999998</v>
      </c>
      <c r="BK81" s="2045">
        <f t="shared" si="65"/>
        <v>123181.79327999998</v>
      </c>
      <c r="BL81" s="2045">
        <f t="shared" si="66"/>
        <v>123181.79327999998</v>
      </c>
      <c r="BM81" s="2045">
        <f t="shared" si="51"/>
        <v>492727.17311999993</v>
      </c>
      <c r="BN81" s="2047">
        <v>12</v>
      </c>
      <c r="BO81" s="2047">
        <v>12</v>
      </c>
      <c r="BP81" s="2047">
        <v>12</v>
      </c>
      <c r="BQ81" s="2047">
        <v>12</v>
      </c>
      <c r="BR81" s="2048">
        <f t="shared" si="52"/>
        <v>123181.79327999998</v>
      </c>
      <c r="BS81" s="2048">
        <f t="shared" si="53"/>
        <v>123181.79327999998</v>
      </c>
      <c r="BT81" s="2048">
        <f t="shared" si="54"/>
        <v>123181.79327999998</v>
      </c>
      <c r="BU81" s="2048">
        <f t="shared" si="55"/>
        <v>123181.79327999998</v>
      </c>
      <c r="BV81" s="1840">
        <f t="shared" si="56"/>
        <v>492727.17311999993</v>
      </c>
      <c r="BW81" s="2064" t="e">
        <f>INT(#REF!)=INT(BA81)</f>
        <v>#REF!</v>
      </c>
      <c r="BX81" s="2064">
        <v>74</v>
      </c>
      <c r="BY81" s="2064" t="s">
        <v>512</v>
      </c>
    </row>
    <row r="82" spans="1:77" s="1976" customFormat="1" ht="62" x14ac:dyDescent="0.35">
      <c r="A82" s="1372" t="s">
        <v>1494</v>
      </c>
      <c r="B82" s="1372" t="s">
        <v>154</v>
      </c>
      <c r="C82" s="1637">
        <v>0</v>
      </c>
      <c r="D82" s="2053" t="str">
        <f>+'[9]4.2.12'!$A$1</f>
        <v>4.2.12</v>
      </c>
      <c r="E82" s="1372" t="s">
        <v>163</v>
      </c>
      <c r="F82" s="1638">
        <v>16</v>
      </c>
      <c r="G82" s="1638">
        <v>16</v>
      </c>
      <c r="H82" s="1638">
        <v>16</v>
      </c>
      <c r="I82" s="1638">
        <v>16</v>
      </c>
      <c r="J82" s="1372" t="str">
        <f>'[9]4.2.12'!$B$8</f>
        <v>CI-FSE-IRCB-V02-180101</v>
      </c>
      <c r="K82" s="1372" t="str">
        <f t="shared" si="30"/>
        <v>Nicor Gas PY7-PY10 Adjustable Goals Template_2017-06-30, Tab 4.2.12</v>
      </c>
      <c r="L82" s="1639">
        <v>706.68</v>
      </c>
      <c r="M82" s="1639">
        <v>706.68</v>
      </c>
      <c r="N82" s="1639">
        <v>706.68</v>
      </c>
      <c r="O82" s="1639">
        <v>706.68</v>
      </c>
      <c r="P82" s="1637">
        <v>0.68</v>
      </c>
      <c r="Q82" s="1637">
        <v>0.68</v>
      </c>
      <c r="R82" s="1637">
        <v>0.68</v>
      </c>
      <c r="S82" s="1637">
        <v>0.68</v>
      </c>
      <c r="T82" s="1640">
        <f t="shared" si="31"/>
        <v>7688.6783999999998</v>
      </c>
      <c r="U82" s="1640">
        <f t="shared" si="32"/>
        <v>7688.6783999999998</v>
      </c>
      <c r="V82" s="1640">
        <f t="shared" si="33"/>
        <v>7688.6783999999998</v>
      </c>
      <c r="W82" s="1640">
        <f t="shared" si="34"/>
        <v>7688.6783999999998</v>
      </c>
      <c r="X82" s="1640">
        <f t="shared" si="35"/>
        <v>30754.713599999999</v>
      </c>
      <c r="Y82" s="1372" t="str">
        <f t="shared" si="62"/>
        <v>CI-FSE-IRCB-V02-180101</v>
      </c>
      <c r="Z82" s="1372" t="str">
        <f t="shared" si="57"/>
        <v>Nicor Gas PY7-PY10 Adjustable Goals Template_2017-06-30, Tab 4.2.12</v>
      </c>
      <c r="AA82" s="1840">
        <f t="shared" si="58"/>
        <v>706.68</v>
      </c>
      <c r="AB82" s="2028"/>
      <c r="AC82" s="1840">
        <f t="shared" si="37"/>
        <v>7688.6783999999998</v>
      </c>
      <c r="AD82" s="1840">
        <f t="shared" si="38"/>
        <v>0</v>
      </c>
      <c r="AE82" s="1372" t="s">
        <v>2784</v>
      </c>
      <c r="AF82" s="1372" t="s">
        <v>3371</v>
      </c>
      <c r="AG82" s="1639">
        <v>706.68</v>
      </c>
      <c r="AH82" s="1372" t="s">
        <v>3445</v>
      </c>
      <c r="AI82" s="1640">
        <f t="shared" si="39"/>
        <v>7688.6783999999998</v>
      </c>
      <c r="AJ82" s="1638">
        <f t="shared" si="40"/>
        <v>0</v>
      </c>
      <c r="AK82" s="1372" t="s">
        <v>2784</v>
      </c>
      <c r="AL82" s="1372" t="s">
        <v>3371</v>
      </c>
      <c r="AM82" s="1639">
        <v>706.68</v>
      </c>
      <c r="AN82" s="1372" t="str">
        <f t="shared" si="67"/>
        <v>No change</v>
      </c>
      <c r="AO82" s="1640">
        <f t="shared" si="41"/>
        <v>7688.6783999999998</v>
      </c>
      <c r="AP82" s="1638">
        <f t="shared" si="42"/>
        <v>0</v>
      </c>
      <c r="AQ82" s="1372" t="s">
        <v>2784</v>
      </c>
      <c r="AR82" s="1372" t="s">
        <v>3371</v>
      </c>
      <c r="AS82" s="1639">
        <v>706.68</v>
      </c>
      <c r="AT82" s="1372" t="str">
        <f t="shared" si="68"/>
        <v>No change</v>
      </c>
      <c r="AU82" s="1640">
        <f t="shared" si="44"/>
        <v>7688.6783999999998</v>
      </c>
      <c r="AV82" s="1638">
        <f t="shared" si="45"/>
        <v>0</v>
      </c>
      <c r="AW82" s="2044">
        <f t="shared" si="46"/>
        <v>7688.6783999999998</v>
      </c>
      <c r="AX82" s="2044">
        <f t="shared" si="47"/>
        <v>7688.6783999999998</v>
      </c>
      <c r="AY82" s="2044">
        <f t="shared" si="48"/>
        <v>7688.6783999999998</v>
      </c>
      <c r="AZ82" s="2044">
        <f t="shared" si="49"/>
        <v>7688.6783999999998</v>
      </c>
      <c r="BA82" s="2045">
        <f t="shared" si="50"/>
        <v>30754.713599999999</v>
      </c>
      <c r="BB82" s="2045" t="str">
        <f>+'[9]4.2.12'!$A$1</f>
        <v>4.2.12</v>
      </c>
      <c r="BC82" s="2045" t="str">
        <f>+'[9]4.2.12'!$A$1</f>
        <v>4.2.12</v>
      </c>
      <c r="BD82" s="2045">
        <v>0</v>
      </c>
      <c r="BE82" s="2051">
        <v>12</v>
      </c>
      <c r="BF82" s="2051">
        <v>12</v>
      </c>
      <c r="BG82" s="2051">
        <v>12</v>
      </c>
      <c r="BH82" s="2051">
        <v>12</v>
      </c>
      <c r="BI82" s="2045">
        <f t="shared" si="63"/>
        <v>92264.140799999994</v>
      </c>
      <c r="BJ82" s="2045">
        <f t="shared" si="64"/>
        <v>92264.140799999994</v>
      </c>
      <c r="BK82" s="2045">
        <f t="shared" si="65"/>
        <v>92264.140799999994</v>
      </c>
      <c r="BL82" s="2045">
        <f t="shared" si="66"/>
        <v>92264.140799999994</v>
      </c>
      <c r="BM82" s="2045">
        <f t="shared" si="51"/>
        <v>369056.56319999998</v>
      </c>
      <c r="BN82" s="2047">
        <v>12</v>
      </c>
      <c r="BO82" s="2047">
        <v>12</v>
      </c>
      <c r="BP82" s="2047">
        <v>12</v>
      </c>
      <c r="BQ82" s="2047">
        <v>12</v>
      </c>
      <c r="BR82" s="2048">
        <f t="shared" si="52"/>
        <v>92264.140799999994</v>
      </c>
      <c r="BS82" s="2048">
        <f t="shared" si="53"/>
        <v>92264.140799999994</v>
      </c>
      <c r="BT82" s="2048">
        <f t="shared" si="54"/>
        <v>92264.140799999994</v>
      </c>
      <c r="BU82" s="2048">
        <f t="shared" si="55"/>
        <v>92264.140799999994</v>
      </c>
      <c r="BV82" s="1840">
        <f t="shared" si="56"/>
        <v>369056.56319999998</v>
      </c>
      <c r="BW82" s="2064" t="e">
        <f>INT(#REF!)=INT(BA82)</f>
        <v>#REF!</v>
      </c>
      <c r="BX82" s="2064">
        <v>75</v>
      </c>
      <c r="BY82" s="2064" t="s">
        <v>512</v>
      </c>
    </row>
    <row r="83" spans="1:77" s="1976" customFormat="1" ht="62" x14ac:dyDescent="0.35">
      <c r="A83" s="1372" t="s">
        <v>1494</v>
      </c>
      <c r="B83" s="1372" t="s">
        <v>160</v>
      </c>
      <c r="C83" s="1637">
        <v>0</v>
      </c>
      <c r="D83" s="2053" t="str">
        <f>+'[9]4.2.17'!$A$1</f>
        <v>4.2.17</v>
      </c>
      <c r="E83" s="1372" t="s">
        <v>163</v>
      </c>
      <c r="F83" s="1638">
        <v>64</v>
      </c>
      <c r="G83" s="1638">
        <v>64</v>
      </c>
      <c r="H83" s="1638">
        <v>64</v>
      </c>
      <c r="I83" s="1638">
        <v>64</v>
      </c>
      <c r="J83" s="1372" t="str">
        <f>'[9]4.2.17'!$B$12</f>
        <v>CI-FSE-PCOK-V02-180101</v>
      </c>
      <c r="K83" s="1372" t="str">
        <f t="shared" si="30"/>
        <v>Nicor Gas PY7-PY10 Adjustable Goals Template_2017-06-30, Tab 4.2.17</v>
      </c>
      <c r="L83" s="1639">
        <v>1380</v>
      </c>
      <c r="M83" s="1639">
        <v>1380</v>
      </c>
      <c r="N83" s="1639">
        <v>1380</v>
      </c>
      <c r="O83" s="1639">
        <v>1380</v>
      </c>
      <c r="P83" s="1637">
        <v>0.68</v>
      </c>
      <c r="Q83" s="1637">
        <v>0.68</v>
      </c>
      <c r="R83" s="1637">
        <v>0.68</v>
      </c>
      <c r="S83" s="1637">
        <v>0.68</v>
      </c>
      <c r="T83" s="1640">
        <f t="shared" si="31"/>
        <v>60057.600000000006</v>
      </c>
      <c r="U83" s="1640">
        <f t="shared" si="32"/>
        <v>60057.600000000006</v>
      </c>
      <c r="V83" s="1640">
        <f t="shared" si="33"/>
        <v>60057.600000000006</v>
      </c>
      <c r="W83" s="1640">
        <f t="shared" si="34"/>
        <v>60057.600000000006</v>
      </c>
      <c r="X83" s="1640">
        <f t="shared" si="35"/>
        <v>240230.40000000002</v>
      </c>
      <c r="Y83" s="1372" t="str">
        <f t="shared" si="62"/>
        <v>CI-FSE-PCOK-V02-180101</v>
      </c>
      <c r="Z83" s="1372" t="str">
        <f t="shared" si="57"/>
        <v>Nicor Gas PY7-PY10 Adjustable Goals Template_2017-06-30, Tab 4.2.17</v>
      </c>
      <c r="AA83" s="1840">
        <f t="shared" si="58"/>
        <v>1380</v>
      </c>
      <c r="AB83" s="2028"/>
      <c r="AC83" s="1840">
        <f t="shared" si="37"/>
        <v>60057.600000000006</v>
      </c>
      <c r="AD83" s="1840">
        <f t="shared" si="38"/>
        <v>0</v>
      </c>
      <c r="AE83" s="1372" t="s">
        <v>2788</v>
      </c>
      <c r="AF83" s="1372" t="s">
        <v>3372</v>
      </c>
      <c r="AG83" s="1639">
        <v>1380</v>
      </c>
      <c r="AH83" s="1372" t="s">
        <v>3445</v>
      </c>
      <c r="AI83" s="1640">
        <f t="shared" si="39"/>
        <v>60057.600000000006</v>
      </c>
      <c r="AJ83" s="1638">
        <f t="shared" si="40"/>
        <v>0</v>
      </c>
      <c r="AK83" s="1372" t="s">
        <v>2788</v>
      </c>
      <c r="AL83" s="1372" t="s">
        <v>3372</v>
      </c>
      <c r="AM83" s="1639">
        <v>1380</v>
      </c>
      <c r="AN83" s="1372" t="str">
        <f t="shared" si="67"/>
        <v>No change</v>
      </c>
      <c r="AO83" s="1640">
        <f t="shared" si="41"/>
        <v>60057.600000000006</v>
      </c>
      <c r="AP83" s="1638">
        <f t="shared" si="42"/>
        <v>0</v>
      </c>
      <c r="AQ83" s="1372" t="s">
        <v>2788</v>
      </c>
      <c r="AR83" s="1372" t="s">
        <v>3372</v>
      </c>
      <c r="AS83" s="1639">
        <v>1380</v>
      </c>
      <c r="AT83" s="1372" t="str">
        <f t="shared" si="68"/>
        <v>No change</v>
      </c>
      <c r="AU83" s="1640">
        <f t="shared" si="44"/>
        <v>60057.600000000006</v>
      </c>
      <c r="AV83" s="1638">
        <f t="shared" si="45"/>
        <v>0</v>
      </c>
      <c r="AW83" s="2044">
        <f t="shared" si="46"/>
        <v>60057.600000000006</v>
      </c>
      <c r="AX83" s="2044">
        <f t="shared" si="47"/>
        <v>60057.600000000006</v>
      </c>
      <c r="AY83" s="2044">
        <f t="shared" si="48"/>
        <v>60057.600000000006</v>
      </c>
      <c r="AZ83" s="2044">
        <f t="shared" si="49"/>
        <v>60057.600000000006</v>
      </c>
      <c r="BA83" s="2045">
        <f t="shared" si="50"/>
        <v>240230.40000000002</v>
      </c>
      <c r="BB83" s="2045" t="str">
        <f>+'[9]4.2.17'!$A$1</f>
        <v>4.2.17</v>
      </c>
      <c r="BC83" s="2045" t="str">
        <f>+'[9]4.2.17'!$A$1</f>
        <v>4.2.17</v>
      </c>
      <c r="BD83" s="2045">
        <v>0</v>
      </c>
      <c r="BE83" s="2051">
        <v>12</v>
      </c>
      <c r="BF83" s="2051">
        <v>12</v>
      </c>
      <c r="BG83" s="2051">
        <v>12</v>
      </c>
      <c r="BH83" s="2051">
        <v>12</v>
      </c>
      <c r="BI83" s="2045">
        <f t="shared" si="63"/>
        <v>720691.20000000007</v>
      </c>
      <c r="BJ83" s="2045">
        <f t="shared" si="64"/>
        <v>720691.20000000007</v>
      </c>
      <c r="BK83" s="2045">
        <f t="shared" si="65"/>
        <v>720691.20000000007</v>
      </c>
      <c r="BL83" s="2045">
        <f t="shared" si="66"/>
        <v>720691.20000000007</v>
      </c>
      <c r="BM83" s="2045">
        <f t="shared" si="51"/>
        <v>2882764.8000000003</v>
      </c>
      <c r="BN83" s="2047">
        <v>12</v>
      </c>
      <c r="BO83" s="2047">
        <v>12</v>
      </c>
      <c r="BP83" s="2047">
        <v>12</v>
      </c>
      <c r="BQ83" s="2047">
        <v>12</v>
      </c>
      <c r="BR83" s="2048">
        <f t="shared" si="52"/>
        <v>720691.20000000007</v>
      </c>
      <c r="BS83" s="2048">
        <f t="shared" si="53"/>
        <v>720691.20000000007</v>
      </c>
      <c r="BT83" s="2048">
        <f t="shared" si="54"/>
        <v>720691.20000000007</v>
      </c>
      <c r="BU83" s="2048">
        <f t="shared" si="55"/>
        <v>720691.20000000007</v>
      </c>
      <c r="BV83" s="1840">
        <f t="shared" si="56"/>
        <v>2882764.8000000003</v>
      </c>
      <c r="BW83" s="2064" t="e">
        <f>INT(#REF!)=INT(BA83)</f>
        <v>#REF!</v>
      </c>
      <c r="BX83" s="2064">
        <v>76</v>
      </c>
      <c r="BY83" s="2064" t="s">
        <v>512</v>
      </c>
    </row>
    <row r="84" spans="1:77" s="1976" customFormat="1" ht="62" x14ac:dyDescent="0.35">
      <c r="A84" s="1372" t="s">
        <v>1494</v>
      </c>
      <c r="B84" s="1372" t="s">
        <v>156</v>
      </c>
      <c r="C84" s="1637">
        <v>0</v>
      </c>
      <c r="D84" s="2053" t="str">
        <f>+'[9]4.2.13'!$A$1</f>
        <v>4.2.13</v>
      </c>
      <c r="E84" s="1372" t="s">
        <v>163</v>
      </c>
      <c r="F84" s="1638">
        <v>16</v>
      </c>
      <c r="G84" s="1638">
        <v>16</v>
      </c>
      <c r="H84" s="1638">
        <v>16</v>
      </c>
      <c r="I84" s="1638">
        <v>16</v>
      </c>
      <c r="J84" s="1372" t="str">
        <f>'[9]4.2.13'!$B$8</f>
        <v>CI-FSE-IROV-V02-180101</v>
      </c>
      <c r="K84" s="1372" t="str">
        <f t="shared" si="30"/>
        <v>Nicor Gas PY7-PY10 Adjustable Goals Template_2017-06-30, Tab 4.2.13</v>
      </c>
      <c r="L84" s="1639">
        <v>599.04</v>
      </c>
      <c r="M84" s="1639">
        <v>599.04</v>
      </c>
      <c r="N84" s="1639">
        <v>599.04</v>
      </c>
      <c r="O84" s="1639">
        <v>599.04</v>
      </c>
      <c r="P84" s="1637">
        <v>0.68</v>
      </c>
      <c r="Q84" s="1637">
        <v>0.68</v>
      </c>
      <c r="R84" s="1637">
        <v>0.68</v>
      </c>
      <c r="S84" s="1637">
        <v>0.68</v>
      </c>
      <c r="T84" s="1640">
        <f t="shared" si="31"/>
        <v>6517.5551999999998</v>
      </c>
      <c r="U84" s="1640">
        <f t="shared" si="32"/>
        <v>6517.5551999999998</v>
      </c>
      <c r="V84" s="1640">
        <f t="shared" si="33"/>
        <v>6517.5551999999998</v>
      </c>
      <c r="W84" s="1640">
        <f t="shared" si="34"/>
        <v>6517.5551999999998</v>
      </c>
      <c r="X84" s="1640">
        <f t="shared" si="35"/>
        <v>26070.220799999999</v>
      </c>
      <c r="Y84" s="1372" t="str">
        <f t="shared" si="62"/>
        <v>CI-FSE-IROV-V02-180101</v>
      </c>
      <c r="Z84" s="1372" t="str">
        <f t="shared" si="57"/>
        <v>Nicor Gas PY7-PY10 Adjustable Goals Template_2017-06-30, Tab 4.2.13</v>
      </c>
      <c r="AA84" s="1840">
        <f t="shared" si="58"/>
        <v>599.04</v>
      </c>
      <c r="AB84" s="2028"/>
      <c r="AC84" s="1840">
        <f t="shared" si="37"/>
        <v>6517.5551999999998</v>
      </c>
      <c r="AD84" s="1840">
        <f t="shared" si="38"/>
        <v>0</v>
      </c>
      <c r="AE84" s="1372" t="s">
        <v>2785</v>
      </c>
      <c r="AF84" s="1372" t="s">
        <v>3373</v>
      </c>
      <c r="AG84" s="1639">
        <v>599.04</v>
      </c>
      <c r="AH84" s="1372" t="s">
        <v>3445</v>
      </c>
      <c r="AI84" s="1640">
        <f t="shared" si="39"/>
        <v>6517.5551999999998</v>
      </c>
      <c r="AJ84" s="1638">
        <f t="shared" si="40"/>
        <v>0</v>
      </c>
      <c r="AK84" s="1372" t="s">
        <v>2785</v>
      </c>
      <c r="AL84" s="1372" t="s">
        <v>3373</v>
      </c>
      <c r="AM84" s="1639">
        <v>599.04</v>
      </c>
      <c r="AN84" s="1372" t="str">
        <f t="shared" si="67"/>
        <v>No change</v>
      </c>
      <c r="AO84" s="1640">
        <f t="shared" si="41"/>
        <v>6517.5551999999998</v>
      </c>
      <c r="AP84" s="1638">
        <f t="shared" si="42"/>
        <v>0</v>
      </c>
      <c r="AQ84" s="1372" t="s">
        <v>2785</v>
      </c>
      <c r="AR84" s="1372" t="s">
        <v>3373</v>
      </c>
      <c r="AS84" s="1639">
        <v>599.04</v>
      </c>
      <c r="AT84" s="1372" t="str">
        <f t="shared" si="68"/>
        <v>No change</v>
      </c>
      <c r="AU84" s="1640">
        <f t="shared" si="44"/>
        <v>6517.5551999999998</v>
      </c>
      <c r="AV84" s="1638">
        <f t="shared" si="45"/>
        <v>0</v>
      </c>
      <c r="AW84" s="2044">
        <f t="shared" si="46"/>
        <v>6517.5551999999998</v>
      </c>
      <c r="AX84" s="2044">
        <f t="shared" si="47"/>
        <v>6517.5551999999998</v>
      </c>
      <c r="AY84" s="2044">
        <f t="shared" si="48"/>
        <v>6517.5551999999998</v>
      </c>
      <c r="AZ84" s="2044">
        <f t="shared" si="49"/>
        <v>6517.5551999999998</v>
      </c>
      <c r="BA84" s="2045">
        <f t="shared" si="50"/>
        <v>26070.220799999999</v>
      </c>
      <c r="BB84" s="2045" t="str">
        <f>+'[9]4.2.13'!$A$1</f>
        <v>4.2.13</v>
      </c>
      <c r="BC84" s="2045" t="str">
        <f>+'[9]4.2.13'!$A$1</f>
        <v>4.2.13</v>
      </c>
      <c r="BD84" s="2045">
        <v>0</v>
      </c>
      <c r="BE84" s="2051">
        <v>12</v>
      </c>
      <c r="BF84" s="2051">
        <v>12</v>
      </c>
      <c r="BG84" s="2051">
        <v>12</v>
      </c>
      <c r="BH84" s="2051">
        <v>12</v>
      </c>
      <c r="BI84" s="2045">
        <f t="shared" si="63"/>
        <v>78210.662400000001</v>
      </c>
      <c r="BJ84" s="2045">
        <f t="shared" si="64"/>
        <v>78210.662400000001</v>
      </c>
      <c r="BK84" s="2045">
        <f t="shared" si="65"/>
        <v>78210.662400000001</v>
      </c>
      <c r="BL84" s="2045">
        <f t="shared" si="66"/>
        <v>78210.662400000001</v>
      </c>
      <c r="BM84" s="2045">
        <f t="shared" si="51"/>
        <v>312842.6496</v>
      </c>
      <c r="BN84" s="2047">
        <v>12</v>
      </c>
      <c r="BO84" s="2047">
        <v>12</v>
      </c>
      <c r="BP84" s="2047">
        <v>12</v>
      </c>
      <c r="BQ84" s="2047">
        <v>12</v>
      </c>
      <c r="BR84" s="2048">
        <f t="shared" si="52"/>
        <v>78210.662400000001</v>
      </c>
      <c r="BS84" s="2048">
        <f t="shared" si="53"/>
        <v>78210.662400000001</v>
      </c>
      <c r="BT84" s="2048">
        <f t="shared" si="54"/>
        <v>78210.662400000001</v>
      </c>
      <c r="BU84" s="2048">
        <f t="shared" si="55"/>
        <v>78210.662400000001</v>
      </c>
      <c r="BV84" s="1840">
        <f t="shared" si="56"/>
        <v>312842.6496</v>
      </c>
      <c r="BW84" s="2064" t="e">
        <f>INT(#REF!)=INT(BA84)</f>
        <v>#REF!</v>
      </c>
      <c r="BX84" s="2064">
        <v>77</v>
      </c>
      <c r="BY84" s="2064" t="s">
        <v>512</v>
      </c>
    </row>
    <row r="85" spans="1:77" s="1976" customFormat="1" ht="62" x14ac:dyDescent="0.35">
      <c r="A85" s="1372" t="s">
        <v>1494</v>
      </c>
      <c r="B85" s="1372" t="s">
        <v>152</v>
      </c>
      <c r="C85" s="1637">
        <v>0</v>
      </c>
      <c r="D85" s="2053" t="str">
        <f>+'[9]4.2.14'!$A$1</f>
        <v>4.2.14</v>
      </c>
      <c r="E85" s="1372" t="s">
        <v>163</v>
      </c>
      <c r="F85" s="1638">
        <v>16</v>
      </c>
      <c r="G85" s="1638">
        <v>16</v>
      </c>
      <c r="H85" s="1638">
        <v>16</v>
      </c>
      <c r="I85" s="1638">
        <v>16</v>
      </c>
      <c r="J85" s="1372" t="str">
        <f>'[9]4.2.14'!$B$8</f>
        <v>CI-FSE-IRBL-V02-180101</v>
      </c>
      <c r="K85" s="1372" t="str">
        <f t="shared" si="30"/>
        <v>Nicor Gas PY7-PY10 Adjustable Goals Template_2017-06-30, Tab 4.2.14</v>
      </c>
      <c r="L85" s="1639">
        <v>240.2399999999999</v>
      </c>
      <c r="M85" s="1639">
        <v>240.2399999999999</v>
      </c>
      <c r="N85" s="1639">
        <v>240.2399999999999</v>
      </c>
      <c r="O85" s="1639">
        <v>240.2399999999999</v>
      </c>
      <c r="P85" s="1637">
        <v>0.68</v>
      </c>
      <c r="Q85" s="1637">
        <v>0.68</v>
      </c>
      <c r="R85" s="1637">
        <v>0.68</v>
      </c>
      <c r="S85" s="1637">
        <v>0.68</v>
      </c>
      <c r="T85" s="1640">
        <f t="shared" si="31"/>
        <v>2613.8111999999992</v>
      </c>
      <c r="U85" s="1640">
        <f t="shared" si="32"/>
        <v>2613.8111999999992</v>
      </c>
      <c r="V85" s="1640">
        <f t="shared" si="33"/>
        <v>2613.8111999999992</v>
      </c>
      <c r="W85" s="1640">
        <f t="shared" si="34"/>
        <v>2613.8111999999992</v>
      </c>
      <c r="X85" s="1640">
        <f t="shared" si="35"/>
        <v>10455.244799999997</v>
      </c>
      <c r="Y85" s="1372" t="str">
        <f t="shared" si="62"/>
        <v>CI-FSE-IRBL-V02-180101</v>
      </c>
      <c r="Z85" s="1372" t="str">
        <f t="shared" si="57"/>
        <v>Nicor Gas PY7-PY10 Adjustable Goals Template_2017-06-30, Tab 4.2.14</v>
      </c>
      <c r="AA85" s="1840">
        <f t="shared" si="58"/>
        <v>240.2399999999999</v>
      </c>
      <c r="AB85" s="2028"/>
      <c r="AC85" s="1840">
        <f t="shared" si="37"/>
        <v>2613.8111999999992</v>
      </c>
      <c r="AD85" s="1840">
        <f t="shared" si="38"/>
        <v>0</v>
      </c>
      <c r="AE85" s="1372" t="s">
        <v>2786</v>
      </c>
      <c r="AF85" s="1372" t="s">
        <v>3374</v>
      </c>
      <c r="AG85" s="1639">
        <v>240.2399999999999</v>
      </c>
      <c r="AH85" s="1372" t="s">
        <v>3445</v>
      </c>
      <c r="AI85" s="1640">
        <f t="shared" si="39"/>
        <v>2613.8111999999992</v>
      </c>
      <c r="AJ85" s="1638">
        <f t="shared" si="40"/>
        <v>0</v>
      </c>
      <c r="AK85" s="1372" t="s">
        <v>2786</v>
      </c>
      <c r="AL85" s="1372" t="s">
        <v>3374</v>
      </c>
      <c r="AM85" s="1639">
        <v>240.2399999999999</v>
      </c>
      <c r="AN85" s="1372" t="str">
        <f t="shared" si="67"/>
        <v>No change</v>
      </c>
      <c r="AO85" s="1640">
        <f t="shared" si="41"/>
        <v>2613.8111999999992</v>
      </c>
      <c r="AP85" s="1638">
        <f t="shared" si="42"/>
        <v>0</v>
      </c>
      <c r="AQ85" s="1372" t="s">
        <v>2786</v>
      </c>
      <c r="AR85" s="1372" t="s">
        <v>3374</v>
      </c>
      <c r="AS85" s="1639">
        <v>240.2399999999999</v>
      </c>
      <c r="AT85" s="1372" t="str">
        <f t="shared" si="68"/>
        <v>No change</v>
      </c>
      <c r="AU85" s="1640">
        <f t="shared" si="44"/>
        <v>2613.8111999999992</v>
      </c>
      <c r="AV85" s="1638">
        <f t="shared" si="45"/>
        <v>0</v>
      </c>
      <c r="AW85" s="2044">
        <f t="shared" si="46"/>
        <v>2613.8111999999992</v>
      </c>
      <c r="AX85" s="2044">
        <f t="shared" si="47"/>
        <v>2613.8111999999992</v>
      </c>
      <c r="AY85" s="2044">
        <f t="shared" si="48"/>
        <v>2613.8111999999992</v>
      </c>
      <c r="AZ85" s="2044">
        <f t="shared" si="49"/>
        <v>2613.8111999999992</v>
      </c>
      <c r="BA85" s="2045">
        <f t="shared" si="50"/>
        <v>10455.244799999997</v>
      </c>
      <c r="BB85" s="2045" t="str">
        <f>+'[9]4.2.14'!$A$1</f>
        <v>4.2.14</v>
      </c>
      <c r="BC85" s="2045" t="str">
        <f>+'[9]4.2.14'!$A$1</f>
        <v>4.2.14</v>
      </c>
      <c r="BD85" s="2045">
        <v>0</v>
      </c>
      <c r="BE85" s="2051">
        <v>12</v>
      </c>
      <c r="BF85" s="2051">
        <v>12</v>
      </c>
      <c r="BG85" s="2051">
        <v>12</v>
      </c>
      <c r="BH85" s="2051">
        <v>12</v>
      </c>
      <c r="BI85" s="2045">
        <f t="shared" si="63"/>
        <v>31365.73439999999</v>
      </c>
      <c r="BJ85" s="2045">
        <f t="shared" si="64"/>
        <v>31365.73439999999</v>
      </c>
      <c r="BK85" s="2045">
        <f t="shared" si="65"/>
        <v>31365.73439999999</v>
      </c>
      <c r="BL85" s="2045">
        <f t="shared" si="66"/>
        <v>31365.73439999999</v>
      </c>
      <c r="BM85" s="2045">
        <f t="shared" si="51"/>
        <v>125462.93759999996</v>
      </c>
      <c r="BN85" s="2047">
        <v>12</v>
      </c>
      <c r="BO85" s="2047">
        <v>12</v>
      </c>
      <c r="BP85" s="2047">
        <v>12</v>
      </c>
      <c r="BQ85" s="2047">
        <v>12</v>
      </c>
      <c r="BR85" s="2048">
        <f t="shared" si="52"/>
        <v>31365.73439999999</v>
      </c>
      <c r="BS85" s="2048">
        <f t="shared" si="53"/>
        <v>31365.73439999999</v>
      </c>
      <c r="BT85" s="2048">
        <f t="shared" si="54"/>
        <v>31365.73439999999</v>
      </c>
      <c r="BU85" s="2048">
        <f t="shared" si="55"/>
        <v>31365.73439999999</v>
      </c>
      <c r="BV85" s="1840">
        <f t="shared" si="56"/>
        <v>125462.93759999996</v>
      </c>
      <c r="BW85" s="2064" t="e">
        <f>INT(#REF!)=INT(BA85)</f>
        <v>#REF!</v>
      </c>
      <c r="BX85" s="2064">
        <v>78</v>
      </c>
      <c r="BY85" s="2064" t="s">
        <v>512</v>
      </c>
    </row>
    <row r="86" spans="1:77" s="1976" customFormat="1" ht="62" x14ac:dyDescent="0.35">
      <c r="A86" s="1372" t="s">
        <v>1494</v>
      </c>
      <c r="B86" s="1372" t="s">
        <v>166</v>
      </c>
      <c r="C86" s="1637">
        <v>0</v>
      </c>
      <c r="D86" s="2053" t="str">
        <f>+'[9]4.2.3'!$A$1</f>
        <v>4.2.3</v>
      </c>
      <c r="E86" s="1372" t="s">
        <v>163</v>
      </c>
      <c r="F86" s="1638">
        <v>12</v>
      </c>
      <c r="G86" s="1638">
        <v>12</v>
      </c>
      <c r="H86" s="1638">
        <v>12</v>
      </c>
      <c r="I86" s="1638">
        <v>12</v>
      </c>
      <c r="J86" s="1372" t="str">
        <f>'[9]4.2.3'!$B$16</f>
        <v>CI-FSE-STMC-V04-160601</v>
      </c>
      <c r="K86" s="1372" t="str">
        <f t="shared" si="30"/>
        <v>Nicor Gas PY7-PY10 Adjustable Goals Template_2017-06-30, Tab 4.2.3</v>
      </c>
      <c r="L86" s="1639">
        <v>752.01231086676478</v>
      </c>
      <c r="M86" s="1639">
        <v>752.01231086676478</v>
      </c>
      <c r="N86" s="1639">
        <v>752.01231086676478</v>
      </c>
      <c r="O86" s="1639">
        <v>752.01231086676478</v>
      </c>
      <c r="P86" s="1637">
        <v>0.68</v>
      </c>
      <c r="Q86" s="1637">
        <v>0.68</v>
      </c>
      <c r="R86" s="1637">
        <v>0.68</v>
      </c>
      <c r="S86" s="1637">
        <v>0.68</v>
      </c>
      <c r="T86" s="1640">
        <f t="shared" si="31"/>
        <v>6136.4204566728004</v>
      </c>
      <c r="U86" s="1640">
        <f t="shared" si="32"/>
        <v>6136.4204566728004</v>
      </c>
      <c r="V86" s="1640">
        <f t="shared" si="33"/>
        <v>6136.4204566728004</v>
      </c>
      <c r="W86" s="1640">
        <f t="shared" si="34"/>
        <v>6136.4204566728004</v>
      </c>
      <c r="X86" s="1640">
        <f t="shared" si="35"/>
        <v>24545.681826691201</v>
      </c>
      <c r="Y86" s="1372" t="str">
        <f t="shared" si="62"/>
        <v>CI-FSE-STMC-V04-160601</v>
      </c>
      <c r="Z86" s="1372" t="str">
        <f t="shared" si="57"/>
        <v>Nicor Gas PY7-PY10 Adjustable Goals Template_2017-06-30, Tab 4.2.3</v>
      </c>
      <c r="AA86" s="1840">
        <f t="shared" si="58"/>
        <v>752.01231086676478</v>
      </c>
      <c r="AB86" s="2028"/>
      <c r="AC86" s="1840">
        <f t="shared" si="37"/>
        <v>6136.4204566728004</v>
      </c>
      <c r="AD86" s="1840">
        <f t="shared" si="38"/>
        <v>0</v>
      </c>
      <c r="AE86" s="1372" t="s">
        <v>2566</v>
      </c>
      <c r="AF86" s="1372" t="s">
        <v>3375</v>
      </c>
      <c r="AG86" s="1639">
        <v>752.01231086676478</v>
      </c>
      <c r="AH86" s="1372" t="s">
        <v>3445</v>
      </c>
      <c r="AI86" s="1640">
        <f t="shared" si="39"/>
        <v>6136.4204566728004</v>
      </c>
      <c r="AJ86" s="1638">
        <f t="shared" si="40"/>
        <v>0</v>
      </c>
      <c r="AK86" s="1372" t="s">
        <v>2566</v>
      </c>
      <c r="AL86" s="1372" t="s">
        <v>3375</v>
      </c>
      <c r="AM86" s="1639">
        <v>752.01231086676478</v>
      </c>
      <c r="AN86" s="1372" t="str">
        <f t="shared" si="67"/>
        <v>No change</v>
      </c>
      <c r="AO86" s="1640">
        <f t="shared" si="41"/>
        <v>6136.4204566728004</v>
      </c>
      <c r="AP86" s="1638">
        <f t="shared" si="42"/>
        <v>0</v>
      </c>
      <c r="AQ86" s="1372" t="s">
        <v>2566</v>
      </c>
      <c r="AR86" s="1372" t="s">
        <v>3375</v>
      </c>
      <c r="AS86" s="1639">
        <v>752.01231086676478</v>
      </c>
      <c r="AT86" s="1372" t="str">
        <f t="shared" si="68"/>
        <v>No change</v>
      </c>
      <c r="AU86" s="1640">
        <f t="shared" si="44"/>
        <v>6136.4204566728004</v>
      </c>
      <c r="AV86" s="1638">
        <f t="shared" si="45"/>
        <v>0</v>
      </c>
      <c r="AW86" s="2044">
        <f t="shared" si="46"/>
        <v>6136.4204566728004</v>
      </c>
      <c r="AX86" s="2044">
        <f t="shared" si="47"/>
        <v>6136.4204566728004</v>
      </c>
      <c r="AY86" s="2044">
        <f t="shared" si="48"/>
        <v>6136.4204566728004</v>
      </c>
      <c r="AZ86" s="2044">
        <f t="shared" si="49"/>
        <v>6136.4204566728004</v>
      </c>
      <c r="BA86" s="2045">
        <f t="shared" si="50"/>
        <v>24545.681826691201</v>
      </c>
      <c r="BB86" s="2045" t="str">
        <f>+'[9]4.2.3'!$A$1</f>
        <v>4.2.3</v>
      </c>
      <c r="BC86" s="2045" t="str">
        <f>+'[9]4.2.3'!$A$1</f>
        <v>4.2.3</v>
      </c>
      <c r="BD86" s="2045">
        <v>0</v>
      </c>
      <c r="BE86" s="2051">
        <v>12</v>
      </c>
      <c r="BF86" s="2051">
        <v>12</v>
      </c>
      <c r="BG86" s="2051">
        <v>12</v>
      </c>
      <c r="BH86" s="2051">
        <v>12</v>
      </c>
      <c r="BI86" s="2045">
        <f t="shared" si="63"/>
        <v>73637.045480073604</v>
      </c>
      <c r="BJ86" s="2045">
        <f t="shared" si="64"/>
        <v>73637.045480073604</v>
      </c>
      <c r="BK86" s="2045">
        <f t="shared" si="65"/>
        <v>73637.045480073604</v>
      </c>
      <c r="BL86" s="2045">
        <f t="shared" si="66"/>
        <v>73637.045480073604</v>
      </c>
      <c r="BM86" s="2045">
        <f t="shared" si="51"/>
        <v>294548.18192029442</v>
      </c>
      <c r="BN86" s="2047">
        <v>12</v>
      </c>
      <c r="BO86" s="2047">
        <v>12</v>
      </c>
      <c r="BP86" s="2047">
        <v>12</v>
      </c>
      <c r="BQ86" s="2047">
        <v>12</v>
      </c>
      <c r="BR86" s="2048">
        <f t="shared" si="52"/>
        <v>73637.045480073604</v>
      </c>
      <c r="BS86" s="2048">
        <f t="shared" si="53"/>
        <v>73637.045480073604</v>
      </c>
      <c r="BT86" s="2048">
        <f t="shared" si="54"/>
        <v>73637.045480073604</v>
      </c>
      <c r="BU86" s="2048">
        <f t="shared" si="55"/>
        <v>73637.045480073604</v>
      </c>
      <c r="BV86" s="1840">
        <f t="shared" si="56"/>
        <v>294548.18192029442</v>
      </c>
      <c r="BW86" s="2064" t="e">
        <f>INT(#REF!)=INT(BA86)</f>
        <v>#REF!</v>
      </c>
      <c r="BX86" s="2064">
        <v>79</v>
      </c>
      <c r="BY86" s="2064" t="s">
        <v>512</v>
      </c>
    </row>
    <row r="87" spans="1:77" s="1976" customFormat="1" ht="62" x14ac:dyDescent="0.35">
      <c r="A87" s="1372" t="s">
        <v>1494</v>
      </c>
      <c r="B87" s="1372" t="s">
        <v>148</v>
      </c>
      <c r="C87" s="1637">
        <v>0</v>
      </c>
      <c r="D87" s="2053" t="str">
        <f>+'[9]4.2.4'!$A$1</f>
        <v>4.2.4</v>
      </c>
      <c r="E87" s="1372" t="s">
        <v>163</v>
      </c>
      <c r="F87" s="1638">
        <v>23</v>
      </c>
      <c r="G87" s="1638">
        <v>23</v>
      </c>
      <c r="H87" s="1638">
        <v>23</v>
      </c>
      <c r="I87" s="1638">
        <v>23</v>
      </c>
      <c r="J87" s="1372" t="str">
        <f>'[9]4.2.4'!$B$14</f>
        <v>CI-FSE-CVOV-V02-180101</v>
      </c>
      <c r="K87" s="1372" t="str">
        <f t="shared" ref="K87:K150" si="69">IF(D87&lt;&gt;"Custom",CONCATENATE($H$1,", ",$I$1," ",D87),"")</f>
        <v>Nicor Gas PY7-PY10 Adjustable Goals Template_2017-06-30, Tab 4.2.4</v>
      </c>
      <c r="L87" s="1639">
        <v>884</v>
      </c>
      <c r="M87" s="1639">
        <v>884</v>
      </c>
      <c r="N87" s="1639">
        <v>884</v>
      </c>
      <c r="O87" s="1639">
        <v>884</v>
      </c>
      <c r="P87" s="1637">
        <v>0.68</v>
      </c>
      <c r="Q87" s="1637">
        <v>0.68</v>
      </c>
      <c r="R87" s="1637">
        <v>0.68</v>
      </c>
      <c r="S87" s="1637">
        <v>0.68</v>
      </c>
      <c r="T87" s="1640">
        <f t="shared" ref="T87:T150" si="70">+F87*L87*P87</f>
        <v>13825.76</v>
      </c>
      <c r="U87" s="1640">
        <f t="shared" ref="U87:U150" si="71">+G87*M87*Q87</f>
        <v>13825.76</v>
      </c>
      <c r="V87" s="1640">
        <f t="shared" ref="V87:V150" si="72">+H87*N87*R87</f>
        <v>13825.76</v>
      </c>
      <c r="W87" s="1640">
        <f t="shared" ref="W87:W150" si="73">+I87*O87*S87</f>
        <v>13825.76</v>
      </c>
      <c r="X87" s="1640">
        <f t="shared" ref="X87:X150" si="74">+SUM(T87:W87)</f>
        <v>55303.040000000001</v>
      </c>
      <c r="Y87" s="1372" t="str">
        <f t="shared" si="62"/>
        <v>CI-FSE-CVOV-V02-180101</v>
      </c>
      <c r="Z87" s="1372" t="str">
        <f t="shared" si="57"/>
        <v>Nicor Gas PY7-PY10 Adjustable Goals Template_2017-06-30, Tab 4.2.4</v>
      </c>
      <c r="AA87" s="1840">
        <f t="shared" si="58"/>
        <v>884</v>
      </c>
      <c r="AB87" s="2028"/>
      <c r="AC87" s="1840">
        <f t="shared" ref="AC87:AC150" si="75">F87*AA87*P87</f>
        <v>13825.76</v>
      </c>
      <c r="AD87" s="1840">
        <f t="shared" ref="AD87:AD150" si="76">AC87-T87</f>
        <v>0</v>
      </c>
      <c r="AE87" s="1372" t="s">
        <v>2781</v>
      </c>
      <c r="AF87" s="1372" t="s">
        <v>3381</v>
      </c>
      <c r="AG87" s="1639">
        <v>884</v>
      </c>
      <c r="AH87" s="1372" t="s">
        <v>3445</v>
      </c>
      <c r="AI87" s="1640">
        <f t="shared" ref="AI87:AI150" si="77">G87*AG87*Q87</f>
        <v>13825.76</v>
      </c>
      <c r="AJ87" s="1638">
        <f t="shared" ref="AJ87:AJ150" si="78">AI87-U87</f>
        <v>0</v>
      </c>
      <c r="AK87" s="1372" t="s">
        <v>2781</v>
      </c>
      <c r="AL87" s="1372" t="s">
        <v>3381</v>
      </c>
      <c r="AM87" s="1639">
        <v>884</v>
      </c>
      <c r="AN87" s="1372" t="str">
        <f t="shared" si="67"/>
        <v>No change</v>
      </c>
      <c r="AO87" s="1640">
        <f t="shared" ref="AO87:AO150" si="79">H87*AM87*R87</f>
        <v>13825.76</v>
      </c>
      <c r="AP87" s="1638">
        <f t="shared" ref="AP87:AP150" si="80">AO87-V87</f>
        <v>0</v>
      </c>
      <c r="AQ87" s="1372" t="s">
        <v>2781</v>
      </c>
      <c r="AR87" s="1372" t="s">
        <v>3381</v>
      </c>
      <c r="AS87" s="1639">
        <v>884</v>
      </c>
      <c r="AT87" s="1372" t="str">
        <f t="shared" si="68"/>
        <v>No change</v>
      </c>
      <c r="AU87" s="1640">
        <f t="shared" ref="AU87:AU150" si="81">I87*AS87*S87</f>
        <v>13825.76</v>
      </c>
      <c r="AV87" s="1638">
        <f t="shared" ref="AV87:AV150" si="82">AU87-W87</f>
        <v>0</v>
      </c>
      <c r="AW87" s="2044">
        <f t="shared" ref="AW87:AW150" si="83">IF($C87=1,AC87,T87)</f>
        <v>13825.76</v>
      </c>
      <c r="AX87" s="2044">
        <f t="shared" ref="AX87:AX150" si="84">IF($C87=1,AI87,U87)</f>
        <v>13825.76</v>
      </c>
      <c r="AY87" s="2044">
        <f t="shared" ref="AY87:AY150" si="85">IF($C87=1,AO87,V87)</f>
        <v>13825.76</v>
      </c>
      <c r="AZ87" s="2044">
        <f t="shared" ref="AZ87:AZ150" si="86">IF($C87=1,AU87,W87)</f>
        <v>13825.76</v>
      </c>
      <c r="BA87" s="2045">
        <f t="shared" ref="BA87:BA150" si="87">SUM(AW87:AZ87)</f>
        <v>55303.040000000001</v>
      </c>
      <c r="BB87" s="2045" t="str">
        <f>+'[9]4.2.4'!$A$1</f>
        <v>4.2.4</v>
      </c>
      <c r="BC87" s="2045" t="str">
        <f>+'[9]4.2.4'!$A$1</f>
        <v>4.2.4</v>
      </c>
      <c r="BD87" s="2045">
        <v>0</v>
      </c>
      <c r="BE87" s="2051">
        <v>17</v>
      </c>
      <c r="BF87" s="2051">
        <v>17</v>
      </c>
      <c r="BG87" s="2051">
        <v>17</v>
      </c>
      <c r="BH87" s="2051">
        <v>17</v>
      </c>
      <c r="BI87" s="2045">
        <f t="shared" si="63"/>
        <v>235037.92</v>
      </c>
      <c r="BJ87" s="2045">
        <f t="shared" si="64"/>
        <v>235037.92</v>
      </c>
      <c r="BK87" s="2045">
        <f t="shared" si="65"/>
        <v>235037.92</v>
      </c>
      <c r="BL87" s="2045">
        <f t="shared" si="66"/>
        <v>235037.92</v>
      </c>
      <c r="BM87" s="2045">
        <f t="shared" ref="BM87:BM150" si="88">SUM(BI87:BL87)</f>
        <v>940151.68</v>
      </c>
      <c r="BN87" s="2047">
        <v>17</v>
      </c>
      <c r="BO87" s="2047">
        <v>17</v>
      </c>
      <c r="BP87" s="2047">
        <v>17</v>
      </c>
      <c r="BQ87" s="2047">
        <v>17</v>
      </c>
      <c r="BR87" s="2048">
        <f t="shared" ref="BR87:BR150" si="89">F87*P87*AA87*BN87</f>
        <v>235037.92</v>
      </c>
      <c r="BS87" s="2048">
        <f t="shared" ref="BS87:BS150" si="90">G87*Q87*AG87*BO87</f>
        <v>235037.92</v>
      </c>
      <c r="BT87" s="2048">
        <f t="shared" ref="BT87:BT150" si="91">H87*R87*AM87*BP87</f>
        <v>235037.92</v>
      </c>
      <c r="BU87" s="2048">
        <f t="shared" ref="BU87:BU150" si="92">I87*S87*AS87*BQ87</f>
        <v>235037.92</v>
      </c>
      <c r="BV87" s="1840">
        <f t="shared" ref="BV87:BV150" si="93">SUM(BR87:BU87)</f>
        <v>940151.68</v>
      </c>
      <c r="BW87" s="2064" t="e">
        <f>INT(#REF!)=INT(BA87)</f>
        <v>#REF!</v>
      </c>
      <c r="BX87" s="2064">
        <v>80</v>
      </c>
      <c r="BY87" s="2064" t="s">
        <v>512</v>
      </c>
    </row>
    <row r="88" spans="1:77" s="1976" customFormat="1" ht="18" customHeight="1" x14ac:dyDescent="0.35">
      <c r="A88" s="1372" t="s">
        <v>1494</v>
      </c>
      <c r="B88" s="1372" t="s">
        <v>262</v>
      </c>
      <c r="C88" s="1637">
        <v>0</v>
      </c>
      <c r="D88" s="1372" t="s">
        <v>295</v>
      </c>
      <c r="E88" s="1372" t="s">
        <v>163</v>
      </c>
      <c r="F88" s="1638">
        <v>12</v>
      </c>
      <c r="G88" s="1638">
        <v>12</v>
      </c>
      <c r="H88" s="1638">
        <v>12</v>
      </c>
      <c r="I88" s="1638">
        <v>12</v>
      </c>
      <c r="J88" s="1372" t="s">
        <v>295</v>
      </c>
      <c r="K88" s="1372" t="str">
        <f t="shared" si="69"/>
        <v/>
      </c>
      <c r="L88" s="1639">
        <v>0</v>
      </c>
      <c r="M88" s="1639">
        <v>0</v>
      </c>
      <c r="N88" s="1639">
        <v>0</v>
      </c>
      <c r="O88" s="1639">
        <v>0</v>
      </c>
      <c r="P88" s="1637">
        <v>0.68</v>
      </c>
      <c r="Q88" s="1637">
        <v>0.68</v>
      </c>
      <c r="R88" s="1637">
        <v>0.68</v>
      </c>
      <c r="S88" s="1637">
        <v>0.68</v>
      </c>
      <c r="T88" s="1640">
        <f t="shared" si="70"/>
        <v>0</v>
      </c>
      <c r="U88" s="1640">
        <f t="shared" si="71"/>
        <v>0</v>
      </c>
      <c r="V88" s="1640">
        <f t="shared" si="72"/>
        <v>0</v>
      </c>
      <c r="W88" s="1640">
        <f t="shared" si="73"/>
        <v>0</v>
      </c>
      <c r="X88" s="1640">
        <f t="shared" si="74"/>
        <v>0</v>
      </c>
      <c r="Y88" s="1829"/>
      <c r="Z88" s="1372" t="str">
        <f t="shared" si="57"/>
        <v/>
      </c>
      <c r="AA88" s="1840">
        <f t="shared" si="58"/>
        <v>0</v>
      </c>
      <c r="AB88" s="2028"/>
      <c r="AC88" s="1840">
        <f t="shared" si="75"/>
        <v>0</v>
      </c>
      <c r="AD88" s="1840">
        <f t="shared" si="76"/>
        <v>0</v>
      </c>
      <c r="AE88" s="1829"/>
      <c r="AF88" s="1829" t="s">
        <v>3361</v>
      </c>
      <c r="AG88" s="1830">
        <v>0</v>
      </c>
      <c r="AH88" s="1829"/>
      <c r="AI88" s="1640">
        <f t="shared" si="77"/>
        <v>0</v>
      </c>
      <c r="AJ88" s="1638">
        <f t="shared" si="78"/>
        <v>0</v>
      </c>
      <c r="AK88" s="1829"/>
      <c r="AL88" s="1829" t="s">
        <v>3361</v>
      </c>
      <c r="AM88" s="1830">
        <v>0</v>
      </c>
      <c r="AN88" s="1829"/>
      <c r="AO88" s="1640">
        <f t="shared" si="79"/>
        <v>0</v>
      </c>
      <c r="AP88" s="1638">
        <f t="shared" si="80"/>
        <v>0</v>
      </c>
      <c r="AQ88" s="1829"/>
      <c r="AR88" s="1829" t="s">
        <v>3361</v>
      </c>
      <c r="AS88" s="1830">
        <v>0</v>
      </c>
      <c r="AT88" s="1829"/>
      <c r="AU88" s="1640">
        <f t="shared" si="81"/>
        <v>0</v>
      </c>
      <c r="AV88" s="1638">
        <f t="shared" si="82"/>
        <v>0</v>
      </c>
      <c r="AW88" s="2044">
        <f t="shared" si="83"/>
        <v>0</v>
      </c>
      <c r="AX88" s="2044">
        <f t="shared" si="84"/>
        <v>0</v>
      </c>
      <c r="AY88" s="2044">
        <f t="shared" si="85"/>
        <v>0</v>
      </c>
      <c r="AZ88" s="2044">
        <f t="shared" si="86"/>
        <v>0</v>
      </c>
      <c r="BA88" s="2045">
        <f t="shared" si="87"/>
        <v>0</v>
      </c>
      <c r="BB88" s="2049"/>
      <c r="BC88" s="2049"/>
      <c r="BD88" s="2045">
        <v>0</v>
      </c>
      <c r="BE88" s="2051">
        <v>0</v>
      </c>
      <c r="BF88" s="2051">
        <v>0</v>
      </c>
      <c r="BG88" s="2051">
        <v>0</v>
      </c>
      <c r="BH88" s="2051">
        <v>0</v>
      </c>
      <c r="BI88" s="2045">
        <f t="shared" si="63"/>
        <v>0</v>
      </c>
      <c r="BJ88" s="2045">
        <f t="shared" si="64"/>
        <v>0</v>
      </c>
      <c r="BK88" s="2045">
        <f t="shared" si="65"/>
        <v>0</v>
      </c>
      <c r="BL88" s="2045">
        <f t="shared" si="66"/>
        <v>0</v>
      </c>
      <c r="BM88" s="2045">
        <f t="shared" si="88"/>
        <v>0</v>
      </c>
      <c r="BN88" s="2047">
        <v>0</v>
      </c>
      <c r="BO88" s="2047">
        <v>0</v>
      </c>
      <c r="BP88" s="2047">
        <v>0</v>
      </c>
      <c r="BQ88" s="2047">
        <v>0</v>
      </c>
      <c r="BR88" s="2048">
        <f t="shared" si="89"/>
        <v>0</v>
      </c>
      <c r="BS88" s="2048">
        <f t="shared" si="90"/>
        <v>0</v>
      </c>
      <c r="BT88" s="2048">
        <f t="shared" si="91"/>
        <v>0</v>
      </c>
      <c r="BU88" s="2048">
        <f t="shared" si="92"/>
        <v>0</v>
      </c>
      <c r="BV88" s="1840">
        <f t="shared" si="93"/>
        <v>0</v>
      </c>
      <c r="BW88" s="2064" t="e">
        <f>INT(#REF!)=INT(BA88)</f>
        <v>#REF!</v>
      </c>
      <c r="BX88" s="2064">
        <v>81</v>
      </c>
      <c r="BY88" s="2064" t="s">
        <v>295</v>
      </c>
    </row>
    <row r="89" spans="1:77" s="1976" customFormat="1" ht="18" customHeight="1" x14ac:dyDescent="0.35">
      <c r="A89" s="1372" t="s">
        <v>1494</v>
      </c>
      <c r="B89" s="1372" t="s">
        <v>263</v>
      </c>
      <c r="C89" s="1637">
        <v>0</v>
      </c>
      <c r="D89" s="1372" t="s">
        <v>295</v>
      </c>
      <c r="E89" s="1372" t="s">
        <v>163</v>
      </c>
      <c r="F89" s="1638">
        <v>20</v>
      </c>
      <c r="G89" s="1638">
        <v>20</v>
      </c>
      <c r="H89" s="1638">
        <v>20</v>
      </c>
      <c r="I89" s="1638">
        <v>20</v>
      </c>
      <c r="J89" s="1372" t="s">
        <v>295</v>
      </c>
      <c r="K89" s="1372" t="str">
        <f t="shared" si="69"/>
        <v/>
      </c>
      <c r="L89" s="1639">
        <v>0</v>
      </c>
      <c r="M89" s="1639">
        <v>0</v>
      </c>
      <c r="N89" s="1639">
        <v>0</v>
      </c>
      <c r="O89" s="1639">
        <v>0</v>
      </c>
      <c r="P89" s="1637">
        <v>0.68</v>
      </c>
      <c r="Q89" s="1637">
        <v>0.68</v>
      </c>
      <c r="R89" s="1637">
        <v>0.68</v>
      </c>
      <c r="S89" s="1637">
        <v>0.68</v>
      </c>
      <c r="T89" s="1640">
        <f t="shared" si="70"/>
        <v>0</v>
      </c>
      <c r="U89" s="1640">
        <f t="shared" si="71"/>
        <v>0</v>
      </c>
      <c r="V89" s="1640">
        <f t="shared" si="72"/>
        <v>0</v>
      </c>
      <c r="W89" s="1640">
        <f t="shared" si="73"/>
        <v>0</v>
      </c>
      <c r="X89" s="1640">
        <f t="shared" si="74"/>
        <v>0</v>
      </c>
      <c r="Y89" s="1829"/>
      <c r="Z89" s="1372" t="str">
        <f t="shared" si="57"/>
        <v/>
      </c>
      <c r="AA89" s="1840">
        <f t="shared" si="58"/>
        <v>0</v>
      </c>
      <c r="AB89" s="2028"/>
      <c r="AC89" s="1840">
        <f t="shared" si="75"/>
        <v>0</v>
      </c>
      <c r="AD89" s="1840">
        <f t="shared" si="76"/>
        <v>0</v>
      </c>
      <c r="AE89" s="1829"/>
      <c r="AF89" s="1829" t="s">
        <v>3361</v>
      </c>
      <c r="AG89" s="1830">
        <v>0</v>
      </c>
      <c r="AH89" s="1829"/>
      <c r="AI89" s="1640">
        <f t="shared" si="77"/>
        <v>0</v>
      </c>
      <c r="AJ89" s="1638">
        <f t="shared" si="78"/>
        <v>0</v>
      </c>
      <c r="AK89" s="1829"/>
      <c r="AL89" s="1829" t="s">
        <v>3361</v>
      </c>
      <c r="AM89" s="1830">
        <v>0</v>
      </c>
      <c r="AN89" s="1829"/>
      <c r="AO89" s="1640">
        <f t="shared" si="79"/>
        <v>0</v>
      </c>
      <c r="AP89" s="1638">
        <f t="shared" si="80"/>
        <v>0</v>
      </c>
      <c r="AQ89" s="1829"/>
      <c r="AR89" s="1829" t="s">
        <v>3361</v>
      </c>
      <c r="AS89" s="1830">
        <v>0</v>
      </c>
      <c r="AT89" s="1829"/>
      <c r="AU89" s="1640">
        <f t="shared" si="81"/>
        <v>0</v>
      </c>
      <c r="AV89" s="1638">
        <f t="shared" si="82"/>
        <v>0</v>
      </c>
      <c r="AW89" s="2044">
        <f t="shared" si="83"/>
        <v>0</v>
      </c>
      <c r="AX89" s="2044">
        <f t="shared" si="84"/>
        <v>0</v>
      </c>
      <c r="AY89" s="2044">
        <f t="shared" si="85"/>
        <v>0</v>
      </c>
      <c r="AZ89" s="2044">
        <f t="shared" si="86"/>
        <v>0</v>
      </c>
      <c r="BA89" s="2045">
        <f t="shared" si="87"/>
        <v>0</v>
      </c>
      <c r="BB89" s="2049"/>
      <c r="BC89" s="2049"/>
      <c r="BD89" s="2045">
        <v>0</v>
      </c>
      <c r="BE89" s="2051">
        <v>0</v>
      </c>
      <c r="BF89" s="2051">
        <v>0</v>
      </c>
      <c r="BG89" s="2051">
        <v>0</v>
      </c>
      <c r="BH89" s="2051">
        <v>0</v>
      </c>
      <c r="BI89" s="2045">
        <f t="shared" si="63"/>
        <v>0</v>
      </c>
      <c r="BJ89" s="2045">
        <f t="shared" si="64"/>
        <v>0</v>
      </c>
      <c r="BK89" s="2045">
        <f t="shared" si="65"/>
        <v>0</v>
      </c>
      <c r="BL89" s="2045">
        <f t="shared" si="66"/>
        <v>0</v>
      </c>
      <c r="BM89" s="2045">
        <f t="shared" si="88"/>
        <v>0</v>
      </c>
      <c r="BN89" s="2047">
        <v>0</v>
      </c>
      <c r="BO89" s="2047">
        <v>0</v>
      </c>
      <c r="BP89" s="2047">
        <v>0</v>
      </c>
      <c r="BQ89" s="2047">
        <v>0</v>
      </c>
      <c r="BR89" s="2048">
        <f t="shared" si="89"/>
        <v>0</v>
      </c>
      <c r="BS89" s="2048">
        <f t="shared" si="90"/>
        <v>0</v>
      </c>
      <c r="BT89" s="2048">
        <f t="shared" si="91"/>
        <v>0</v>
      </c>
      <c r="BU89" s="2048">
        <f t="shared" si="92"/>
        <v>0</v>
      </c>
      <c r="BV89" s="1840">
        <f t="shared" si="93"/>
        <v>0</v>
      </c>
      <c r="BW89" s="2064" t="e">
        <f>INT(#REF!)=INT(BA89)</f>
        <v>#REF!</v>
      </c>
      <c r="BX89" s="2064">
        <v>82</v>
      </c>
      <c r="BY89" s="2064" t="s">
        <v>295</v>
      </c>
    </row>
    <row r="90" spans="1:77" s="1976" customFormat="1" ht="18" customHeight="1" x14ac:dyDescent="0.35">
      <c r="A90" s="1372" t="s">
        <v>1494</v>
      </c>
      <c r="B90" s="1372" t="s">
        <v>263</v>
      </c>
      <c r="C90" s="1637">
        <v>0</v>
      </c>
      <c r="D90" s="1372" t="s">
        <v>295</v>
      </c>
      <c r="E90" s="1372" t="s">
        <v>163</v>
      </c>
      <c r="F90" s="1638">
        <v>12</v>
      </c>
      <c r="G90" s="1638">
        <v>12</v>
      </c>
      <c r="H90" s="1638">
        <v>12</v>
      </c>
      <c r="I90" s="1638">
        <v>12</v>
      </c>
      <c r="J90" s="1372" t="s">
        <v>295</v>
      </c>
      <c r="K90" s="1372" t="str">
        <f t="shared" si="69"/>
        <v/>
      </c>
      <c r="L90" s="1639">
        <v>0</v>
      </c>
      <c r="M90" s="1639">
        <v>0</v>
      </c>
      <c r="N90" s="1639">
        <v>0</v>
      </c>
      <c r="O90" s="1639">
        <v>0</v>
      </c>
      <c r="P90" s="1637">
        <v>0.68</v>
      </c>
      <c r="Q90" s="1637">
        <v>0.68</v>
      </c>
      <c r="R90" s="1637">
        <v>0.68</v>
      </c>
      <c r="S90" s="1637">
        <v>0.68</v>
      </c>
      <c r="T90" s="1640">
        <f t="shared" si="70"/>
        <v>0</v>
      </c>
      <c r="U90" s="1640">
        <f t="shared" si="71"/>
        <v>0</v>
      </c>
      <c r="V90" s="1640">
        <f t="shared" si="72"/>
        <v>0</v>
      </c>
      <c r="W90" s="1640">
        <f t="shared" si="73"/>
        <v>0</v>
      </c>
      <c r="X90" s="1640">
        <f t="shared" si="74"/>
        <v>0</v>
      </c>
      <c r="Y90" s="1829"/>
      <c r="Z90" s="1372" t="str">
        <f t="shared" si="57"/>
        <v/>
      </c>
      <c r="AA90" s="1840">
        <f t="shared" si="58"/>
        <v>0</v>
      </c>
      <c r="AB90" s="2028"/>
      <c r="AC90" s="1840">
        <f t="shared" si="75"/>
        <v>0</v>
      </c>
      <c r="AD90" s="1840">
        <f t="shared" si="76"/>
        <v>0</v>
      </c>
      <c r="AE90" s="1829"/>
      <c r="AF90" s="1829" t="s">
        <v>3361</v>
      </c>
      <c r="AG90" s="1830">
        <v>0</v>
      </c>
      <c r="AH90" s="1829"/>
      <c r="AI90" s="1640">
        <f t="shared" si="77"/>
        <v>0</v>
      </c>
      <c r="AJ90" s="1638">
        <f t="shared" si="78"/>
        <v>0</v>
      </c>
      <c r="AK90" s="1829"/>
      <c r="AL90" s="1829" t="s">
        <v>3361</v>
      </c>
      <c r="AM90" s="1830">
        <v>0</v>
      </c>
      <c r="AN90" s="1829"/>
      <c r="AO90" s="1640">
        <f t="shared" si="79"/>
        <v>0</v>
      </c>
      <c r="AP90" s="1638">
        <f t="shared" si="80"/>
        <v>0</v>
      </c>
      <c r="AQ90" s="1829"/>
      <c r="AR90" s="1829" t="s">
        <v>3361</v>
      </c>
      <c r="AS90" s="1830">
        <v>0</v>
      </c>
      <c r="AT90" s="1829"/>
      <c r="AU90" s="1640">
        <f t="shared" si="81"/>
        <v>0</v>
      </c>
      <c r="AV90" s="1638">
        <f t="shared" si="82"/>
        <v>0</v>
      </c>
      <c r="AW90" s="2044">
        <f t="shared" si="83"/>
        <v>0</v>
      </c>
      <c r="AX90" s="2044">
        <f t="shared" si="84"/>
        <v>0</v>
      </c>
      <c r="AY90" s="2044">
        <f t="shared" si="85"/>
        <v>0</v>
      </c>
      <c r="AZ90" s="2044">
        <f t="shared" si="86"/>
        <v>0</v>
      </c>
      <c r="BA90" s="2045">
        <f t="shared" si="87"/>
        <v>0</v>
      </c>
      <c r="BB90" s="2049"/>
      <c r="BC90" s="2049"/>
      <c r="BD90" s="2045">
        <v>0</v>
      </c>
      <c r="BE90" s="2051">
        <v>0</v>
      </c>
      <c r="BF90" s="2051">
        <v>0</v>
      </c>
      <c r="BG90" s="2051">
        <v>0</v>
      </c>
      <c r="BH90" s="2051">
        <v>0</v>
      </c>
      <c r="BI90" s="2045">
        <f t="shared" si="63"/>
        <v>0</v>
      </c>
      <c r="BJ90" s="2045">
        <f t="shared" si="64"/>
        <v>0</v>
      </c>
      <c r="BK90" s="2045">
        <f t="shared" si="65"/>
        <v>0</v>
      </c>
      <c r="BL90" s="2045">
        <f t="shared" si="66"/>
        <v>0</v>
      </c>
      <c r="BM90" s="2045">
        <f t="shared" si="88"/>
        <v>0</v>
      </c>
      <c r="BN90" s="2047">
        <v>0</v>
      </c>
      <c r="BO90" s="2047">
        <v>0</v>
      </c>
      <c r="BP90" s="2047">
        <v>0</v>
      </c>
      <c r="BQ90" s="2047">
        <v>0</v>
      </c>
      <c r="BR90" s="2048">
        <f t="shared" si="89"/>
        <v>0</v>
      </c>
      <c r="BS90" s="2048">
        <f t="shared" si="90"/>
        <v>0</v>
      </c>
      <c r="BT90" s="2048">
        <f t="shared" si="91"/>
        <v>0</v>
      </c>
      <c r="BU90" s="2048">
        <f t="shared" si="92"/>
        <v>0</v>
      </c>
      <c r="BV90" s="1840">
        <f t="shared" si="93"/>
        <v>0</v>
      </c>
      <c r="BW90" s="2064" t="e">
        <f>INT(#REF!)=INT(BA90)</f>
        <v>#REF!</v>
      </c>
      <c r="BX90" s="2064">
        <v>83</v>
      </c>
      <c r="BY90" s="2064" t="s">
        <v>295</v>
      </c>
    </row>
    <row r="91" spans="1:77" s="1976" customFormat="1" ht="62" x14ac:dyDescent="0.35">
      <c r="A91" s="1372" t="s">
        <v>1494</v>
      </c>
      <c r="B91" s="1372" t="s">
        <v>165</v>
      </c>
      <c r="C91" s="1637">
        <v>0</v>
      </c>
      <c r="D91" s="2053" t="str">
        <f>+'[9]4.2.11'!$A$1</f>
        <v>4.2.11</v>
      </c>
      <c r="E91" s="1372" t="s">
        <v>163</v>
      </c>
      <c r="F91" s="1638">
        <v>64</v>
      </c>
      <c r="G91" s="1638">
        <v>64</v>
      </c>
      <c r="H91" s="1638">
        <v>64</v>
      </c>
      <c r="I91" s="1638">
        <v>64</v>
      </c>
      <c r="J91" s="1372" t="str">
        <f>'[9]4.2.11'!$B$17</f>
        <v>CI-FSE-SPRY-V04-180101</v>
      </c>
      <c r="K91" s="1372" t="str">
        <f t="shared" si="69"/>
        <v>Nicor Gas PY7-PY10 Adjustable Goals Template_2017-06-30, Tab 4.2.11</v>
      </c>
      <c r="L91" s="1639">
        <v>110.52077400000005</v>
      </c>
      <c r="M91" s="1639">
        <v>110.52077400000005</v>
      </c>
      <c r="N91" s="1639">
        <v>110.52077400000005</v>
      </c>
      <c r="O91" s="1639">
        <v>110.52077400000005</v>
      </c>
      <c r="P91" s="1637">
        <v>0.68</v>
      </c>
      <c r="Q91" s="1637">
        <v>0.68</v>
      </c>
      <c r="R91" s="1637">
        <v>0.68</v>
      </c>
      <c r="S91" s="1637">
        <v>0.68</v>
      </c>
      <c r="T91" s="1640">
        <f t="shared" si="70"/>
        <v>4809.864084480002</v>
      </c>
      <c r="U91" s="1640">
        <f t="shared" si="71"/>
        <v>4809.864084480002</v>
      </c>
      <c r="V91" s="1640">
        <f t="shared" si="72"/>
        <v>4809.864084480002</v>
      </c>
      <c r="W91" s="1640">
        <f t="shared" si="73"/>
        <v>4809.864084480002</v>
      </c>
      <c r="X91" s="1640">
        <f t="shared" si="74"/>
        <v>19239.456337920008</v>
      </c>
      <c r="Y91" s="1372" t="str">
        <f t="shared" ref="Y91:Y111" si="94">J91</f>
        <v>CI-FSE-SPRY-V04-180101</v>
      </c>
      <c r="Z91" s="1372" t="str">
        <f t="shared" si="57"/>
        <v>Nicor Gas PY7-PY10 Adjustable Goals Template_2017-06-30, Tab 4.2.11</v>
      </c>
      <c r="AA91" s="1840">
        <f t="shared" si="58"/>
        <v>110.52077400000005</v>
      </c>
      <c r="AB91" s="2028"/>
      <c r="AC91" s="1840">
        <f t="shared" si="75"/>
        <v>4809.864084480002</v>
      </c>
      <c r="AD91" s="1840">
        <f t="shared" si="76"/>
        <v>0</v>
      </c>
      <c r="AE91" s="1372" t="s">
        <v>2783</v>
      </c>
      <c r="AF91" s="1372" t="s">
        <v>3383</v>
      </c>
      <c r="AG91" s="1639">
        <v>110.52077400000005</v>
      </c>
      <c r="AH91" s="1372" t="s">
        <v>3445</v>
      </c>
      <c r="AI91" s="1640">
        <f t="shared" si="77"/>
        <v>4809.864084480002</v>
      </c>
      <c r="AJ91" s="1638">
        <f t="shared" si="78"/>
        <v>0</v>
      </c>
      <c r="AK91" s="1372" t="s">
        <v>2783</v>
      </c>
      <c r="AL91" s="1372" t="s">
        <v>3383</v>
      </c>
      <c r="AM91" s="1639">
        <v>110.52077400000005</v>
      </c>
      <c r="AN91" s="1372" t="str">
        <f t="shared" ref="AN91:AN118" si="95">$AH91</f>
        <v>No change</v>
      </c>
      <c r="AO91" s="1640">
        <f t="shared" si="79"/>
        <v>4809.864084480002</v>
      </c>
      <c r="AP91" s="1638">
        <f t="shared" si="80"/>
        <v>0</v>
      </c>
      <c r="AQ91" s="1372" t="s">
        <v>2783</v>
      </c>
      <c r="AR91" s="1372" t="s">
        <v>3383</v>
      </c>
      <c r="AS91" s="1639">
        <v>110.52077400000005</v>
      </c>
      <c r="AT91" s="1372" t="str">
        <f t="shared" ref="AT91:AT103" si="96">$AH91</f>
        <v>No change</v>
      </c>
      <c r="AU91" s="1640">
        <f t="shared" si="81"/>
        <v>4809.864084480002</v>
      </c>
      <c r="AV91" s="1638">
        <f t="shared" si="82"/>
        <v>0</v>
      </c>
      <c r="AW91" s="2044">
        <f t="shared" si="83"/>
        <v>4809.864084480002</v>
      </c>
      <c r="AX91" s="2044">
        <f t="shared" si="84"/>
        <v>4809.864084480002</v>
      </c>
      <c r="AY91" s="2044">
        <f t="shared" si="85"/>
        <v>4809.864084480002</v>
      </c>
      <c r="AZ91" s="2044">
        <f t="shared" si="86"/>
        <v>4809.864084480002</v>
      </c>
      <c r="BA91" s="2045">
        <f t="shared" si="87"/>
        <v>19239.456337920008</v>
      </c>
      <c r="BB91" s="2045" t="str">
        <f>+'[9]4.2.11'!$A$1</f>
        <v>4.2.11</v>
      </c>
      <c r="BC91" s="2045" t="str">
        <f>+'[9]4.2.11'!$A$1</f>
        <v>4.2.11</v>
      </c>
      <c r="BD91" s="2045">
        <v>0</v>
      </c>
      <c r="BE91" s="2051">
        <v>5</v>
      </c>
      <c r="BF91" s="2051">
        <v>5</v>
      </c>
      <c r="BG91" s="2051">
        <v>5</v>
      </c>
      <c r="BH91" s="2051">
        <v>5</v>
      </c>
      <c r="BI91" s="2045">
        <f t="shared" si="63"/>
        <v>24049.320422400011</v>
      </c>
      <c r="BJ91" s="2045">
        <f t="shared" si="64"/>
        <v>24049.320422400011</v>
      </c>
      <c r="BK91" s="2045">
        <f t="shared" si="65"/>
        <v>24049.320422400011</v>
      </c>
      <c r="BL91" s="2045">
        <f t="shared" si="66"/>
        <v>24049.320422400011</v>
      </c>
      <c r="BM91" s="2045">
        <f t="shared" si="88"/>
        <v>96197.281689600044</v>
      </c>
      <c r="BN91" s="2047">
        <v>5</v>
      </c>
      <c r="BO91" s="2047">
        <v>5</v>
      </c>
      <c r="BP91" s="2047">
        <v>5</v>
      </c>
      <c r="BQ91" s="2047">
        <v>5</v>
      </c>
      <c r="BR91" s="2048">
        <f t="shared" si="89"/>
        <v>24049.320422400011</v>
      </c>
      <c r="BS91" s="2048">
        <f t="shared" si="90"/>
        <v>24049.320422400011</v>
      </c>
      <c r="BT91" s="2048">
        <f t="shared" si="91"/>
        <v>24049.320422400011</v>
      </c>
      <c r="BU91" s="2048">
        <f t="shared" si="92"/>
        <v>24049.320422400011</v>
      </c>
      <c r="BV91" s="1840">
        <f t="shared" si="93"/>
        <v>96197.281689600044</v>
      </c>
      <c r="BW91" s="2064" t="e">
        <f>INT(#REF!)=INT(BA91)</f>
        <v>#REF!</v>
      </c>
      <c r="BX91" s="2064">
        <v>84</v>
      </c>
      <c r="BY91" s="2064" t="s">
        <v>512</v>
      </c>
    </row>
    <row r="92" spans="1:77" s="1976" customFormat="1" ht="62" x14ac:dyDescent="0.35">
      <c r="A92" s="1372" t="s">
        <v>1494</v>
      </c>
      <c r="B92" s="1372" t="s">
        <v>223</v>
      </c>
      <c r="C92" s="1637">
        <v>0</v>
      </c>
      <c r="D92" s="2053" t="str">
        <f>+'[9]4.2.11'!$A$1</f>
        <v>4.2.11</v>
      </c>
      <c r="E92" s="1372" t="s">
        <v>163</v>
      </c>
      <c r="F92" s="1638">
        <v>12</v>
      </c>
      <c r="G92" s="1638">
        <v>12</v>
      </c>
      <c r="H92" s="1638">
        <v>12</v>
      </c>
      <c r="I92" s="1638">
        <v>12</v>
      </c>
      <c r="J92" s="1372" t="str">
        <f>'[9]4.2.11'!$B$17</f>
        <v>CI-FSE-SPRY-V04-180101</v>
      </c>
      <c r="K92" s="1372" t="str">
        <f t="shared" si="69"/>
        <v>Nicor Gas PY7-PY10 Adjustable Goals Template_2017-06-30, Tab 4.2.11</v>
      </c>
      <c r="L92" s="1639">
        <v>114.61413599999996</v>
      </c>
      <c r="M92" s="1639">
        <v>114.61413599999996</v>
      </c>
      <c r="N92" s="1639">
        <v>114.61413599999996</v>
      </c>
      <c r="O92" s="1639">
        <v>114.61413599999996</v>
      </c>
      <c r="P92" s="1637">
        <v>0.68</v>
      </c>
      <c r="Q92" s="1637">
        <v>0.68</v>
      </c>
      <c r="R92" s="1637">
        <v>0.68</v>
      </c>
      <c r="S92" s="1637">
        <v>0.68</v>
      </c>
      <c r="T92" s="1640">
        <f t="shared" si="70"/>
        <v>935.2513497599997</v>
      </c>
      <c r="U92" s="1640">
        <f t="shared" si="71"/>
        <v>935.2513497599997</v>
      </c>
      <c r="V92" s="1640">
        <f t="shared" si="72"/>
        <v>935.2513497599997</v>
      </c>
      <c r="W92" s="1640">
        <f t="shared" si="73"/>
        <v>935.2513497599997</v>
      </c>
      <c r="X92" s="1640">
        <f t="shared" si="74"/>
        <v>3741.0053990399988</v>
      </c>
      <c r="Y92" s="1372" t="str">
        <f t="shared" si="94"/>
        <v>CI-FSE-SPRY-V04-180101</v>
      </c>
      <c r="Z92" s="1372" t="str">
        <f t="shared" si="57"/>
        <v>Nicor Gas PY7-PY10 Adjustable Goals Template_2017-06-30, Tab 4.2.11</v>
      </c>
      <c r="AA92" s="1840">
        <f t="shared" si="58"/>
        <v>114.61413599999996</v>
      </c>
      <c r="AB92" s="2028"/>
      <c r="AC92" s="1840">
        <f t="shared" si="75"/>
        <v>935.2513497599997</v>
      </c>
      <c r="AD92" s="1840">
        <f t="shared" si="76"/>
        <v>0</v>
      </c>
      <c r="AE92" s="1372" t="s">
        <v>2783</v>
      </c>
      <c r="AF92" s="1372" t="s">
        <v>3383</v>
      </c>
      <c r="AG92" s="1639">
        <v>114.61413599999996</v>
      </c>
      <c r="AH92" s="1372" t="s">
        <v>3445</v>
      </c>
      <c r="AI92" s="1640">
        <f t="shared" si="77"/>
        <v>935.2513497599997</v>
      </c>
      <c r="AJ92" s="1638">
        <f t="shared" si="78"/>
        <v>0</v>
      </c>
      <c r="AK92" s="1372" t="s">
        <v>2783</v>
      </c>
      <c r="AL92" s="1372" t="s">
        <v>3383</v>
      </c>
      <c r="AM92" s="1639">
        <v>114.61413599999996</v>
      </c>
      <c r="AN92" s="1372" t="str">
        <f t="shared" si="95"/>
        <v>No change</v>
      </c>
      <c r="AO92" s="1640">
        <f t="shared" si="79"/>
        <v>935.2513497599997</v>
      </c>
      <c r="AP92" s="1638">
        <f t="shared" si="80"/>
        <v>0</v>
      </c>
      <c r="AQ92" s="1372" t="s">
        <v>2783</v>
      </c>
      <c r="AR92" s="1372" t="s">
        <v>3383</v>
      </c>
      <c r="AS92" s="1639">
        <v>114.61413599999996</v>
      </c>
      <c r="AT92" s="1372" t="str">
        <f t="shared" si="96"/>
        <v>No change</v>
      </c>
      <c r="AU92" s="1640">
        <f t="shared" si="81"/>
        <v>935.2513497599997</v>
      </c>
      <c r="AV92" s="1638">
        <f t="shared" si="82"/>
        <v>0</v>
      </c>
      <c r="AW92" s="2044">
        <f t="shared" si="83"/>
        <v>935.2513497599997</v>
      </c>
      <c r="AX92" s="2044">
        <f t="shared" si="84"/>
        <v>935.2513497599997</v>
      </c>
      <c r="AY92" s="2044">
        <f t="shared" si="85"/>
        <v>935.2513497599997</v>
      </c>
      <c r="AZ92" s="2044">
        <f t="shared" si="86"/>
        <v>935.2513497599997</v>
      </c>
      <c r="BA92" s="2045">
        <f t="shared" si="87"/>
        <v>3741.0053990399988</v>
      </c>
      <c r="BB92" s="2045" t="str">
        <f>+'[9]4.2.11'!$A$1</f>
        <v>4.2.11</v>
      </c>
      <c r="BC92" s="2045" t="str">
        <f>+'[9]4.2.11'!$A$1</f>
        <v>4.2.11</v>
      </c>
      <c r="BD92" s="2045">
        <v>0</v>
      </c>
      <c r="BE92" s="2051">
        <v>5</v>
      </c>
      <c r="BF92" s="2051">
        <v>5</v>
      </c>
      <c r="BG92" s="2051">
        <v>5</v>
      </c>
      <c r="BH92" s="2051">
        <v>5</v>
      </c>
      <c r="BI92" s="2045">
        <f t="shared" si="63"/>
        <v>4676.2567487999986</v>
      </c>
      <c r="BJ92" s="2045">
        <f t="shared" si="64"/>
        <v>4676.2567487999986</v>
      </c>
      <c r="BK92" s="2045">
        <f t="shared" si="65"/>
        <v>4676.2567487999986</v>
      </c>
      <c r="BL92" s="2045">
        <f t="shared" si="66"/>
        <v>4676.2567487999986</v>
      </c>
      <c r="BM92" s="2045">
        <f t="shared" si="88"/>
        <v>18705.026995199994</v>
      </c>
      <c r="BN92" s="2047">
        <v>5</v>
      </c>
      <c r="BO92" s="2047">
        <v>5</v>
      </c>
      <c r="BP92" s="2047">
        <v>5</v>
      </c>
      <c r="BQ92" s="2047">
        <v>5</v>
      </c>
      <c r="BR92" s="2048">
        <f t="shared" si="89"/>
        <v>4676.2567487999986</v>
      </c>
      <c r="BS92" s="2048">
        <f t="shared" si="90"/>
        <v>4676.2567487999986</v>
      </c>
      <c r="BT92" s="2048">
        <f t="shared" si="91"/>
        <v>4676.2567487999986</v>
      </c>
      <c r="BU92" s="2048">
        <f t="shared" si="92"/>
        <v>4676.2567487999986</v>
      </c>
      <c r="BV92" s="1840">
        <f t="shared" si="93"/>
        <v>18705.026995199994</v>
      </c>
      <c r="BW92" s="2064" t="e">
        <f>INT(#REF!)=INT(BA92)</f>
        <v>#REF!</v>
      </c>
      <c r="BX92" s="2064">
        <v>85</v>
      </c>
      <c r="BY92" s="2064" t="s">
        <v>512</v>
      </c>
    </row>
    <row r="93" spans="1:77" s="1976" customFormat="1" ht="62" x14ac:dyDescent="0.35">
      <c r="A93" s="1372" t="s">
        <v>1494</v>
      </c>
      <c r="B93" s="1372" t="s">
        <v>224</v>
      </c>
      <c r="C93" s="1637">
        <v>0</v>
      </c>
      <c r="D93" s="2053" t="str">
        <f>+'[9]4.2.11'!$A$1</f>
        <v>4.2.11</v>
      </c>
      <c r="E93" s="1372" t="s">
        <v>163</v>
      </c>
      <c r="F93" s="1638">
        <v>127</v>
      </c>
      <c r="G93" s="1638">
        <v>127</v>
      </c>
      <c r="H93" s="1638">
        <v>127</v>
      </c>
      <c r="I93" s="1638">
        <v>127</v>
      </c>
      <c r="J93" s="1372" t="str">
        <f>'[9]4.2.11'!$B$17</f>
        <v>CI-FSE-SPRY-V04-180101</v>
      </c>
      <c r="K93" s="1372" t="str">
        <f t="shared" si="69"/>
        <v>Nicor Gas PY7-PY10 Adjustable Goals Template_2017-06-30, Tab 4.2.11</v>
      </c>
      <c r="L93" s="1639">
        <v>171.92120399999996</v>
      </c>
      <c r="M93" s="1639">
        <v>171.92120399999996</v>
      </c>
      <c r="N93" s="1639">
        <v>171.92120399999996</v>
      </c>
      <c r="O93" s="1639">
        <v>171.92120399999996</v>
      </c>
      <c r="P93" s="1637">
        <v>0.68</v>
      </c>
      <c r="Q93" s="1637">
        <v>0.68</v>
      </c>
      <c r="R93" s="1637">
        <v>0.68</v>
      </c>
      <c r="S93" s="1637">
        <v>0.68</v>
      </c>
      <c r="T93" s="1640">
        <f t="shared" si="70"/>
        <v>14847.115177439999</v>
      </c>
      <c r="U93" s="1640">
        <f t="shared" si="71"/>
        <v>14847.115177439999</v>
      </c>
      <c r="V93" s="1640">
        <f t="shared" si="72"/>
        <v>14847.115177439999</v>
      </c>
      <c r="W93" s="1640">
        <f t="shared" si="73"/>
        <v>14847.115177439999</v>
      </c>
      <c r="X93" s="1640">
        <f t="shared" si="74"/>
        <v>59388.460709759995</v>
      </c>
      <c r="Y93" s="1372" t="str">
        <f t="shared" si="94"/>
        <v>CI-FSE-SPRY-V04-180101</v>
      </c>
      <c r="Z93" s="1372" t="str">
        <f t="shared" ref="Z93:Z156" si="97">K93</f>
        <v>Nicor Gas PY7-PY10 Adjustable Goals Template_2017-06-30, Tab 4.2.11</v>
      </c>
      <c r="AA93" s="1840">
        <f t="shared" ref="AA93:AA156" si="98">L93</f>
        <v>171.92120399999996</v>
      </c>
      <c r="AB93" s="2028"/>
      <c r="AC93" s="1840">
        <f t="shared" si="75"/>
        <v>14847.115177439999</v>
      </c>
      <c r="AD93" s="1840">
        <f t="shared" si="76"/>
        <v>0</v>
      </c>
      <c r="AE93" s="1372" t="s">
        <v>2783</v>
      </c>
      <c r="AF93" s="1372" t="s">
        <v>3383</v>
      </c>
      <c r="AG93" s="1639">
        <v>171.92120399999996</v>
      </c>
      <c r="AH93" s="1372" t="s">
        <v>3445</v>
      </c>
      <c r="AI93" s="1640">
        <f t="shared" si="77"/>
        <v>14847.115177439999</v>
      </c>
      <c r="AJ93" s="1638">
        <f t="shared" si="78"/>
        <v>0</v>
      </c>
      <c r="AK93" s="1372" t="s">
        <v>2783</v>
      </c>
      <c r="AL93" s="1372" t="s">
        <v>3383</v>
      </c>
      <c r="AM93" s="1639">
        <v>171.92120399999996</v>
      </c>
      <c r="AN93" s="1372" t="str">
        <f t="shared" si="95"/>
        <v>No change</v>
      </c>
      <c r="AO93" s="1640">
        <f t="shared" si="79"/>
        <v>14847.115177439999</v>
      </c>
      <c r="AP93" s="1638">
        <f t="shared" si="80"/>
        <v>0</v>
      </c>
      <c r="AQ93" s="1372" t="s">
        <v>2783</v>
      </c>
      <c r="AR93" s="1372" t="s">
        <v>3383</v>
      </c>
      <c r="AS93" s="1639">
        <v>171.92120399999996</v>
      </c>
      <c r="AT93" s="1372" t="str">
        <f t="shared" si="96"/>
        <v>No change</v>
      </c>
      <c r="AU93" s="1640">
        <f t="shared" si="81"/>
        <v>14847.115177439999</v>
      </c>
      <c r="AV93" s="1638">
        <f t="shared" si="82"/>
        <v>0</v>
      </c>
      <c r="AW93" s="2044">
        <f t="shared" si="83"/>
        <v>14847.115177439999</v>
      </c>
      <c r="AX93" s="2044">
        <f t="shared" si="84"/>
        <v>14847.115177439999</v>
      </c>
      <c r="AY93" s="2044">
        <f t="shared" si="85"/>
        <v>14847.115177439999</v>
      </c>
      <c r="AZ93" s="2044">
        <f t="shared" si="86"/>
        <v>14847.115177439999</v>
      </c>
      <c r="BA93" s="2045">
        <f t="shared" si="87"/>
        <v>59388.460709759995</v>
      </c>
      <c r="BB93" s="2045" t="str">
        <f>+'[9]4.2.11'!$A$1</f>
        <v>4.2.11</v>
      </c>
      <c r="BC93" s="2045" t="str">
        <f>+'[9]4.2.11'!$A$1</f>
        <v>4.2.11</v>
      </c>
      <c r="BD93" s="2045">
        <v>0</v>
      </c>
      <c r="BE93" s="2051">
        <v>5</v>
      </c>
      <c r="BF93" s="2051">
        <v>5</v>
      </c>
      <c r="BG93" s="2051">
        <v>5</v>
      </c>
      <c r="BH93" s="2051">
        <v>5</v>
      </c>
      <c r="BI93" s="2045">
        <f t="shared" si="63"/>
        <v>74235.575887199986</v>
      </c>
      <c r="BJ93" s="2045">
        <f t="shared" si="64"/>
        <v>74235.575887199986</v>
      </c>
      <c r="BK93" s="2045">
        <f t="shared" si="65"/>
        <v>74235.575887199986</v>
      </c>
      <c r="BL93" s="2045">
        <f t="shared" si="66"/>
        <v>74235.575887199986</v>
      </c>
      <c r="BM93" s="2045">
        <f t="shared" si="88"/>
        <v>296942.30354879994</v>
      </c>
      <c r="BN93" s="2047">
        <v>5</v>
      </c>
      <c r="BO93" s="2047">
        <v>5</v>
      </c>
      <c r="BP93" s="2047">
        <v>5</v>
      </c>
      <c r="BQ93" s="2047">
        <v>5</v>
      </c>
      <c r="BR93" s="2048">
        <f t="shared" si="89"/>
        <v>74235.575887199986</v>
      </c>
      <c r="BS93" s="2048">
        <f t="shared" si="90"/>
        <v>74235.575887199986</v>
      </c>
      <c r="BT93" s="2048">
        <f t="shared" si="91"/>
        <v>74235.575887199986</v>
      </c>
      <c r="BU93" s="2048">
        <f t="shared" si="92"/>
        <v>74235.575887199986</v>
      </c>
      <c r="BV93" s="1840">
        <f t="shared" si="93"/>
        <v>296942.30354879994</v>
      </c>
      <c r="BW93" s="2064" t="e">
        <f>INT(#REF!)=INT(BA93)</f>
        <v>#REF!</v>
      </c>
      <c r="BX93" s="2064">
        <v>86</v>
      </c>
      <c r="BY93" s="2064" t="s">
        <v>512</v>
      </c>
    </row>
    <row r="94" spans="1:77" s="1976" customFormat="1" ht="62" x14ac:dyDescent="0.35">
      <c r="A94" s="1372" t="s">
        <v>1494</v>
      </c>
      <c r="B94" s="1372" t="s">
        <v>227</v>
      </c>
      <c r="C94" s="1637">
        <v>0</v>
      </c>
      <c r="D94" s="2053" t="str">
        <f>+'[9]4.3.2'!$A$1</f>
        <v>4.3.2</v>
      </c>
      <c r="E94" s="1372" t="s">
        <v>201</v>
      </c>
      <c r="F94" s="1638">
        <v>1040</v>
      </c>
      <c r="G94" s="1638">
        <v>1040</v>
      </c>
      <c r="H94" s="1638">
        <v>1040</v>
      </c>
      <c r="I94" s="1638">
        <v>1040</v>
      </c>
      <c r="J94" s="1372" t="str">
        <f>+'[9]4.3.2'!$B$15</f>
        <v>CI-HWE-LFFA-V07-180101</v>
      </c>
      <c r="K94" s="1372" t="str">
        <f t="shared" si="69"/>
        <v>Nicor Gas PY7-PY10 Adjustable Goals Template_2017-06-30, Tab 4.3.2</v>
      </c>
      <c r="L94" s="1639">
        <v>6.5015389208633092</v>
      </c>
      <c r="M94" s="1639">
        <v>6.5015389208633092</v>
      </c>
      <c r="N94" s="1639">
        <v>6.5015389208633092</v>
      </c>
      <c r="O94" s="1639">
        <v>6.5015389208633092</v>
      </c>
      <c r="P94" s="1637">
        <v>0.68</v>
      </c>
      <c r="Q94" s="1637">
        <v>0.68</v>
      </c>
      <c r="R94" s="1637">
        <v>0.68</v>
      </c>
      <c r="S94" s="1637">
        <v>0.68</v>
      </c>
      <c r="T94" s="1640">
        <f t="shared" si="70"/>
        <v>4597.8883248345328</v>
      </c>
      <c r="U94" s="1640">
        <f t="shared" si="71"/>
        <v>4597.8883248345328</v>
      </c>
      <c r="V94" s="1640">
        <f t="shared" si="72"/>
        <v>4597.8883248345328</v>
      </c>
      <c r="W94" s="1640">
        <f t="shared" si="73"/>
        <v>4597.8883248345328</v>
      </c>
      <c r="X94" s="1640">
        <f t="shared" si="74"/>
        <v>18391.553299338131</v>
      </c>
      <c r="Y94" s="1372" t="str">
        <f t="shared" si="94"/>
        <v>CI-HWE-LFFA-V07-180101</v>
      </c>
      <c r="Z94" s="1372" t="str">
        <f t="shared" si="97"/>
        <v>Nicor Gas PY7-PY10 Adjustable Goals Template_2017-06-30, Tab 4.3.2</v>
      </c>
      <c r="AA94" s="2024">
        <f t="shared" si="98"/>
        <v>6.5015389208633092</v>
      </c>
      <c r="AB94" s="2028"/>
      <c r="AC94" s="1840">
        <f t="shared" si="75"/>
        <v>4597.8883248345328</v>
      </c>
      <c r="AD94" s="1840">
        <f t="shared" si="76"/>
        <v>0</v>
      </c>
      <c r="AE94" s="1372" t="s">
        <v>2791</v>
      </c>
      <c r="AF94" s="1372" t="s">
        <v>3384</v>
      </c>
      <c r="AG94" s="1639">
        <v>6.5015389208633092</v>
      </c>
      <c r="AH94" s="1372" t="s">
        <v>3445</v>
      </c>
      <c r="AI94" s="1640">
        <f t="shared" si="77"/>
        <v>4597.8883248345328</v>
      </c>
      <c r="AJ94" s="1638">
        <f t="shared" si="78"/>
        <v>0</v>
      </c>
      <c r="AK94" s="1372" t="s">
        <v>2791</v>
      </c>
      <c r="AL94" s="1372" t="s">
        <v>3384</v>
      </c>
      <c r="AM94" s="1639">
        <v>6.5015389208633092</v>
      </c>
      <c r="AN94" s="1372" t="str">
        <f t="shared" si="95"/>
        <v>No change</v>
      </c>
      <c r="AO94" s="1640">
        <f t="shared" si="79"/>
        <v>4597.8883248345328</v>
      </c>
      <c r="AP94" s="1638">
        <f t="shared" si="80"/>
        <v>0</v>
      </c>
      <c r="AQ94" s="1372" t="s">
        <v>2791</v>
      </c>
      <c r="AR94" s="1372" t="s">
        <v>3384</v>
      </c>
      <c r="AS94" s="1639">
        <v>6.5015389208633092</v>
      </c>
      <c r="AT94" s="1372" t="str">
        <f t="shared" si="96"/>
        <v>No change</v>
      </c>
      <c r="AU94" s="1640">
        <f t="shared" si="81"/>
        <v>4597.8883248345328</v>
      </c>
      <c r="AV94" s="1638">
        <f t="shared" si="82"/>
        <v>0</v>
      </c>
      <c r="AW94" s="2044">
        <f t="shared" si="83"/>
        <v>4597.8883248345328</v>
      </c>
      <c r="AX94" s="2044">
        <f t="shared" si="84"/>
        <v>4597.8883248345328</v>
      </c>
      <c r="AY94" s="2044">
        <f t="shared" si="85"/>
        <v>4597.8883248345328</v>
      </c>
      <c r="AZ94" s="2044">
        <f t="shared" si="86"/>
        <v>4597.8883248345328</v>
      </c>
      <c r="BA94" s="2045">
        <f t="shared" si="87"/>
        <v>18391.553299338131</v>
      </c>
      <c r="BB94" s="2045" t="str">
        <f>+'[9]4.3.2'!$A$1</f>
        <v>4.3.2</v>
      </c>
      <c r="BC94" s="2045" t="str">
        <f>+'[9]4.3.2'!$A$1</f>
        <v>4.3.2</v>
      </c>
      <c r="BD94" s="2121">
        <v>1</v>
      </c>
      <c r="BE94" s="2051">
        <v>9</v>
      </c>
      <c r="BF94" s="2051">
        <v>9</v>
      </c>
      <c r="BG94" s="2051">
        <v>9</v>
      </c>
      <c r="BH94" s="2051">
        <v>9</v>
      </c>
      <c r="BI94" s="2045">
        <f t="shared" si="63"/>
        <v>41380.994923510792</v>
      </c>
      <c r="BJ94" s="2045">
        <f t="shared" si="64"/>
        <v>41380.994923510792</v>
      </c>
      <c r="BK94" s="2045">
        <f t="shared" si="65"/>
        <v>41380.994923510792</v>
      </c>
      <c r="BL94" s="2045">
        <f t="shared" si="66"/>
        <v>41380.994923510792</v>
      </c>
      <c r="BM94" s="2045">
        <f t="shared" si="88"/>
        <v>165523.97969404317</v>
      </c>
      <c r="BN94" s="2047">
        <v>9</v>
      </c>
      <c r="BO94" s="2050">
        <v>10</v>
      </c>
      <c r="BP94" s="2050">
        <v>10</v>
      </c>
      <c r="BQ94" s="2050">
        <v>10</v>
      </c>
      <c r="BR94" s="2048">
        <f t="shared" si="89"/>
        <v>41380.994923510792</v>
      </c>
      <c r="BS94" s="2048">
        <f t="shared" si="90"/>
        <v>45978.88324834533</v>
      </c>
      <c r="BT94" s="2048">
        <f t="shared" si="91"/>
        <v>45978.88324834533</v>
      </c>
      <c r="BU94" s="2048">
        <f t="shared" si="92"/>
        <v>45978.88324834533</v>
      </c>
      <c r="BV94" s="1840">
        <f t="shared" si="93"/>
        <v>179317.6446685468</v>
      </c>
      <c r="BW94" s="2064" t="e">
        <f>INT(#REF!)=INT(BA94)</f>
        <v>#REF!</v>
      </c>
      <c r="BX94" s="2064">
        <v>87</v>
      </c>
      <c r="BY94" s="2064" t="s">
        <v>512</v>
      </c>
    </row>
    <row r="95" spans="1:77" s="1976" customFormat="1" ht="62" x14ac:dyDescent="0.35">
      <c r="A95" s="1372" t="s">
        <v>1494</v>
      </c>
      <c r="B95" s="1372" t="s">
        <v>226</v>
      </c>
      <c r="C95" s="1637">
        <v>0</v>
      </c>
      <c r="D95" s="2053" t="str">
        <f>+'[9]4.3.2'!$A$1</f>
        <v>4.3.2</v>
      </c>
      <c r="E95" s="1372" t="s">
        <v>201</v>
      </c>
      <c r="F95" s="1638">
        <v>7240</v>
      </c>
      <c r="G95" s="1638">
        <v>7240</v>
      </c>
      <c r="H95" s="1638">
        <v>7240</v>
      </c>
      <c r="I95" s="1638">
        <v>7240</v>
      </c>
      <c r="J95" s="1372" t="str">
        <f>+'[9]4.3.2'!$B$15</f>
        <v>CI-HWE-LFFA-V07-180101</v>
      </c>
      <c r="K95" s="1372" t="str">
        <f t="shared" si="69"/>
        <v>Nicor Gas PY7-PY10 Adjustable Goals Template_2017-06-30, Tab 4.3.2</v>
      </c>
      <c r="L95" s="1639">
        <v>5.3328738669064748</v>
      </c>
      <c r="M95" s="1639">
        <v>5.3328738669064748</v>
      </c>
      <c r="N95" s="1639">
        <v>5.3328738669064748</v>
      </c>
      <c r="O95" s="1639">
        <v>5.3328738669064748</v>
      </c>
      <c r="P95" s="1637">
        <v>0.68</v>
      </c>
      <c r="Q95" s="1637">
        <v>0.68</v>
      </c>
      <c r="R95" s="1637">
        <v>0.68</v>
      </c>
      <c r="S95" s="1637">
        <v>0.68</v>
      </c>
      <c r="T95" s="1640">
        <f t="shared" si="70"/>
        <v>26254.804621553958</v>
      </c>
      <c r="U95" s="1640">
        <f t="shared" si="71"/>
        <v>26254.804621553958</v>
      </c>
      <c r="V95" s="1640">
        <f t="shared" si="72"/>
        <v>26254.804621553958</v>
      </c>
      <c r="W95" s="1640">
        <f t="shared" si="73"/>
        <v>26254.804621553958</v>
      </c>
      <c r="X95" s="1640">
        <f t="shared" si="74"/>
        <v>105019.21848621583</v>
      </c>
      <c r="Y95" s="1372" t="str">
        <f t="shared" si="94"/>
        <v>CI-HWE-LFFA-V07-180101</v>
      </c>
      <c r="Z95" s="1372" t="str">
        <f t="shared" si="97"/>
        <v>Nicor Gas PY7-PY10 Adjustable Goals Template_2017-06-30, Tab 4.3.2</v>
      </c>
      <c r="AA95" s="2024">
        <f t="shared" si="98"/>
        <v>5.3328738669064748</v>
      </c>
      <c r="AB95" s="2028"/>
      <c r="AC95" s="1840">
        <f t="shared" si="75"/>
        <v>26254.804621553958</v>
      </c>
      <c r="AD95" s="1840">
        <f t="shared" si="76"/>
        <v>0</v>
      </c>
      <c r="AE95" s="1372" t="s">
        <v>2791</v>
      </c>
      <c r="AF95" s="1372" t="s">
        <v>3384</v>
      </c>
      <c r="AG95" s="1639">
        <v>5.3328738669064748</v>
      </c>
      <c r="AH95" s="1372" t="s">
        <v>3445</v>
      </c>
      <c r="AI95" s="1640">
        <f t="shared" si="77"/>
        <v>26254.804621553958</v>
      </c>
      <c r="AJ95" s="1638">
        <f t="shared" si="78"/>
        <v>0</v>
      </c>
      <c r="AK95" s="1372" t="s">
        <v>2791</v>
      </c>
      <c r="AL95" s="1372" t="s">
        <v>3384</v>
      </c>
      <c r="AM95" s="1639">
        <v>5.3328738669064748</v>
      </c>
      <c r="AN95" s="1372" t="str">
        <f t="shared" si="95"/>
        <v>No change</v>
      </c>
      <c r="AO95" s="1640">
        <f t="shared" si="79"/>
        <v>26254.804621553958</v>
      </c>
      <c r="AP95" s="1638">
        <f t="shared" si="80"/>
        <v>0</v>
      </c>
      <c r="AQ95" s="1372" t="s">
        <v>2791</v>
      </c>
      <c r="AR95" s="1372" t="s">
        <v>3384</v>
      </c>
      <c r="AS95" s="1639">
        <v>5.3328738669064748</v>
      </c>
      <c r="AT95" s="1372" t="str">
        <f t="shared" si="96"/>
        <v>No change</v>
      </c>
      <c r="AU95" s="1640">
        <f t="shared" si="81"/>
        <v>26254.804621553958</v>
      </c>
      <c r="AV95" s="1638">
        <f t="shared" si="82"/>
        <v>0</v>
      </c>
      <c r="AW95" s="2044">
        <f t="shared" si="83"/>
        <v>26254.804621553958</v>
      </c>
      <c r="AX95" s="2044">
        <f t="shared" si="84"/>
        <v>26254.804621553958</v>
      </c>
      <c r="AY95" s="2044">
        <f t="shared" si="85"/>
        <v>26254.804621553958</v>
      </c>
      <c r="AZ95" s="2044">
        <f t="shared" si="86"/>
        <v>26254.804621553958</v>
      </c>
      <c r="BA95" s="2045">
        <f t="shared" si="87"/>
        <v>105019.21848621583</v>
      </c>
      <c r="BB95" s="2045" t="str">
        <f>+'[9]4.3.2'!$A$1</f>
        <v>4.3.2</v>
      </c>
      <c r="BC95" s="2045" t="str">
        <f>+'[9]4.3.2'!$A$1</f>
        <v>4.3.2</v>
      </c>
      <c r="BD95" s="2121">
        <v>1</v>
      </c>
      <c r="BE95" s="2051">
        <v>9</v>
      </c>
      <c r="BF95" s="2051">
        <v>9</v>
      </c>
      <c r="BG95" s="2051">
        <v>9</v>
      </c>
      <c r="BH95" s="2051">
        <v>9</v>
      </c>
      <c r="BI95" s="2045">
        <f t="shared" si="63"/>
        <v>236293.24159398564</v>
      </c>
      <c r="BJ95" s="2045">
        <f t="shared" si="64"/>
        <v>236293.24159398564</v>
      </c>
      <c r="BK95" s="2045">
        <f t="shared" si="65"/>
        <v>236293.24159398564</v>
      </c>
      <c r="BL95" s="2045">
        <f t="shared" si="66"/>
        <v>236293.24159398564</v>
      </c>
      <c r="BM95" s="2045">
        <f t="shared" si="88"/>
        <v>945172.96637594257</v>
      </c>
      <c r="BN95" s="2047">
        <v>9</v>
      </c>
      <c r="BO95" s="2050">
        <v>10</v>
      </c>
      <c r="BP95" s="2050">
        <v>10</v>
      </c>
      <c r="BQ95" s="2050">
        <v>10</v>
      </c>
      <c r="BR95" s="2048">
        <f t="shared" si="89"/>
        <v>236293.24159398564</v>
      </c>
      <c r="BS95" s="2048">
        <f t="shared" si="90"/>
        <v>262548.04621553962</v>
      </c>
      <c r="BT95" s="2048">
        <f t="shared" si="91"/>
        <v>262548.04621553962</v>
      </c>
      <c r="BU95" s="2048">
        <f t="shared" si="92"/>
        <v>262548.04621553962</v>
      </c>
      <c r="BV95" s="1840">
        <f t="shared" si="93"/>
        <v>1023937.3802406045</v>
      </c>
      <c r="BW95" s="2064" t="e">
        <f>INT(#REF!)=INT(BA95)</f>
        <v>#REF!</v>
      </c>
      <c r="BX95" s="2064">
        <v>88</v>
      </c>
      <c r="BY95" s="2064" t="s">
        <v>512</v>
      </c>
    </row>
    <row r="96" spans="1:77" s="1976" customFormat="1" ht="62" x14ac:dyDescent="0.35">
      <c r="A96" s="1372" t="s">
        <v>1494</v>
      </c>
      <c r="B96" s="1372" t="s">
        <v>229</v>
      </c>
      <c r="C96" s="1637">
        <v>0</v>
      </c>
      <c r="D96" s="2053" t="str">
        <f>+'[9]4.3.3'!$A$1</f>
        <v>4.3.3</v>
      </c>
      <c r="E96" s="1372" t="s">
        <v>201</v>
      </c>
      <c r="F96" s="1638">
        <v>1625</v>
      </c>
      <c r="G96" s="1638">
        <v>1625</v>
      </c>
      <c r="H96" s="1638">
        <v>1625</v>
      </c>
      <c r="I96" s="1638">
        <v>1625</v>
      </c>
      <c r="J96" s="1372" t="str">
        <f>+'[9]4.3.1'!$B$18</f>
        <v>CI-HWE-STWH-V03-180101</v>
      </c>
      <c r="K96" s="1372" t="str">
        <f t="shared" si="69"/>
        <v>Nicor Gas PY7-PY10 Adjustable Goals Template_2017-06-30, Tab 4.3.3</v>
      </c>
      <c r="L96" s="1639">
        <v>21.634983278999997</v>
      </c>
      <c r="M96" s="1639">
        <v>21.634983278999997</v>
      </c>
      <c r="N96" s="1639">
        <v>21.634983278999997</v>
      </c>
      <c r="O96" s="1639">
        <v>21.634983278999997</v>
      </c>
      <c r="P96" s="1637">
        <v>0.68</v>
      </c>
      <c r="Q96" s="1637">
        <v>0.68</v>
      </c>
      <c r="R96" s="1637">
        <v>0.68</v>
      </c>
      <c r="S96" s="1637">
        <v>0.68</v>
      </c>
      <c r="T96" s="1640">
        <f t="shared" si="70"/>
        <v>23906.656523294998</v>
      </c>
      <c r="U96" s="1640">
        <f t="shared" si="71"/>
        <v>23906.656523294998</v>
      </c>
      <c r="V96" s="1640">
        <f t="shared" si="72"/>
        <v>23906.656523294998</v>
      </c>
      <c r="W96" s="1640">
        <f t="shared" si="73"/>
        <v>23906.656523294998</v>
      </c>
      <c r="X96" s="1640">
        <f t="shared" si="74"/>
        <v>95626.626093179992</v>
      </c>
      <c r="Y96" s="1372" t="str">
        <f t="shared" si="94"/>
        <v>CI-HWE-STWH-V03-180101</v>
      </c>
      <c r="Z96" s="1372" t="str">
        <f t="shared" si="97"/>
        <v>Nicor Gas PY7-PY10 Adjustable Goals Template_2017-06-30, Tab 4.3.3</v>
      </c>
      <c r="AA96" s="1840">
        <f t="shared" si="98"/>
        <v>21.634983278999997</v>
      </c>
      <c r="AB96" s="2028"/>
      <c r="AC96" s="1840">
        <f t="shared" si="75"/>
        <v>23906.656523294998</v>
      </c>
      <c r="AD96" s="1840">
        <f t="shared" si="76"/>
        <v>0</v>
      </c>
      <c r="AE96" s="1372" t="s">
        <v>2790</v>
      </c>
      <c r="AF96" s="1372" t="s">
        <v>3385</v>
      </c>
      <c r="AG96" s="1639">
        <v>21.634983278999997</v>
      </c>
      <c r="AH96" s="1372" t="s">
        <v>3445</v>
      </c>
      <c r="AI96" s="1640">
        <f t="shared" si="77"/>
        <v>23906.656523294998</v>
      </c>
      <c r="AJ96" s="1638">
        <f t="shared" si="78"/>
        <v>0</v>
      </c>
      <c r="AK96" s="1372" t="s">
        <v>2790</v>
      </c>
      <c r="AL96" s="1372" t="s">
        <v>3385</v>
      </c>
      <c r="AM96" s="1639">
        <v>21.634983278999997</v>
      </c>
      <c r="AN96" s="1372" t="str">
        <f t="shared" si="95"/>
        <v>No change</v>
      </c>
      <c r="AO96" s="1640">
        <f t="shared" si="79"/>
        <v>23906.656523294998</v>
      </c>
      <c r="AP96" s="1638">
        <f t="shared" si="80"/>
        <v>0</v>
      </c>
      <c r="AQ96" s="1372" t="s">
        <v>2790</v>
      </c>
      <c r="AR96" s="1372" t="s">
        <v>3385</v>
      </c>
      <c r="AS96" s="1639">
        <v>21.634983278999997</v>
      </c>
      <c r="AT96" s="1372" t="str">
        <f t="shared" si="96"/>
        <v>No change</v>
      </c>
      <c r="AU96" s="1640">
        <f t="shared" si="81"/>
        <v>23906.656523294998</v>
      </c>
      <c r="AV96" s="1638">
        <f t="shared" si="82"/>
        <v>0</v>
      </c>
      <c r="AW96" s="2044">
        <f t="shared" si="83"/>
        <v>23906.656523294998</v>
      </c>
      <c r="AX96" s="2044">
        <f t="shared" si="84"/>
        <v>23906.656523294998</v>
      </c>
      <c r="AY96" s="2044">
        <f t="shared" si="85"/>
        <v>23906.656523294998</v>
      </c>
      <c r="AZ96" s="2044">
        <f t="shared" si="86"/>
        <v>23906.656523294998</v>
      </c>
      <c r="BA96" s="2045">
        <f t="shared" si="87"/>
        <v>95626.626093179992</v>
      </c>
      <c r="BB96" s="2045" t="str">
        <f>+'[9]4.3.3'!$A$1</f>
        <v>4.3.3</v>
      </c>
      <c r="BC96" s="2045" t="str">
        <f>+'[9]4.3.3'!$A$1</f>
        <v>4.3.3</v>
      </c>
      <c r="BD96" s="2045">
        <v>0</v>
      </c>
      <c r="BE96" s="2051">
        <v>10</v>
      </c>
      <c r="BF96" s="2051">
        <v>10</v>
      </c>
      <c r="BG96" s="2051">
        <v>10</v>
      </c>
      <c r="BH96" s="2051">
        <v>10</v>
      </c>
      <c r="BI96" s="2045">
        <f t="shared" si="63"/>
        <v>239066.56523294997</v>
      </c>
      <c r="BJ96" s="2045">
        <f t="shared" si="64"/>
        <v>239066.56523294997</v>
      </c>
      <c r="BK96" s="2045">
        <f t="shared" si="65"/>
        <v>239066.56523294997</v>
      </c>
      <c r="BL96" s="2045">
        <f t="shared" si="66"/>
        <v>239066.56523294997</v>
      </c>
      <c r="BM96" s="2045">
        <f t="shared" si="88"/>
        <v>956266.26093179989</v>
      </c>
      <c r="BN96" s="2047">
        <v>10</v>
      </c>
      <c r="BO96" s="2047">
        <v>10</v>
      </c>
      <c r="BP96" s="2047">
        <v>10</v>
      </c>
      <c r="BQ96" s="2047">
        <v>10</v>
      </c>
      <c r="BR96" s="2048">
        <f t="shared" si="89"/>
        <v>239066.56523294997</v>
      </c>
      <c r="BS96" s="2048">
        <f t="shared" si="90"/>
        <v>239066.56523294997</v>
      </c>
      <c r="BT96" s="2048">
        <f t="shared" si="91"/>
        <v>239066.56523294997</v>
      </c>
      <c r="BU96" s="2048">
        <f t="shared" si="92"/>
        <v>239066.56523294997</v>
      </c>
      <c r="BV96" s="1840">
        <f t="shared" si="93"/>
        <v>956266.26093179989</v>
      </c>
      <c r="BW96" s="2064" t="e">
        <f>INT(#REF!)=INT(BA96)</f>
        <v>#REF!</v>
      </c>
      <c r="BX96" s="2064">
        <v>89</v>
      </c>
      <c r="BY96" s="2064" t="s">
        <v>512</v>
      </c>
    </row>
    <row r="97" spans="1:77" s="1976" customFormat="1" ht="62" x14ac:dyDescent="0.35">
      <c r="A97" s="1372" t="s">
        <v>1494</v>
      </c>
      <c r="B97" s="1372" t="s">
        <v>228</v>
      </c>
      <c r="C97" s="1637">
        <v>0</v>
      </c>
      <c r="D97" s="2053" t="str">
        <f>+'[9]4.3.2'!$A$1</f>
        <v>4.3.2</v>
      </c>
      <c r="E97" s="1372" t="s">
        <v>201</v>
      </c>
      <c r="F97" s="1638">
        <v>1600</v>
      </c>
      <c r="G97" s="1638">
        <v>1600</v>
      </c>
      <c r="H97" s="1638">
        <v>1600</v>
      </c>
      <c r="I97" s="1638">
        <v>1600</v>
      </c>
      <c r="J97" s="1372" t="str">
        <f>+'[9]4.3.2'!$B$15</f>
        <v>CI-HWE-LFFA-V07-180101</v>
      </c>
      <c r="K97" s="1372" t="str">
        <f t="shared" si="69"/>
        <v>Nicor Gas PY7-PY10 Adjustable Goals Template_2017-06-30, Tab 4.3.2</v>
      </c>
      <c r="L97" s="1639">
        <v>35.43134997342311</v>
      </c>
      <c r="M97" s="1639">
        <v>35.43134997342311</v>
      </c>
      <c r="N97" s="1639">
        <v>35.43134997342311</v>
      </c>
      <c r="O97" s="1639">
        <v>35.43134997342311</v>
      </c>
      <c r="P97" s="1637">
        <v>0.68</v>
      </c>
      <c r="Q97" s="1637">
        <v>0.68</v>
      </c>
      <c r="R97" s="1637">
        <v>0.68</v>
      </c>
      <c r="S97" s="1637">
        <v>0.68</v>
      </c>
      <c r="T97" s="1640">
        <f t="shared" si="70"/>
        <v>38549.308771084347</v>
      </c>
      <c r="U97" s="1640">
        <f t="shared" si="71"/>
        <v>38549.308771084347</v>
      </c>
      <c r="V97" s="1640">
        <f t="shared" si="72"/>
        <v>38549.308771084347</v>
      </c>
      <c r="W97" s="1640">
        <f t="shared" si="73"/>
        <v>38549.308771084347</v>
      </c>
      <c r="X97" s="1640">
        <f t="shared" si="74"/>
        <v>154197.23508433739</v>
      </c>
      <c r="Y97" s="1372" t="str">
        <f t="shared" si="94"/>
        <v>CI-HWE-LFFA-V07-180101</v>
      </c>
      <c r="Z97" s="1372" t="str">
        <f t="shared" si="97"/>
        <v>Nicor Gas PY7-PY10 Adjustable Goals Template_2017-06-30, Tab 4.3.2</v>
      </c>
      <c r="AA97" s="2024">
        <f t="shared" si="98"/>
        <v>35.43134997342311</v>
      </c>
      <c r="AB97" s="2028"/>
      <c r="AC97" s="1840">
        <f t="shared" si="75"/>
        <v>38549.308771084347</v>
      </c>
      <c r="AD97" s="1840">
        <f t="shared" si="76"/>
        <v>0</v>
      </c>
      <c r="AE97" s="1372" t="s">
        <v>2791</v>
      </c>
      <c r="AF97" s="1372" t="s">
        <v>3384</v>
      </c>
      <c r="AG97" s="1639">
        <v>35.43134997342311</v>
      </c>
      <c r="AH97" s="1372" t="s">
        <v>3445</v>
      </c>
      <c r="AI97" s="1640">
        <f t="shared" si="77"/>
        <v>38549.308771084347</v>
      </c>
      <c r="AJ97" s="1638">
        <f t="shared" si="78"/>
        <v>0</v>
      </c>
      <c r="AK97" s="1372" t="s">
        <v>2791</v>
      </c>
      <c r="AL97" s="1372" t="s">
        <v>3384</v>
      </c>
      <c r="AM97" s="1639">
        <v>35.43134997342311</v>
      </c>
      <c r="AN97" s="1372" t="str">
        <f t="shared" si="95"/>
        <v>No change</v>
      </c>
      <c r="AO97" s="1640">
        <f t="shared" si="79"/>
        <v>38549.308771084347</v>
      </c>
      <c r="AP97" s="1638">
        <f t="shared" si="80"/>
        <v>0</v>
      </c>
      <c r="AQ97" s="1372" t="s">
        <v>2791</v>
      </c>
      <c r="AR97" s="1372" t="s">
        <v>3384</v>
      </c>
      <c r="AS97" s="1639">
        <v>35.43134997342311</v>
      </c>
      <c r="AT97" s="1372" t="str">
        <f t="shared" si="96"/>
        <v>No change</v>
      </c>
      <c r="AU97" s="1640">
        <f t="shared" si="81"/>
        <v>38549.308771084347</v>
      </c>
      <c r="AV97" s="1638">
        <f t="shared" si="82"/>
        <v>0</v>
      </c>
      <c r="AW97" s="2044">
        <f t="shared" si="83"/>
        <v>38549.308771084347</v>
      </c>
      <c r="AX97" s="2044">
        <f t="shared" si="84"/>
        <v>38549.308771084347</v>
      </c>
      <c r="AY97" s="2044">
        <f t="shared" si="85"/>
        <v>38549.308771084347</v>
      </c>
      <c r="AZ97" s="2044">
        <f t="shared" si="86"/>
        <v>38549.308771084347</v>
      </c>
      <c r="BA97" s="2045">
        <f t="shared" si="87"/>
        <v>154197.23508433739</v>
      </c>
      <c r="BB97" s="2045" t="str">
        <f>+'[9]4.3.2'!$A$1</f>
        <v>4.3.2</v>
      </c>
      <c r="BC97" s="2045" t="str">
        <f>+'[9]4.3.2'!$A$1</f>
        <v>4.3.2</v>
      </c>
      <c r="BD97" s="2121">
        <v>1</v>
      </c>
      <c r="BE97" s="2051">
        <v>9</v>
      </c>
      <c r="BF97" s="2051">
        <v>9</v>
      </c>
      <c r="BG97" s="2051">
        <v>9</v>
      </c>
      <c r="BH97" s="2051">
        <v>9</v>
      </c>
      <c r="BI97" s="2045">
        <f t="shared" si="63"/>
        <v>346943.77893975913</v>
      </c>
      <c r="BJ97" s="2045">
        <f t="shared" si="64"/>
        <v>346943.77893975913</v>
      </c>
      <c r="BK97" s="2045">
        <f t="shared" si="65"/>
        <v>346943.77893975913</v>
      </c>
      <c r="BL97" s="2045">
        <f t="shared" si="66"/>
        <v>346943.77893975913</v>
      </c>
      <c r="BM97" s="2045">
        <f t="shared" si="88"/>
        <v>1387775.1157590365</v>
      </c>
      <c r="BN97" s="2047">
        <v>9</v>
      </c>
      <c r="BO97" s="2050">
        <v>10</v>
      </c>
      <c r="BP97" s="2050">
        <v>10</v>
      </c>
      <c r="BQ97" s="2050">
        <v>10</v>
      </c>
      <c r="BR97" s="2048">
        <f t="shared" si="89"/>
        <v>346943.77893975913</v>
      </c>
      <c r="BS97" s="2048">
        <f t="shared" si="90"/>
        <v>385493.08771084348</v>
      </c>
      <c r="BT97" s="2048">
        <f t="shared" si="91"/>
        <v>385493.08771084348</v>
      </c>
      <c r="BU97" s="2048">
        <f t="shared" si="92"/>
        <v>385493.08771084348</v>
      </c>
      <c r="BV97" s="1840">
        <f t="shared" si="93"/>
        <v>1503423.0420722894</v>
      </c>
      <c r="BW97" s="2064" t="e">
        <f>INT(#REF!)=INT(BA97)</f>
        <v>#REF!</v>
      </c>
      <c r="BX97" s="2064">
        <v>90</v>
      </c>
      <c r="BY97" s="2064" t="s">
        <v>512</v>
      </c>
    </row>
    <row r="98" spans="1:77" s="1976" customFormat="1" ht="62" x14ac:dyDescent="0.35">
      <c r="A98" s="1372" t="s">
        <v>1494</v>
      </c>
      <c r="B98" s="1372" t="s">
        <v>2607</v>
      </c>
      <c r="C98" s="1637">
        <v>0</v>
      </c>
      <c r="D98" s="2053" t="str">
        <f>+'[9]4.4.4'!$A$1</f>
        <v>4.4.4</v>
      </c>
      <c r="E98" s="1372" t="s">
        <v>201</v>
      </c>
      <c r="F98" s="1638">
        <v>40</v>
      </c>
      <c r="G98" s="1638">
        <v>40</v>
      </c>
      <c r="H98" s="1638">
        <v>40</v>
      </c>
      <c r="I98" s="1638">
        <v>40</v>
      </c>
      <c r="J98" s="1372" t="str">
        <f>+'[9]4.4.4'!$B$11</f>
        <v>CI-HVC-BLRC-V03-150601</v>
      </c>
      <c r="K98" s="1372" t="str">
        <f t="shared" si="69"/>
        <v>Nicor Gas PY7-PY10 Adjustable Goals Template_2017-06-30, Tab 4.4.4</v>
      </c>
      <c r="L98" s="1639">
        <v>488.03199999999998</v>
      </c>
      <c r="M98" s="1639">
        <v>488.03199999999998</v>
      </c>
      <c r="N98" s="1639">
        <v>488.03199999999998</v>
      </c>
      <c r="O98" s="1639">
        <v>488.03199999999998</v>
      </c>
      <c r="P98" s="1637">
        <v>0.68</v>
      </c>
      <c r="Q98" s="1637">
        <v>0.68</v>
      </c>
      <c r="R98" s="1637">
        <v>0.68</v>
      </c>
      <c r="S98" s="1637">
        <v>0.68</v>
      </c>
      <c r="T98" s="1640">
        <f t="shared" si="70"/>
        <v>13274.4704</v>
      </c>
      <c r="U98" s="1640">
        <f t="shared" si="71"/>
        <v>13274.4704</v>
      </c>
      <c r="V98" s="1640">
        <f t="shared" si="72"/>
        <v>13274.4704</v>
      </c>
      <c r="W98" s="1640">
        <f t="shared" si="73"/>
        <v>13274.4704</v>
      </c>
      <c r="X98" s="1640">
        <f t="shared" si="74"/>
        <v>53097.881600000001</v>
      </c>
      <c r="Y98" s="1372" t="str">
        <f t="shared" si="94"/>
        <v>CI-HVC-BLRC-V03-150601</v>
      </c>
      <c r="Z98" s="1372" t="str">
        <f t="shared" si="97"/>
        <v>Nicor Gas PY7-PY10 Adjustable Goals Template_2017-06-30, Tab 4.4.4</v>
      </c>
      <c r="AA98" s="1840">
        <f t="shared" si="98"/>
        <v>488.03199999999998</v>
      </c>
      <c r="AB98" s="2028"/>
      <c r="AC98" s="1840">
        <f t="shared" si="75"/>
        <v>13274.4704</v>
      </c>
      <c r="AD98" s="1840">
        <f t="shared" si="76"/>
        <v>0</v>
      </c>
      <c r="AE98" s="1372" t="s">
        <v>197</v>
      </c>
      <c r="AF98" s="1372" t="s">
        <v>3356</v>
      </c>
      <c r="AG98" s="1639">
        <v>488.03199999999998</v>
      </c>
      <c r="AH98" s="1372" t="s">
        <v>3445</v>
      </c>
      <c r="AI98" s="1640">
        <f t="shared" si="77"/>
        <v>13274.4704</v>
      </c>
      <c r="AJ98" s="1638">
        <f t="shared" si="78"/>
        <v>0</v>
      </c>
      <c r="AK98" s="1372" t="s">
        <v>197</v>
      </c>
      <c r="AL98" s="1372" t="s">
        <v>3356</v>
      </c>
      <c r="AM98" s="1639">
        <v>488.03199999999998</v>
      </c>
      <c r="AN98" s="1372" t="str">
        <f t="shared" si="95"/>
        <v>No change</v>
      </c>
      <c r="AO98" s="1640">
        <f t="shared" si="79"/>
        <v>13274.4704</v>
      </c>
      <c r="AP98" s="1638">
        <f t="shared" si="80"/>
        <v>0</v>
      </c>
      <c r="AQ98" s="1372" t="s">
        <v>197</v>
      </c>
      <c r="AR98" s="1372" t="s">
        <v>3356</v>
      </c>
      <c r="AS98" s="1639">
        <v>488.03199999999998</v>
      </c>
      <c r="AT98" s="1372" t="str">
        <f t="shared" si="96"/>
        <v>No change</v>
      </c>
      <c r="AU98" s="1640">
        <f t="shared" si="81"/>
        <v>13274.4704</v>
      </c>
      <c r="AV98" s="1638">
        <f t="shared" si="82"/>
        <v>0</v>
      </c>
      <c r="AW98" s="2044">
        <f t="shared" si="83"/>
        <v>13274.4704</v>
      </c>
      <c r="AX98" s="2044">
        <f t="shared" si="84"/>
        <v>13274.4704</v>
      </c>
      <c r="AY98" s="2044">
        <f t="shared" si="85"/>
        <v>13274.4704</v>
      </c>
      <c r="AZ98" s="2044">
        <f t="shared" si="86"/>
        <v>13274.4704</v>
      </c>
      <c r="BA98" s="2045">
        <f t="shared" si="87"/>
        <v>53097.881600000001</v>
      </c>
      <c r="BB98" s="2045" t="str">
        <f>+'[9]4.4.4'!$A$1</f>
        <v>4.4.4</v>
      </c>
      <c r="BC98" s="2045" t="str">
        <f>+'[9]4.4.4'!$A$1</f>
        <v>4.4.4</v>
      </c>
      <c r="BD98" s="2045">
        <v>0</v>
      </c>
      <c r="BE98" s="2051">
        <v>20</v>
      </c>
      <c r="BF98" s="2051">
        <v>20</v>
      </c>
      <c r="BG98" s="2051">
        <v>20</v>
      </c>
      <c r="BH98" s="2051">
        <v>20</v>
      </c>
      <c r="BI98" s="2045">
        <f t="shared" si="63"/>
        <v>265489.408</v>
      </c>
      <c r="BJ98" s="2045">
        <f t="shared" si="64"/>
        <v>265489.408</v>
      </c>
      <c r="BK98" s="2045">
        <f t="shared" si="65"/>
        <v>265489.408</v>
      </c>
      <c r="BL98" s="2045">
        <f t="shared" si="66"/>
        <v>265489.408</v>
      </c>
      <c r="BM98" s="2045">
        <f t="shared" si="88"/>
        <v>1061957.632</v>
      </c>
      <c r="BN98" s="2047">
        <v>20</v>
      </c>
      <c r="BO98" s="2047">
        <v>20</v>
      </c>
      <c r="BP98" s="2047">
        <v>20</v>
      </c>
      <c r="BQ98" s="2047">
        <v>20</v>
      </c>
      <c r="BR98" s="2048">
        <f t="shared" si="89"/>
        <v>265489.408</v>
      </c>
      <c r="BS98" s="2048">
        <f t="shared" si="90"/>
        <v>265489.408</v>
      </c>
      <c r="BT98" s="2048">
        <f t="shared" si="91"/>
        <v>265489.408</v>
      </c>
      <c r="BU98" s="2048">
        <f t="shared" si="92"/>
        <v>265489.408</v>
      </c>
      <c r="BV98" s="1840">
        <f t="shared" si="93"/>
        <v>1061957.632</v>
      </c>
      <c r="BW98" s="2064" t="e">
        <f>INT(#REF!)=INT(BA98)</f>
        <v>#REF!</v>
      </c>
      <c r="BX98" s="2064">
        <v>91</v>
      </c>
      <c r="BY98" s="2064" t="s">
        <v>512</v>
      </c>
    </row>
    <row r="99" spans="1:77" s="1976" customFormat="1" ht="62" x14ac:dyDescent="0.35">
      <c r="A99" s="1372" t="s">
        <v>1494</v>
      </c>
      <c r="B99" s="1372" t="s">
        <v>2584</v>
      </c>
      <c r="C99" s="1637">
        <v>0</v>
      </c>
      <c r="D99" s="2053" t="str">
        <f>+'[9]4.4.2'!$A$1</f>
        <v>4.4.2</v>
      </c>
      <c r="E99" s="1372" t="s">
        <v>201</v>
      </c>
      <c r="F99" s="1638">
        <v>40</v>
      </c>
      <c r="G99" s="1638">
        <v>40</v>
      </c>
      <c r="H99" s="1638">
        <v>40</v>
      </c>
      <c r="I99" s="1638">
        <v>40</v>
      </c>
      <c r="J99" s="1372" t="str">
        <f>+'[9]4.4.2'!$B$16</f>
        <v>CI-HVC-BLRT-V06-160601</v>
      </c>
      <c r="K99" s="1372" t="str">
        <f t="shared" si="69"/>
        <v>Nicor Gas PY7-PY10 Adjustable Goals Template_2017-06-30, Tab 4.4.2</v>
      </c>
      <c r="L99" s="1639">
        <v>271.90466176470613</v>
      </c>
      <c r="M99" s="1639">
        <v>271.90466176470613</v>
      </c>
      <c r="N99" s="1639">
        <v>271.90466176470613</v>
      </c>
      <c r="O99" s="1639">
        <v>271.90466176470613</v>
      </c>
      <c r="P99" s="1637">
        <v>0.68</v>
      </c>
      <c r="Q99" s="1637">
        <v>0.68</v>
      </c>
      <c r="R99" s="1637">
        <v>0.68</v>
      </c>
      <c r="S99" s="1637">
        <v>0.68</v>
      </c>
      <c r="T99" s="1640">
        <f t="shared" si="70"/>
        <v>7395.8068000000076</v>
      </c>
      <c r="U99" s="1640">
        <f t="shared" si="71"/>
        <v>7395.8068000000076</v>
      </c>
      <c r="V99" s="1640">
        <f t="shared" si="72"/>
        <v>7395.8068000000076</v>
      </c>
      <c r="W99" s="1640">
        <f t="shared" si="73"/>
        <v>7395.8068000000076</v>
      </c>
      <c r="X99" s="1640">
        <f t="shared" si="74"/>
        <v>29583.22720000003</v>
      </c>
      <c r="Y99" s="1372" t="str">
        <f t="shared" si="94"/>
        <v>CI-HVC-BLRT-V06-160601</v>
      </c>
      <c r="Z99" s="1372" t="str">
        <f t="shared" si="97"/>
        <v>Nicor Gas PY7-PY10 Adjustable Goals Template_2017-06-30, Tab 4.4.2</v>
      </c>
      <c r="AA99" s="1840">
        <f t="shared" si="98"/>
        <v>271.90466176470613</v>
      </c>
      <c r="AB99" s="2028"/>
      <c r="AC99" s="1840">
        <f t="shared" si="75"/>
        <v>7395.8068000000076</v>
      </c>
      <c r="AD99" s="1840">
        <f t="shared" si="76"/>
        <v>0</v>
      </c>
      <c r="AE99" s="1372" t="s">
        <v>2567</v>
      </c>
      <c r="AF99" s="1372" t="s">
        <v>3357</v>
      </c>
      <c r="AG99" s="1639">
        <v>271.90466176470613</v>
      </c>
      <c r="AH99" s="1372" t="s">
        <v>3445</v>
      </c>
      <c r="AI99" s="1640">
        <f t="shared" si="77"/>
        <v>7395.8068000000076</v>
      </c>
      <c r="AJ99" s="1638">
        <f t="shared" si="78"/>
        <v>0</v>
      </c>
      <c r="AK99" s="1372" t="s">
        <v>2567</v>
      </c>
      <c r="AL99" s="1372" t="s">
        <v>3357</v>
      </c>
      <c r="AM99" s="1639">
        <v>271.90466176470613</v>
      </c>
      <c r="AN99" s="1372" t="str">
        <f t="shared" si="95"/>
        <v>No change</v>
      </c>
      <c r="AO99" s="1640">
        <f t="shared" si="79"/>
        <v>7395.8068000000076</v>
      </c>
      <c r="AP99" s="1638">
        <f t="shared" si="80"/>
        <v>0</v>
      </c>
      <c r="AQ99" s="1372" t="s">
        <v>2567</v>
      </c>
      <c r="AR99" s="1372" t="s">
        <v>3357</v>
      </c>
      <c r="AS99" s="1639">
        <v>271.90466176470613</v>
      </c>
      <c r="AT99" s="1372" t="str">
        <f t="shared" si="96"/>
        <v>No change</v>
      </c>
      <c r="AU99" s="1640">
        <f t="shared" si="81"/>
        <v>7395.8068000000076</v>
      </c>
      <c r="AV99" s="1638">
        <f t="shared" si="82"/>
        <v>0</v>
      </c>
      <c r="AW99" s="2044">
        <f t="shared" si="83"/>
        <v>7395.8068000000076</v>
      </c>
      <c r="AX99" s="2044">
        <f t="shared" si="84"/>
        <v>7395.8068000000076</v>
      </c>
      <c r="AY99" s="2044">
        <f t="shared" si="85"/>
        <v>7395.8068000000076</v>
      </c>
      <c r="AZ99" s="2044">
        <f t="shared" si="86"/>
        <v>7395.8068000000076</v>
      </c>
      <c r="BA99" s="2045">
        <f t="shared" si="87"/>
        <v>29583.22720000003</v>
      </c>
      <c r="BB99" s="2045" t="str">
        <f>+'[9]4.4.2'!$A$1</f>
        <v>4.4.2</v>
      </c>
      <c r="BC99" s="2045" t="str">
        <f>+'[9]4.4.2'!$A$1</f>
        <v>4.4.2</v>
      </c>
      <c r="BD99" s="2045">
        <v>0</v>
      </c>
      <c r="BE99" s="2051">
        <v>3</v>
      </c>
      <c r="BF99" s="2051">
        <v>3</v>
      </c>
      <c r="BG99" s="2051">
        <v>3</v>
      </c>
      <c r="BH99" s="2051">
        <v>3</v>
      </c>
      <c r="BI99" s="2045">
        <f t="shared" si="63"/>
        <v>22187.420400000025</v>
      </c>
      <c r="BJ99" s="2045">
        <f t="shared" si="64"/>
        <v>22187.420400000025</v>
      </c>
      <c r="BK99" s="2045">
        <f t="shared" si="65"/>
        <v>22187.420400000025</v>
      </c>
      <c r="BL99" s="2045">
        <f t="shared" si="66"/>
        <v>22187.420400000025</v>
      </c>
      <c r="BM99" s="2045">
        <f t="shared" si="88"/>
        <v>88749.681600000098</v>
      </c>
      <c r="BN99" s="2047">
        <v>3</v>
      </c>
      <c r="BO99" s="2047">
        <v>3</v>
      </c>
      <c r="BP99" s="2047">
        <v>3</v>
      </c>
      <c r="BQ99" s="2047">
        <v>3</v>
      </c>
      <c r="BR99" s="2048">
        <f t="shared" si="89"/>
        <v>22187.420400000025</v>
      </c>
      <c r="BS99" s="2048">
        <f t="shared" si="90"/>
        <v>22187.420400000025</v>
      </c>
      <c r="BT99" s="2048">
        <f t="shared" si="91"/>
        <v>22187.420400000025</v>
      </c>
      <c r="BU99" s="2048">
        <f t="shared" si="92"/>
        <v>22187.420400000025</v>
      </c>
      <c r="BV99" s="1840">
        <f t="shared" si="93"/>
        <v>88749.681600000098</v>
      </c>
      <c r="BW99" s="2064" t="e">
        <f>INT(#REF!)=INT(BA99)</f>
        <v>#REF!</v>
      </c>
      <c r="BX99" s="2064">
        <v>92</v>
      </c>
      <c r="BY99" s="2064" t="s">
        <v>512</v>
      </c>
    </row>
    <row r="100" spans="1:77" s="1976" customFormat="1" ht="62" x14ac:dyDescent="0.35">
      <c r="A100" s="1372" t="s">
        <v>1494</v>
      </c>
      <c r="B100" s="1372" t="s">
        <v>2759</v>
      </c>
      <c r="C100" s="1637">
        <v>0</v>
      </c>
      <c r="D100" s="2053" t="str">
        <f>+'[9]4.4.3'!$A$1</f>
        <v>4.4.3</v>
      </c>
      <c r="E100" s="1372" t="s">
        <v>201</v>
      </c>
      <c r="F100" s="1638">
        <v>40</v>
      </c>
      <c r="G100" s="1638">
        <v>40</v>
      </c>
      <c r="H100" s="1638">
        <v>40</v>
      </c>
      <c r="I100" s="1638">
        <v>40</v>
      </c>
      <c r="J100" s="1372" t="str">
        <f>+'[9]4.4.3'!$B$10</f>
        <v>CI-HVC-PBTU-V05-160601</v>
      </c>
      <c r="K100" s="1372" t="str">
        <f t="shared" si="69"/>
        <v>Nicor Gas PY7-PY10 Adjustable Goals Template_2017-06-30, Tab 4.4.3</v>
      </c>
      <c r="L100" s="1639">
        <v>469.84897416973865</v>
      </c>
      <c r="M100" s="1639">
        <v>469.84897416973865</v>
      </c>
      <c r="N100" s="1639">
        <v>469.84897416973865</v>
      </c>
      <c r="O100" s="1639">
        <v>469.84897416973865</v>
      </c>
      <c r="P100" s="1637">
        <v>0.68</v>
      </c>
      <c r="Q100" s="1637">
        <v>0.68</v>
      </c>
      <c r="R100" s="1637">
        <v>0.68</v>
      </c>
      <c r="S100" s="1637">
        <v>0.68</v>
      </c>
      <c r="T100" s="1640">
        <f t="shared" si="70"/>
        <v>12779.892097416892</v>
      </c>
      <c r="U100" s="1640">
        <f t="shared" si="71"/>
        <v>12779.892097416892</v>
      </c>
      <c r="V100" s="1640">
        <f t="shared" si="72"/>
        <v>12779.892097416892</v>
      </c>
      <c r="W100" s="1640">
        <f t="shared" si="73"/>
        <v>12779.892097416892</v>
      </c>
      <c r="X100" s="1640">
        <f t="shared" si="74"/>
        <v>51119.568389667569</v>
      </c>
      <c r="Y100" s="1372" t="str">
        <f t="shared" si="94"/>
        <v>CI-HVC-PBTU-V05-160601</v>
      </c>
      <c r="Z100" s="1372" t="str">
        <f t="shared" si="97"/>
        <v>Nicor Gas PY7-PY10 Adjustable Goals Template_2017-06-30, Tab 4.4.3</v>
      </c>
      <c r="AA100" s="1840">
        <f t="shared" si="98"/>
        <v>469.84897416973865</v>
      </c>
      <c r="AB100" s="2028"/>
      <c r="AC100" s="1840">
        <f t="shared" si="75"/>
        <v>12779.892097416892</v>
      </c>
      <c r="AD100" s="1840">
        <f t="shared" si="76"/>
        <v>0</v>
      </c>
      <c r="AE100" s="1372" t="s">
        <v>2569</v>
      </c>
      <c r="AF100" s="1372" t="s">
        <v>3358</v>
      </c>
      <c r="AG100" s="1639">
        <v>469.84897416973865</v>
      </c>
      <c r="AH100" s="1372" t="s">
        <v>3445</v>
      </c>
      <c r="AI100" s="1640">
        <f t="shared" si="77"/>
        <v>12779.892097416892</v>
      </c>
      <c r="AJ100" s="1638">
        <f t="shared" si="78"/>
        <v>0</v>
      </c>
      <c r="AK100" s="1372" t="s">
        <v>2569</v>
      </c>
      <c r="AL100" s="1372" t="s">
        <v>3358</v>
      </c>
      <c r="AM100" s="1639">
        <v>469.84897416973865</v>
      </c>
      <c r="AN100" s="1372" t="str">
        <f t="shared" si="95"/>
        <v>No change</v>
      </c>
      <c r="AO100" s="1640">
        <f t="shared" si="79"/>
        <v>12779.892097416892</v>
      </c>
      <c r="AP100" s="1638">
        <f t="shared" si="80"/>
        <v>0</v>
      </c>
      <c r="AQ100" s="1372" t="s">
        <v>2569</v>
      </c>
      <c r="AR100" s="1372" t="s">
        <v>3358</v>
      </c>
      <c r="AS100" s="1639">
        <v>469.84897416973865</v>
      </c>
      <c r="AT100" s="1372" t="str">
        <f t="shared" si="96"/>
        <v>No change</v>
      </c>
      <c r="AU100" s="1640">
        <f t="shared" si="81"/>
        <v>12779.892097416892</v>
      </c>
      <c r="AV100" s="1638">
        <f t="shared" si="82"/>
        <v>0</v>
      </c>
      <c r="AW100" s="2044">
        <f t="shared" si="83"/>
        <v>12779.892097416892</v>
      </c>
      <c r="AX100" s="2044">
        <f t="shared" si="84"/>
        <v>12779.892097416892</v>
      </c>
      <c r="AY100" s="2044">
        <f t="shared" si="85"/>
        <v>12779.892097416892</v>
      </c>
      <c r="AZ100" s="2044">
        <f t="shared" si="86"/>
        <v>12779.892097416892</v>
      </c>
      <c r="BA100" s="2045">
        <f t="shared" si="87"/>
        <v>51119.568389667569</v>
      </c>
      <c r="BB100" s="2045" t="str">
        <f>+'[9]4.4.3'!$A$1</f>
        <v>4.4.3</v>
      </c>
      <c r="BC100" s="2045" t="str">
        <f>+'[9]4.4.3'!$A$1</f>
        <v>4.4.3</v>
      </c>
      <c r="BD100" s="2045">
        <v>0</v>
      </c>
      <c r="BE100" s="2051">
        <v>3</v>
      </c>
      <c r="BF100" s="2051">
        <v>3</v>
      </c>
      <c r="BG100" s="2051">
        <v>3</v>
      </c>
      <c r="BH100" s="2051">
        <v>3</v>
      </c>
      <c r="BI100" s="2045">
        <f t="shared" si="63"/>
        <v>38339.676292250675</v>
      </c>
      <c r="BJ100" s="2045">
        <f t="shared" si="64"/>
        <v>38339.676292250675</v>
      </c>
      <c r="BK100" s="2045">
        <f t="shared" si="65"/>
        <v>38339.676292250675</v>
      </c>
      <c r="BL100" s="2045">
        <f t="shared" si="66"/>
        <v>38339.676292250675</v>
      </c>
      <c r="BM100" s="2045">
        <f t="shared" si="88"/>
        <v>153358.7051690027</v>
      </c>
      <c r="BN100" s="2047">
        <v>3</v>
      </c>
      <c r="BO100" s="2047">
        <v>3</v>
      </c>
      <c r="BP100" s="2047">
        <v>3</v>
      </c>
      <c r="BQ100" s="2047">
        <v>3</v>
      </c>
      <c r="BR100" s="2048">
        <f t="shared" si="89"/>
        <v>38339.676292250675</v>
      </c>
      <c r="BS100" s="2048">
        <f t="shared" si="90"/>
        <v>38339.676292250675</v>
      </c>
      <c r="BT100" s="2048">
        <f t="shared" si="91"/>
        <v>38339.676292250675</v>
      </c>
      <c r="BU100" s="2048">
        <f t="shared" si="92"/>
        <v>38339.676292250675</v>
      </c>
      <c r="BV100" s="1840">
        <f t="shared" si="93"/>
        <v>153358.7051690027</v>
      </c>
      <c r="BW100" s="2064" t="e">
        <f>INT(#REF!)=INT(BA100)</f>
        <v>#REF!</v>
      </c>
      <c r="BX100" s="2064">
        <v>93</v>
      </c>
      <c r="BY100" s="2064" t="s">
        <v>512</v>
      </c>
    </row>
    <row r="101" spans="1:77" s="1976" customFormat="1" ht="62" x14ac:dyDescent="0.35">
      <c r="A101" s="1372" t="s">
        <v>1494</v>
      </c>
      <c r="B101" s="1372" t="s">
        <v>2617</v>
      </c>
      <c r="C101" s="1637">
        <v>0</v>
      </c>
      <c r="D101" s="2053" t="str">
        <f>+'[9]4.4.10'!$A$1</f>
        <v>4.4.10</v>
      </c>
      <c r="E101" s="1372" t="s">
        <v>163</v>
      </c>
      <c r="F101" s="1638">
        <v>3</v>
      </c>
      <c r="G101" s="1638">
        <v>3</v>
      </c>
      <c r="H101" s="1638">
        <v>3</v>
      </c>
      <c r="I101" s="1638">
        <v>3</v>
      </c>
      <c r="J101" s="1372" t="str">
        <f>+'[9]4.4.10'!$B$22</f>
        <v>CI-HVC-BOIL-V05-150601</v>
      </c>
      <c r="K101" s="1372" t="str">
        <f t="shared" si="69"/>
        <v>Nicor Gas PY7-PY10 Adjustable Goals Template_2017-06-30, Tab 4.4.10</v>
      </c>
      <c r="L101" s="1639">
        <v>876.23372130559653</v>
      </c>
      <c r="M101" s="1639">
        <v>876.23372130559653</v>
      </c>
      <c r="N101" s="1639">
        <v>876.23372130559653</v>
      </c>
      <c r="O101" s="1639">
        <v>876.23372130559653</v>
      </c>
      <c r="P101" s="1637">
        <v>0.68</v>
      </c>
      <c r="Q101" s="1637">
        <v>0.68</v>
      </c>
      <c r="R101" s="1637">
        <v>0.68</v>
      </c>
      <c r="S101" s="1637">
        <v>0.68</v>
      </c>
      <c r="T101" s="1640">
        <f t="shared" si="70"/>
        <v>1787.5167914634169</v>
      </c>
      <c r="U101" s="1640">
        <f t="shared" si="71"/>
        <v>1787.5167914634169</v>
      </c>
      <c r="V101" s="1640">
        <f t="shared" si="72"/>
        <v>1787.5167914634169</v>
      </c>
      <c r="W101" s="1640">
        <f t="shared" si="73"/>
        <v>1787.5167914634169</v>
      </c>
      <c r="X101" s="1640">
        <f t="shared" si="74"/>
        <v>7150.0671658536676</v>
      </c>
      <c r="Y101" s="1372" t="str">
        <f t="shared" si="94"/>
        <v>CI-HVC-BOIL-V05-150601</v>
      </c>
      <c r="Z101" s="1372" t="str">
        <f t="shared" si="97"/>
        <v>Nicor Gas PY7-PY10 Adjustable Goals Template_2017-06-30, Tab 4.4.10</v>
      </c>
      <c r="AA101" s="1840">
        <f t="shared" si="98"/>
        <v>876.23372130559653</v>
      </c>
      <c r="AB101" s="2028"/>
      <c r="AC101" s="1840">
        <f t="shared" si="75"/>
        <v>1787.5167914634169</v>
      </c>
      <c r="AD101" s="1840">
        <f t="shared" si="76"/>
        <v>0</v>
      </c>
      <c r="AE101" s="1372" t="s">
        <v>198</v>
      </c>
      <c r="AF101" s="1372" t="s">
        <v>3359</v>
      </c>
      <c r="AG101" s="1639">
        <v>876.23372130559653</v>
      </c>
      <c r="AH101" s="1372" t="s">
        <v>3445</v>
      </c>
      <c r="AI101" s="1640">
        <f t="shared" si="77"/>
        <v>1787.5167914634169</v>
      </c>
      <c r="AJ101" s="1638">
        <f t="shared" si="78"/>
        <v>0</v>
      </c>
      <c r="AK101" s="1372" t="s">
        <v>198</v>
      </c>
      <c r="AL101" s="1372" t="s">
        <v>3359</v>
      </c>
      <c r="AM101" s="1639">
        <v>876.23372130559653</v>
      </c>
      <c r="AN101" s="1372" t="str">
        <f t="shared" si="95"/>
        <v>No change</v>
      </c>
      <c r="AO101" s="1640">
        <f t="shared" si="79"/>
        <v>1787.5167914634169</v>
      </c>
      <c r="AP101" s="1638">
        <f t="shared" si="80"/>
        <v>0</v>
      </c>
      <c r="AQ101" s="1372" t="s">
        <v>198</v>
      </c>
      <c r="AR101" s="1372" t="s">
        <v>3359</v>
      </c>
      <c r="AS101" s="1639">
        <v>876.23372130559653</v>
      </c>
      <c r="AT101" s="1372" t="str">
        <f t="shared" si="96"/>
        <v>No change</v>
      </c>
      <c r="AU101" s="1640">
        <f t="shared" si="81"/>
        <v>1787.5167914634169</v>
      </c>
      <c r="AV101" s="1638">
        <f t="shared" si="82"/>
        <v>0</v>
      </c>
      <c r="AW101" s="2044">
        <f t="shared" si="83"/>
        <v>1787.5167914634169</v>
      </c>
      <c r="AX101" s="2044">
        <f t="shared" si="84"/>
        <v>1787.5167914634169</v>
      </c>
      <c r="AY101" s="2044">
        <f t="shared" si="85"/>
        <v>1787.5167914634169</v>
      </c>
      <c r="AZ101" s="2044">
        <f t="shared" si="86"/>
        <v>1787.5167914634169</v>
      </c>
      <c r="BA101" s="2045">
        <f t="shared" si="87"/>
        <v>7150.0671658536676</v>
      </c>
      <c r="BB101" s="2045" t="str">
        <f>+'[9]4.4.10'!$A$1</f>
        <v>4.4.10</v>
      </c>
      <c r="BC101" s="2045" t="str">
        <f>+'[9]4.4.10'!$A$1</f>
        <v>4.4.10</v>
      </c>
      <c r="BD101" s="2045">
        <v>0</v>
      </c>
      <c r="BE101" s="2051">
        <v>20</v>
      </c>
      <c r="BF101" s="2051">
        <v>20</v>
      </c>
      <c r="BG101" s="2051">
        <v>20</v>
      </c>
      <c r="BH101" s="2051">
        <v>20</v>
      </c>
      <c r="BI101" s="2045">
        <f t="shared" si="63"/>
        <v>35750.335829268341</v>
      </c>
      <c r="BJ101" s="2045">
        <f t="shared" si="64"/>
        <v>35750.335829268341</v>
      </c>
      <c r="BK101" s="2045">
        <f t="shared" si="65"/>
        <v>35750.335829268341</v>
      </c>
      <c r="BL101" s="2045">
        <f t="shared" si="66"/>
        <v>35750.335829268341</v>
      </c>
      <c r="BM101" s="2045">
        <f t="shared" si="88"/>
        <v>143001.34331707336</v>
      </c>
      <c r="BN101" s="2047">
        <v>20</v>
      </c>
      <c r="BO101" s="2047">
        <v>20</v>
      </c>
      <c r="BP101" s="2047">
        <v>20</v>
      </c>
      <c r="BQ101" s="2047">
        <v>20</v>
      </c>
      <c r="BR101" s="2048">
        <f t="shared" si="89"/>
        <v>35750.335829268341</v>
      </c>
      <c r="BS101" s="2048">
        <f t="shared" si="90"/>
        <v>35750.335829268341</v>
      </c>
      <c r="BT101" s="2048">
        <f t="shared" si="91"/>
        <v>35750.335829268341</v>
      </c>
      <c r="BU101" s="2048">
        <f t="shared" si="92"/>
        <v>35750.335829268341</v>
      </c>
      <c r="BV101" s="1840">
        <f t="shared" si="93"/>
        <v>143001.34331707336</v>
      </c>
      <c r="BW101" s="2064" t="e">
        <f>INT(#REF!)=INT(BA101)</f>
        <v>#REF!</v>
      </c>
      <c r="BX101" s="2064">
        <v>94</v>
      </c>
      <c r="BY101" s="2064" t="s">
        <v>512</v>
      </c>
    </row>
    <row r="102" spans="1:77" s="1976" customFormat="1" ht="62" x14ac:dyDescent="0.35">
      <c r="A102" s="1372" t="s">
        <v>1494</v>
      </c>
      <c r="B102" s="1372" t="s">
        <v>2619</v>
      </c>
      <c r="C102" s="1637">
        <v>0</v>
      </c>
      <c r="D102" s="2053" t="str">
        <f>+'[9]4.4.10'!$A$1</f>
        <v>4.4.10</v>
      </c>
      <c r="E102" s="1372" t="s">
        <v>163</v>
      </c>
      <c r="F102" s="1638">
        <v>10</v>
      </c>
      <c r="G102" s="1638">
        <v>10</v>
      </c>
      <c r="H102" s="1638">
        <v>10</v>
      </c>
      <c r="I102" s="1638">
        <v>10</v>
      </c>
      <c r="J102" s="1372" t="str">
        <f>+'[9]4.4.10'!$B$22</f>
        <v>CI-HVC-BOIL-V05-150601</v>
      </c>
      <c r="K102" s="1372" t="str">
        <f t="shared" si="69"/>
        <v>Nicor Gas PY7-PY10 Adjustable Goals Template_2017-06-30, Tab 4.4.10</v>
      </c>
      <c r="L102" s="1639">
        <v>2336.6232568149239</v>
      </c>
      <c r="M102" s="1639">
        <v>2336.6232568149239</v>
      </c>
      <c r="N102" s="1639">
        <v>2336.6232568149239</v>
      </c>
      <c r="O102" s="1639">
        <v>2336.6232568149239</v>
      </c>
      <c r="P102" s="1637">
        <v>0.68</v>
      </c>
      <c r="Q102" s="1637">
        <v>0.68</v>
      </c>
      <c r="R102" s="1637">
        <v>0.68</v>
      </c>
      <c r="S102" s="1637">
        <v>0.68</v>
      </c>
      <c r="T102" s="1640">
        <f t="shared" si="70"/>
        <v>15889.038146341485</v>
      </c>
      <c r="U102" s="1640">
        <f t="shared" si="71"/>
        <v>15889.038146341485</v>
      </c>
      <c r="V102" s="1640">
        <f t="shared" si="72"/>
        <v>15889.038146341485</v>
      </c>
      <c r="W102" s="1640">
        <f t="shared" si="73"/>
        <v>15889.038146341485</v>
      </c>
      <c r="X102" s="1640">
        <f t="shared" si="74"/>
        <v>63556.15258536594</v>
      </c>
      <c r="Y102" s="1372" t="str">
        <f t="shared" si="94"/>
        <v>CI-HVC-BOIL-V05-150601</v>
      </c>
      <c r="Z102" s="1372" t="str">
        <f t="shared" si="97"/>
        <v>Nicor Gas PY7-PY10 Adjustable Goals Template_2017-06-30, Tab 4.4.10</v>
      </c>
      <c r="AA102" s="1840">
        <f t="shared" si="98"/>
        <v>2336.6232568149239</v>
      </c>
      <c r="AB102" s="2028"/>
      <c r="AC102" s="1840">
        <f t="shared" si="75"/>
        <v>15889.038146341485</v>
      </c>
      <c r="AD102" s="1840">
        <f t="shared" si="76"/>
        <v>0</v>
      </c>
      <c r="AE102" s="1372" t="s">
        <v>198</v>
      </c>
      <c r="AF102" s="1372" t="s">
        <v>3359</v>
      </c>
      <c r="AG102" s="1639">
        <v>2336.6232568149239</v>
      </c>
      <c r="AH102" s="1372" t="s">
        <v>3445</v>
      </c>
      <c r="AI102" s="1640">
        <f t="shared" si="77"/>
        <v>15889.038146341485</v>
      </c>
      <c r="AJ102" s="1638">
        <f t="shared" si="78"/>
        <v>0</v>
      </c>
      <c r="AK102" s="1372" t="s">
        <v>198</v>
      </c>
      <c r="AL102" s="1372" t="s">
        <v>3359</v>
      </c>
      <c r="AM102" s="1639">
        <v>2336.6232568149239</v>
      </c>
      <c r="AN102" s="1372" t="str">
        <f t="shared" si="95"/>
        <v>No change</v>
      </c>
      <c r="AO102" s="1640">
        <f t="shared" si="79"/>
        <v>15889.038146341485</v>
      </c>
      <c r="AP102" s="1638">
        <f t="shared" si="80"/>
        <v>0</v>
      </c>
      <c r="AQ102" s="1372" t="s">
        <v>198</v>
      </c>
      <c r="AR102" s="1372" t="s">
        <v>3359</v>
      </c>
      <c r="AS102" s="1639">
        <v>2336.6232568149239</v>
      </c>
      <c r="AT102" s="1372" t="str">
        <f t="shared" si="96"/>
        <v>No change</v>
      </c>
      <c r="AU102" s="1640">
        <f t="shared" si="81"/>
        <v>15889.038146341485</v>
      </c>
      <c r="AV102" s="1638">
        <f t="shared" si="82"/>
        <v>0</v>
      </c>
      <c r="AW102" s="2044">
        <f t="shared" si="83"/>
        <v>15889.038146341485</v>
      </c>
      <c r="AX102" s="2044">
        <f t="shared" si="84"/>
        <v>15889.038146341485</v>
      </c>
      <c r="AY102" s="2044">
        <f t="shared" si="85"/>
        <v>15889.038146341485</v>
      </c>
      <c r="AZ102" s="2044">
        <f t="shared" si="86"/>
        <v>15889.038146341485</v>
      </c>
      <c r="BA102" s="2045">
        <f t="shared" si="87"/>
        <v>63556.15258536594</v>
      </c>
      <c r="BB102" s="2045" t="str">
        <f>+'[9]4.4.10'!$A$1</f>
        <v>4.4.10</v>
      </c>
      <c r="BC102" s="2045" t="str">
        <f>+'[9]4.4.10'!$A$1</f>
        <v>4.4.10</v>
      </c>
      <c r="BD102" s="2045">
        <v>0</v>
      </c>
      <c r="BE102" s="2051">
        <v>20</v>
      </c>
      <c r="BF102" s="2051">
        <v>20</v>
      </c>
      <c r="BG102" s="2051">
        <v>20</v>
      </c>
      <c r="BH102" s="2051">
        <v>20</v>
      </c>
      <c r="BI102" s="2045">
        <f t="shared" si="63"/>
        <v>317780.76292682969</v>
      </c>
      <c r="BJ102" s="2045">
        <f t="shared" si="64"/>
        <v>317780.76292682969</v>
      </c>
      <c r="BK102" s="2045">
        <f t="shared" si="65"/>
        <v>317780.76292682969</v>
      </c>
      <c r="BL102" s="2045">
        <f t="shared" si="66"/>
        <v>317780.76292682969</v>
      </c>
      <c r="BM102" s="2045">
        <f t="shared" si="88"/>
        <v>1271123.0517073188</v>
      </c>
      <c r="BN102" s="2047">
        <v>20</v>
      </c>
      <c r="BO102" s="2047">
        <v>20</v>
      </c>
      <c r="BP102" s="2047">
        <v>20</v>
      </c>
      <c r="BQ102" s="2047">
        <v>20</v>
      </c>
      <c r="BR102" s="2048">
        <f t="shared" si="89"/>
        <v>317780.76292682969</v>
      </c>
      <c r="BS102" s="2048">
        <f t="shared" si="90"/>
        <v>317780.76292682969</v>
      </c>
      <c r="BT102" s="2048">
        <f t="shared" si="91"/>
        <v>317780.76292682969</v>
      </c>
      <c r="BU102" s="2048">
        <f t="shared" si="92"/>
        <v>317780.76292682969</v>
      </c>
      <c r="BV102" s="1840">
        <f t="shared" si="93"/>
        <v>1271123.0517073188</v>
      </c>
      <c r="BW102" s="2064" t="e">
        <f>INT(#REF!)=INT(BA102)</f>
        <v>#REF!</v>
      </c>
      <c r="BX102" s="2064">
        <v>95</v>
      </c>
      <c r="BY102" s="2064" t="s">
        <v>512</v>
      </c>
    </row>
    <row r="103" spans="1:77" s="1976" customFormat="1" ht="62" x14ac:dyDescent="0.35">
      <c r="A103" s="1372" t="s">
        <v>1494</v>
      </c>
      <c r="B103" s="1372" t="s">
        <v>2621</v>
      </c>
      <c r="C103" s="1637">
        <v>0</v>
      </c>
      <c r="D103" s="2053" t="str">
        <f>+'[9]4.4.10'!$A$1</f>
        <v>4.4.10</v>
      </c>
      <c r="E103" s="1372" t="s">
        <v>163</v>
      </c>
      <c r="F103" s="1638">
        <v>6</v>
      </c>
      <c r="G103" s="1638">
        <v>6</v>
      </c>
      <c r="H103" s="1638">
        <v>6</v>
      </c>
      <c r="I103" s="1638">
        <v>6</v>
      </c>
      <c r="J103" s="1372" t="str">
        <f>+'[9]4.4.10'!$B$22</f>
        <v>CI-HVC-BOIL-V05-150601</v>
      </c>
      <c r="K103" s="1372" t="str">
        <f t="shared" si="69"/>
        <v>Nicor Gas PY7-PY10 Adjustable Goals Template_2017-06-30, Tab 4.4.10</v>
      </c>
      <c r="L103" s="1639">
        <v>4258.179448994787</v>
      </c>
      <c r="M103" s="1639">
        <v>4258.179448994787</v>
      </c>
      <c r="N103" s="1639">
        <v>4258.179448994787</v>
      </c>
      <c r="O103" s="1639">
        <v>4258.179448994787</v>
      </c>
      <c r="P103" s="1637">
        <v>0.68</v>
      </c>
      <c r="Q103" s="1637">
        <v>0.68</v>
      </c>
      <c r="R103" s="1637">
        <v>0.68</v>
      </c>
      <c r="S103" s="1637">
        <v>0.68</v>
      </c>
      <c r="T103" s="1640">
        <f t="shared" si="70"/>
        <v>17373.372151898733</v>
      </c>
      <c r="U103" s="1640">
        <f t="shared" si="71"/>
        <v>17373.372151898733</v>
      </c>
      <c r="V103" s="1640">
        <f t="shared" si="72"/>
        <v>17373.372151898733</v>
      </c>
      <c r="W103" s="1640">
        <f t="shared" si="73"/>
        <v>17373.372151898733</v>
      </c>
      <c r="X103" s="1640">
        <f t="shared" si="74"/>
        <v>69493.488607594933</v>
      </c>
      <c r="Y103" s="1372" t="str">
        <f t="shared" si="94"/>
        <v>CI-HVC-BOIL-V05-150601</v>
      </c>
      <c r="Z103" s="1372" t="str">
        <f t="shared" si="97"/>
        <v>Nicor Gas PY7-PY10 Adjustable Goals Template_2017-06-30, Tab 4.4.10</v>
      </c>
      <c r="AA103" s="1840">
        <f t="shared" si="98"/>
        <v>4258.179448994787</v>
      </c>
      <c r="AB103" s="2028"/>
      <c r="AC103" s="1840">
        <f t="shared" si="75"/>
        <v>17373.372151898733</v>
      </c>
      <c r="AD103" s="1840">
        <f t="shared" si="76"/>
        <v>0</v>
      </c>
      <c r="AE103" s="1372" t="s">
        <v>198</v>
      </c>
      <c r="AF103" s="1372" t="s">
        <v>3359</v>
      </c>
      <c r="AG103" s="1639">
        <v>4258.179448994787</v>
      </c>
      <c r="AH103" s="1372" t="s">
        <v>3445</v>
      </c>
      <c r="AI103" s="1640">
        <f t="shared" si="77"/>
        <v>17373.372151898733</v>
      </c>
      <c r="AJ103" s="1638">
        <f t="shared" si="78"/>
        <v>0</v>
      </c>
      <c r="AK103" s="1372" t="s">
        <v>198</v>
      </c>
      <c r="AL103" s="1372" t="s">
        <v>3359</v>
      </c>
      <c r="AM103" s="1639">
        <v>4258.179448994787</v>
      </c>
      <c r="AN103" s="1372" t="str">
        <f t="shared" si="95"/>
        <v>No change</v>
      </c>
      <c r="AO103" s="1640">
        <f t="shared" si="79"/>
        <v>17373.372151898733</v>
      </c>
      <c r="AP103" s="1638">
        <f t="shared" si="80"/>
        <v>0</v>
      </c>
      <c r="AQ103" s="1372" t="s">
        <v>198</v>
      </c>
      <c r="AR103" s="1372" t="s">
        <v>3359</v>
      </c>
      <c r="AS103" s="1639">
        <v>4258.179448994787</v>
      </c>
      <c r="AT103" s="1372" t="str">
        <f t="shared" si="96"/>
        <v>No change</v>
      </c>
      <c r="AU103" s="1640">
        <f t="shared" si="81"/>
        <v>17373.372151898733</v>
      </c>
      <c r="AV103" s="1638">
        <f t="shared" si="82"/>
        <v>0</v>
      </c>
      <c r="AW103" s="2044">
        <f t="shared" si="83"/>
        <v>17373.372151898733</v>
      </c>
      <c r="AX103" s="2044">
        <f t="shared" si="84"/>
        <v>17373.372151898733</v>
      </c>
      <c r="AY103" s="2044">
        <f t="shared" si="85"/>
        <v>17373.372151898733</v>
      </c>
      <c r="AZ103" s="2044">
        <f t="shared" si="86"/>
        <v>17373.372151898733</v>
      </c>
      <c r="BA103" s="2045">
        <f t="shared" si="87"/>
        <v>69493.488607594933</v>
      </c>
      <c r="BB103" s="2045" t="str">
        <f>+'[9]4.4.10'!$A$1</f>
        <v>4.4.10</v>
      </c>
      <c r="BC103" s="2045" t="str">
        <f>+'[9]4.4.10'!$A$1</f>
        <v>4.4.10</v>
      </c>
      <c r="BD103" s="2045">
        <v>0</v>
      </c>
      <c r="BE103" s="2051">
        <v>20</v>
      </c>
      <c r="BF103" s="2051">
        <v>20</v>
      </c>
      <c r="BG103" s="2051">
        <v>20</v>
      </c>
      <c r="BH103" s="2051">
        <v>20</v>
      </c>
      <c r="BI103" s="2045">
        <f t="shared" si="63"/>
        <v>347467.44303797459</v>
      </c>
      <c r="BJ103" s="2045">
        <f t="shared" si="64"/>
        <v>347467.44303797459</v>
      </c>
      <c r="BK103" s="2045">
        <f t="shared" si="65"/>
        <v>347467.44303797459</v>
      </c>
      <c r="BL103" s="2045">
        <f t="shared" si="66"/>
        <v>347467.44303797459</v>
      </c>
      <c r="BM103" s="2045">
        <f t="shared" si="88"/>
        <v>1389869.7721518984</v>
      </c>
      <c r="BN103" s="2047">
        <v>20</v>
      </c>
      <c r="BO103" s="2047">
        <v>20</v>
      </c>
      <c r="BP103" s="2047">
        <v>20</v>
      </c>
      <c r="BQ103" s="2047">
        <v>20</v>
      </c>
      <c r="BR103" s="2048">
        <f t="shared" si="89"/>
        <v>347467.44303797459</v>
      </c>
      <c r="BS103" s="2048">
        <f t="shared" si="90"/>
        <v>347467.44303797459</v>
      </c>
      <c r="BT103" s="2048">
        <f t="shared" si="91"/>
        <v>347467.44303797459</v>
      </c>
      <c r="BU103" s="2048">
        <f t="shared" si="92"/>
        <v>347467.44303797459</v>
      </c>
      <c r="BV103" s="1840">
        <f t="shared" si="93"/>
        <v>1389869.7721518984</v>
      </c>
      <c r="BW103" s="2064" t="e">
        <f>INT(#REF!)=INT(BA103)</f>
        <v>#REF!</v>
      </c>
      <c r="BX103" s="2064">
        <v>96</v>
      </c>
      <c r="BY103" s="2064" t="s">
        <v>512</v>
      </c>
    </row>
    <row r="104" spans="1:77" s="1976" customFormat="1" ht="62" x14ac:dyDescent="0.35">
      <c r="A104" s="1372" t="s">
        <v>1494</v>
      </c>
      <c r="B104" s="1372" t="s">
        <v>2737</v>
      </c>
      <c r="C104" s="1637">
        <v>1</v>
      </c>
      <c r="D104" s="2055" t="str">
        <f>+'[9]4.3.1'!$A$1</f>
        <v>4.3.1</v>
      </c>
      <c r="E104" s="1372" t="s">
        <v>163</v>
      </c>
      <c r="F104" s="1638">
        <v>8</v>
      </c>
      <c r="G104" s="1638">
        <v>8</v>
      </c>
      <c r="H104" s="1638">
        <v>8</v>
      </c>
      <c r="I104" s="1638">
        <v>8</v>
      </c>
      <c r="J104" s="1372" t="str">
        <f>+'[9]4.3.1'!$B$18</f>
        <v>CI-HWE-STWH-V03-180101</v>
      </c>
      <c r="K104" s="1372" t="str">
        <f t="shared" si="69"/>
        <v>Nicor Gas PY7-PY10 Adjustable Goals Template_2017-06-30, Tab 4.3.1</v>
      </c>
      <c r="L104" s="1639">
        <v>75.320565972222212</v>
      </c>
      <c r="M104" s="1639">
        <v>75.320565972222212</v>
      </c>
      <c r="N104" s="1639">
        <v>75.320565972222212</v>
      </c>
      <c r="O104" s="1639">
        <v>75.320565972222212</v>
      </c>
      <c r="P104" s="1637">
        <v>0.68</v>
      </c>
      <c r="Q104" s="1637">
        <v>0.68</v>
      </c>
      <c r="R104" s="1637">
        <v>0.68</v>
      </c>
      <c r="S104" s="1637">
        <v>0.68</v>
      </c>
      <c r="T104" s="1640">
        <f t="shared" si="70"/>
        <v>409.74387888888884</v>
      </c>
      <c r="U104" s="1640">
        <f t="shared" si="71"/>
        <v>409.74387888888884</v>
      </c>
      <c r="V104" s="1640">
        <f t="shared" si="72"/>
        <v>409.74387888888884</v>
      </c>
      <c r="W104" s="1640">
        <f t="shared" si="73"/>
        <v>409.74387888888884</v>
      </c>
      <c r="X104" s="1640">
        <f t="shared" si="74"/>
        <v>1638.9755155555554</v>
      </c>
      <c r="Y104" s="1372" t="str">
        <f t="shared" si="94"/>
        <v>CI-HWE-STWH-V03-180101</v>
      </c>
      <c r="Z104" s="1372" t="str">
        <f t="shared" si="97"/>
        <v>Nicor Gas PY7-PY10 Adjustable Goals Template_2017-06-30, Tab 4.3.1</v>
      </c>
      <c r="AA104" s="2024">
        <f t="shared" si="98"/>
        <v>75.320565972222212</v>
      </c>
      <c r="AB104" s="2028"/>
      <c r="AC104" s="1840">
        <f t="shared" si="75"/>
        <v>409.74387888888884</v>
      </c>
      <c r="AD104" s="1840">
        <f t="shared" si="76"/>
        <v>0</v>
      </c>
      <c r="AE104" s="1372" t="s">
        <v>2790</v>
      </c>
      <c r="AF104" s="1372" t="s">
        <v>3360</v>
      </c>
      <c r="AG104" s="1981">
        <v>344.80641505167961</v>
      </c>
      <c r="AH104" s="1372" t="s">
        <v>3446</v>
      </c>
      <c r="AI104" s="1640">
        <f t="shared" si="77"/>
        <v>1875.7468978811371</v>
      </c>
      <c r="AJ104" s="1638">
        <f t="shared" si="78"/>
        <v>1466.0030189922481</v>
      </c>
      <c r="AK104" s="1372" t="s">
        <v>2790</v>
      </c>
      <c r="AL104" s="1372" t="s">
        <v>3360</v>
      </c>
      <c r="AM104" s="1981">
        <v>344.80641505167961</v>
      </c>
      <c r="AN104" s="1372" t="str">
        <f t="shared" si="95"/>
        <v>Refer TRM V.7 Updates</v>
      </c>
      <c r="AO104" s="1640">
        <f t="shared" si="79"/>
        <v>1875.7468978811371</v>
      </c>
      <c r="AP104" s="1638">
        <f t="shared" si="80"/>
        <v>1466.0030189922481</v>
      </c>
      <c r="AQ104" s="1372" t="s">
        <v>2790</v>
      </c>
      <c r="AR104" s="1372" t="s">
        <v>3360</v>
      </c>
      <c r="AS104" s="1981">
        <v>344.80641505167961</v>
      </c>
      <c r="AT104" s="1372" t="str">
        <f>AH104</f>
        <v>Refer TRM V.7 Updates</v>
      </c>
      <c r="AU104" s="1640">
        <f t="shared" si="81"/>
        <v>1875.7468978811371</v>
      </c>
      <c r="AV104" s="1638">
        <f t="shared" si="82"/>
        <v>1466.0030189922481</v>
      </c>
      <c r="AW104" s="2044">
        <f t="shared" si="83"/>
        <v>409.74387888888884</v>
      </c>
      <c r="AX104" s="2044">
        <f t="shared" si="84"/>
        <v>1875.7468978811371</v>
      </c>
      <c r="AY104" s="2044">
        <f t="shared" si="85"/>
        <v>1875.7468978811371</v>
      </c>
      <c r="AZ104" s="2044">
        <f t="shared" si="86"/>
        <v>1875.7468978811371</v>
      </c>
      <c r="BA104" s="2045">
        <f t="shared" si="87"/>
        <v>6036.9845725323012</v>
      </c>
      <c r="BB104" s="2045" t="str">
        <f>+'[9]4.3.1'!$A$1</f>
        <v>4.3.1</v>
      </c>
      <c r="BC104" s="2045" t="str">
        <f>+'[9]4.3.1'!$A$1</f>
        <v>4.3.1</v>
      </c>
      <c r="BD104" s="2045">
        <v>0</v>
      </c>
      <c r="BE104" s="2051">
        <v>15</v>
      </c>
      <c r="BF104" s="2051">
        <v>15</v>
      </c>
      <c r="BG104" s="2051">
        <v>15</v>
      </c>
      <c r="BH104" s="2051">
        <v>15</v>
      </c>
      <c r="BI104" s="2045">
        <f t="shared" si="63"/>
        <v>6146.158183333333</v>
      </c>
      <c r="BJ104" s="2045">
        <f t="shared" si="64"/>
        <v>6146.158183333333</v>
      </c>
      <c r="BK104" s="2045">
        <f t="shared" si="65"/>
        <v>6146.158183333333</v>
      </c>
      <c r="BL104" s="2045">
        <f t="shared" si="66"/>
        <v>6146.158183333333</v>
      </c>
      <c r="BM104" s="2045">
        <f t="shared" si="88"/>
        <v>24584.632733333332</v>
      </c>
      <c r="BN104" s="2047">
        <v>15</v>
      </c>
      <c r="BO104" s="2047">
        <v>15</v>
      </c>
      <c r="BP104" s="2047">
        <v>15</v>
      </c>
      <c r="BQ104" s="2047">
        <v>15</v>
      </c>
      <c r="BR104" s="2048">
        <f t="shared" si="89"/>
        <v>6146.158183333333</v>
      </c>
      <c r="BS104" s="2048">
        <f t="shared" si="90"/>
        <v>28136.203468217056</v>
      </c>
      <c r="BT104" s="2048">
        <f t="shared" si="91"/>
        <v>28136.203468217056</v>
      </c>
      <c r="BU104" s="2048">
        <f t="shared" si="92"/>
        <v>28136.203468217056</v>
      </c>
      <c r="BV104" s="1840">
        <f t="shared" si="93"/>
        <v>90554.768587984494</v>
      </c>
      <c r="BW104" s="2064" t="e">
        <f>INT(#REF!)=INT(BA104)</f>
        <v>#REF!</v>
      </c>
      <c r="BX104" s="2064">
        <v>97</v>
      </c>
      <c r="BY104" s="2064" t="s">
        <v>512</v>
      </c>
    </row>
    <row r="105" spans="1:77" s="1976" customFormat="1" ht="62" x14ac:dyDescent="0.35">
      <c r="A105" s="1372" t="s">
        <v>1494</v>
      </c>
      <c r="B105" s="1372" t="s">
        <v>3292</v>
      </c>
      <c r="C105" s="1637">
        <v>0</v>
      </c>
      <c r="D105" s="2056" t="str">
        <f>+'[9]4.4.18'!$A$1</f>
        <v>4.4.18</v>
      </c>
      <c r="E105" s="1372" t="s">
        <v>201</v>
      </c>
      <c r="F105" s="1638">
        <v>20</v>
      </c>
      <c r="G105" s="1638">
        <v>20</v>
      </c>
      <c r="H105" s="1638">
        <v>20</v>
      </c>
      <c r="I105" s="1638">
        <v>20</v>
      </c>
      <c r="J105" s="1372" t="str">
        <f>+'[9]4.4.18'!$B$19</f>
        <v>CI-HVC-PROG-V02-150601</v>
      </c>
      <c r="K105" s="1372" t="str">
        <f t="shared" si="69"/>
        <v>Nicor Gas PY7-PY10 Adjustable Goals Template_2017-06-30, Tab 4.4.18</v>
      </c>
      <c r="L105" s="1639">
        <v>37.855312500000004</v>
      </c>
      <c r="M105" s="1639">
        <v>37.855312500000004</v>
      </c>
      <c r="N105" s="1639">
        <v>37.855312500000004</v>
      </c>
      <c r="O105" s="1639">
        <v>37.855312500000004</v>
      </c>
      <c r="P105" s="1637">
        <v>0.68</v>
      </c>
      <c r="Q105" s="1637">
        <v>0.68</v>
      </c>
      <c r="R105" s="1637">
        <v>0.68</v>
      </c>
      <c r="S105" s="1637">
        <v>0.68</v>
      </c>
      <c r="T105" s="1640">
        <f t="shared" si="70"/>
        <v>514.83225000000004</v>
      </c>
      <c r="U105" s="1640">
        <f t="shared" si="71"/>
        <v>514.83225000000004</v>
      </c>
      <c r="V105" s="1640">
        <f t="shared" si="72"/>
        <v>514.83225000000004</v>
      </c>
      <c r="W105" s="1640">
        <f t="shared" si="73"/>
        <v>514.83225000000004</v>
      </c>
      <c r="X105" s="1640">
        <f t="shared" si="74"/>
        <v>2059.3290000000002</v>
      </c>
      <c r="Y105" s="1372" t="str">
        <f t="shared" si="94"/>
        <v>CI-HVC-PROG-V02-150601</v>
      </c>
      <c r="Z105" s="1372" t="str">
        <f t="shared" si="97"/>
        <v>Nicor Gas PY7-PY10 Adjustable Goals Template_2017-06-30, Tab 4.4.18</v>
      </c>
      <c r="AA105" s="1840">
        <f t="shared" si="98"/>
        <v>37.855312500000004</v>
      </c>
      <c r="AB105" s="2028"/>
      <c r="AC105" s="1840">
        <f t="shared" si="75"/>
        <v>514.83225000000004</v>
      </c>
      <c r="AD105" s="1840">
        <f t="shared" si="76"/>
        <v>0</v>
      </c>
      <c r="AE105" s="1372" t="s">
        <v>3138</v>
      </c>
      <c r="AF105" s="1372" t="s">
        <v>3386</v>
      </c>
      <c r="AG105" s="1639">
        <v>37.855312500000004</v>
      </c>
      <c r="AH105" s="1372" t="s">
        <v>3445</v>
      </c>
      <c r="AI105" s="1640">
        <f t="shared" si="77"/>
        <v>514.83225000000004</v>
      </c>
      <c r="AJ105" s="1638">
        <f t="shared" si="78"/>
        <v>0</v>
      </c>
      <c r="AK105" s="1372" t="s">
        <v>3138</v>
      </c>
      <c r="AL105" s="1372" t="s">
        <v>3386</v>
      </c>
      <c r="AM105" s="1639">
        <v>37.855312500000004</v>
      </c>
      <c r="AN105" s="1372" t="str">
        <f t="shared" si="95"/>
        <v>No change</v>
      </c>
      <c r="AO105" s="1640">
        <f t="shared" si="79"/>
        <v>514.83225000000004</v>
      </c>
      <c r="AP105" s="1638">
        <f t="shared" si="80"/>
        <v>0</v>
      </c>
      <c r="AQ105" s="1372" t="s">
        <v>3138</v>
      </c>
      <c r="AR105" s="1372" t="s">
        <v>3386</v>
      </c>
      <c r="AS105" s="1639">
        <v>37.855312500000004</v>
      </c>
      <c r="AT105" s="1372" t="str">
        <f t="shared" ref="AT105:AT118" si="99">$AH105</f>
        <v>No change</v>
      </c>
      <c r="AU105" s="1640">
        <f t="shared" si="81"/>
        <v>514.83225000000004</v>
      </c>
      <c r="AV105" s="1638">
        <f t="shared" si="82"/>
        <v>0</v>
      </c>
      <c r="AW105" s="2044">
        <f t="shared" si="83"/>
        <v>514.83225000000004</v>
      </c>
      <c r="AX105" s="2044">
        <f t="shared" si="84"/>
        <v>514.83225000000004</v>
      </c>
      <c r="AY105" s="2044">
        <f t="shared" si="85"/>
        <v>514.83225000000004</v>
      </c>
      <c r="AZ105" s="2044">
        <f t="shared" si="86"/>
        <v>514.83225000000004</v>
      </c>
      <c r="BA105" s="2045">
        <f t="shared" si="87"/>
        <v>2059.3290000000002</v>
      </c>
      <c r="BB105" s="2045" t="str">
        <f>+'[9]4.4.18'!$A$1</f>
        <v>4.4.18</v>
      </c>
      <c r="BC105" s="2045" t="str">
        <f>+'[9]4.4.18'!$A$1</f>
        <v>4.4.18</v>
      </c>
      <c r="BD105" s="2045">
        <v>0</v>
      </c>
      <c r="BE105" s="2051">
        <v>2</v>
      </c>
      <c r="BF105" s="2051">
        <v>2</v>
      </c>
      <c r="BG105" s="2051">
        <v>2</v>
      </c>
      <c r="BH105" s="2051">
        <v>2</v>
      </c>
      <c r="BI105" s="2045">
        <f t="shared" si="63"/>
        <v>1029.6645000000003</v>
      </c>
      <c r="BJ105" s="2045">
        <f t="shared" si="64"/>
        <v>1029.6645000000003</v>
      </c>
      <c r="BK105" s="2045">
        <f t="shared" si="65"/>
        <v>1029.6645000000003</v>
      </c>
      <c r="BL105" s="2045">
        <f t="shared" si="66"/>
        <v>1029.6645000000003</v>
      </c>
      <c r="BM105" s="2045">
        <f t="shared" si="88"/>
        <v>4118.6580000000013</v>
      </c>
      <c r="BN105" s="2047">
        <v>2</v>
      </c>
      <c r="BO105" s="2047">
        <v>2</v>
      </c>
      <c r="BP105" s="2047">
        <v>2</v>
      </c>
      <c r="BQ105" s="2047">
        <v>2</v>
      </c>
      <c r="BR105" s="2048">
        <f t="shared" si="89"/>
        <v>1029.6645000000003</v>
      </c>
      <c r="BS105" s="2048">
        <f t="shared" si="90"/>
        <v>1029.6645000000003</v>
      </c>
      <c r="BT105" s="2048">
        <f t="shared" si="91"/>
        <v>1029.6645000000003</v>
      </c>
      <c r="BU105" s="2048">
        <f t="shared" si="92"/>
        <v>1029.6645000000003</v>
      </c>
      <c r="BV105" s="1840">
        <f t="shared" si="93"/>
        <v>4118.6580000000013</v>
      </c>
      <c r="BW105" s="2064" t="e">
        <f>INT(#REF!)=INT(BA105)</f>
        <v>#REF!</v>
      </c>
      <c r="BX105" s="2064">
        <v>98</v>
      </c>
      <c r="BY105" s="2064" t="s">
        <v>512</v>
      </c>
    </row>
    <row r="106" spans="1:77" s="1976" customFormat="1" ht="62" x14ac:dyDescent="0.35">
      <c r="A106" s="1372" t="s">
        <v>1494</v>
      </c>
      <c r="B106" s="1372" t="s">
        <v>2626</v>
      </c>
      <c r="C106" s="1637">
        <v>0</v>
      </c>
      <c r="D106" s="2053" t="str">
        <f>+'[9]4.4.11'!$A$1</f>
        <v>4.4.11</v>
      </c>
      <c r="E106" s="1372" t="s">
        <v>163</v>
      </c>
      <c r="F106" s="1638">
        <v>20</v>
      </c>
      <c r="G106" s="1638">
        <v>20</v>
      </c>
      <c r="H106" s="1638">
        <v>20</v>
      </c>
      <c r="I106" s="1638">
        <v>20</v>
      </c>
      <c r="J106" s="1372" t="str">
        <f>+'[9]4.4.11'!$B$14</f>
        <v>CI-HVC-FRNC-V07-180101</v>
      </c>
      <c r="K106" s="1372" t="str">
        <f t="shared" si="69"/>
        <v>Nicor Gas PY7-PY10 Adjustable Goals Template_2017-06-30, Tab 4.4.11</v>
      </c>
      <c r="L106" s="1639">
        <v>386.04093749999998</v>
      </c>
      <c r="M106" s="1639">
        <v>386.04093749999998</v>
      </c>
      <c r="N106" s="1639">
        <v>386.04093749999998</v>
      </c>
      <c r="O106" s="1639">
        <v>386.04093749999998</v>
      </c>
      <c r="P106" s="1637">
        <v>0.68</v>
      </c>
      <c r="Q106" s="1637">
        <v>0.68</v>
      </c>
      <c r="R106" s="1637">
        <v>0.68</v>
      </c>
      <c r="S106" s="1637">
        <v>0.68</v>
      </c>
      <c r="T106" s="1640">
        <f t="shared" si="70"/>
        <v>5250.1567500000001</v>
      </c>
      <c r="U106" s="1640">
        <f t="shared" si="71"/>
        <v>5250.1567500000001</v>
      </c>
      <c r="V106" s="1640">
        <f t="shared" si="72"/>
        <v>5250.1567500000001</v>
      </c>
      <c r="W106" s="1640">
        <f t="shared" si="73"/>
        <v>5250.1567500000001</v>
      </c>
      <c r="X106" s="1640">
        <f t="shared" si="74"/>
        <v>21000.627</v>
      </c>
      <c r="Y106" s="1372" t="str">
        <f t="shared" si="94"/>
        <v>CI-HVC-FRNC-V07-180101</v>
      </c>
      <c r="Z106" s="1372" t="str">
        <f t="shared" si="97"/>
        <v>Nicor Gas PY7-PY10 Adjustable Goals Template_2017-06-30, Tab 4.4.11</v>
      </c>
      <c r="AA106" s="1840">
        <f t="shared" si="98"/>
        <v>386.04093749999998</v>
      </c>
      <c r="AB106" s="2028"/>
      <c r="AC106" s="1840">
        <f t="shared" si="75"/>
        <v>5250.1567500000001</v>
      </c>
      <c r="AD106" s="1840">
        <f t="shared" si="76"/>
        <v>0</v>
      </c>
      <c r="AE106" s="1372" t="s">
        <v>2795</v>
      </c>
      <c r="AF106" s="1372" t="s">
        <v>3362</v>
      </c>
      <c r="AG106" s="1639">
        <v>386.04093749999998</v>
      </c>
      <c r="AH106" s="1372" t="s">
        <v>3445</v>
      </c>
      <c r="AI106" s="1640">
        <f t="shared" si="77"/>
        <v>5250.1567500000001</v>
      </c>
      <c r="AJ106" s="1638">
        <f t="shared" si="78"/>
        <v>0</v>
      </c>
      <c r="AK106" s="1372" t="s">
        <v>2795</v>
      </c>
      <c r="AL106" s="1372" t="s">
        <v>3362</v>
      </c>
      <c r="AM106" s="1639">
        <v>386.04093749999998</v>
      </c>
      <c r="AN106" s="1372" t="str">
        <f t="shared" si="95"/>
        <v>No change</v>
      </c>
      <c r="AO106" s="1640">
        <f t="shared" si="79"/>
        <v>5250.1567500000001</v>
      </c>
      <c r="AP106" s="1638">
        <f t="shared" si="80"/>
        <v>0</v>
      </c>
      <c r="AQ106" s="1372" t="s">
        <v>2795</v>
      </c>
      <c r="AR106" s="1372" t="s">
        <v>3362</v>
      </c>
      <c r="AS106" s="1639">
        <v>386.04093749999998</v>
      </c>
      <c r="AT106" s="1372" t="str">
        <f t="shared" si="99"/>
        <v>No change</v>
      </c>
      <c r="AU106" s="1640">
        <f t="shared" si="81"/>
        <v>5250.1567500000001</v>
      </c>
      <c r="AV106" s="1638">
        <f t="shared" si="82"/>
        <v>0</v>
      </c>
      <c r="AW106" s="2044">
        <f t="shared" si="83"/>
        <v>5250.1567500000001</v>
      </c>
      <c r="AX106" s="2044">
        <f t="shared" si="84"/>
        <v>5250.1567500000001</v>
      </c>
      <c r="AY106" s="2044">
        <f t="shared" si="85"/>
        <v>5250.1567500000001</v>
      </c>
      <c r="AZ106" s="2044">
        <f t="shared" si="86"/>
        <v>5250.1567500000001</v>
      </c>
      <c r="BA106" s="2045">
        <f t="shared" si="87"/>
        <v>21000.627</v>
      </c>
      <c r="BB106" s="2045" t="str">
        <f>+'[9]4.4.11'!$A$1</f>
        <v>4.4.11</v>
      </c>
      <c r="BC106" s="2045" t="str">
        <f>+'[9]4.4.11'!$A$1</f>
        <v>4.4.11</v>
      </c>
      <c r="BD106" s="2045">
        <v>0</v>
      </c>
      <c r="BE106" s="2051">
        <v>16.5</v>
      </c>
      <c r="BF106" s="2051">
        <v>16.5</v>
      </c>
      <c r="BG106" s="2051">
        <v>16.5</v>
      </c>
      <c r="BH106" s="2051">
        <v>16.5</v>
      </c>
      <c r="BI106" s="2045">
        <f t="shared" si="63"/>
        <v>86627.586374999999</v>
      </c>
      <c r="BJ106" s="2045">
        <f t="shared" si="64"/>
        <v>86627.586374999999</v>
      </c>
      <c r="BK106" s="2045">
        <f t="shared" si="65"/>
        <v>86627.586374999999</v>
      </c>
      <c r="BL106" s="2045">
        <f t="shared" si="66"/>
        <v>86627.586374999999</v>
      </c>
      <c r="BM106" s="2045">
        <f t="shared" si="88"/>
        <v>346510.3455</v>
      </c>
      <c r="BN106" s="2047">
        <v>16.5</v>
      </c>
      <c r="BO106" s="2047">
        <v>16.5</v>
      </c>
      <c r="BP106" s="2047">
        <v>16.5</v>
      </c>
      <c r="BQ106" s="2047">
        <v>16.5</v>
      </c>
      <c r="BR106" s="2048">
        <f t="shared" si="89"/>
        <v>86627.586374999999</v>
      </c>
      <c r="BS106" s="2048">
        <f t="shared" si="90"/>
        <v>86627.586374999999</v>
      </c>
      <c r="BT106" s="2048">
        <f t="shared" si="91"/>
        <v>86627.586374999999</v>
      </c>
      <c r="BU106" s="2048">
        <f t="shared" si="92"/>
        <v>86627.586374999999</v>
      </c>
      <c r="BV106" s="1840">
        <f t="shared" si="93"/>
        <v>346510.3455</v>
      </c>
      <c r="BW106" s="2064" t="e">
        <f>INT(#REF!)=INT(BA106)</f>
        <v>#REF!</v>
      </c>
      <c r="BX106" s="2064">
        <v>99</v>
      </c>
      <c r="BY106" s="2064" t="s">
        <v>512</v>
      </c>
    </row>
    <row r="107" spans="1:77" s="1976" customFormat="1" ht="62" x14ac:dyDescent="0.35">
      <c r="A107" s="1372" t="s">
        <v>1494</v>
      </c>
      <c r="B107" s="1372" t="s">
        <v>2762</v>
      </c>
      <c r="C107" s="1637">
        <v>0</v>
      </c>
      <c r="D107" s="2053" t="str">
        <f>+'[9]4.4.5'!$A$1</f>
        <v>4.4.5</v>
      </c>
      <c r="E107" s="1372" t="s">
        <v>163</v>
      </c>
      <c r="F107" s="1638">
        <v>8</v>
      </c>
      <c r="G107" s="1638">
        <v>8</v>
      </c>
      <c r="H107" s="1638">
        <v>8</v>
      </c>
      <c r="I107" s="1638">
        <v>8</v>
      </c>
      <c r="J107" s="1372" t="str">
        <f>+'[9]4.4.5'!$B$9</f>
        <v>CI-HVC-CUHT-V01-120601</v>
      </c>
      <c r="K107" s="1372" t="str">
        <f t="shared" si="69"/>
        <v>Nicor Gas PY7-PY10 Adjustable Goals Template_2017-06-30, Tab 4.4.5</v>
      </c>
      <c r="L107" s="1639">
        <v>266</v>
      </c>
      <c r="M107" s="1639">
        <v>266</v>
      </c>
      <c r="N107" s="1639">
        <v>266</v>
      </c>
      <c r="O107" s="1639">
        <v>266</v>
      </c>
      <c r="P107" s="1637">
        <v>0.68</v>
      </c>
      <c r="Q107" s="1637">
        <v>0.68</v>
      </c>
      <c r="R107" s="1637">
        <v>0.68</v>
      </c>
      <c r="S107" s="1637">
        <v>0.68</v>
      </c>
      <c r="T107" s="1640">
        <f t="shared" si="70"/>
        <v>1447.0400000000002</v>
      </c>
      <c r="U107" s="1640">
        <f t="shared" si="71"/>
        <v>1447.0400000000002</v>
      </c>
      <c r="V107" s="1640">
        <f t="shared" si="72"/>
        <v>1447.0400000000002</v>
      </c>
      <c r="W107" s="1640">
        <f t="shared" si="73"/>
        <v>1447.0400000000002</v>
      </c>
      <c r="X107" s="1640">
        <f t="shared" si="74"/>
        <v>5788.1600000000008</v>
      </c>
      <c r="Y107" s="1372" t="str">
        <f t="shared" si="94"/>
        <v>CI-HVC-CUHT-V01-120601</v>
      </c>
      <c r="Z107" s="1372" t="str">
        <f t="shared" si="97"/>
        <v>Nicor Gas PY7-PY10 Adjustable Goals Template_2017-06-30, Tab 4.4.5</v>
      </c>
      <c r="AA107" s="1840">
        <f t="shared" si="98"/>
        <v>266</v>
      </c>
      <c r="AB107" s="2028"/>
      <c r="AC107" s="1840">
        <f t="shared" si="75"/>
        <v>1447.0400000000002</v>
      </c>
      <c r="AD107" s="1840">
        <f t="shared" si="76"/>
        <v>0</v>
      </c>
      <c r="AE107" s="1372" t="s">
        <v>199</v>
      </c>
      <c r="AF107" s="1372" t="s">
        <v>3363</v>
      </c>
      <c r="AG107" s="1639">
        <v>266</v>
      </c>
      <c r="AH107" s="1372" t="s">
        <v>3445</v>
      </c>
      <c r="AI107" s="1640">
        <f t="shared" si="77"/>
        <v>1447.0400000000002</v>
      </c>
      <c r="AJ107" s="1638">
        <f t="shared" si="78"/>
        <v>0</v>
      </c>
      <c r="AK107" s="1372" t="s">
        <v>199</v>
      </c>
      <c r="AL107" s="1372" t="s">
        <v>3363</v>
      </c>
      <c r="AM107" s="1639">
        <v>266</v>
      </c>
      <c r="AN107" s="1372" t="str">
        <f t="shared" si="95"/>
        <v>No change</v>
      </c>
      <c r="AO107" s="1640">
        <f t="shared" si="79"/>
        <v>1447.0400000000002</v>
      </c>
      <c r="AP107" s="1638">
        <f t="shared" si="80"/>
        <v>0</v>
      </c>
      <c r="AQ107" s="1372" t="s">
        <v>199</v>
      </c>
      <c r="AR107" s="1372" t="s">
        <v>3363</v>
      </c>
      <c r="AS107" s="1639">
        <v>266</v>
      </c>
      <c r="AT107" s="1372" t="str">
        <f t="shared" si="99"/>
        <v>No change</v>
      </c>
      <c r="AU107" s="1640">
        <f t="shared" si="81"/>
        <v>1447.0400000000002</v>
      </c>
      <c r="AV107" s="1638">
        <f t="shared" si="82"/>
        <v>0</v>
      </c>
      <c r="AW107" s="2044">
        <f t="shared" si="83"/>
        <v>1447.0400000000002</v>
      </c>
      <c r="AX107" s="2044">
        <f t="shared" si="84"/>
        <v>1447.0400000000002</v>
      </c>
      <c r="AY107" s="2044">
        <f t="shared" si="85"/>
        <v>1447.0400000000002</v>
      </c>
      <c r="AZ107" s="2044">
        <f t="shared" si="86"/>
        <v>1447.0400000000002</v>
      </c>
      <c r="BA107" s="2045">
        <f t="shared" si="87"/>
        <v>5788.1600000000008</v>
      </c>
      <c r="BB107" s="2045" t="str">
        <f>+'[9]4.4.5'!$A$1</f>
        <v>4.4.5</v>
      </c>
      <c r="BC107" s="2045" t="str">
        <f>+'[9]4.4.5'!$A$1</f>
        <v>4.4.5</v>
      </c>
      <c r="BD107" s="2045">
        <v>0</v>
      </c>
      <c r="BE107" s="2051">
        <v>12</v>
      </c>
      <c r="BF107" s="2051">
        <v>12</v>
      </c>
      <c r="BG107" s="2051">
        <v>12</v>
      </c>
      <c r="BH107" s="2051">
        <v>12</v>
      </c>
      <c r="BI107" s="2045">
        <f t="shared" si="63"/>
        <v>17364.480000000003</v>
      </c>
      <c r="BJ107" s="2045">
        <f t="shared" si="64"/>
        <v>17364.480000000003</v>
      </c>
      <c r="BK107" s="2045">
        <f t="shared" si="65"/>
        <v>17364.480000000003</v>
      </c>
      <c r="BL107" s="2045">
        <f t="shared" si="66"/>
        <v>17364.480000000003</v>
      </c>
      <c r="BM107" s="2045">
        <f t="shared" si="88"/>
        <v>69457.920000000013</v>
      </c>
      <c r="BN107" s="2047">
        <v>12</v>
      </c>
      <c r="BO107" s="2047">
        <v>12</v>
      </c>
      <c r="BP107" s="2047">
        <v>12</v>
      </c>
      <c r="BQ107" s="2047">
        <v>12</v>
      </c>
      <c r="BR107" s="2048">
        <f t="shared" si="89"/>
        <v>17364.480000000003</v>
      </c>
      <c r="BS107" s="2048">
        <f t="shared" si="90"/>
        <v>17364.480000000003</v>
      </c>
      <c r="BT107" s="2048">
        <f t="shared" si="91"/>
        <v>17364.480000000003</v>
      </c>
      <c r="BU107" s="2048">
        <f t="shared" si="92"/>
        <v>17364.480000000003</v>
      </c>
      <c r="BV107" s="1840">
        <f t="shared" si="93"/>
        <v>69457.920000000013</v>
      </c>
      <c r="BW107" s="2064" t="e">
        <f>INT(#REF!)=INT(BA107)</f>
        <v>#REF!</v>
      </c>
      <c r="BX107" s="2064">
        <v>100</v>
      </c>
      <c r="BY107" s="2064" t="s">
        <v>512</v>
      </c>
    </row>
    <row r="108" spans="1:77" s="1976" customFormat="1" ht="62" x14ac:dyDescent="0.35">
      <c r="A108" s="1372" t="s">
        <v>1494</v>
      </c>
      <c r="B108" s="1372" t="s">
        <v>2765</v>
      </c>
      <c r="C108" s="1637">
        <v>0</v>
      </c>
      <c r="D108" s="2053" t="str">
        <f>+'[9]4.4.12'!$A$1</f>
        <v>4.4.12</v>
      </c>
      <c r="E108" s="1372" t="s">
        <v>163</v>
      </c>
      <c r="F108" s="1638">
        <v>20</v>
      </c>
      <c r="G108" s="1638">
        <v>20</v>
      </c>
      <c r="H108" s="1638">
        <v>20</v>
      </c>
      <c r="I108" s="1638">
        <v>20</v>
      </c>
      <c r="J108" s="1372" t="str">
        <f>+'[9]4.4.12'!$B$16</f>
        <v>CI-HVC-IRHT-V01-120601</v>
      </c>
      <c r="K108" s="1372" t="str">
        <f t="shared" si="69"/>
        <v>Nicor Gas PY7-PY10 Adjustable Goals Template_2017-06-30, Tab 4.4.12</v>
      </c>
      <c r="L108" s="1639">
        <v>451</v>
      </c>
      <c r="M108" s="1639">
        <v>451</v>
      </c>
      <c r="N108" s="1639">
        <v>451</v>
      </c>
      <c r="O108" s="1639">
        <v>451</v>
      </c>
      <c r="P108" s="1637">
        <v>0.68</v>
      </c>
      <c r="Q108" s="1637">
        <v>0.68</v>
      </c>
      <c r="R108" s="1637">
        <v>0.68</v>
      </c>
      <c r="S108" s="1637">
        <v>0.68</v>
      </c>
      <c r="T108" s="1640">
        <f t="shared" si="70"/>
        <v>6133.6</v>
      </c>
      <c r="U108" s="1640">
        <f t="shared" si="71"/>
        <v>6133.6</v>
      </c>
      <c r="V108" s="1640">
        <f t="shared" si="72"/>
        <v>6133.6</v>
      </c>
      <c r="W108" s="1640">
        <f t="shared" si="73"/>
        <v>6133.6</v>
      </c>
      <c r="X108" s="1640">
        <f t="shared" si="74"/>
        <v>24534.400000000001</v>
      </c>
      <c r="Y108" s="1372" t="str">
        <f t="shared" si="94"/>
        <v>CI-HVC-IRHT-V01-120601</v>
      </c>
      <c r="Z108" s="1372" t="str">
        <f t="shared" si="97"/>
        <v>Nicor Gas PY7-PY10 Adjustable Goals Template_2017-06-30, Tab 4.4.12</v>
      </c>
      <c r="AA108" s="1840">
        <f t="shared" si="98"/>
        <v>451</v>
      </c>
      <c r="AB108" s="2028"/>
      <c r="AC108" s="1840">
        <f t="shared" si="75"/>
        <v>6133.6</v>
      </c>
      <c r="AD108" s="1840">
        <f t="shared" si="76"/>
        <v>0</v>
      </c>
      <c r="AE108" s="1372" t="s">
        <v>200</v>
      </c>
      <c r="AF108" s="1372" t="s">
        <v>3364</v>
      </c>
      <c r="AG108" s="1639">
        <v>451</v>
      </c>
      <c r="AH108" s="1372" t="s">
        <v>3445</v>
      </c>
      <c r="AI108" s="1640">
        <f t="shared" si="77"/>
        <v>6133.6</v>
      </c>
      <c r="AJ108" s="1638">
        <f t="shared" si="78"/>
        <v>0</v>
      </c>
      <c r="AK108" s="1372" t="s">
        <v>200</v>
      </c>
      <c r="AL108" s="1372" t="s">
        <v>3364</v>
      </c>
      <c r="AM108" s="1639">
        <v>451</v>
      </c>
      <c r="AN108" s="1372" t="str">
        <f t="shared" si="95"/>
        <v>No change</v>
      </c>
      <c r="AO108" s="1640">
        <f t="shared" si="79"/>
        <v>6133.6</v>
      </c>
      <c r="AP108" s="1638">
        <f t="shared" si="80"/>
        <v>0</v>
      </c>
      <c r="AQ108" s="1372" t="s">
        <v>200</v>
      </c>
      <c r="AR108" s="1372" t="s">
        <v>3364</v>
      </c>
      <c r="AS108" s="1639">
        <v>451</v>
      </c>
      <c r="AT108" s="1372" t="str">
        <f t="shared" si="99"/>
        <v>No change</v>
      </c>
      <c r="AU108" s="1640">
        <f t="shared" si="81"/>
        <v>6133.6</v>
      </c>
      <c r="AV108" s="1638">
        <f t="shared" si="82"/>
        <v>0</v>
      </c>
      <c r="AW108" s="2044">
        <f t="shared" si="83"/>
        <v>6133.6</v>
      </c>
      <c r="AX108" s="2044">
        <f t="shared" si="84"/>
        <v>6133.6</v>
      </c>
      <c r="AY108" s="2044">
        <f t="shared" si="85"/>
        <v>6133.6</v>
      </c>
      <c r="AZ108" s="2044">
        <f t="shared" si="86"/>
        <v>6133.6</v>
      </c>
      <c r="BA108" s="2045">
        <f t="shared" si="87"/>
        <v>24534.400000000001</v>
      </c>
      <c r="BB108" s="2045" t="str">
        <f>+'[9]4.4.12'!$A$1</f>
        <v>4.4.12</v>
      </c>
      <c r="BC108" s="2045" t="str">
        <f>+'[9]4.4.12'!$A$1</f>
        <v>4.4.12</v>
      </c>
      <c r="BD108" s="2045">
        <v>0</v>
      </c>
      <c r="BE108" s="2051">
        <v>12</v>
      </c>
      <c r="BF108" s="2051">
        <v>12</v>
      </c>
      <c r="BG108" s="2051">
        <v>12</v>
      </c>
      <c r="BH108" s="2051">
        <v>12</v>
      </c>
      <c r="BI108" s="2045">
        <f t="shared" si="63"/>
        <v>73603.200000000012</v>
      </c>
      <c r="BJ108" s="2045">
        <f t="shared" si="64"/>
        <v>73603.200000000012</v>
      </c>
      <c r="BK108" s="2045">
        <f t="shared" si="65"/>
        <v>73603.200000000012</v>
      </c>
      <c r="BL108" s="2045">
        <f t="shared" si="66"/>
        <v>73603.200000000012</v>
      </c>
      <c r="BM108" s="2045">
        <f t="shared" si="88"/>
        <v>294412.80000000005</v>
      </c>
      <c r="BN108" s="2047">
        <v>12</v>
      </c>
      <c r="BO108" s="2047">
        <v>12</v>
      </c>
      <c r="BP108" s="2047">
        <v>12</v>
      </c>
      <c r="BQ108" s="2047">
        <v>12</v>
      </c>
      <c r="BR108" s="2048">
        <f t="shared" si="89"/>
        <v>73603.200000000012</v>
      </c>
      <c r="BS108" s="2048">
        <f t="shared" si="90"/>
        <v>73603.200000000012</v>
      </c>
      <c r="BT108" s="2048">
        <f t="shared" si="91"/>
        <v>73603.200000000012</v>
      </c>
      <c r="BU108" s="2048">
        <f t="shared" si="92"/>
        <v>73603.200000000012</v>
      </c>
      <c r="BV108" s="1840">
        <f t="shared" si="93"/>
        <v>294412.80000000005</v>
      </c>
      <c r="BW108" s="2064" t="e">
        <f>INT(#REF!)=INT(BA108)</f>
        <v>#REF!</v>
      </c>
      <c r="BX108" s="2064">
        <v>101</v>
      </c>
      <c r="BY108" s="2064" t="s">
        <v>512</v>
      </c>
    </row>
    <row r="109" spans="1:77" s="1976" customFormat="1" ht="62" x14ac:dyDescent="0.35">
      <c r="A109" s="1372" t="s">
        <v>1494</v>
      </c>
      <c r="B109" s="1372" t="s">
        <v>2757</v>
      </c>
      <c r="C109" s="1637">
        <v>0</v>
      </c>
      <c r="D109" s="2053" t="str">
        <f>+'[9]4.3.6'!$A$1</f>
        <v>4.3.6</v>
      </c>
      <c r="E109" s="1372" t="s">
        <v>163</v>
      </c>
      <c r="F109" s="1638">
        <v>4</v>
      </c>
      <c r="G109" s="1638">
        <v>4</v>
      </c>
      <c r="H109" s="1638">
        <v>4</v>
      </c>
      <c r="I109" s="1638">
        <v>4</v>
      </c>
      <c r="J109" s="1372" t="str">
        <f>+'[9]4.3.6'!$B$12</f>
        <v>CI-HWE-OZLD-VO1-140601</v>
      </c>
      <c r="K109" s="1372" t="str">
        <f t="shared" si="69"/>
        <v>Nicor Gas PY7-PY10 Adjustable Goals Template_2017-06-30, Tab 4.3.6</v>
      </c>
      <c r="L109" s="1639">
        <v>4605</v>
      </c>
      <c r="M109" s="1639">
        <v>4605</v>
      </c>
      <c r="N109" s="1639">
        <v>4605</v>
      </c>
      <c r="O109" s="1639">
        <v>4605</v>
      </c>
      <c r="P109" s="1637">
        <v>0.68</v>
      </c>
      <c r="Q109" s="1637">
        <v>0.68</v>
      </c>
      <c r="R109" s="1637">
        <v>0.68</v>
      </c>
      <c r="S109" s="1637">
        <v>0.68</v>
      </c>
      <c r="T109" s="1640">
        <f t="shared" si="70"/>
        <v>12525.6</v>
      </c>
      <c r="U109" s="1640">
        <f t="shared" si="71"/>
        <v>12525.6</v>
      </c>
      <c r="V109" s="1640">
        <f t="shared" si="72"/>
        <v>12525.6</v>
      </c>
      <c r="W109" s="1640">
        <f t="shared" si="73"/>
        <v>12525.6</v>
      </c>
      <c r="X109" s="1640">
        <f t="shared" si="74"/>
        <v>50102.400000000001</v>
      </c>
      <c r="Y109" s="1372" t="str">
        <f t="shared" si="94"/>
        <v>CI-HWE-OZLD-VO1-140601</v>
      </c>
      <c r="Z109" s="1372" t="str">
        <f t="shared" si="97"/>
        <v>Nicor Gas PY7-PY10 Adjustable Goals Template_2017-06-30, Tab 4.3.6</v>
      </c>
      <c r="AA109" s="1840">
        <f t="shared" si="98"/>
        <v>4605</v>
      </c>
      <c r="AB109" s="2028"/>
      <c r="AC109" s="1840">
        <f t="shared" si="75"/>
        <v>12525.6</v>
      </c>
      <c r="AD109" s="1840">
        <f t="shared" si="76"/>
        <v>0</v>
      </c>
      <c r="AE109" s="1372" t="s">
        <v>2794</v>
      </c>
      <c r="AF109" s="1372" t="s">
        <v>3365</v>
      </c>
      <c r="AG109" s="1639">
        <v>4605</v>
      </c>
      <c r="AH109" s="1372" t="s">
        <v>3445</v>
      </c>
      <c r="AI109" s="1640">
        <f t="shared" si="77"/>
        <v>12525.6</v>
      </c>
      <c r="AJ109" s="1638">
        <f t="shared" si="78"/>
        <v>0</v>
      </c>
      <c r="AK109" s="1372" t="s">
        <v>2794</v>
      </c>
      <c r="AL109" s="1372" t="s">
        <v>3365</v>
      </c>
      <c r="AM109" s="1639">
        <v>4605</v>
      </c>
      <c r="AN109" s="1372" t="str">
        <f t="shared" si="95"/>
        <v>No change</v>
      </c>
      <c r="AO109" s="1640">
        <f t="shared" si="79"/>
        <v>12525.6</v>
      </c>
      <c r="AP109" s="1638">
        <f t="shared" si="80"/>
        <v>0</v>
      </c>
      <c r="AQ109" s="1372" t="s">
        <v>2794</v>
      </c>
      <c r="AR109" s="1372" t="s">
        <v>3365</v>
      </c>
      <c r="AS109" s="1639">
        <v>4605</v>
      </c>
      <c r="AT109" s="1372" t="str">
        <f t="shared" si="99"/>
        <v>No change</v>
      </c>
      <c r="AU109" s="1640">
        <f t="shared" si="81"/>
        <v>12525.6</v>
      </c>
      <c r="AV109" s="1638">
        <f t="shared" si="82"/>
        <v>0</v>
      </c>
      <c r="AW109" s="2044">
        <f t="shared" si="83"/>
        <v>12525.6</v>
      </c>
      <c r="AX109" s="2044">
        <f t="shared" si="84"/>
        <v>12525.6</v>
      </c>
      <c r="AY109" s="2044">
        <f t="shared" si="85"/>
        <v>12525.6</v>
      </c>
      <c r="AZ109" s="2044">
        <f t="shared" si="86"/>
        <v>12525.6</v>
      </c>
      <c r="BA109" s="2045">
        <f t="shared" si="87"/>
        <v>50102.400000000001</v>
      </c>
      <c r="BB109" s="2045" t="str">
        <f>+'[9]4.3.6'!$A$1</f>
        <v>4.3.6</v>
      </c>
      <c r="BC109" s="2045" t="str">
        <f>+'[9]4.3.6'!$A$1</f>
        <v>4.3.6</v>
      </c>
      <c r="BD109" s="2045">
        <v>0</v>
      </c>
      <c r="BE109" s="2051">
        <v>10</v>
      </c>
      <c r="BF109" s="2051">
        <v>10</v>
      </c>
      <c r="BG109" s="2051">
        <v>10</v>
      </c>
      <c r="BH109" s="2051">
        <v>10</v>
      </c>
      <c r="BI109" s="2045">
        <f t="shared" si="63"/>
        <v>125256</v>
      </c>
      <c r="BJ109" s="2045">
        <f t="shared" si="64"/>
        <v>125256</v>
      </c>
      <c r="BK109" s="2045">
        <f t="shared" si="65"/>
        <v>125256</v>
      </c>
      <c r="BL109" s="2045">
        <f t="shared" si="66"/>
        <v>125256</v>
      </c>
      <c r="BM109" s="2045">
        <f t="shared" si="88"/>
        <v>501024</v>
      </c>
      <c r="BN109" s="2047">
        <v>10</v>
      </c>
      <c r="BO109" s="2047">
        <v>10</v>
      </c>
      <c r="BP109" s="2047">
        <v>10</v>
      </c>
      <c r="BQ109" s="2047">
        <v>10</v>
      </c>
      <c r="BR109" s="2048">
        <f t="shared" si="89"/>
        <v>125256</v>
      </c>
      <c r="BS109" s="2048">
        <f t="shared" si="90"/>
        <v>125256</v>
      </c>
      <c r="BT109" s="2048">
        <f t="shared" si="91"/>
        <v>125256</v>
      </c>
      <c r="BU109" s="2048">
        <f t="shared" si="92"/>
        <v>125256</v>
      </c>
      <c r="BV109" s="1840">
        <f t="shared" si="93"/>
        <v>501024</v>
      </c>
      <c r="BW109" s="2064" t="e">
        <f>INT(#REF!)=INT(BA109)</f>
        <v>#REF!</v>
      </c>
      <c r="BX109" s="2064">
        <v>102</v>
      </c>
      <c r="BY109" s="2064" t="s">
        <v>512</v>
      </c>
    </row>
    <row r="110" spans="1:77" s="1976" customFormat="1" ht="62" x14ac:dyDescent="0.35">
      <c r="A110" s="1372" t="s">
        <v>1494</v>
      </c>
      <c r="B110" s="1372" t="s">
        <v>2644</v>
      </c>
      <c r="C110" s="1637">
        <v>0</v>
      </c>
      <c r="D110" s="2053" t="str">
        <f>+'[9]4.4.16'!$A$1</f>
        <v>4.4.16</v>
      </c>
      <c r="E110" s="1372" t="s">
        <v>163</v>
      </c>
      <c r="F110" s="1638">
        <v>67</v>
      </c>
      <c r="G110" s="1638">
        <v>67</v>
      </c>
      <c r="H110" s="1638">
        <v>67</v>
      </c>
      <c r="I110" s="1638">
        <v>67</v>
      </c>
      <c r="J110" s="1372" t="str">
        <f>+'[9]4.4.16'!$B$22</f>
        <v>CI-HVC-STRE-V05-180101</v>
      </c>
      <c r="K110" s="1372" t="str">
        <f t="shared" si="69"/>
        <v>Nicor Gas PY7-PY10 Adjustable Goals Template_2017-06-30, Tab 4.4.16</v>
      </c>
      <c r="L110" s="1639">
        <v>1836.9322135968748</v>
      </c>
      <c r="M110" s="1639">
        <v>1836.9322135968748</v>
      </c>
      <c r="N110" s="1639">
        <v>1836.9322135968748</v>
      </c>
      <c r="O110" s="1639">
        <v>1836.9322135968748</v>
      </c>
      <c r="P110" s="1637">
        <v>0.68</v>
      </c>
      <c r="Q110" s="1637">
        <v>0.68</v>
      </c>
      <c r="R110" s="1637">
        <v>0.68</v>
      </c>
      <c r="S110" s="1637">
        <v>0.68</v>
      </c>
      <c r="T110" s="1640">
        <f t="shared" si="70"/>
        <v>83690.631651473625</v>
      </c>
      <c r="U110" s="1640">
        <f t="shared" si="71"/>
        <v>83690.631651473625</v>
      </c>
      <c r="V110" s="1640">
        <f t="shared" si="72"/>
        <v>83690.631651473625</v>
      </c>
      <c r="W110" s="1640">
        <f t="shared" si="73"/>
        <v>83690.631651473625</v>
      </c>
      <c r="X110" s="1640">
        <f t="shared" si="74"/>
        <v>334762.5266058945</v>
      </c>
      <c r="Y110" s="1372" t="str">
        <f t="shared" si="94"/>
        <v>CI-HVC-STRE-V05-180101</v>
      </c>
      <c r="Z110" s="1372" t="str">
        <f t="shared" si="97"/>
        <v>Nicor Gas PY7-PY10 Adjustable Goals Template_2017-06-30, Tab 4.4.16</v>
      </c>
      <c r="AA110" s="1840">
        <f t="shared" si="98"/>
        <v>1836.9322135968748</v>
      </c>
      <c r="AB110" s="2028"/>
      <c r="AC110" s="1840">
        <f t="shared" si="75"/>
        <v>83690.631651473625</v>
      </c>
      <c r="AD110" s="1840">
        <f t="shared" si="76"/>
        <v>0</v>
      </c>
      <c r="AE110" s="1372" t="s">
        <v>2796</v>
      </c>
      <c r="AF110" s="1372" t="s">
        <v>3382</v>
      </c>
      <c r="AG110" s="1639">
        <v>1836.9322135968748</v>
      </c>
      <c r="AH110" s="1372" t="s">
        <v>3445</v>
      </c>
      <c r="AI110" s="1640">
        <f t="shared" si="77"/>
        <v>83690.631651473625</v>
      </c>
      <c r="AJ110" s="1638">
        <f t="shared" si="78"/>
        <v>0</v>
      </c>
      <c r="AK110" s="1372" t="s">
        <v>2796</v>
      </c>
      <c r="AL110" s="1372" t="s">
        <v>3382</v>
      </c>
      <c r="AM110" s="1639">
        <v>1836.9322135968748</v>
      </c>
      <c r="AN110" s="1372" t="str">
        <f t="shared" si="95"/>
        <v>No change</v>
      </c>
      <c r="AO110" s="1640">
        <f t="shared" si="79"/>
        <v>83690.631651473625</v>
      </c>
      <c r="AP110" s="1638">
        <f t="shared" si="80"/>
        <v>0</v>
      </c>
      <c r="AQ110" s="1372" t="s">
        <v>2796</v>
      </c>
      <c r="AR110" s="1372" t="s">
        <v>3382</v>
      </c>
      <c r="AS110" s="1639">
        <v>1836.9322135968748</v>
      </c>
      <c r="AT110" s="1372" t="str">
        <f t="shared" si="99"/>
        <v>No change</v>
      </c>
      <c r="AU110" s="1640">
        <f t="shared" si="81"/>
        <v>83690.631651473625</v>
      </c>
      <c r="AV110" s="1638">
        <f t="shared" si="82"/>
        <v>0</v>
      </c>
      <c r="AW110" s="2044">
        <f t="shared" si="83"/>
        <v>83690.631651473625</v>
      </c>
      <c r="AX110" s="2044">
        <f t="shared" si="84"/>
        <v>83690.631651473625</v>
      </c>
      <c r="AY110" s="2044">
        <f t="shared" si="85"/>
        <v>83690.631651473625</v>
      </c>
      <c r="AZ110" s="2044">
        <f t="shared" si="86"/>
        <v>83690.631651473625</v>
      </c>
      <c r="BA110" s="2045">
        <f t="shared" si="87"/>
        <v>334762.5266058945</v>
      </c>
      <c r="BB110" s="2045" t="str">
        <f>+'[9]4.4.16'!$A$1</f>
        <v>4.4.16</v>
      </c>
      <c r="BC110" s="2045" t="str">
        <f>+'[9]4.4.16'!$A$1</f>
        <v>4.4.16</v>
      </c>
      <c r="BD110" s="2045">
        <v>0</v>
      </c>
      <c r="BE110" s="2051">
        <v>6</v>
      </c>
      <c r="BF110" s="2051">
        <v>6</v>
      </c>
      <c r="BG110" s="2051">
        <v>6</v>
      </c>
      <c r="BH110" s="2051">
        <v>6</v>
      </c>
      <c r="BI110" s="2045">
        <f t="shared" si="63"/>
        <v>502143.78990884172</v>
      </c>
      <c r="BJ110" s="2045">
        <f t="shared" si="64"/>
        <v>502143.78990884172</v>
      </c>
      <c r="BK110" s="2045">
        <f t="shared" si="65"/>
        <v>502143.78990884172</v>
      </c>
      <c r="BL110" s="2045">
        <f t="shared" si="66"/>
        <v>502143.78990884172</v>
      </c>
      <c r="BM110" s="2045">
        <f t="shared" si="88"/>
        <v>2008575.1596353669</v>
      </c>
      <c r="BN110" s="2047">
        <v>6</v>
      </c>
      <c r="BO110" s="2047">
        <v>6</v>
      </c>
      <c r="BP110" s="2047">
        <v>6</v>
      </c>
      <c r="BQ110" s="2047">
        <v>6</v>
      </c>
      <c r="BR110" s="2048">
        <f t="shared" si="89"/>
        <v>502143.78990884172</v>
      </c>
      <c r="BS110" s="2048">
        <f t="shared" si="90"/>
        <v>502143.78990884172</v>
      </c>
      <c r="BT110" s="2048">
        <f t="shared" si="91"/>
        <v>502143.78990884172</v>
      </c>
      <c r="BU110" s="2048">
        <f t="shared" si="92"/>
        <v>502143.78990884172</v>
      </c>
      <c r="BV110" s="1840">
        <f t="shared" si="93"/>
        <v>2008575.1596353669</v>
      </c>
      <c r="BW110" s="2064" t="e">
        <f>INT(#REF!)=INT(BA110)</f>
        <v>#REF!</v>
      </c>
      <c r="BX110" s="2064">
        <v>103</v>
      </c>
      <c r="BY110" s="2064" t="s">
        <v>512</v>
      </c>
    </row>
    <row r="111" spans="1:77" s="1976" customFormat="1" ht="62" x14ac:dyDescent="0.35">
      <c r="A111" s="1372" t="s">
        <v>1494</v>
      </c>
      <c r="B111" s="1372" t="s">
        <v>2646</v>
      </c>
      <c r="C111" s="1637">
        <v>0</v>
      </c>
      <c r="D111" s="2053" t="str">
        <f>+'[9]4.4.16'!$A$1</f>
        <v>4.4.16</v>
      </c>
      <c r="E111" s="1372" t="s">
        <v>163</v>
      </c>
      <c r="F111" s="1638">
        <v>68</v>
      </c>
      <c r="G111" s="1638">
        <v>68</v>
      </c>
      <c r="H111" s="1638">
        <v>68</v>
      </c>
      <c r="I111" s="1638">
        <v>68</v>
      </c>
      <c r="J111" s="1372" t="str">
        <f>+'[9]4.4.16'!$B$22</f>
        <v>CI-HVC-STRE-V05-180101</v>
      </c>
      <c r="K111" s="1372" t="str">
        <f t="shared" si="69"/>
        <v>Nicor Gas PY7-PY10 Adjustable Goals Template_2017-06-30, Tab 4.4.16</v>
      </c>
      <c r="L111" s="1639">
        <v>7136.5298311999986</v>
      </c>
      <c r="M111" s="1639">
        <v>7136.5298311999986</v>
      </c>
      <c r="N111" s="1639">
        <v>7136.5298311999986</v>
      </c>
      <c r="O111" s="1639">
        <v>7136.5298311999986</v>
      </c>
      <c r="P111" s="1637">
        <v>0.68</v>
      </c>
      <c r="Q111" s="1637">
        <v>0.68</v>
      </c>
      <c r="R111" s="1637">
        <v>0.68</v>
      </c>
      <c r="S111" s="1637">
        <v>0.68</v>
      </c>
      <c r="T111" s="1640">
        <f t="shared" si="70"/>
        <v>329993.13939468795</v>
      </c>
      <c r="U111" s="1640">
        <f t="shared" si="71"/>
        <v>329993.13939468795</v>
      </c>
      <c r="V111" s="1640">
        <f t="shared" si="72"/>
        <v>329993.13939468795</v>
      </c>
      <c r="W111" s="1640">
        <f t="shared" si="73"/>
        <v>329993.13939468795</v>
      </c>
      <c r="X111" s="1640">
        <f t="shared" si="74"/>
        <v>1319972.5575787518</v>
      </c>
      <c r="Y111" s="1372" t="str">
        <f t="shared" si="94"/>
        <v>CI-HVC-STRE-V05-180101</v>
      </c>
      <c r="Z111" s="1372" t="str">
        <f t="shared" si="97"/>
        <v>Nicor Gas PY7-PY10 Adjustable Goals Template_2017-06-30, Tab 4.4.16</v>
      </c>
      <c r="AA111" s="1840">
        <f t="shared" si="98"/>
        <v>7136.5298311999986</v>
      </c>
      <c r="AB111" s="2028"/>
      <c r="AC111" s="1840">
        <f t="shared" si="75"/>
        <v>329993.13939468795</v>
      </c>
      <c r="AD111" s="1840">
        <f t="shared" si="76"/>
        <v>0</v>
      </c>
      <c r="AE111" s="1372" t="s">
        <v>2796</v>
      </c>
      <c r="AF111" s="1372" t="s">
        <v>3382</v>
      </c>
      <c r="AG111" s="1639">
        <v>7136.5298311999986</v>
      </c>
      <c r="AH111" s="1372" t="s">
        <v>3445</v>
      </c>
      <c r="AI111" s="1640">
        <f t="shared" si="77"/>
        <v>329993.13939468795</v>
      </c>
      <c r="AJ111" s="1638">
        <f t="shared" si="78"/>
        <v>0</v>
      </c>
      <c r="AK111" s="1372" t="s">
        <v>2796</v>
      </c>
      <c r="AL111" s="1372" t="s">
        <v>3382</v>
      </c>
      <c r="AM111" s="1639">
        <v>7136.5298311999986</v>
      </c>
      <c r="AN111" s="1372" t="str">
        <f t="shared" si="95"/>
        <v>No change</v>
      </c>
      <c r="AO111" s="1640">
        <f t="shared" si="79"/>
        <v>329993.13939468795</v>
      </c>
      <c r="AP111" s="1638">
        <f t="shared" si="80"/>
        <v>0</v>
      </c>
      <c r="AQ111" s="1372" t="s">
        <v>2796</v>
      </c>
      <c r="AR111" s="1372" t="s">
        <v>3382</v>
      </c>
      <c r="AS111" s="1639">
        <v>7136.5298311999986</v>
      </c>
      <c r="AT111" s="1372" t="str">
        <f t="shared" si="99"/>
        <v>No change</v>
      </c>
      <c r="AU111" s="1640">
        <f t="shared" si="81"/>
        <v>329993.13939468795</v>
      </c>
      <c r="AV111" s="1638">
        <f t="shared" si="82"/>
        <v>0</v>
      </c>
      <c r="AW111" s="2044">
        <f t="shared" si="83"/>
        <v>329993.13939468795</v>
      </c>
      <c r="AX111" s="2044">
        <f t="shared" si="84"/>
        <v>329993.13939468795</v>
      </c>
      <c r="AY111" s="2044">
        <f t="shared" si="85"/>
        <v>329993.13939468795</v>
      </c>
      <c r="AZ111" s="2044">
        <f t="shared" si="86"/>
        <v>329993.13939468795</v>
      </c>
      <c r="BA111" s="2045">
        <f t="shared" si="87"/>
        <v>1319972.5575787518</v>
      </c>
      <c r="BB111" s="2045" t="str">
        <f>+'[9]4.4.16'!$A$1</f>
        <v>4.4.16</v>
      </c>
      <c r="BC111" s="2045" t="str">
        <f>+'[9]4.4.16'!$A$1</f>
        <v>4.4.16</v>
      </c>
      <c r="BD111" s="2045">
        <v>0</v>
      </c>
      <c r="BE111" s="2051">
        <v>6</v>
      </c>
      <c r="BF111" s="2051">
        <v>6</v>
      </c>
      <c r="BG111" s="2051">
        <v>6</v>
      </c>
      <c r="BH111" s="2051">
        <v>6</v>
      </c>
      <c r="BI111" s="2045">
        <f t="shared" si="63"/>
        <v>1979958.8363681277</v>
      </c>
      <c r="BJ111" s="2045">
        <f t="shared" si="64"/>
        <v>1979958.8363681277</v>
      </c>
      <c r="BK111" s="2045">
        <f t="shared" si="65"/>
        <v>1979958.8363681277</v>
      </c>
      <c r="BL111" s="2045">
        <f t="shared" si="66"/>
        <v>1979958.8363681277</v>
      </c>
      <c r="BM111" s="2045">
        <f t="shared" si="88"/>
        <v>7919835.3454725109</v>
      </c>
      <c r="BN111" s="2047">
        <v>6</v>
      </c>
      <c r="BO111" s="2047">
        <v>6</v>
      </c>
      <c r="BP111" s="2047">
        <v>6</v>
      </c>
      <c r="BQ111" s="2047">
        <v>6</v>
      </c>
      <c r="BR111" s="2048">
        <f t="shared" si="89"/>
        <v>1979958.8363681277</v>
      </c>
      <c r="BS111" s="2048">
        <f t="shared" si="90"/>
        <v>1979958.8363681277</v>
      </c>
      <c r="BT111" s="2048">
        <f t="shared" si="91"/>
        <v>1979958.8363681277</v>
      </c>
      <c r="BU111" s="2048">
        <f t="shared" si="92"/>
        <v>1979958.8363681277</v>
      </c>
      <c r="BV111" s="1840">
        <f t="shared" si="93"/>
        <v>7919835.3454725109</v>
      </c>
      <c r="BW111" s="2064" t="e">
        <f>INT(#REF!)=INT(BA111)</f>
        <v>#REF!</v>
      </c>
      <c r="BX111" s="2064">
        <v>104</v>
      </c>
      <c r="BY111" s="2064" t="s">
        <v>512</v>
      </c>
    </row>
    <row r="112" spans="1:77" s="1976" customFormat="1" ht="18" customHeight="1" x14ac:dyDescent="0.35">
      <c r="A112" s="1372" t="s">
        <v>1494</v>
      </c>
      <c r="B112" s="1372" t="s">
        <v>3021</v>
      </c>
      <c r="C112" s="1637">
        <v>0</v>
      </c>
      <c r="D112" s="1372" t="s">
        <v>295</v>
      </c>
      <c r="E112" s="1372" t="s">
        <v>163</v>
      </c>
      <c r="F112" s="1638">
        <v>32</v>
      </c>
      <c r="G112" s="1638">
        <v>32</v>
      </c>
      <c r="H112" s="1638">
        <v>32</v>
      </c>
      <c r="I112" s="1638">
        <v>32</v>
      </c>
      <c r="J112" s="1372" t="s">
        <v>295</v>
      </c>
      <c r="K112" s="1372" t="str">
        <f t="shared" si="69"/>
        <v/>
      </c>
      <c r="L112" s="1639">
        <v>0</v>
      </c>
      <c r="M112" s="1639">
        <v>0</v>
      </c>
      <c r="N112" s="1639">
        <v>0</v>
      </c>
      <c r="O112" s="1639">
        <v>0</v>
      </c>
      <c r="P112" s="1637">
        <v>0.68</v>
      </c>
      <c r="Q112" s="1637">
        <v>0.68</v>
      </c>
      <c r="R112" s="1637">
        <v>0.68</v>
      </c>
      <c r="S112" s="1637">
        <v>0.68</v>
      </c>
      <c r="T112" s="1640">
        <f t="shared" si="70"/>
        <v>0</v>
      </c>
      <c r="U112" s="1640">
        <f t="shared" si="71"/>
        <v>0</v>
      </c>
      <c r="V112" s="1640">
        <f t="shared" si="72"/>
        <v>0</v>
      </c>
      <c r="W112" s="1640">
        <f t="shared" si="73"/>
        <v>0</v>
      </c>
      <c r="X112" s="1640">
        <f t="shared" si="74"/>
        <v>0</v>
      </c>
      <c r="Y112" s="1829"/>
      <c r="Z112" s="1372" t="str">
        <f t="shared" si="97"/>
        <v/>
      </c>
      <c r="AA112" s="1840">
        <f t="shared" si="98"/>
        <v>0</v>
      </c>
      <c r="AB112" s="2028"/>
      <c r="AC112" s="1840">
        <f t="shared" si="75"/>
        <v>0</v>
      </c>
      <c r="AD112" s="1840">
        <f t="shared" si="76"/>
        <v>0</v>
      </c>
      <c r="AE112" s="1829"/>
      <c r="AF112" s="1829" t="s">
        <v>3361</v>
      </c>
      <c r="AG112" s="1830">
        <v>0</v>
      </c>
      <c r="AH112" s="1372" t="s">
        <v>3445</v>
      </c>
      <c r="AI112" s="1640">
        <f t="shared" si="77"/>
        <v>0</v>
      </c>
      <c r="AJ112" s="1638">
        <f t="shared" si="78"/>
        <v>0</v>
      </c>
      <c r="AK112" s="1829"/>
      <c r="AL112" s="1829" t="s">
        <v>3361</v>
      </c>
      <c r="AM112" s="1830">
        <v>0</v>
      </c>
      <c r="AN112" s="1372" t="str">
        <f t="shared" si="95"/>
        <v>No change</v>
      </c>
      <c r="AO112" s="1640">
        <f t="shared" si="79"/>
        <v>0</v>
      </c>
      <c r="AP112" s="1638">
        <f t="shared" si="80"/>
        <v>0</v>
      </c>
      <c r="AQ112" s="1829"/>
      <c r="AR112" s="1829" t="s">
        <v>3361</v>
      </c>
      <c r="AS112" s="1830">
        <v>0</v>
      </c>
      <c r="AT112" s="1372" t="str">
        <f t="shared" si="99"/>
        <v>No change</v>
      </c>
      <c r="AU112" s="1640">
        <f t="shared" si="81"/>
        <v>0</v>
      </c>
      <c r="AV112" s="1638">
        <f t="shared" si="82"/>
        <v>0</v>
      </c>
      <c r="AW112" s="2044">
        <f t="shared" si="83"/>
        <v>0</v>
      </c>
      <c r="AX112" s="2044">
        <f t="shared" si="84"/>
        <v>0</v>
      </c>
      <c r="AY112" s="2044">
        <f t="shared" si="85"/>
        <v>0</v>
      </c>
      <c r="AZ112" s="2044">
        <f t="shared" si="86"/>
        <v>0</v>
      </c>
      <c r="BA112" s="2045">
        <f t="shared" si="87"/>
        <v>0</v>
      </c>
      <c r="BB112" s="2049"/>
      <c r="BC112" s="2049"/>
      <c r="BD112" s="2045">
        <v>0</v>
      </c>
      <c r="BE112" s="2051">
        <v>1</v>
      </c>
      <c r="BF112" s="2051">
        <v>1</v>
      </c>
      <c r="BG112" s="2051">
        <v>1</v>
      </c>
      <c r="BH112" s="2051">
        <v>1</v>
      </c>
      <c r="BI112" s="2045">
        <f t="shared" si="63"/>
        <v>0</v>
      </c>
      <c r="BJ112" s="2045">
        <f t="shared" si="64"/>
        <v>0</v>
      </c>
      <c r="BK112" s="2045">
        <f t="shared" si="65"/>
        <v>0</v>
      </c>
      <c r="BL112" s="2045">
        <f t="shared" si="66"/>
        <v>0</v>
      </c>
      <c r="BM112" s="2045">
        <f t="shared" si="88"/>
        <v>0</v>
      </c>
      <c r="BN112" s="2047">
        <v>1</v>
      </c>
      <c r="BO112" s="2047">
        <v>1</v>
      </c>
      <c r="BP112" s="2047">
        <v>1</v>
      </c>
      <c r="BQ112" s="2047">
        <v>1</v>
      </c>
      <c r="BR112" s="2048">
        <f t="shared" si="89"/>
        <v>0</v>
      </c>
      <c r="BS112" s="2048">
        <f t="shared" si="90"/>
        <v>0</v>
      </c>
      <c r="BT112" s="2048">
        <f t="shared" si="91"/>
        <v>0</v>
      </c>
      <c r="BU112" s="2048">
        <f t="shared" si="92"/>
        <v>0</v>
      </c>
      <c r="BV112" s="1840">
        <f t="shared" si="93"/>
        <v>0</v>
      </c>
      <c r="BW112" s="2064" t="e">
        <f>INT(#REF!)=INT(BA112)</f>
        <v>#REF!</v>
      </c>
      <c r="BX112" s="2064">
        <v>105</v>
      </c>
      <c r="BY112" s="2064" t="s">
        <v>295</v>
      </c>
    </row>
    <row r="113" spans="1:77" s="1976" customFormat="1" ht="62" x14ac:dyDescent="0.35">
      <c r="A113" s="1372" t="s">
        <v>1494</v>
      </c>
      <c r="B113" s="1372" t="s">
        <v>2749</v>
      </c>
      <c r="C113" s="1637">
        <v>0</v>
      </c>
      <c r="D113" s="2053" t="str">
        <f>+'[9]4.3.2'!$A$1</f>
        <v>4.3.2</v>
      </c>
      <c r="E113" s="1372" t="s">
        <v>201</v>
      </c>
      <c r="F113" s="1638">
        <v>400</v>
      </c>
      <c r="G113" s="1638">
        <v>400</v>
      </c>
      <c r="H113" s="1638">
        <v>400</v>
      </c>
      <c r="I113" s="1638">
        <v>400</v>
      </c>
      <c r="J113" s="1372" t="str">
        <f>+'[9]4.3.2'!$B$15</f>
        <v>CI-HWE-LFFA-V07-180101</v>
      </c>
      <c r="K113" s="1372" t="str">
        <f t="shared" si="69"/>
        <v>Nicor Gas PY7-PY10 Adjustable Goals Template_2017-06-30, Tab 4.3.2</v>
      </c>
      <c r="L113" s="1639">
        <v>35.43134997342311</v>
      </c>
      <c r="M113" s="1639">
        <v>35.43134997342311</v>
      </c>
      <c r="N113" s="1639">
        <v>35.43134997342311</v>
      </c>
      <c r="O113" s="1639">
        <v>35.43134997342311</v>
      </c>
      <c r="P113" s="1637">
        <v>0.68</v>
      </c>
      <c r="Q113" s="1637">
        <v>0.68</v>
      </c>
      <c r="R113" s="1637">
        <v>0.68</v>
      </c>
      <c r="S113" s="1637">
        <v>0.68</v>
      </c>
      <c r="T113" s="1640">
        <f t="shared" si="70"/>
        <v>9637.3271927710866</v>
      </c>
      <c r="U113" s="1640">
        <f t="shared" si="71"/>
        <v>9637.3271927710866</v>
      </c>
      <c r="V113" s="1640">
        <f t="shared" si="72"/>
        <v>9637.3271927710866</v>
      </c>
      <c r="W113" s="1640">
        <f t="shared" si="73"/>
        <v>9637.3271927710866</v>
      </c>
      <c r="X113" s="1640">
        <f t="shared" si="74"/>
        <v>38549.308771084347</v>
      </c>
      <c r="Y113" s="1372" t="str">
        <f t="shared" ref="Y113:Y118" si="100">J113</f>
        <v>CI-HWE-LFFA-V07-180101</v>
      </c>
      <c r="Z113" s="1372" t="str">
        <f t="shared" si="97"/>
        <v>Nicor Gas PY7-PY10 Adjustable Goals Template_2017-06-30, Tab 4.3.2</v>
      </c>
      <c r="AA113" s="2024">
        <f t="shared" si="98"/>
        <v>35.43134997342311</v>
      </c>
      <c r="AB113" s="2028"/>
      <c r="AC113" s="1840">
        <f t="shared" si="75"/>
        <v>9637.3271927710866</v>
      </c>
      <c r="AD113" s="1840">
        <f t="shared" si="76"/>
        <v>0</v>
      </c>
      <c r="AE113" s="1372" t="s">
        <v>2791</v>
      </c>
      <c r="AF113" s="1372" t="s">
        <v>3384</v>
      </c>
      <c r="AG113" s="1639">
        <v>35.43134997342311</v>
      </c>
      <c r="AH113" s="1372" t="s">
        <v>3445</v>
      </c>
      <c r="AI113" s="1640">
        <f t="shared" si="77"/>
        <v>9637.3271927710866</v>
      </c>
      <c r="AJ113" s="1638">
        <f t="shared" si="78"/>
        <v>0</v>
      </c>
      <c r="AK113" s="1372" t="s">
        <v>2791</v>
      </c>
      <c r="AL113" s="1372" t="s">
        <v>3384</v>
      </c>
      <c r="AM113" s="1639">
        <v>35.43134997342311</v>
      </c>
      <c r="AN113" s="1372" t="str">
        <f t="shared" si="95"/>
        <v>No change</v>
      </c>
      <c r="AO113" s="1640">
        <f t="shared" si="79"/>
        <v>9637.3271927710866</v>
      </c>
      <c r="AP113" s="1638">
        <f t="shared" si="80"/>
        <v>0</v>
      </c>
      <c r="AQ113" s="1372" t="s">
        <v>2791</v>
      </c>
      <c r="AR113" s="1372" t="s">
        <v>3384</v>
      </c>
      <c r="AS113" s="1639">
        <v>35.43134997342311</v>
      </c>
      <c r="AT113" s="1372" t="str">
        <f t="shared" si="99"/>
        <v>No change</v>
      </c>
      <c r="AU113" s="1640">
        <f t="shared" si="81"/>
        <v>9637.3271927710866</v>
      </c>
      <c r="AV113" s="1638">
        <f t="shared" si="82"/>
        <v>0</v>
      </c>
      <c r="AW113" s="2044">
        <f t="shared" si="83"/>
        <v>9637.3271927710866</v>
      </c>
      <c r="AX113" s="2044">
        <f t="shared" si="84"/>
        <v>9637.3271927710866</v>
      </c>
      <c r="AY113" s="2044">
        <f t="shared" si="85"/>
        <v>9637.3271927710866</v>
      </c>
      <c r="AZ113" s="2044">
        <f t="shared" si="86"/>
        <v>9637.3271927710866</v>
      </c>
      <c r="BA113" s="2045">
        <f t="shared" si="87"/>
        <v>38549.308771084347</v>
      </c>
      <c r="BB113" s="2045" t="str">
        <f>+'[9]4.3.2'!$A$1</f>
        <v>4.3.2</v>
      </c>
      <c r="BC113" s="2045" t="str">
        <f>+'[9]4.3.2'!$A$1</f>
        <v>4.3.2</v>
      </c>
      <c r="BD113" s="2121">
        <v>1</v>
      </c>
      <c r="BE113" s="2051">
        <v>9</v>
      </c>
      <c r="BF113" s="2051">
        <v>9</v>
      </c>
      <c r="BG113" s="2051">
        <v>9</v>
      </c>
      <c r="BH113" s="2051">
        <v>9</v>
      </c>
      <c r="BI113" s="2045">
        <f t="shared" si="63"/>
        <v>86735.944734939781</v>
      </c>
      <c r="BJ113" s="2045">
        <f t="shared" si="64"/>
        <v>86735.944734939781</v>
      </c>
      <c r="BK113" s="2045">
        <f t="shared" si="65"/>
        <v>86735.944734939781</v>
      </c>
      <c r="BL113" s="2045">
        <f t="shared" si="66"/>
        <v>86735.944734939781</v>
      </c>
      <c r="BM113" s="2045">
        <f t="shared" si="88"/>
        <v>346943.77893975913</v>
      </c>
      <c r="BN113" s="2047">
        <v>9</v>
      </c>
      <c r="BO113" s="2050">
        <v>10</v>
      </c>
      <c r="BP113" s="2050">
        <v>10</v>
      </c>
      <c r="BQ113" s="2050">
        <v>10</v>
      </c>
      <c r="BR113" s="2048">
        <f t="shared" si="89"/>
        <v>86735.944734939781</v>
      </c>
      <c r="BS113" s="2048">
        <f t="shared" si="90"/>
        <v>96373.27192771087</v>
      </c>
      <c r="BT113" s="2048">
        <f t="shared" si="91"/>
        <v>96373.27192771087</v>
      </c>
      <c r="BU113" s="2048">
        <f t="shared" si="92"/>
        <v>96373.27192771087</v>
      </c>
      <c r="BV113" s="1840">
        <f t="shared" si="93"/>
        <v>375855.76051807235</v>
      </c>
      <c r="BW113" s="2064" t="e">
        <f>INT(#REF!)=INT(BA113)</f>
        <v>#REF!</v>
      </c>
      <c r="BX113" s="2064">
        <v>106</v>
      </c>
      <c r="BY113" s="2064" t="s">
        <v>512</v>
      </c>
    </row>
    <row r="114" spans="1:77" s="1976" customFormat="1" ht="61.5" customHeight="1" x14ac:dyDescent="0.35">
      <c r="A114" s="1372" t="s">
        <v>1494</v>
      </c>
      <c r="B114" s="1372" t="s">
        <v>3022</v>
      </c>
      <c r="C114" s="1637">
        <v>0</v>
      </c>
      <c r="D114" s="2056" t="str">
        <f>'[9]4.8.4'!$A$1</f>
        <v>4.8.4</v>
      </c>
      <c r="E114" s="1372" t="s">
        <v>163</v>
      </c>
      <c r="F114" s="1638">
        <v>80</v>
      </c>
      <c r="G114" s="1638">
        <v>80</v>
      </c>
      <c r="H114" s="1638">
        <v>80</v>
      </c>
      <c r="I114" s="1638">
        <v>80</v>
      </c>
      <c r="J114" s="1372" t="str">
        <f>'[9]4.8.4'!$B$11</f>
        <v>CI-MSC-MODD-V01-160601</v>
      </c>
      <c r="K114" s="1372" t="str">
        <f t="shared" si="69"/>
        <v>Nicor Gas PY7-PY10 Adjustable Goals Template_2017-06-30, Tab 4.8.4</v>
      </c>
      <c r="L114" s="1639">
        <v>649.26</v>
      </c>
      <c r="M114" s="1639">
        <v>649.26</v>
      </c>
      <c r="N114" s="1639">
        <v>649.26</v>
      </c>
      <c r="O114" s="1639">
        <v>649.26</v>
      </c>
      <c r="P114" s="1637">
        <v>0.68</v>
      </c>
      <c r="Q114" s="1637">
        <v>0.68</v>
      </c>
      <c r="R114" s="1637">
        <v>0.68</v>
      </c>
      <c r="S114" s="1637">
        <v>0.68</v>
      </c>
      <c r="T114" s="1640">
        <f t="shared" si="70"/>
        <v>35319.744000000006</v>
      </c>
      <c r="U114" s="1640">
        <f t="shared" si="71"/>
        <v>35319.744000000006</v>
      </c>
      <c r="V114" s="1640">
        <f t="shared" si="72"/>
        <v>35319.744000000006</v>
      </c>
      <c r="W114" s="1640">
        <f t="shared" si="73"/>
        <v>35319.744000000006</v>
      </c>
      <c r="X114" s="1640">
        <f t="shared" si="74"/>
        <v>141278.97600000002</v>
      </c>
      <c r="Y114" s="1372" t="str">
        <f t="shared" si="100"/>
        <v>CI-MSC-MODD-V01-160601</v>
      </c>
      <c r="Z114" s="1372" t="str">
        <f t="shared" si="97"/>
        <v>Nicor Gas PY7-PY10 Adjustable Goals Template_2017-06-30, Tab 4.8.4</v>
      </c>
      <c r="AA114" s="1840">
        <f t="shared" si="98"/>
        <v>649.26</v>
      </c>
      <c r="AB114" s="2028"/>
      <c r="AC114" s="1840">
        <f t="shared" si="75"/>
        <v>35319.744000000006</v>
      </c>
      <c r="AD114" s="1840">
        <f t="shared" si="76"/>
        <v>0</v>
      </c>
      <c r="AE114" s="1372" t="s">
        <v>3055</v>
      </c>
      <c r="AF114" s="1372" t="s">
        <v>3367</v>
      </c>
      <c r="AG114" s="1639">
        <v>649.26</v>
      </c>
      <c r="AH114" s="1372" t="s">
        <v>3445</v>
      </c>
      <c r="AI114" s="1640">
        <f t="shared" si="77"/>
        <v>35319.744000000006</v>
      </c>
      <c r="AJ114" s="1638">
        <f t="shared" si="78"/>
        <v>0</v>
      </c>
      <c r="AK114" s="1372" t="s">
        <v>3055</v>
      </c>
      <c r="AL114" s="1372" t="s">
        <v>3367</v>
      </c>
      <c r="AM114" s="1639">
        <v>649.26</v>
      </c>
      <c r="AN114" s="1372" t="str">
        <f t="shared" si="95"/>
        <v>No change</v>
      </c>
      <c r="AO114" s="1640">
        <f t="shared" si="79"/>
        <v>35319.744000000006</v>
      </c>
      <c r="AP114" s="1638">
        <f t="shared" si="80"/>
        <v>0</v>
      </c>
      <c r="AQ114" s="1372" t="s">
        <v>3055</v>
      </c>
      <c r="AR114" s="1372" t="s">
        <v>3367</v>
      </c>
      <c r="AS114" s="1639">
        <v>649.26</v>
      </c>
      <c r="AT114" s="1372" t="str">
        <f t="shared" si="99"/>
        <v>No change</v>
      </c>
      <c r="AU114" s="1640">
        <f t="shared" si="81"/>
        <v>35319.744000000006</v>
      </c>
      <c r="AV114" s="1638">
        <f t="shared" si="82"/>
        <v>0</v>
      </c>
      <c r="AW114" s="2044">
        <f t="shared" si="83"/>
        <v>35319.744000000006</v>
      </c>
      <c r="AX114" s="2044">
        <f t="shared" si="84"/>
        <v>35319.744000000006</v>
      </c>
      <c r="AY114" s="2044">
        <f t="shared" si="85"/>
        <v>35319.744000000006</v>
      </c>
      <c r="AZ114" s="2044">
        <f t="shared" si="86"/>
        <v>35319.744000000006</v>
      </c>
      <c r="BA114" s="2045">
        <f t="shared" si="87"/>
        <v>141278.97600000002</v>
      </c>
      <c r="BB114" s="2045" t="str">
        <f>'[9]4.8.4'!$A$1</f>
        <v>4.8.4</v>
      </c>
      <c r="BC114" s="2045" t="str">
        <f>'[9]4.8.4'!$A$1</f>
        <v>4.8.4</v>
      </c>
      <c r="BD114" s="2045">
        <v>0</v>
      </c>
      <c r="BE114" s="2051">
        <v>14</v>
      </c>
      <c r="BF114" s="2051">
        <v>14</v>
      </c>
      <c r="BG114" s="2051">
        <v>14</v>
      </c>
      <c r="BH114" s="2051">
        <v>14</v>
      </c>
      <c r="BI114" s="2045">
        <f t="shared" si="63"/>
        <v>494476.41600000008</v>
      </c>
      <c r="BJ114" s="2045">
        <f t="shared" si="64"/>
        <v>494476.41600000008</v>
      </c>
      <c r="BK114" s="2045">
        <f t="shared" si="65"/>
        <v>494476.41600000008</v>
      </c>
      <c r="BL114" s="2045">
        <f t="shared" si="66"/>
        <v>494476.41600000008</v>
      </c>
      <c r="BM114" s="2045">
        <f t="shared" si="88"/>
        <v>1977905.6640000003</v>
      </c>
      <c r="BN114" s="2047">
        <v>14</v>
      </c>
      <c r="BO114" s="2047">
        <v>14</v>
      </c>
      <c r="BP114" s="2047">
        <v>14</v>
      </c>
      <c r="BQ114" s="2047">
        <v>14</v>
      </c>
      <c r="BR114" s="2048">
        <f t="shared" si="89"/>
        <v>494476.41600000008</v>
      </c>
      <c r="BS114" s="2048">
        <f t="shared" si="90"/>
        <v>494476.41600000008</v>
      </c>
      <c r="BT114" s="2048">
        <f t="shared" si="91"/>
        <v>494476.41600000008</v>
      </c>
      <c r="BU114" s="2048">
        <f t="shared" si="92"/>
        <v>494476.41600000008</v>
      </c>
      <c r="BV114" s="1840">
        <f t="shared" si="93"/>
        <v>1977905.6640000003</v>
      </c>
      <c r="BW114" s="2064" t="e">
        <f>INT(#REF!)=INT(BA114)</f>
        <v>#REF!</v>
      </c>
      <c r="BX114" s="2064">
        <v>107</v>
      </c>
      <c r="BY114" s="2064" t="s">
        <v>512</v>
      </c>
    </row>
    <row r="115" spans="1:77" s="1976" customFormat="1" ht="61.5" customHeight="1" x14ac:dyDescent="0.35">
      <c r="A115" s="1372" t="s">
        <v>1494</v>
      </c>
      <c r="B115" s="1372" t="s">
        <v>2634</v>
      </c>
      <c r="C115" s="1637">
        <v>0</v>
      </c>
      <c r="D115" s="2053" t="str">
        <f>+'[9]4.4.14'!$A$1</f>
        <v>4.4.14</v>
      </c>
      <c r="E115" s="1372" t="s">
        <v>202</v>
      </c>
      <c r="F115" s="1638">
        <v>800</v>
      </c>
      <c r="G115" s="1638">
        <v>800</v>
      </c>
      <c r="H115" s="1638">
        <v>800</v>
      </c>
      <c r="I115" s="1638">
        <v>800</v>
      </c>
      <c r="J115" s="1372" t="str">
        <f>+'[9]4.4.14'!$B$27</f>
        <v>CI-HVC-PINS-V04-160601</v>
      </c>
      <c r="K115" s="1372" t="str">
        <f t="shared" si="69"/>
        <v>Nicor Gas PY7-PY10 Adjustable Goals Template_2017-06-30, Tab 4.4.14</v>
      </c>
      <c r="L115" s="1639">
        <v>46.861896654275085</v>
      </c>
      <c r="M115" s="1639">
        <v>46.861896654275085</v>
      </c>
      <c r="N115" s="1639">
        <v>46.861896654275085</v>
      </c>
      <c r="O115" s="1639">
        <v>46.861896654275085</v>
      </c>
      <c r="P115" s="1637">
        <v>0.68</v>
      </c>
      <c r="Q115" s="1637">
        <v>0.68</v>
      </c>
      <c r="R115" s="1637">
        <v>0.68</v>
      </c>
      <c r="S115" s="1637">
        <v>0.68</v>
      </c>
      <c r="T115" s="1640">
        <f t="shared" si="70"/>
        <v>25492.871779925648</v>
      </c>
      <c r="U115" s="1640">
        <f t="shared" si="71"/>
        <v>25492.871779925648</v>
      </c>
      <c r="V115" s="1640">
        <f t="shared" si="72"/>
        <v>25492.871779925648</v>
      </c>
      <c r="W115" s="1640">
        <f t="shared" si="73"/>
        <v>25492.871779925648</v>
      </c>
      <c r="X115" s="1640">
        <f t="shared" si="74"/>
        <v>101971.48711970259</v>
      </c>
      <c r="Y115" s="1372" t="str">
        <f t="shared" si="100"/>
        <v>CI-HVC-PINS-V04-160601</v>
      </c>
      <c r="Z115" s="1372" t="str">
        <f t="shared" si="97"/>
        <v>Nicor Gas PY7-PY10 Adjustable Goals Template_2017-06-30, Tab 4.4.14</v>
      </c>
      <c r="AA115" s="1840">
        <f t="shared" si="98"/>
        <v>46.861896654275085</v>
      </c>
      <c r="AB115" s="2028"/>
      <c r="AC115" s="1840">
        <f t="shared" si="75"/>
        <v>25492.871779925648</v>
      </c>
      <c r="AD115" s="1840">
        <f t="shared" si="76"/>
        <v>0</v>
      </c>
      <c r="AE115" s="1372" t="s">
        <v>2577</v>
      </c>
      <c r="AF115" s="1372" t="s">
        <v>3368</v>
      </c>
      <c r="AG115" s="1639">
        <v>46.861896654275085</v>
      </c>
      <c r="AH115" s="1372" t="s">
        <v>3445</v>
      </c>
      <c r="AI115" s="1640">
        <f t="shared" si="77"/>
        <v>25492.871779925648</v>
      </c>
      <c r="AJ115" s="1638">
        <f t="shared" si="78"/>
        <v>0</v>
      </c>
      <c r="AK115" s="1372" t="s">
        <v>2577</v>
      </c>
      <c r="AL115" s="1372" t="s">
        <v>3368</v>
      </c>
      <c r="AM115" s="1639">
        <v>46.861896654275085</v>
      </c>
      <c r="AN115" s="1372" t="str">
        <f t="shared" si="95"/>
        <v>No change</v>
      </c>
      <c r="AO115" s="1640">
        <f t="shared" si="79"/>
        <v>25492.871779925648</v>
      </c>
      <c r="AP115" s="1638">
        <f t="shared" si="80"/>
        <v>0</v>
      </c>
      <c r="AQ115" s="1372" t="s">
        <v>2577</v>
      </c>
      <c r="AR115" s="1372" t="s">
        <v>3368</v>
      </c>
      <c r="AS115" s="1639">
        <v>46.861896654275085</v>
      </c>
      <c r="AT115" s="1372" t="str">
        <f t="shared" si="99"/>
        <v>No change</v>
      </c>
      <c r="AU115" s="1640">
        <f t="shared" si="81"/>
        <v>25492.871779925648</v>
      </c>
      <c r="AV115" s="1638">
        <f t="shared" si="82"/>
        <v>0</v>
      </c>
      <c r="AW115" s="2044">
        <f t="shared" si="83"/>
        <v>25492.871779925648</v>
      </c>
      <c r="AX115" s="2044">
        <f t="shared" si="84"/>
        <v>25492.871779925648</v>
      </c>
      <c r="AY115" s="2044">
        <f t="shared" si="85"/>
        <v>25492.871779925648</v>
      </c>
      <c r="AZ115" s="2044">
        <f t="shared" si="86"/>
        <v>25492.871779925648</v>
      </c>
      <c r="BA115" s="2045">
        <f t="shared" si="87"/>
        <v>101971.48711970259</v>
      </c>
      <c r="BB115" s="2045" t="str">
        <f>+'[9]4.4.14'!$A$1</f>
        <v>4.4.14</v>
      </c>
      <c r="BC115" s="2045" t="str">
        <f>+'[9]4.4.14'!$A$1</f>
        <v>4.4.14</v>
      </c>
      <c r="BD115" s="2045">
        <v>0</v>
      </c>
      <c r="BE115" s="2051">
        <v>15</v>
      </c>
      <c r="BF115" s="2051">
        <v>15</v>
      </c>
      <c r="BG115" s="2051">
        <v>15</v>
      </c>
      <c r="BH115" s="2051">
        <v>15</v>
      </c>
      <c r="BI115" s="2045">
        <f t="shared" si="63"/>
        <v>382393.07669888472</v>
      </c>
      <c r="BJ115" s="2045">
        <f t="shared" si="64"/>
        <v>382393.07669888472</v>
      </c>
      <c r="BK115" s="2045">
        <f t="shared" si="65"/>
        <v>382393.07669888472</v>
      </c>
      <c r="BL115" s="2045">
        <f t="shared" si="66"/>
        <v>382393.07669888472</v>
      </c>
      <c r="BM115" s="2045">
        <f t="shared" si="88"/>
        <v>1529572.3067955389</v>
      </c>
      <c r="BN115" s="2047">
        <v>15</v>
      </c>
      <c r="BO115" s="2047">
        <v>15</v>
      </c>
      <c r="BP115" s="2047">
        <v>15</v>
      </c>
      <c r="BQ115" s="2047">
        <v>15</v>
      </c>
      <c r="BR115" s="2048">
        <f t="shared" si="89"/>
        <v>382393.07669888472</v>
      </c>
      <c r="BS115" s="2048">
        <f t="shared" si="90"/>
        <v>382393.07669888472</v>
      </c>
      <c r="BT115" s="2048">
        <f t="shared" si="91"/>
        <v>382393.07669888472</v>
      </c>
      <c r="BU115" s="2048">
        <f t="shared" si="92"/>
        <v>382393.07669888472</v>
      </c>
      <c r="BV115" s="1840">
        <f t="shared" si="93"/>
        <v>1529572.3067955389</v>
      </c>
      <c r="BW115" s="2064" t="e">
        <f>INT(#REF!)=INT(BA115)</f>
        <v>#REF!</v>
      </c>
      <c r="BX115" s="2064">
        <v>108</v>
      </c>
      <c r="BY115" s="2064" t="s">
        <v>512</v>
      </c>
    </row>
    <row r="116" spans="1:77" s="1976" customFormat="1" ht="61.5" customHeight="1" x14ac:dyDescent="0.35">
      <c r="A116" s="1372" t="s">
        <v>1494</v>
      </c>
      <c r="B116" s="1372" t="s">
        <v>2635</v>
      </c>
      <c r="C116" s="1637">
        <v>0</v>
      </c>
      <c r="D116" s="2053" t="str">
        <f>+'[9]4.4.14'!$A$1</f>
        <v>4.4.14</v>
      </c>
      <c r="E116" s="1372" t="s">
        <v>202</v>
      </c>
      <c r="F116" s="1638">
        <v>7440</v>
      </c>
      <c r="G116" s="1638">
        <v>7440</v>
      </c>
      <c r="H116" s="1638">
        <v>7440</v>
      </c>
      <c r="I116" s="1638">
        <v>7440</v>
      </c>
      <c r="J116" s="1372" t="str">
        <f>+'[9]4.4.14'!$B$27</f>
        <v>CI-HVC-PINS-V04-160601</v>
      </c>
      <c r="K116" s="1372" t="str">
        <f t="shared" si="69"/>
        <v>Nicor Gas PY7-PY10 Adjustable Goals Template_2017-06-30, Tab 4.4.14</v>
      </c>
      <c r="L116" s="1639">
        <v>25.343262525333511</v>
      </c>
      <c r="M116" s="1639">
        <v>25.343262525333511</v>
      </c>
      <c r="N116" s="1639">
        <v>25.343262525333511</v>
      </c>
      <c r="O116" s="1639">
        <v>25.343262525333511</v>
      </c>
      <c r="P116" s="1637">
        <v>0.68</v>
      </c>
      <c r="Q116" s="1637">
        <v>0.68</v>
      </c>
      <c r="R116" s="1637">
        <v>0.68</v>
      </c>
      <c r="S116" s="1637">
        <v>0.68</v>
      </c>
      <c r="T116" s="1640">
        <f t="shared" si="70"/>
        <v>128216.6337681673</v>
      </c>
      <c r="U116" s="1640">
        <f t="shared" si="71"/>
        <v>128216.6337681673</v>
      </c>
      <c r="V116" s="1640">
        <f t="shared" si="72"/>
        <v>128216.6337681673</v>
      </c>
      <c r="W116" s="1640">
        <f t="shared" si="73"/>
        <v>128216.6337681673</v>
      </c>
      <c r="X116" s="1640">
        <f t="shared" si="74"/>
        <v>512866.53507266921</v>
      </c>
      <c r="Y116" s="1372" t="str">
        <f t="shared" si="100"/>
        <v>CI-HVC-PINS-V04-160601</v>
      </c>
      <c r="Z116" s="1372" t="str">
        <f t="shared" si="97"/>
        <v>Nicor Gas PY7-PY10 Adjustable Goals Template_2017-06-30, Tab 4.4.14</v>
      </c>
      <c r="AA116" s="1840">
        <f t="shared" si="98"/>
        <v>25.343262525333511</v>
      </c>
      <c r="AB116" s="2028"/>
      <c r="AC116" s="1840">
        <f t="shared" si="75"/>
        <v>128216.6337681673</v>
      </c>
      <c r="AD116" s="1840">
        <f t="shared" si="76"/>
        <v>0</v>
      </c>
      <c r="AE116" s="1372" t="s">
        <v>2577</v>
      </c>
      <c r="AF116" s="1372" t="s">
        <v>3368</v>
      </c>
      <c r="AG116" s="1639">
        <v>25.343262525333511</v>
      </c>
      <c r="AH116" s="1372" t="s">
        <v>3445</v>
      </c>
      <c r="AI116" s="1640">
        <f t="shared" si="77"/>
        <v>128216.6337681673</v>
      </c>
      <c r="AJ116" s="1638">
        <f t="shared" si="78"/>
        <v>0</v>
      </c>
      <c r="AK116" s="1372" t="s">
        <v>2577</v>
      </c>
      <c r="AL116" s="1372" t="s">
        <v>3368</v>
      </c>
      <c r="AM116" s="1639">
        <v>25.343262525333511</v>
      </c>
      <c r="AN116" s="1372" t="str">
        <f t="shared" si="95"/>
        <v>No change</v>
      </c>
      <c r="AO116" s="1640">
        <f t="shared" si="79"/>
        <v>128216.6337681673</v>
      </c>
      <c r="AP116" s="1638">
        <f t="shared" si="80"/>
        <v>0</v>
      </c>
      <c r="AQ116" s="1372" t="s">
        <v>2577</v>
      </c>
      <c r="AR116" s="1372" t="s">
        <v>3368</v>
      </c>
      <c r="AS116" s="1639">
        <v>25.343262525333511</v>
      </c>
      <c r="AT116" s="1372" t="str">
        <f t="shared" si="99"/>
        <v>No change</v>
      </c>
      <c r="AU116" s="1640">
        <f t="shared" si="81"/>
        <v>128216.6337681673</v>
      </c>
      <c r="AV116" s="1638">
        <f t="shared" si="82"/>
        <v>0</v>
      </c>
      <c r="AW116" s="2044">
        <f t="shared" si="83"/>
        <v>128216.6337681673</v>
      </c>
      <c r="AX116" s="2044">
        <f t="shared" si="84"/>
        <v>128216.6337681673</v>
      </c>
      <c r="AY116" s="2044">
        <f t="shared" si="85"/>
        <v>128216.6337681673</v>
      </c>
      <c r="AZ116" s="2044">
        <f t="shared" si="86"/>
        <v>128216.6337681673</v>
      </c>
      <c r="BA116" s="2045">
        <f t="shared" si="87"/>
        <v>512866.53507266921</v>
      </c>
      <c r="BB116" s="2045" t="str">
        <f>+'[9]4.4.14'!$A$1</f>
        <v>4.4.14</v>
      </c>
      <c r="BC116" s="2045" t="str">
        <f>+'[9]4.4.14'!$A$1</f>
        <v>4.4.14</v>
      </c>
      <c r="BD116" s="2045">
        <v>0</v>
      </c>
      <c r="BE116" s="2051">
        <v>15</v>
      </c>
      <c r="BF116" s="2051">
        <v>15</v>
      </c>
      <c r="BG116" s="2051">
        <v>15</v>
      </c>
      <c r="BH116" s="2051">
        <v>15</v>
      </c>
      <c r="BI116" s="2045">
        <f t="shared" si="63"/>
        <v>1923249.5065225097</v>
      </c>
      <c r="BJ116" s="2045">
        <f t="shared" si="64"/>
        <v>1923249.5065225097</v>
      </c>
      <c r="BK116" s="2045">
        <f t="shared" si="65"/>
        <v>1923249.5065225097</v>
      </c>
      <c r="BL116" s="2045">
        <f t="shared" si="66"/>
        <v>1923249.5065225097</v>
      </c>
      <c r="BM116" s="2045">
        <f t="shared" si="88"/>
        <v>7692998.0260900389</v>
      </c>
      <c r="BN116" s="2047">
        <v>15</v>
      </c>
      <c r="BO116" s="2047">
        <v>15</v>
      </c>
      <c r="BP116" s="2047">
        <v>15</v>
      </c>
      <c r="BQ116" s="2047">
        <v>15</v>
      </c>
      <c r="BR116" s="2048">
        <f t="shared" si="89"/>
        <v>1923249.5065225097</v>
      </c>
      <c r="BS116" s="2048">
        <f t="shared" si="90"/>
        <v>1923249.5065225097</v>
      </c>
      <c r="BT116" s="2048">
        <f t="shared" si="91"/>
        <v>1923249.5065225097</v>
      </c>
      <c r="BU116" s="2048">
        <f t="shared" si="92"/>
        <v>1923249.5065225097</v>
      </c>
      <c r="BV116" s="1840">
        <f t="shared" si="93"/>
        <v>7692998.0260900389</v>
      </c>
      <c r="BW116" s="2064" t="e">
        <f>INT(#REF!)=INT(BA116)</f>
        <v>#REF!</v>
      </c>
      <c r="BX116" s="2064">
        <v>109</v>
      </c>
      <c r="BY116" s="2064" t="s">
        <v>512</v>
      </c>
    </row>
    <row r="117" spans="1:77" s="1976" customFormat="1" ht="61.5" customHeight="1" x14ac:dyDescent="0.35">
      <c r="A117" s="1372" t="s">
        <v>1494</v>
      </c>
      <c r="B117" s="1372" t="s">
        <v>2636</v>
      </c>
      <c r="C117" s="1637">
        <v>0</v>
      </c>
      <c r="D117" s="2053" t="str">
        <f>+'[9]4.4.14'!$A$1</f>
        <v>4.4.14</v>
      </c>
      <c r="E117" s="1372" t="s">
        <v>202</v>
      </c>
      <c r="F117" s="1638">
        <v>1680</v>
      </c>
      <c r="G117" s="1638">
        <v>1680</v>
      </c>
      <c r="H117" s="1638">
        <v>1680</v>
      </c>
      <c r="I117" s="1638">
        <v>1680</v>
      </c>
      <c r="J117" s="1372" t="str">
        <f>+'[9]4.4.14'!$B$27</f>
        <v>CI-HVC-PINS-V04-160601</v>
      </c>
      <c r="K117" s="1372" t="str">
        <f t="shared" si="69"/>
        <v>Nicor Gas PY7-PY10 Adjustable Goals Template_2017-06-30, Tab 4.4.14</v>
      </c>
      <c r="L117" s="1639">
        <v>2.0533046641791044</v>
      </c>
      <c r="M117" s="1639">
        <v>2.0533046641791044</v>
      </c>
      <c r="N117" s="1639">
        <v>2.0533046641791044</v>
      </c>
      <c r="O117" s="1639">
        <v>2.0533046641791044</v>
      </c>
      <c r="P117" s="1637">
        <v>0.68</v>
      </c>
      <c r="Q117" s="1637">
        <v>0.68</v>
      </c>
      <c r="R117" s="1637">
        <v>0.68</v>
      </c>
      <c r="S117" s="1637">
        <v>0.68</v>
      </c>
      <c r="T117" s="1640">
        <f t="shared" si="70"/>
        <v>2345.695248358209</v>
      </c>
      <c r="U117" s="1640">
        <f t="shared" si="71"/>
        <v>2345.695248358209</v>
      </c>
      <c r="V117" s="1640">
        <f t="shared" si="72"/>
        <v>2345.695248358209</v>
      </c>
      <c r="W117" s="1640">
        <f t="shared" si="73"/>
        <v>2345.695248358209</v>
      </c>
      <c r="X117" s="1640">
        <f t="shared" si="74"/>
        <v>9382.7809934328361</v>
      </c>
      <c r="Y117" s="1372" t="str">
        <f t="shared" si="100"/>
        <v>CI-HVC-PINS-V04-160601</v>
      </c>
      <c r="Z117" s="1372" t="str">
        <f t="shared" si="97"/>
        <v>Nicor Gas PY7-PY10 Adjustable Goals Template_2017-06-30, Tab 4.4.14</v>
      </c>
      <c r="AA117" s="1840">
        <f t="shared" si="98"/>
        <v>2.0533046641791044</v>
      </c>
      <c r="AB117" s="2028"/>
      <c r="AC117" s="1840">
        <f t="shared" si="75"/>
        <v>2345.695248358209</v>
      </c>
      <c r="AD117" s="1840">
        <f t="shared" si="76"/>
        <v>0</v>
      </c>
      <c r="AE117" s="1372" t="s">
        <v>2577</v>
      </c>
      <c r="AF117" s="1372" t="s">
        <v>3368</v>
      </c>
      <c r="AG117" s="1639">
        <v>2.0533046641791044</v>
      </c>
      <c r="AH117" s="1372" t="s">
        <v>3445</v>
      </c>
      <c r="AI117" s="1640">
        <f t="shared" si="77"/>
        <v>2345.695248358209</v>
      </c>
      <c r="AJ117" s="1638">
        <f t="shared" si="78"/>
        <v>0</v>
      </c>
      <c r="AK117" s="1372" t="s">
        <v>2577</v>
      </c>
      <c r="AL117" s="1372" t="s">
        <v>3368</v>
      </c>
      <c r="AM117" s="1639">
        <v>2.0533046641791044</v>
      </c>
      <c r="AN117" s="1372" t="str">
        <f t="shared" si="95"/>
        <v>No change</v>
      </c>
      <c r="AO117" s="1640">
        <f t="shared" si="79"/>
        <v>2345.695248358209</v>
      </c>
      <c r="AP117" s="1638">
        <f t="shared" si="80"/>
        <v>0</v>
      </c>
      <c r="AQ117" s="1372" t="s">
        <v>2577</v>
      </c>
      <c r="AR117" s="1372" t="s">
        <v>3368</v>
      </c>
      <c r="AS117" s="1639">
        <v>2.0533046641791044</v>
      </c>
      <c r="AT117" s="1372" t="str">
        <f t="shared" si="99"/>
        <v>No change</v>
      </c>
      <c r="AU117" s="1640">
        <f t="shared" si="81"/>
        <v>2345.695248358209</v>
      </c>
      <c r="AV117" s="1638">
        <f t="shared" si="82"/>
        <v>0</v>
      </c>
      <c r="AW117" s="2044">
        <f t="shared" si="83"/>
        <v>2345.695248358209</v>
      </c>
      <c r="AX117" s="2044">
        <f t="shared" si="84"/>
        <v>2345.695248358209</v>
      </c>
      <c r="AY117" s="2044">
        <f t="shared" si="85"/>
        <v>2345.695248358209</v>
      </c>
      <c r="AZ117" s="2044">
        <f t="shared" si="86"/>
        <v>2345.695248358209</v>
      </c>
      <c r="BA117" s="2045">
        <f t="shared" si="87"/>
        <v>9382.7809934328361</v>
      </c>
      <c r="BB117" s="2045" t="str">
        <f>+'[9]4.4.14'!$A$1</f>
        <v>4.4.14</v>
      </c>
      <c r="BC117" s="2045" t="str">
        <f>+'[9]4.4.14'!$A$1</f>
        <v>4.4.14</v>
      </c>
      <c r="BD117" s="2045">
        <v>0</v>
      </c>
      <c r="BE117" s="2051">
        <v>15</v>
      </c>
      <c r="BF117" s="2051">
        <v>15</v>
      </c>
      <c r="BG117" s="2051">
        <v>15</v>
      </c>
      <c r="BH117" s="2051">
        <v>15</v>
      </c>
      <c r="BI117" s="2045">
        <f t="shared" si="63"/>
        <v>35185.428725373138</v>
      </c>
      <c r="BJ117" s="2045">
        <f t="shared" si="64"/>
        <v>35185.428725373138</v>
      </c>
      <c r="BK117" s="2045">
        <f t="shared" si="65"/>
        <v>35185.428725373138</v>
      </c>
      <c r="BL117" s="2045">
        <f t="shared" si="66"/>
        <v>35185.428725373138</v>
      </c>
      <c r="BM117" s="2045">
        <f t="shared" si="88"/>
        <v>140741.71490149255</v>
      </c>
      <c r="BN117" s="2047">
        <v>15</v>
      </c>
      <c r="BO117" s="2047">
        <v>15</v>
      </c>
      <c r="BP117" s="2047">
        <v>15</v>
      </c>
      <c r="BQ117" s="2047">
        <v>15</v>
      </c>
      <c r="BR117" s="2048">
        <f t="shared" si="89"/>
        <v>35185.428725373138</v>
      </c>
      <c r="BS117" s="2048">
        <f t="shared" si="90"/>
        <v>35185.428725373138</v>
      </c>
      <c r="BT117" s="2048">
        <f t="shared" si="91"/>
        <v>35185.428725373138</v>
      </c>
      <c r="BU117" s="2048">
        <f t="shared" si="92"/>
        <v>35185.428725373138</v>
      </c>
      <c r="BV117" s="1840">
        <f t="shared" si="93"/>
        <v>140741.71490149255</v>
      </c>
      <c r="BW117" s="2064" t="e">
        <f>INT(#REF!)=INT(BA117)</f>
        <v>#REF!</v>
      </c>
      <c r="BX117" s="2064">
        <v>110</v>
      </c>
      <c r="BY117" s="2064" t="s">
        <v>512</v>
      </c>
    </row>
    <row r="118" spans="1:77" s="1976" customFormat="1" ht="61.5" customHeight="1" x14ac:dyDescent="0.35">
      <c r="A118" s="1372" t="s">
        <v>1494</v>
      </c>
      <c r="B118" s="1372" t="s">
        <v>2581</v>
      </c>
      <c r="C118" s="1637">
        <v>0</v>
      </c>
      <c r="D118" s="2053" t="str">
        <f>+'[9]4.2.11'!$A$1</f>
        <v>4.2.11</v>
      </c>
      <c r="E118" s="1372" t="s">
        <v>163</v>
      </c>
      <c r="F118" s="1638">
        <v>36</v>
      </c>
      <c r="G118" s="1638">
        <v>36</v>
      </c>
      <c r="H118" s="1638">
        <v>36</v>
      </c>
      <c r="I118" s="1638">
        <v>36</v>
      </c>
      <c r="J118" s="1372" t="str">
        <f>'[9]4.2.11'!$B$17</f>
        <v>CI-FSE-SPRY-V04-180101</v>
      </c>
      <c r="K118" s="1372" t="str">
        <f t="shared" si="69"/>
        <v>Nicor Gas PY7-PY10 Adjustable Goals Template_2017-06-30, Tab 4.2.11</v>
      </c>
      <c r="L118" s="1639">
        <v>174.78655739999999</v>
      </c>
      <c r="M118" s="1639">
        <v>174.78655739999999</v>
      </c>
      <c r="N118" s="1639">
        <v>174.78655739999999</v>
      </c>
      <c r="O118" s="1639">
        <v>174.78655739999999</v>
      </c>
      <c r="P118" s="1637">
        <v>0.68</v>
      </c>
      <c r="Q118" s="1637">
        <v>0.68</v>
      </c>
      <c r="R118" s="1637">
        <v>0.68</v>
      </c>
      <c r="S118" s="1637">
        <v>0.68</v>
      </c>
      <c r="T118" s="1640">
        <f t="shared" si="70"/>
        <v>4278.7749251519999</v>
      </c>
      <c r="U118" s="1640">
        <f t="shared" si="71"/>
        <v>4278.7749251519999</v>
      </c>
      <c r="V118" s="1640">
        <f t="shared" si="72"/>
        <v>4278.7749251519999</v>
      </c>
      <c r="W118" s="1640">
        <f t="shared" si="73"/>
        <v>4278.7749251519999</v>
      </c>
      <c r="X118" s="1640">
        <f t="shared" si="74"/>
        <v>17115.099700608</v>
      </c>
      <c r="Y118" s="1372" t="str">
        <f t="shared" si="100"/>
        <v>CI-FSE-SPRY-V04-180101</v>
      </c>
      <c r="Z118" s="1372" t="str">
        <f t="shared" si="97"/>
        <v>Nicor Gas PY7-PY10 Adjustable Goals Template_2017-06-30, Tab 4.2.11</v>
      </c>
      <c r="AA118" s="1840">
        <f t="shared" si="98"/>
        <v>174.78655739999999</v>
      </c>
      <c r="AB118" s="2028"/>
      <c r="AC118" s="1840">
        <f t="shared" si="75"/>
        <v>4278.7749251519999</v>
      </c>
      <c r="AD118" s="1840">
        <f t="shared" si="76"/>
        <v>0</v>
      </c>
      <c r="AE118" s="1372" t="s">
        <v>2783</v>
      </c>
      <c r="AF118" s="1372" t="s">
        <v>3383</v>
      </c>
      <c r="AG118" s="1639">
        <v>174.78655739999999</v>
      </c>
      <c r="AH118" s="1372" t="s">
        <v>3445</v>
      </c>
      <c r="AI118" s="1640">
        <f t="shared" si="77"/>
        <v>4278.7749251519999</v>
      </c>
      <c r="AJ118" s="1638">
        <f t="shared" si="78"/>
        <v>0</v>
      </c>
      <c r="AK118" s="1372" t="s">
        <v>2783</v>
      </c>
      <c r="AL118" s="1372" t="s">
        <v>3383</v>
      </c>
      <c r="AM118" s="1639">
        <v>174.78655739999999</v>
      </c>
      <c r="AN118" s="1372" t="str">
        <f t="shared" si="95"/>
        <v>No change</v>
      </c>
      <c r="AO118" s="1640">
        <f t="shared" si="79"/>
        <v>4278.7749251519999</v>
      </c>
      <c r="AP118" s="1638">
        <f t="shared" si="80"/>
        <v>0</v>
      </c>
      <c r="AQ118" s="1372" t="s">
        <v>2783</v>
      </c>
      <c r="AR118" s="1372" t="s">
        <v>3383</v>
      </c>
      <c r="AS118" s="1639">
        <v>174.78655739999999</v>
      </c>
      <c r="AT118" s="1372" t="str">
        <f t="shared" si="99"/>
        <v>No change</v>
      </c>
      <c r="AU118" s="1640">
        <f t="shared" si="81"/>
        <v>4278.7749251519999</v>
      </c>
      <c r="AV118" s="1638">
        <f t="shared" si="82"/>
        <v>0</v>
      </c>
      <c r="AW118" s="2044">
        <f t="shared" si="83"/>
        <v>4278.7749251519999</v>
      </c>
      <c r="AX118" s="2044">
        <f t="shared" si="84"/>
        <v>4278.7749251519999</v>
      </c>
      <c r="AY118" s="2044">
        <f t="shared" si="85"/>
        <v>4278.7749251519999</v>
      </c>
      <c r="AZ118" s="2044">
        <f t="shared" si="86"/>
        <v>4278.7749251519999</v>
      </c>
      <c r="BA118" s="2045">
        <f t="shared" si="87"/>
        <v>17115.099700608</v>
      </c>
      <c r="BB118" s="2045" t="str">
        <f>+'[9]4.2.11'!$A$1</f>
        <v>4.2.11</v>
      </c>
      <c r="BC118" s="2045" t="str">
        <f>+'[9]4.2.11'!$A$1</f>
        <v>4.2.11</v>
      </c>
      <c r="BD118" s="2045">
        <v>0</v>
      </c>
      <c r="BE118" s="2051">
        <v>5</v>
      </c>
      <c r="BF118" s="2051">
        <v>5</v>
      </c>
      <c r="BG118" s="2051">
        <v>5</v>
      </c>
      <c r="BH118" s="2051">
        <v>5</v>
      </c>
      <c r="BI118" s="2045">
        <f t="shared" si="63"/>
        <v>21393.87462576</v>
      </c>
      <c r="BJ118" s="2045">
        <f t="shared" si="64"/>
        <v>21393.87462576</v>
      </c>
      <c r="BK118" s="2045">
        <f t="shared" si="65"/>
        <v>21393.87462576</v>
      </c>
      <c r="BL118" s="2045">
        <f t="shared" si="66"/>
        <v>21393.87462576</v>
      </c>
      <c r="BM118" s="2045">
        <f t="shared" si="88"/>
        <v>85575.498503039998</v>
      </c>
      <c r="BN118" s="2047">
        <v>5</v>
      </c>
      <c r="BO118" s="2047">
        <v>5</v>
      </c>
      <c r="BP118" s="2047">
        <v>5</v>
      </c>
      <c r="BQ118" s="2047">
        <v>5</v>
      </c>
      <c r="BR118" s="2048">
        <f t="shared" si="89"/>
        <v>21393.87462576</v>
      </c>
      <c r="BS118" s="2048">
        <f t="shared" si="90"/>
        <v>21393.87462576</v>
      </c>
      <c r="BT118" s="2048">
        <f t="shared" si="91"/>
        <v>21393.87462576</v>
      </c>
      <c r="BU118" s="2048">
        <f t="shared" si="92"/>
        <v>21393.87462576</v>
      </c>
      <c r="BV118" s="1840">
        <f t="shared" si="93"/>
        <v>85575.498503039998</v>
      </c>
      <c r="BW118" s="2064" t="e">
        <f>INT(#REF!)=INT(BA118)</f>
        <v>#REF!</v>
      </c>
      <c r="BX118" s="2064">
        <v>111</v>
      </c>
      <c r="BY118" s="2064" t="s">
        <v>512</v>
      </c>
    </row>
    <row r="119" spans="1:77" s="1976" customFormat="1" ht="15.5" x14ac:dyDescent="0.35">
      <c r="A119" s="1372" t="s">
        <v>3023</v>
      </c>
      <c r="B119" s="1372" t="s">
        <v>3024</v>
      </c>
      <c r="C119" s="1637">
        <v>0</v>
      </c>
      <c r="D119" s="1372" t="s">
        <v>295</v>
      </c>
      <c r="E119" s="1372" t="s">
        <v>294</v>
      </c>
      <c r="F119" s="1638">
        <v>949200</v>
      </c>
      <c r="G119" s="1638">
        <v>949200</v>
      </c>
      <c r="H119" s="1638">
        <v>949200</v>
      </c>
      <c r="I119" s="1638">
        <v>949200</v>
      </c>
      <c r="J119" s="1372" t="s">
        <v>295</v>
      </c>
      <c r="K119" s="1372" t="str">
        <f t="shared" si="69"/>
        <v/>
      </c>
      <c r="L119" s="1639">
        <v>0.16277800826984984</v>
      </c>
      <c r="M119" s="1639">
        <v>0.16277800826984984</v>
      </c>
      <c r="N119" s="1639">
        <v>0.16277800826984984</v>
      </c>
      <c r="O119" s="1639">
        <v>0.16277800826984984</v>
      </c>
      <c r="P119" s="1637">
        <v>0.77</v>
      </c>
      <c r="Q119" s="1637">
        <v>0.77</v>
      </c>
      <c r="R119" s="1637">
        <v>0.77</v>
      </c>
      <c r="S119" s="1637">
        <v>0.77</v>
      </c>
      <c r="T119" s="1640">
        <f t="shared" si="70"/>
        <v>118971.84179630094</v>
      </c>
      <c r="U119" s="1640">
        <f t="shared" si="71"/>
        <v>118971.84179630094</v>
      </c>
      <c r="V119" s="1640">
        <f t="shared" si="72"/>
        <v>118971.84179630094</v>
      </c>
      <c r="W119" s="1640">
        <f t="shared" si="73"/>
        <v>118971.84179630094</v>
      </c>
      <c r="X119" s="1640">
        <f t="shared" si="74"/>
        <v>475887.36718520377</v>
      </c>
      <c r="Y119" s="1829"/>
      <c r="Z119" s="1372" t="str">
        <f t="shared" si="97"/>
        <v/>
      </c>
      <c r="AA119" s="2024">
        <f t="shared" si="98"/>
        <v>0.16277800826984984</v>
      </c>
      <c r="AB119" s="2028"/>
      <c r="AC119" s="1840">
        <f t="shared" si="75"/>
        <v>118971.84179630094</v>
      </c>
      <c r="AD119" s="1840">
        <f t="shared" si="76"/>
        <v>0</v>
      </c>
      <c r="AE119" s="1829"/>
      <c r="AF119" s="1829" t="s">
        <v>3361</v>
      </c>
      <c r="AG119" s="1830">
        <v>0.16277800826984984</v>
      </c>
      <c r="AH119" s="1829"/>
      <c r="AI119" s="1640">
        <f t="shared" si="77"/>
        <v>118971.84179630094</v>
      </c>
      <c r="AJ119" s="1638">
        <f t="shared" si="78"/>
        <v>0</v>
      </c>
      <c r="AK119" s="1829"/>
      <c r="AL119" s="1829" t="s">
        <v>3361</v>
      </c>
      <c r="AM119" s="1830">
        <v>0.16277800826984984</v>
      </c>
      <c r="AN119" s="1829"/>
      <c r="AO119" s="1640">
        <f t="shared" si="79"/>
        <v>118971.84179630094</v>
      </c>
      <c r="AP119" s="1638">
        <f t="shared" si="80"/>
        <v>0</v>
      </c>
      <c r="AQ119" s="1829"/>
      <c r="AR119" s="1829" t="s">
        <v>3361</v>
      </c>
      <c r="AS119" s="1830">
        <v>0.16277800826984984</v>
      </c>
      <c r="AT119" s="1829"/>
      <c r="AU119" s="1640">
        <f t="shared" si="81"/>
        <v>118971.84179630094</v>
      </c>
      <c r="AV119" s="1638">
        <f t="shared" si="82"/>
        <v>0</v>
      </c>
      <c r="AW119" s="2044">
        <f t="shared" si="83"/>
        <v>118971.84179630094</v>
      </c>
      <c r="AX119" s="2044">
        <f t="shared" si="84"/>
        <v>118971.84179630094</v>
      </c>
      <c r="AY119" s="2044">
        <f t="shared" si="85"/>
        <v>118971.84179630094</v>
      </c>
      <c r="AZ119" s="2044">
        <f t="shared" si="86"/>
        <v>118971.84179630094</v>
      </c>
      <c r="BA119" s="2045">
        <f t="shared" si="87"/>
        <v>475887.36718520377</v>
      </c>
      <c r="BB119" s="2049"/>
      <c r="BC119" s="2049"/>
      <c r="BD119" s="2121">
        <v>1</v>
      </c>
      <c r="BE119" s="2051">
        <v>25</v>
      </c>
      <c r="BF119" s="2051">
        <v>25</v>
      </c>
      <c r="BG119" s="2051">
        <v>25</v>
      </c>
      <c r="BH119" s="2051">
        <v>25</v>
      </c>
      <c r="BI119" s="2045">
        <f t="shared" si="63"/>
        <v>2974296.0449075233</v>
      </c>
      <c r="BJ119" s="2045">
        <f t="shared" si="64"/>
        <v>2974296.0449075233</v>
      </c>
      <c r="BK119" s="2045">
        <f t="shared" si="65"/>
        <v>2974296.0449075233</v>
      </c>
      <c r="BL119" s="2045">
        <f t="shared" si="66"/>
        <v>2974296.0449075233</v>
      </c>
      <c r="BM119" s="2045">
        <f t="shared" si="88"/>
        <v>11897184.179630093</v>
      </c>
      <c r="BN119" s="2047">
        <v>25</v>
      </c>
      <c r="BO119" s="2050">
        <v>20.6</v>
      </c>
      <c r="BP119" s="2050">
        <v>20.6</v>
      </c>
      <c r="BQ119" s="2050">
        <v>20.6</v>
      </c>
      <c r="BR119" s="2048">
        <f t="shared" si="89"/>
        <v>2974296.0449075233</v>
      </c>
      <c r="BS119" s="2048">
        <f t="shared" si="90"/>
        <v>2450819.9410037994</v>
      </c>
      <c r="BT119" s="2048">
        <f t="shared" si="91"/>
        <v>2450819.9410037994</v>
      </c>
      <c r="BU119" s="2048">
        <f t="shared" si="92"/>
        <v>2450819.9410037994</v>
      </c>
      <c r="BV119" s="1840">
        <f t="shared" si="93"/>
        <v>10326755.867918922</v>
      </c>
      <c r="BW119" s="2064" t="e">
        <f>INT(#REF!)=INT(BA119)</f>
        <v>#REF!</v>
      </c>
      <c r="BX119" s="2064">
        <v>112</v>
      </c>
      <c r="BY119" s="2064" t="s">
        <v>3485</v>
      </c>
    </row>
    <row r="120" spans="1:77" s="1976" customFormat="1" ht="15.5" x14ac:dyDescent="0.35">
      <c r="A120" s="1372" t="s">
        <v>3023</v>
      </c>
      <c r="B120" s="1372" t="s">
        <v>3025</v>
      </c>
      <c r="C120" s="1637">
        <v>0</v>
      </c>
      <c r="D120" s="1372" t="s">
        <v>295</v>
      </c>
      <c r="E120" s="1372" t="s">
        <v>294</v>
      </c>
      <c r="F120" s="1638">
        <v>1700000</v>
      </c>
      <c r="G120" s="1638">
        <v>1700000</v>
      </c>
      <c r="H120" s="1638">
        <v>1700000</v>
      </c>
      <c r="I120" s="1638">
        <v>1700000</v>
      </c>
      <c r="J120" s="1372" t="s">
        <v>295</v>
      </c>
      <c r="K120" s="1372" t="str">
        <f t="shared" si="69"/>
        <v/>
      </c>
      <c r="L120" s="1639">
        <v>0.11024640998732411</v>
      </c>
      <c r="M120" s="1639">
        <v>0.11024640998732411</v>
      </c>
      <c r="N120" s="1639">
        <v>0.11024640998732411</v>
      </c>
      <c r="O120" s="1639">
        <v>0.11024640998732411</v>
      </c>
      <c r="P120" s="1637">
        <v>0.77</v>
      </c>
      <c r="Q120" s="1637">
        <v>0.77</v>
      </c>
      <c r="R120" s="1637">
        <v>0.77</v>
      </c>
      <c r="S120" s="1637">
        <v>0.77</v>
      </c>
      <c r="T120" s="1640">
        <f t="shared" si="70"/>
        <v>144312.55067340727</v>
      </c>
      <c r="U120" s="1640">
        <f t="shared" si="71"/>
        <v>144312.55067340727</v>
      </c>
      <c r="V120" s="1640">
        <f t="shared" si="72"/>
        <v>144312.55067340727</v>
      </c>
      <c r="W120" s="1640">
        <f t="shared" si="73"/>
        <v>144312.55067340727</v>
      </c>
      <c r="X120" s="1640">
        <f t="shared" si="74"/>
        <v>577250.20269362908</v>
      </c>
      <c r="Y120" s="1829"/>
      <c r="Z120" s="1372" t="str">
        <f t="shared" si="97"/>
        <v/>
      </c>
      <c r="AA120" s="2024">
        <f t="shared" si="98"/>
        <v>0.11024640998732411</v>
      </c>
      <c r="AB120" s="2028"/>
      <c r="AC120" s="1840">
        <f t="shared" si="75"/>
        <v>144312.55067340727</v>
      </c>
      <c r="AD120" s="1840">
        <f t="shared" si="76"/>
        <v>0</v>
      </c>
      <c r="AE120" s="1829"/>
      <c r="AF120" s="1829" t="s">
        <v>3361</v>
      </c>
      <c r="AG120" s="1830">
        <v>0.11024640998732411</v>
      </c>
      <c r="AH120" s="1829"/>
      <c r="AI120" s="1640">
        <f t="shared" si="77"/>
        <v>144312.55067340727</v>
      </c>
      <c r="AJ120" s="1638">
        <f t="shared" si="78"/>
        <v>0</v>
      </c>
      <c r="AK120" s="1829"/>
      <c r="AL120" s="1829" t="s">
        <v>3361</v>
      </c>
      <c r="AM120" s="1830">
        <v>0.11024640998732411</v>
      </c>
      <c r="AN120" s="1829"/>
      <c r="AO120" s="1640">
        <f t="shared" si="79"/>
        <v>144312.55067340727</v>
      </c>
      <c r="AP120" s="1638">
        <f t="shared" si="80"/>
        <v>0</v>
      </c>
      <c r="AQ120" s="1829"/>
      <c r="AR120" s="1829" t="s">
        <v>3361</v>
      </c>
      <c r="AS120" s="1830">
        <v>0.11024640998732411</v>
      </c>
      <c r="AT120" s="1829"/>
      <c r="AU120" s="1640">
        <f t="shared" si="81"/>
        <v>144312.55067340727</v>
      </c>
      <c r="AV120" s="1638">
        <f t="shared" si="82"/>
        <v>0</v>
      </c>
      <c r="AW120" s="2044">
        <f t="shared" si="83"/>
        <v>144312.55067340727</v>
      </c>
      <c r="AX120" s="2044">
        <f t="shared" si="84"/>
        <v>144312.55067340727</v>
      </c>
      <c r="AY120" s="2044">
        <f t="shared" si="85"/>
        <v>144312.55067340727</v>
      </c>
      <c r="AZ120" s="2044">
        <f t="shared" si="86"/>
        <v>144312.55067340727</v>
      </c>
      <c r="BA120" s="2045">
        <f t="shared" si="87"/>
        <v>577250.20269362908</v>
      </c>
      <c r="BB120" s="2049"/>
      <c r="BC120" s="2049"/>
      <c r="BD120" s="2121">
        <v>1</v>
      </c>
      <c r="BE120" s="2051">
        <v>25</v>
      </c>
      <c r="BF120" s="2051">
        <v>25</v>
      </c>
      <c r="BG120" s="2051">
        <v>25</v>
      </c>
      <c r="BH120" s="2051">
        <v>25</v>
      </c>
      <c r="BI120" s="2045">
        <f t="shared" si="63"/>
        <v>3607813.766835182</v>
      </c>
      <c r="BJ120" s="2045">
        <f t="shared" si="64"/>
        <v>3607813.766835182</v>
      </c>
      <c r="BK120" s="2045">
        <f t="shared" si="65"/>
        <v>3607813.766835182</v>
      </c>
      <c r="BL120" s="2045">
        <f t="shared" si="66"/>
        <v>3607813.766835182</v>
      </c>
      <c r="BM120" s="2045">
        <f t="shared" si="88"/>
        <v>14431255.067340728</v>
      </c>
      <c r="BN120" s="2047">
        <v>25</v>
      </c>
      <c r="BO120" s="2050">
        <v>20.6</v>
      </c>
      <c r="BP120" s="2050">
        <v>20.6</v>
      </c>
      <c r="BQ120" s="2050">
        <v>20.6</v>
      </c>
      <c r="BR120" s="2048">
        <f t="shared" si="89"/>
        <v>3607813.766835182</v>
      </c>
      <c r="BS120" s="2048">
        <f t="shared" si="90"/>
        <v>2972838.5438721902</v>
      </c>
      <c r="BT120" s="2048">
        <f t="shared" si="91"/>
        <v>2972838.5438721902</v>
      </c>
      <c r="BU120" s="2048">
        <f t="shared" si="92"/>
        <v>2972838.5438721902</v>
      </c>
      <c r="BV120" s="1840">
        <f t="shared" si="93"/>
        <v>12526329.398451753</v>
      </c>
      <c r="BW120" s="2064" t="e">
        <f>INT(#REF!)=INT(BA120)</f>
        <v>#REF!</v>
      </c>
      <c r="BX120" s="2064">
        <v>113</v>
      </c>
      <c r="BY120" s="2064" t="s">
        <v>3485</v>
      </c>
    </row>
    <row r="121" spans="1:77" s="1976" customFormat="1" ht="15.5" x14ac:dyDescent="0.35">
      <c r="A121" s="1372" t="s">
        <v>3023</v>
      </c>
      <c r="B121" s="1372" t="s">
        <v>3026</v>
      </c>
      <c r="C121" s="1637">
        <v>0</v>
      </c>
      <c r="D121" s="1372" t="s">
        <v>295</v>
      </c>
      <c r="E121" s="1372" t="s">
        <v>294</v>
      </c>
      <c r="F121" s="1638">
        <v>406800</v>
      </c>
      <c r="G121" s="1638">
        <v>406800</v>
      </c>
      <c r="H121" s="1638">
        <v>406800</v>
      </c>
      <c r="I121" s="1638">
        <v>406800</v>
      </c>
      <c r="J121" s="1372" t="s">
        <v>295</v>
      </c>
      <c r="K121" s="1372" t="str">
        <f t="shared" si="69"/>
        <v/>
      </c>
      <c r="L121" s="1639">
        <v>0.16277800826984981</v>
      </c>
      <c r="M121" s="1639">
        <v>0.16277800826984981</v>
      </c>
      <c r="N121" s="1639">
        <v>0.16277800826984981</v>
      </c>
      <c r="O121" s="1639">
        <v>0.16277800826984981</v>
      </c>
      <c r="P121" s="1637">
        <v>0.77</v>
      </c>
      <c r="Q121" s="1637">
        <v>0.77</v>
      </c>
      <c r="R121" s="1637">
        <v>0.77</v>
      </c>
      <c r="S121" s="1637">
        <v>0.77</v>
      </c>
      <c r="T121" s="1640">
        <f t="shared" si="70"/>
        <v>50987.932198414681</v>
      </c>
      <c r="U121" s="1640">
        <f t="shared" si="71"/>
        <v>50987.932198414681</v>
      </c>
      <c r="V121" s="1640">
        <f t="shared" si="72"/>
        <v>50987.932198414681</v>
      </c>
      <c r="W121" s="1640">
        <f t="shared" si="73"/>
        <v>50987.932198414681</v>
      </c>
      <c r="X121" s="1640">
        <f t="shared" si="74"/>
        <v>203951.72879365872</v>
      </c>
      <c r="Y121" s="1829"/>
      <c r="Z121" s="1372" t="str">
        <f t="shared" si="97"/>
        <v/>
      </c>
      <c r="AA121" s="2024">
        <f t="shared" si="98"/>
        <v>0.16277800826984981</v>
      </c>
      <c r="AB121" s="2028"/>
      <c r="AC121" s="1840">
        <f t="shared" si="75"/>
        <v>50987.932198414681</v>
      </c>
      <c r="AD121" s="1840">
        <f t="shared" si="76"/>
        <v>0</v>
      </c>
      <c r="AE121" s="1829"/>
      <c r="AF121" s="1829" t="s">
        <v>3361</v>
      </c>
      <c r="AG121" s="1830">
        <v>0.16277800826984981</v>
      </c>
      <c r="AH121" s="1829"/>
      <c r="AI121" s="1640">
        <f t="shared" si="77"/>
        <v>50987.932198414681</v>
      </c>
      <c r="AJ121" s="1638">
        <f t="shared" si="78"/>
        <v>0</v>
      </c>
      <c r="AK121" s="1829"/>
      <c r="AL121" s="1829" t="s">
        <v>3361</v>
      </c>
      <c r="AM121" s="1830">
        <v>0.16277800826984981</v>
      </c>
      <c r="AN121" s="1829"/>
      <c r="AO121" s="1640">
        <f t="shared" si="79"/>
        <v>50987.932198414681</v>
      </c>
      <c r="AP121" s="1638">
        <f t="shared" si="80"/>
        <v>0</v>
      </c>
      <c r="AQ121" s="1829"/>
      <c r="AR121" s="1829" t="s">
        <v>3361</v>
      </c>
      <c r="AS121" s="1830">
        <v>0.16277800826984981</v>
      </c>
      <c r="AT121" s="1829"/>
      <c r="AU121" s="1640">
        <f t="shared" si="81"/>
        <v>50987.932198414681</v>
      </c>
      <c r="AV121" s="1638">
        <f t="shared" si="82"/>
        <v>0</v>
      </c>
      <c r="AW121" s="2044">
        <f t="shared" si="83"/>
        <v>50987.932198414681</v>
      </c>
      <c r="AX121" s="2044">
        <f t="shared" si="84"/>
        <v>50987.932198414681</v>
      </c>
      <c r="AY121" s="2044">
        <f t="shared" si="85"/>
        <v>50987.932198414681</v>
      </c>
      <c r="AZ121" s="2044">
        <f t="shared" si="86"/>
        <v>50987.932198414681</v>
      </c>
      <c r="BA121" s="2045">
        <f t="shared" si="87"/>
        <v>203951.72879365872</v>
      </c>
      <c r="BB121" s="2049"/>
      <c r="BC121" s="2049"/>
      <c r="BD121" s="2121">
        <v>1</v>
      </c>
      <c r="BE121" s="2051">
        <v>25</v>
      </c>
      <c r="BF121" s="2051">
        <v>25</v>
      </c>
      <c r="BG121" s="2051">
        <v>25</v>
      </c>
      <c r="BH121" s="2051">
        <v>25</v>
      </c>
      <c r="BI121" s="2045">
        <f t="shared" si="63"/>
        <v>1274698.3049603668</v>
      </c>
      <c r="BJ121" s="2045">
        <f t="shared" si="64"/>
        <v>1274698.3049603668</v>
      </c>
      <c r="BK121" s="2045">
        <f t="shared" si="65"/>
        <v>1274698.3049603668</v>
      </c>
      <c r="BL121" s="2045">
        <f t="shared" si="66"/>
        <v>1274698.3049603668</v>
      </c>
      <c r="BM121" s="2045">
        <f t="shared" si="88"/>
        <v>5098793.2198414672</v>
      </c>
      <c r="BN121" s="2047">
        <v>25</v>
      </c>
      <c r="BO121" s="2050">
        <v>20.6</v>
      </c>
      <c r="BP121" s="2050">
        <v>20.6</v>
      </c>
      <c r="BQ121" s="2050">
        <v>20.6</v>
      </c>
      <c r="BR121" s="2048">
        <f t="shared" si="89"/>
        <v>1274698.3049603668</v>
      </c>
      <c r="BS121" s="2048">
        <f t="shared" si="90"/>
        <v>1050351.4032873423</v>
      </c>
      <c r="BT121" s="2048">
        <f t="shared" si="91"/>
        <v>1050351.4032873423</v>
      </c>
      <c r="BU121" s="2048">
        <f t="shared" si="92"/>
        <v>1050351.4032873423</v>
      </c>
      <c r="BV121" s="1840">
        <f t="shared" si="93"/>
        <v>4425752.5148223937</v>
      </c>
      <c r="BW121" s="2064" t="e">
        <f>INT(#REF!)=INT(BA121)</f>
        <v>#REF!</v>
      </c>
      <c r="BX121" s="2064">
        <v>114</v>
      </c>
      <c r="BY121" s="2064" t="s">
        <v>3485</v>
      </c>
    </row>
    <row r="122" spans="1:77" s="1976" customFormat="1" ht="15.5" x14ac:dyDescent="0.35">
      <c r="A122" s="1372" t="s">
        <v>295</v>
      </c>
      <c r="B122" s="1372" t="s">
        <v>3027</v>
      </c>
      <c r="C122" s="1637">
        <v>0</v>
      </c>
      <c r="D122" s="1372" t="s">
        <v>295</v>
      </c>
      <c r="E122" s="1372" t="s">
        <v>201</v>
      </c>
      <c r="F122" s="1638">
        <v>21</v>
      </c>
      <c r="G122" s="1638">
        <v>21</v>
      </c>
      <c r="H122" s="1638">
        <v>21</v>
      </c>
      <c r="I122" s="1638">
        <v>21</v>
      </c>
      <c r="J122" s="1372" t="s">
        <v>295</v>
      </c>
      <c r="K122" s="1372" t="str">
        <f t="shared" si="69"/>
        <v/>
      </c>
      <c r="L122" s="1639">
        <v>83215</v>
      </c>
      <c r="M122" s="1639">
        <v>83215</v>
      </c>
      <c r="N122" s="1639">
        <v>83215</v>
      </c>
      <c r="O122" s="1639">
        <v>83215</v>
      </c>
      <c r="P122" s="1637">
        <v>0.79</v>
      </c>
      <c r="Q122" s="1637">
        <v>0.79</v>
      </c>
      <c r="R122" s="1637">
        <v>0.79</v>
      </c>
      <c r="S122" s="1637">
        <v>0.79</v>
      </c>
      <c r="T122" s="1640">
        <f t="shared" si="70"/>
        <v>1380536.85</v>
      </c>
      <c r="U122" s="1640">
        <f t="shared" si="71"/>
        <v>1380536.85</v>
      </c>
      <c r="V122" s="1640">
        <f t="shared" si="72"/>
        <v>1380536.85</v>
      </c>
      <c r="W122" s="1640">
        <f t="shared" si="73"/>
        <v>1380536.85</v>
      </c>
      <c r="X122" s="1640">
        <f t="shared" si="74"/>
        <v>5522147.4000000004</v>
      </c>
      <c r="Y122" s="1829"/>
      <c r="Z122" s="1372" t="str">
        <f t="shared" si="97"/>
        <v/>
      </c>
      <c r="AA122" s="1840">
        <f t="shared" si="98"/>
        <v>83215</v>
      </c>
      <c r="AB122" s="2028"/>
      <c r="AC122" s="1840">
        <f t="shared" si="75"/>
        <v>1380536.85</v>
      </c>
      <c r="AD122" s="1840">
        <f t="shared" si="76"/>
        <v>0</v>
      </c>
      <c r="AE122" s="1829"/>
      <c r="AF122" s="1829" t="s">
        <v>3361</v>
      </c>
      <c r="AG122" s="1830">
        <v>83215</v>
      </c>
      <c r="AH122" s="1829"/>
      <c r="AI122" s="1640">
        <f t="shared" si="77"/>
        <v>1380536.85</v>
      </c>
      <c r="AJ122" s="1638">
        <f t="shared" si="78"/>
        <v>0</v>
      </c>
      <c r="AK122" s="1829"/>
      <c r="AL122" s="1829" t="s">
        <v>3361</v>
      </c>
      <c r="AM122" s="1830">
        <v>83215</v>
      </c>
      <c r="AN122" s="1829"/>
      <c r="AO122" s="1640">
        <f t="shared" si="79"/>
        <v>1380536.85</v>
      </c>
      <c r="AP122" s="1638">
        <f t="shared" si="80"/>
        <v>0</v>
      </c>
      <c r="AQ122" s="1829"/>
      <c r="AR122" s="1829" t="s">
        <v>3361</v>
      </c>
      <c r="AS122" s="1830">
        <v>83215</v>
      </c>
      <c r="AT122" s="1829"/>
      <c r="AU122" s="1640">
        <f t="shared" si="81"/>
        <v>1380536.85</v>
      </c>
      <c r="AV122" s="1638">
        <f t="shared" si="82"/>
        <v>0</v>
      </c>
      <c r="AW122" s="2044">
        <f t="shared" si="83"/>
        <v>1380536.85</v>
      </c>
      <c r="AX122" s="2044">
        <f t="shared" si="84"/>
        <v>1380536.85</v>
      </c>
      <c r="AY122" s="2044">
        <f t="shared" si="85"/>
        <v>1380536.85</v>
      </c>
      <c r="AZ122" s="2044">
        <f t="shared" si="86"/>
        <v>1380536.85</v>
      </c>
      <c r="BA122" s="2045">
        <f t="shared" si="87"/>
        <v>5522147.4000000004</v>
      </c>
      <c r="BB122" s="2049"/>
      <c r="BC122" s="2049"/>
      <c r="BD122" s="2045">
        <v>0</v>
      </c>
      <c r="BE122" s="2051">
        <v>20.12</v>
      </c>
      <c r="BF122" s="2051">
        <v>20.12</v>
      </c>
      <c r="BG122" s="2051">
        <v>20.12</v>
      </c>
      <c r="BH122" s="2051">
        <v>20.12</v>
      </c>
      <c r="BI122" s="2045">
        <f t="shared" si="63"/>
        <v>27776401.422000002</v>
      </c>
      <c r="BJ122" s="2045">
        <f t="shared" si="64"/>
        <v>27776401.422000002</v>
      </c>
      <c r="BK122" s="2045">
        <f t="shared" si="65"/>
        <v>27776401.422000002</v>
      </c>
      <c r="BL122" s="2045">
        <f t="shared" si="66"/>
        <v>27776401.422000002</v>
      </c>
      <c r="BM122" s="2045">
        <f t="shared" si="88"/>
        <v>111105605.68800001</v>
      </c>
      <c r="BN122" s="2047">
        <v>20.12</v>
      </c>
      <c r="BO122" s="2047">
        <v>20.12</v>
      </c>
      <c r="BP122" s="2047">
        <v>20.12</v>
      </c>
      <c r="BQ122" s="2047">
        <v>20.12</v>
      </c>
      <c r="BR122" s="2048">
        <f t="shared" si="89"/>
        <v>27776401.422000002</v>
      </c>
      <c r="BS122" s="2048">
        <f t="shared" si="90"/>
        <v>27776401.422000002</v>
      </c>
      <c r="BT122" s="2048">
        <f t="shared" si="91"/>
        <v>27776401.422000002</v>
      </c>
      <c r="BU122" s="2048">
        <f t="shared" si="92"/>
        <v>27776401.422000002</v>
      </c>
      <c r="BV122" s="1840">
        <f t="shared" si="93"/>
        <v>111105605.68800001</v>
      </c>
      <c r="BW122" s="2064" t="e">
        <f>INT(#REF!)=INT(BA122)</f>
        <v>#REF!</v>
      </c>
      <c r="BX122" s="2064">
        <v>115</v>
      </c>
      <c r="BY122" s="2064" t="s">
        <v>295</v>
      </c>
    </row>
    <row r="123" spans="1:77" s="1976" customFormat="1" ht="15.5" x14ac:dyDescent="0.35">
      <c r="A123" s="1372" t="s">
        <v>295</v>
      </c>
      <c r="B123" s="1372" t="s">
        <v>3028</v>
      </c>
      <c r="C123" s="1637">
        <v>0</v>
      </c>
      <c r="D123" s="1372" t="s">
        <v>295</v>
      </c>
      <c r="E123" s="1372" t="s">
        <v>201</v>
      </c>
      <c r="F123" s="1638">
        <v>13</v>
      </c>
      <c r="G123" s="1638">
        <v>13</v>
      </c>
      <c r="H123" s="1638">
        <v>13</v>
      </c>
      <c r="I123" s="1638">
        <v>13</v>
      </c>
      <c r="J123" s="1372" t="s">
        <v>295</v>
      </c>
      <c r="K123" s="1372" t="str">
        <f t="shared" si="69"/>
        <v/>
      </c>
      <c r="L123" s="1639">
        <v>21626.888888888891</v>
      </c>
      <c r="M123" s="1639">
        <v>21626.888888888891</v>
      </c>
      <c r="N123" s="1639">
        <v>21626.888888888891</v>
      </c>
      <c r="O123" s="1639">
        <v>21626.888888888891</v>
      </c>
      <c r="P123" s="1637">
        <v>0.79</v>
      </c>
      <c r="Q123" s="1637">
        <v>0.79</v>
      </c>
      <c r="R123" s="1637">
        <v>0.79</v>
      </c>
      <c r="S123" s="1637">
        <v>0.79</v>
      </c>
      <c r="T123" s="1640">
        <f t="shared" si="70"/>
        <v>222108.14888888891</v>
      </c>
      <c r="U123" s="1640">
        <f t="shared" si="71"/>
        <v>222108.14888888891</v>
      </c>
      <c r="V123" s="1640">
        <f t="shared" si="72"/>
        <v>222108.14888888891</v>
      </c>
      <c r="W123" s="1640">
        <f t="shared" si="73"/>
        <v>222108.14888888891</v>
      </c>
      <c r="X123" s="1640">
        <f t="shared" si="74"/>
        <v>888432.59555555566</v>
      </c>
      <c r="Y123" s="1829"/>
      <c r="Z123" s="1372" t="str">
        <f t="shared" si="97"/>
        <v/>
      </c>
      <c r="AA123" s="1840">
        <f t="shared" si="98"/>
        <v>21626.888888888891</v>
      </c>
      <c r="AB123" s="2028"/>
      <c r="AC123" s="1840">
        <f t="shared" si="75"/>
        <v>222108.14888888891</v>
      </c>
      <c r="AD123" s="1840">
        <f t="shared" si="76"/>
        <v>0</v>
      </c>
      <c r="AE123" s="1829"/>
      <c r="AF123" s="1829" t="s">
        <v>3361</v>
      </c>
      <c r="AG123" s="1830">
        <v>21626.888888888891</v>
      </c>
      <c r="AH123" s="1829"/>
      <c r="AI123" s="1640">
        <f t="shared" si="77"/>
        <v>222108.14888888891</v>
      </c>
      <c r="AJ123" s="1638">
        <f t="shared" si="78"/>
        <v>0</v>
      </c>
      <c r="AK123" s="1829"/>
      <c r="AL123" s="1829" t="s">
        <v>3361</v>
      </c>
      <c r="AM123" s="1830">
        <v>21626.888888888891</v>
      </c>
      <c r="AN123" s="1829"/>
      <c r="AO123" s="1640">
        <f t="shared" si="79"/>
        <v>222108.14888888891</v>
      </c>
      <c r="AP123" s="1638">
        <f t="shared" si="80"/>
        <v>0</v>
      </c>
      <c r="AQ123" s="1829"/>
      <c r="AR123" s="1829" t="s">
        <v>3361</v>
      </c>
      <c r="AS123" s="1830">
        <v>21626.888888888891</v>
      </c>
      <c r="AT123" s="1829"/>
      <c r="AU123" s="1640">
        <f t="shared" si="81"/>
        <v>222108.14888888891</v>
      </c>
      <c r="AV123" s="1638">
        <f t="shared" si="82"/>
        <v>0</v>
      </c>
      <c r="AW123" s="2044">
        <f t="shared" si="83"/>
        <v>222108.14888888891</v>
      </c>
      <c r="AX123" s="2044">
        <f t="shared" si="84"/>
        <v>222108.14888888891</v>
      </c>
      <c r="AY123" s="2044">
        <f t="shared" si="85"/>
        <v>222108.14888888891</v>
      </c>
      <c r="AZ123" s="2044">
        <f t="shared" si="86"/>
        <v>222108.14888888891</v>
      </c>
      <c r="BA123" s="2045">
        <f t="shared" si="87"/>
        <v>888432.59555555566</v>
      </c>
      <c r="BB123" s="2049"/>
      <c r="BC123" s="2049"/>
      <c r="BD123" s="2045">
        <v>0</v>
      </c>
      <c r="BE123" s="2051">
        <v>20.388888888888889</v>
      </c>
      <c r="BF123" s="2051">
        <v>20.388888888888889</v>
      </c>
      <c r="BG123" s="2051">
        <v>20.388888888888889</v>
      </c>
      <c r="BH123" s="2051">
        <v>20.388888888888889</v>
      </c>
      <c r="BI123" s="2045">
        <f t="shared" si="63"/>
        <v>4528538.3690123456</v>
      </c>
      <c r="BJ123" s="2045">
        <f t="shared" si="64"/>
        <v>4528538.3690123456</v>
      </c>
      <c r="BK123" s="2045">
        <f t="shared" si="65"/>
        <v>4528538.3690123456</v>
      </c>
      <c r="BL123" s="2045">
        <f t="shared" si="66"/>
        <v>4528538.3690123456</v>
      </c>
      <c r="BM123" s="2045">
        <f t="shared" si="88"/>
        <v>18114153.476049382</v>
      </c>
      <c r="BN123" s="2047">
        <v>20.388888888888889</v>
      </c>
      <c r="BO123" s="2047">
        <v>20.388888888888889</v>
      </c>
      <c r="BP123" s="2047">
        <v>20.388888888888889</v>
      </c>
      <c r="BQ123" s="2047">
        <v>20.388888888888889</v>
      </c>
      <c r="BR123" s="2048">
        <f t="shared" si="89"/>
        <v>4528538.3690123456</v>
      </c>
      <c r="BS123" s="2048">
        <f t="shared" si="90"/>
        <v>4528538.3690123456</v>
      </c>
      <c r="BT123" s="2048">
        <f t="shared" si="91"/>
        <v>4528538.3690123456</v>
      </c>
      <c r="BU123" s="2048">
        <f t="shared" si="92"/>
        <v>4528538.3690123456</v>
      </c>
      <c r="BV123" s="1840">
        <f t="shared" si="93"/>
        <v>18114153.476049382</v>
      </c>
      <c r="BW123" s="2064" t="e">
        <f>INT(#REF!)=INT(BA123)</f>
        <v>#REF!</v>
      </c>
      <c r="BX123" s="2064">
        <v>116</v>
      </c>
      <c r="BY123" s="2064" t="s">
        <v>295</v>
      </c>
    </row>
    <row r="124" spans="1:77" s="1976" customFormat="1" ht="15.5" x14ac:dyDescent="0.35">
      <c r="A124" s="1372" t="s">
        <v>295</v>
      </c>
      <c r="B124" s="1372" t="s">
        <v>3029</v>
      </c>
      <c r="C124" s="1637">
        <v>0</v>
      </c>
      <c r="D124" s="1372" t="s">
        <v>295</v>
      </c>
      <c r="E124" s="1372" t="s">
        <v>201</v>
      </c>
      <c r="F124" s="1638">
        <v>10</v>
      </c>
      <c r="G124" s="1638">
        <v>10</v>
      </c>
      <c r="H124" s="1638">
        <v>10</v>
      </c>
      <c r="I124" s="1638">
        <v>10</v>
      </c>
      <c r="J124" s="1372" t="s">
        <v>295</v>
      </c>
      <c r="K124" s="1372" t="str">
        <f t="shared" si="69"/>
        <v/>
      </c>
      <c r="L124" s="1639">
        <v>28675.315789473687</v>
      </c>
      <c r="M124" s="1639">
        <v>28675.315789473687</v>
      </c>
      <c r="N124" s="1639">
        <v>28675.315789473687</v>
      </c>
      <c r="O124" s="1639">
        <v>28675.315789473687</v>
      </c>
      <c r="P124" s="1637">
        <v>0.79</v>
      </c>
      <c r="Q124" s="1637">
        <v>0.79</v>
      </c>
      <c r="R124" s="1637">
        <v>0.79</v>
      </c>
      <c r="S124" s="1637">
        <v>0.79</v>
      </c>
      <c r="T124" s="1640">
        <f t="shared" si="70"/>
        <v>226534.99473684211</v>
      </c>
      <c r="U124" s="1640">
        <f t="shared" si="71"/>
        <v>226534.99473684211</v>
      </c>
      <c r="V124" s="1640">
        <f t="shared" si="72"/>
        <v>226534.99473684211</v>
      </c>
      <c r="W124" s="1640">
        <f t="shared" si="73"/>
        <v>226534.99473684211</v>
      </c>
      <c r="X124" s="1640">
        <f t="shared" si="74"/>
        <v>906139.97894736845</v>
      </c>
      <c r="Y124" s="1829"/>
      <c r="Z124" s="1372" t="str">
        <f t="shared" si="97"/>
        <v/>
      </c>
      <c r="AA124" s="1840">
        <f t="shared" si="98"/>
        <v>28675.315789473687</v>
      </c>
      <c r="AB124" s="2028"/>
      <c r="AC124" s="1840">
        <f t="shared" si="75"/>
        <v>226534.99473684211</v>
      </c>
      <c r="AD124" s="1840">
        <f t="shared" si="76"/>
        <v>0</v>
      </c>
      <c r="AE124" s="1829"/>
      <c r="AF124" s="1829" t="s">
        <v>3361</v>
      </c>
      <c r="AG124" s="1830">
        <v>28675.315789473687</v>
      </c>
      <c r="AH124" s="1829"/>
      <c r="AI124" s="1640">
        <f t="shared" si="77"/>
        <v>226534.99473684211</v>
      </c>
      <c r="AJ124" s="1638">
        <f t="shared" si="78"/>
        <v>0</v>
      </c>
      <c r="AK124" s="1829"/>
      <c r="AL124" s="1829" t="s">
        <v>3361</v>
      </c>
      <c r="AM124" s="1830">
        <v>28675.315789473687</v>
      </c>
      <c r="AN124" s="1829"/>
      <c r="AO124" s="1640">
        <f t="shared" si="79"/>
        <v>226534.99473684211</v>
      </c>
      <c r="AP124" s="1638">
        <f t="shared" si="80"/>
        <v>0</v>
      </c>
      <c r="AQ124" s="1829"/>
      <c r="AR124" s="1829" t="s">
        <v>3361</v>
      </c>
      <c r="AS124" s="1830">
        <v>28675.315789473687</v>
      </c>
      <c r="AT124" s="1829"/>
      <c r="AU124" s="1640">
        <f t="shared" si="81"/>
        <v>226534.99473684211</v>
      </c>
      <c r="AV124" s="1638">
        <f t="shared" si="82"/>
        <v>0</v>
      </c>
      <c r="AW124" s="2044">
        <f t="shared" si="83"/>
        <v>226534.99473684211</v>
      </c>
      <c r="AX124" s="2044">
        <f t="shared" si="84"/>
        <v>226534.99473684211</v>
      </c>
      <c r="AY124" s="2044">
        <f t="shared" si="85"/>
        <v>226534.99473684211</v>
      </c>
      <c r="AZ124" s="2044">
        <f t="shared" si="86"/>
        <v>226534.99473684211</v>
      </c>
      <c r="BA124" s="2045">
        <f t="shared" si="87"/>
        <v>906139.97894736845</v>
      </c>
      <c r="BB124" s="2049"/>
      <c r="BC124" s="2049"/>
      <c r="BD124" s="2045">
        <v>0</v>
      </c>
      <c r="BE124" s="2051">
        <v>20</v>
      </c>
      <c r="BF124" s="2051">
        <v>20</v>
      </c>
      <c r="BG124" s="2051">
        <v>20</v>
      </c>
      <c r="BH124" s="2051">
        <v>20</v>
      </c>
      <c r="BI124" s="2045">
        <f t="shared" si="63"/>
        <v>4530699.8947368432</v>
      </c>
      <c r="BJ124" s="2045">
        <f t="shared" si="64"/>
        <v>4530699.8947368432</v>
      </c>
      <c r="BK124" s="2045">
        <f t="shared" si="65"/>
        <v>4530699.8947368432</v>
      </c>
      <c r="BL124" s="2045">
        <f t="shared" si="66"/>
        <v>4530699.8947368432</v>
      </c>
      <c r="BM124" s="2045">
        <f t="shared" si="88"/>
        <v>18122799.578947373</v>
      </c>
      <c r="BN124" s="2047">
        <v>20</v>
      </c>
      <c r="BO124" s="2047">
        <v>20</v>
      </c>
      <c r="BP124" s="2047">
        <v>20</v>
      </c>
      <c r="BQ124" s="2047">
        <v>20</v>
      </c>
      <c r="BR124" s="2048">
        <f t="shared" si="89"/>
        <v>4530699.8947368432</v>
      </c>
      <c r="BS124" s="2048">
        <f t="shared" si="90"/>
        <v>4530699.8947368432</v>
      </c>
      <c r="BT124" s="2048">
        <f t="shared" si="91"/>
        <v>4530699.8947368432</v>
      </c>
      <c r="BU124" s="2048">
        <f t="shared" si="92"/>
        <v>4530699.8947368432</v>
      </c>
      <c r="BV124" s="1840">
        <f t="shared" si="93"/>
        <v>18122799.578947373</v>
      </c>
      <c r="BW124" s="2064" t="e">
        <f>INT(#REF!)=INT(BA124)</f>
        <v>#REF!</v>
      </c>
      <c r="BX124" s="2064">
        <v>117</v>
      </c>
      <c r="BY124" s="2064" t="s">
        <v>295</v>
      </c>
    </row>
    <row r="125" spans="1:77" s="1976" customFormat="1" ht="18" customHeight="1" x14ac:dyDescent="0.35">
      <c r="A125" s="1372" t="s">
        <v>295</v>
      </c>
      <c r="B125" s="1372" t="s">
        <v>3030</v>
      </c>
      <c r="C125" s="1637">
        <v>0</v>
      </c>
      <c r="D125" s="1372" t="s">
        <v>295</v>
      </c>
      <c r="E125" s="1372" t="s">
        <v>201</v>
      </c>
      <c r="F125" s="1638">
        <v>3</v>
      </c>
      <c r="G125" s="1638">
        <v>3</v>
      </c>
      <c r="H125" s="1638">
        <v>3</v>
      </c>
      <c r="I125" s="1638">
        <v>3</v>
      </c>
      <c r="J125" s="1372" t="s">
        <v>295</v>
      </c>
      <c r="K125" s="1372" t="str">
        <f t="shared" si="69"/>
        <v/>
      </c>
      <c r="L125" s="1639">
        <v>19316.000000000004</v>
      </c>
      <c r="M125" s="1639">
        <v>19316.000000000004</v>
      </c>
      <c r="N125" s="1639">
        <v>19316.000000000004</v>
      </c>
      <c r="O125" s="1639">
        <v>19316.000000000004</v>
      </c>
      <c r="P125" s="1637">
        <v>0.79</v>
      </c>
      <c r="Q125" s="1637">
        <v>0.79</v>
      </c>
      <c r="R125" s="1637">
        <v>0.79</v>
      </c>
      <c r="S125" s="1637">
        <v>0.79</v>
      </c>
      <c r="T125" s="1640">
        <f t="shared" si="70"/>
        <v>45778.920000000013</v>
      </c>
      <c r="U125" s="1640">
        <f t="shared" si="71"/>
        <v>45778.920000000013</v>
      </c>
      <c r="V125" s="1640">
        <f t="shared" si="72"/>
        <v>45778.920000000013</v>
      </c>
      <c r="W125" s="1640">
        <f t="shared" si="73"/>
        <v>45778.920000000013</v>
      </c>
      <c r="X125" s="1640">
        <f t="shared" si="74"/>
        <v>183115.68000000005</v>
      </c>
      <c r="Y125" s="1829"/>
      <c r="Z125" s="1372" t="str">
        <f t="shared" si="97"/>
        <v/>
      </c>
      <c r="AA125" s="1840">
        <f t="shared" si="98"/>
        <v>19316.000000000004</v>
      </c>
      <c r="AB125" s="2028"/>
      <c r="AC125" s="1840">
        <f t="shared" si="75"/>
        <v>45778.920000000013</v>
      </c>
      <c r="AD125" s="1840">
        <f t="shared" si="76"/>
        <v>0</v>
      </c>
      <c r="AE125" s="1829"/>
      <c r="AF125" s="1829" t="s">
        <v>3361</v>
      </c>
      <c r="AG125" s="1830">
        <v>19316.000000000004</v>
      </c>
      <c r="AH125" s="1829"/>
      <c r="AI125" s="1640">
        <f t="shared" si="77"/>
        <v>45778.920000000013</v>
      </c>
      <c r="AJ125" s="1638">
        <f t="shared" si="78"/>
        <v>0</v>
      </c>
      <c r="AK125" s="1829"/>
      <c r="AL125" s="1829" t="s">
        <v>3361</v>
      </c>
      <c r="AM125" s="1830">
        <v>19316.000000000004</v>
      </c>
      <c r="AN125" s="1829"/>
      <c r="AO125" s="1640">
        <f t="shared" si="79"/>
        <v>45778.920000000013</v>
      </c>
      <c r="AP125" s="1638">
        <f t="shared" si="80"/>
        <v>0</v>
      </c>
      <c r="AQ125" s="1829"/>
      <c r="AR125" s="1829" t="s">
        <v>3361</v>
      </c>
      <c r="AS125" s="1830">
        <v>19316.000000000004</v>
      </c>
      <c r="AT125" s="1829"/>
      <c r="AU125" s="1640">
        <f t="shared" si="81"/>
        <v>45778.920000000013</v>
      </c>
      <c r="AV125" s="1638">
        <f t="shared" si="82"/>
        <v>0</v>
      </c>
      <c r="AW125" s="2044">
        <f t="shared" si="83"/>
        <v>45778.920000000013</v>
      </c>
      <c r="AX125" s="2044">
        <f t="shared" si="84"/>
        <v>45778.920000000013</v>
      </c>
      <c r="AY125" s="2044">
        <f t="shared" si="85"/>
        <v>45778.920000000013</v>
      </c>
      <c r="AZ125" s="2044">
        <f t="shared" si="86"/>
        <v>45778.920000000013</v>
      </c>
      <c r="BA125" s="2045">
        <f t="shared" si="87"/>
        <v>183115.68000000005</v>
      </c>
      <c r="BB125" s="2049"/>
      <c r="BC125" s="2049"/>
      <c r="BD125" s="2045">
        <v>0</v>
      </c>
      <c r="BE125" s="2051">
        <v>23</v>
      </c>
      <c r="BF125" s="2051">
        <v>23</v>
      </c>
      <c r="BG125" s="2051">
        <v>23</v>
      </c>
      <c r="BH125" s="2051">
        <v>23</v>
      </c>
      <c r="BI125" s="2045">
        <f t="shared" si="63"/>
        <v>1052915.1600000004</v>
      </c>
      <c r="BJ125" s="2045">
        <f t="shared" si="64"/>
        <v>1052915.1600000004</v>
      </c>
      <c r="BK125" s="2045">
        <f t="shared" si="65"/>
        <v>1052915.1600000004</v>
      </c>
      <c r="BL125" s="2045">
        <f t="shared" si="66"/>
        <v>1052915.1600000004</v>
      </c>
      <c r="BM125" s="2045">
        <f t="shared" si="88"/>
        <v>4211660.6400000015</v>
      </c>
      <c r="BN125" s="2047">
        <v>23</v>
      </c>
      <c r="BO125" s="2047">
        <v>23</v>
      </c>
      <c r="BP125" s="2047">
        <v>23</v>
      </c>
      <c r="BQ125" s="2047">
        <v>23</v>
      </c>
      <c r="BR125" s="2048">
        <f t="shared" si="89"/>
        <v>1052915.1600000004</v>
      </c>
      <c r="BS125" s="2048">
        <f t="shared" si="90"/>
        <v>1052915.1600000004</v>
      </c>
      <c r="BT125" s="2048">
        <f t="shared" si="91"/>
        <v>1052915.1600000004</v>
      </c>
      <c r="BU125" s="2048">
        <f t="shared" si="92"/>
        <v>1052915.1600000004</v>
      </c>
      <c r="BV125" s="1840">
        <f t="shared" si="93"/>
        <v>4211660.6400000015</v>
      </c>
      <c r="BW125" s="2064" t="e">
        <f>INT(#REF!)=INT(BA125)</f>
        <v>#REF!</v>
      </c>
      <c r="BX125" s="2064">
        <v>118</v>
      </c>
      <c r="BY125" s="2064" t="s">
        <v>295</v>
      </c>
    </row>
    <row r="126" spans="1:77" s="1976" customFormat="1" ht="18" customHeight="1" x14ac:dyDescent="0.35">
      <c r="A126" s="1372" t="s">
        <v>295</v>
      </c>
      <c r="B126" s="1372" t="s">
        <v>3031</v>
      </c>
      <c r="C126" s="1637">
        <v>0</v>
      </c>
      <c r="D126" s="1372" t="s">
        <v>295</v>
      </c>
      <c r="E126" s="1372" t="s">
        <v>201</v>
      </c>
      <c r="F126" s="1638">
        <v>4</v>
      </c>
      <c r="G126" s="1638">
        <v>4</v>
      </c>
      <c r="H126" s="1638">
        <v>4</v>
      </c>
      <c r="I126" s="1638">
        <v>4</v>
      </c>
      <c r="J126" s="1372" t="s">
        <v>295</v>
      </c>
      <c r="K126" s="1372" t="str">
        <f t="shared" si="69"/>
        <v/>
      </c>
      <c r="L126" s="1639">
        <v>25334.199999999997</v>
      </c>
      <c r="M126" s="1639">
        <v>25334.199999999997</v>
      </c>
      <c r="N126" s="1639">
        <v>25334.199999999997</v>
      </c>
      <c r="O126" s="1639">
        <v>25334.199999999997</v>
      </c>
      <c r="P126" s="1637">
        <v>0.79</v>
      </c>
      <c r="Q126" s="1637">
        <v>0.79</v>
      </c>
      <c r="R126" s="1637">
        <v>0.79</v>
      </c>
      <c r="S126" s="1637">
        <v>0.79</v>
      </c>
      <c r="T126" s="1640">
        <f t="shared" si="70"/>
        <v>80056.072</v>
      </c>
      <c r="U126" s="1640">
        <f t="shared" si="71"/>
        <v>80056.072</v>
      </c>
      <c r="V126" s="1640">
        <f t="shared" si="72"/>
        <v>80056.072</v>
      </c>
      <c r="W126" s="1640">
        <f t="shared" si="73"/>
        <v>80056.072</v>
      </c>
      <c r="X126" s="1640">
        <f t="shared" si="74"/>
        <v>320224.288</v>
      </c>
      <c r="Y126" s="1829"/>
      <c r="Z126" s="1372" t="str">
        <f t="shared" si="97"/>
        <v/>
      </c>
      <c r="AA126" s="1840">
        <f t="shared" si="98"/>
        <v>25334.199999999997</v>
      </c>
      <c r="AB126" s="2028"/>
      <c r="AC126" s="1840">
        <f t="shared" si="75"/>
        <v>80056.072</v>
      </c>
      <c r="AD126" s="1840">
        <f t="shared" si="76"/>
        <v>0</v>
      </c>
      <c r="AE126" s="1829"/>
      <c r="AF126" s="1829" t="s">
        <v>3361</v>
      </c>
      <c r="AG126" s="1830">
        <v>25334.199999999997</v>
      </c>
      <c r="AH126" s="1829"/>
      <c r="AI126" s="1640">
        <f t="shared" si="77"/>
        <v>80056.072</v>
      </c>
      <c r="AJ126" s="1638">
        <f t="shared" si="78"/>
        <v>0</v>
      </c>
      <c r="AK126" s="1829"/>
      <c r="AL126" s="1829" t="s">
        <v>3361</v>
      </c>
      <c r="AM126" s="1830">
        <v>25334.199999999997</v>
      </c>
      <c r="AN126" s="1829"/>
      <c r="AO126" s="1640">
        <f t="shared" si="79"/>
        <v>80056.072</v>
      </c>
      <c r="AP126" s="1638">
        <f t="shared" si="80"/>
        <v>0</v>
      </c>
      <c r="AQ126" s="1829"/>
      <c r="AR126" s="1829" t="s">
        <v>3361</v>
      </c>
      <c r="AS126" s="1830">
        <v>25334.199999999997</v>
      </c>
      <c r="AT126" s="1829"/>
      <c r="AU126" s="1640">
        <f t="shared" si="81"/>
        <v>80056.072</v>
      </c>
      <c r="AV126" s="1638">
        <f t="shared" si="82"/>
        <v>0</v>
      </c>
      <c r="AW126" s="2044">
        <f t="shared" si="83"/>
        <v>80056.072</v>
      </c>
      <c r="AX126" s="2044">
        <f t="shared" si="84"/>
        <v>80056.072</v>
      </c>
      <c r="AY126" s="2044">
        <f t="shared" si="85"/>
        <v>80056.072</v>
      </c>
      <c r="AZ126" s="2044">
        <f t="shared" si="86"/>
        <v>80056.072</v>
      </c>
      <c r="BA126" s="2045">
        <f t="shared" si="87"/>
        <v>320224.288</v>
      </c>
      <c r="BB126" s="2049"/>
      <c r="BC126" s="2049"/>
      <c r="BD126" s="2045">
        <v>0</v>
      </c>
      <c r="BE126" s="2051">
        <v>19</v>
      </c>
      <c r="BF126" s="2051">
        <v>19</v>
      </c>
      <c r="BG126" s="2051">
        <v>19</v>
      </c>
      <c r="BH126" s="2051">
        <v>19</v>
      </c>
      <c r="BI126" s="2045">
        <f t="shared" si="63"/>
        <v>1521065.368</v>
      </c>
      <c r="BJ126" s="2045">
        <f t="shared" si="64"/>
        <v>1521065.368</v>
      </c>
      <c r="BK126" s="2045">
        <f t="shared" si="65"/>
        <v>1521065.368</v>
      </c>
      <c r="BL126" s="2045">
        <f t="shared" si="66"/>
        <v>1521065.368</v>
      </c>
      <c r="BM126" s="2045">
        <f t="shared" si="88"/>
        <v>6084261.4720000001</v>
      </c>
      <c r="BN126" s="2047">
        <v>19</v>
      </c>
      <c r="BO126" s="2047">
        <v>19</v>
      </c>
      <c r="BP126" s="2047">
        <v>19</v>
      </c>
      <c r="BQ126" s="2047">
        <v>19</v>
      </c>
      <c r="BR126" s="2048">
        <f t="shared" si="89"/>
        <v>1521065.368</v>
      </c>
      <c r="BS126" s="2048">
        <f t="shared" si="90"/>
        <v>1521065.368</v>
      </c>
      <c r="BT126" s="2048">
        <f t="shared" si="91"/>
        <v>1521065.368</v>
      </c>
      <c r="BU126" s="2048">
        <f t="shared" si="92"/>
        <v>1521065.368</v>
      </c>
      <c r="BV126" s="1840">
        <f t="shared" si="93"/>
        <v>6084261.4720000001</v>
      </c>
      <c r="BW126" s="2064" t="e">
        <f>INT(#REF!)=INT(BA126)</f>
        <v>#REF!</v>
      </c>
      <c r="BX126" s="2064">
        <v>119</v>
      </c>
      <c r="BY126" s="2064" t="s">
        <v>295</v>
      </c>
    </row>
    <row r="127" spans="1:77" s="1976" customFormat="1" ht="18" customHeight="1" x14ac:dyDescent="0.35">
      <c r="A127" s="1372" t="s">
        <v>295</v>
      </c>
      <c r="B127" s="1372" t="s">
        <v>3032</v>
      </c>
      <c r="C127" s="1637">
        <v>0</v>
      </c>
      <c r="D127" s="1372" t="s">
        <v>295</v>
      </c>
      <c r="E127" s="1372" t="s">
        <v>201</v>
      </c>
      <c r="F127" s="1638">
        <v>6</v>
      </c>
      <c r="G127" s="1638">
        <v>6</v>
      </c>
      <c r="H127" s="1638">
        <v>6</v>
      </c>
      <c r="I127" s="1638">
        <v>6</v>
      </c>
      <c r="J127" s="1372" t="s">
        <v>295</v>
      </c>
      <c r="K127" s="1372" t="str">
        <f t="shared" si="69"/>
        <v/>
      </c>
      <c r="L127" s="1639">
        <v>30971.099999999995</v>
      </c>
      <c r="M127" s="1639">
        <v>30971.099999999995</v>
      </c>
      <c r="N127" s="1639">
        <v>30971.099999999995</v>
      </c>
      <c r="O127" s="1639">
        <v>30971.099999999995</v>
      </c>
      <c r="P127" s="1637">
        <v>1.02</v>
      </c>
      <c r="Q127" s="1637">
        <v>1.02</v>
      </c>
      <c r="R127" s="1637">
        <v>1.02</v>
      </c>
      <c r="S127" s="1637">
        <v>1.02</v>
      </c>
      <c r="T127" s="1640">
        <f t="shared" si="70"/>
        <v>189543.13199999998</v>
      </c>
      <c r="U127" s="1640">
        <f t="shared" si="71"/>
        <v>189543.13199999998</v>
      </c>
      <c r="V127" s="1640">
        <f t="shared" si="72"/>
        <v>189543.13199999998</v>
      </c>
      <c r="W127" s="1640">
        <f t="shared" si="73"/>
        <v>189543.13199999998</v>
      </c>
      <c r="X127" s="1640">
        <f t="shared" si="74"/>
        <v>758172.52799999993</v>
      </c>
      <c r="Y127" s="1829"/>
      <c r="Z127" s="1372" t="str">
        <f t="shared" si="97"/>
        <v/>
      </c>
      <c r="AA127" s="1840">
        <f t="shared" si="98"/>
        <v>30971.099999999995</v>
      </c>
      <c r="AB127" s="2028"/>
      <c r="AC127" s="1840">
        <f t="shared" si="75"/>
        <v>189543.13199999998</v>
      </c>
      <c r="AD127" s="1840">
        <f t="shared" si="76"/>
        <v>0</v>
      </c>
      <c r="AE127" s="1829"/>
      <c r="AF127" s="1829" t="s">
        <v>3361</v>
      </c>
      <c r="AG127" s="1830">
        <v>30971.099999999995</v>
      </c>
      <c r="AH127" s="1829"/>
      <c r="AI127" s="1640">
        <f t="shared" si="77"/>
        <v>189543.13199999998</v>
      </c>
      <c r="AJ127" s="1638">
        <f t="shared" si="78"/>
        <v>0</v>
      </c>
      <c r="AK127" s="1829"/>
      <c r="AL127" s="1829" t="s">
        <v>3361</v>
      </c>
      <c r="AM127" s="1830">
        <v>30971.099999999995</v>
      </c>
      <c r="AN127" s="1829"/>
      <c r="AO127" s="1640">
        <f t="shared" si="79"/>
        <v>189543.13199999998</v>
      </c>
      <c r="AP127" s="1638">
        <f t="shared" si="80"/>
        <v>0</v>
      </c>
      <c r="AQ127" s="1829"/>
      <c r="AR127" s="1829" t="s">
        <v>3361</v>
      </c>
      <c r="AS127" s="1830">
        <v>30971.099999999995</v>
      </c>
      <c r="AT127" s="1829"/>
      <c r="AU127" s="1640">
        <f t="shared" si="81"/>
        <v>189543.13199999998</v>
      </c>
      <c r="AV127" s="1638">
        <f t="shared" si="82"/>
        <v>0</v>
      </c>
      <c r="AW127" s="2044">
        <f t="shared" si="83"/>
        <v>189543.13199999998</v>
      </c>
      <c r="AX127" s="2044">
        <f t="shared" si="84"/>
        <v>189543.13199999998</v>
      </c>
      <c r="AY127" s="2044">
        <f t="shared" si="85"/>
        <v>189543.13199999998</v>
      </c>
      <c r="AZ127" s="2044">
        <f t="shared" si="86"/>
        <v>189543.13199999998</v>
      </c>
      <c r="BA127" s="2045">
        <f t="shared" si="87"/>
        <v>758172.52799999993</v>
      </c>
      <c r="BB127" s="2049"/>
      <c r="BC127" s="2049"/>
      <c r="BD127" s="2045">
        <v>0</v>
      </c>
      <c r="BE127" s="2051">
        <v>5</v>
      </c>
      <c r="BF127" s="2051">
        <v>5</v>
      </c>
      <c r="BG127" s="2051">
        <v>5</v>
      </c>
      <c r="BH127" s="2051">
        <v>5</v>
      </c>
      <c r="BI127" s="2045">
        <f t="shared" si="63"/>
        <v>947715.65999999992</v>
      </c>
      <c r="BJ127" s="2045">
        <f t="shared" si="64"/>
        <v>947715.65999999992</v>
      </c>
      <c r="BK127" s="2045">
        <f t="shared" si="65"/>
        <v>947715.65999999992</v>
      </c>
      <c r="BL127" s="2045">
        <f t="shared" si="66"/>
        <v>947715.65999999992</v>
      </c>
      <c r="BM127" s="2045">
        <f t="shared" si="88"/>
        <v>3790862.6399999997</v>
      </c>
      <c r="BN127" s="2047">
        <v>5</v>
      </c>
      <c r="BO127" s="2047">
        <v>5</v>
      </c>
      <c r="BP127" s="2047">
        <v>5</v>
      </c>
      <c r="BQ127" s="2047">
        <v>5</v>
      </c>
      <c r="BR127" s="2048">
        <f t="shared" si="89"/>
        <v>947715.65999999992</v>
      </c>
      <c r="BS127" s="2048">
        <f t="shared" si="90"/>
        <v>947715.65999999992</v>
      </c>
      <c r="BT127" s="2048">
        <f t="shared" si="91"/>
        <v>947715.65999999992</v>
      </c>
      <c r="BU127" s="2048">
        <f t="shared" si="92"/>
        <v>947715.65999999992</v>
      </c>
      <c r="BV127" s="1840">
        <f t="shared" si="93"/>
        <v>3790862.6399999997</v>
      </c>
      <c r="BW127" s="2064" t="e">
        <f>INT(#REF!)=INT(BA127)</f>
        <v>#REF!</v>
      </c>
      <c r="BX127" s="2064">
        <v>120</v>
      </c>
      <c r="BY127" s="2064" t="s">
        <v>295</v>
      </c>
    </row>
    <row r="128" spans="1:77" s="1976" customFormat="1" ht="18" customHeight="1" x14ac:dyDescent="0.35">
      <c r="A128" s="1372" t="s">
        <v>295</v>
      </c>
      <c r="B128" s="1372" t="s">
        <v>267</v>
      </c>
      <c r="C128" s="1637">
        <v>0</v>
      </c>
      <c r="D128" s="1372" t="s">
        <v>295</v>
      </c>
      <c r="E128" s="1372" t="s">
        <v>163</v>
      </c>
      <c r="F128" s="1638">
        <v>46</v>
      </c>
      <c r="G128" s="1638">
        <v>46</v>
      </c>
      <c r="H128" s="1638">
        <v>46</v>
      </c>
      <c r="I128" s="1638">
        <v>46</v>
      </c>
      <c r="J128" s="1372" t="s">
        <v>295</v>
      </c>
      <c r="K128" s="1372" t="str">
        <f t="shared" si="69"/>
        <v/>
      </c>
      <c r="L128" s="1639">
        <v>0</v>
      </c>
      <c r="M128" s="1639">
        <v>0</v>
      </c>
      <c r="N128" s="1639">
        <v>0</v>
      </c>
      <c r="O128" s="1639">
        <v>0</v>
      </c>
      <c r="P128" s="1637">
        <v>0.79</v>
      </c>
      <c r="Q128" s="1637">
        <v>0.79</v>
      </c>
      <c r="R128" s="1637">
        <v>0.79</v>
      </c>
      <c r="S128" s="1637">
        <v>0.79</v>
      </c>
      <c r="T128" s="1640">
        <f t="shared" si="70"/>
        <v>0</v>
      </c>
      <c r="U128" s="1640">
        <f t="shared" si="71"/>
        <v>0</v>
      </c>
      <c r="V128" s="1640">
        <f t="shared" si="72"/>
        <v>0</v>
      </c>
      <c r="W128" s="1640">
        <f t="shared" si="73"/>
        <v>0</v>
      </c>
      <c r="X128" s="1640">
        <f t="shared" si="74"/>
        <v>0</v>
      </c>
      <c r="Y128" s="1829"/>
      <c r="Z128" s="1372" t="str">
        <f t="shared" si="97"/>
        <v/>
      </c>
      <c r="AA128" s="1840">
        <f t="shared" si="98"/>
        <v>0</v>
      </c>
      <c r="AB128" s="2028"/>
      <c r="AC128" s="1840">
        <f t="shared" si="75"/>
        <v>0</v>
      </c>
      <c r="AD128" s="1840">
        <f t="shared" si="76"/>
        <v>0</v>
      </c>
      <c r="AE128" s="1829"/>
      <c r="AF128" s="1829" t="s">
        <v>3361</v>
      </c>
      <c r="AG128" s="1830">
        <v>0</v>
      </c>
      <c r="AH128" s="1829"/>
      <c r="AI128" s="1640">
        <f t="shared" si="77"/>
        <v>0</v>
      </c>
      <c r="AJ128" s="1638">
        <f t="shared" si="78"/>
        <v>0</v>
      </c>
      <c r="AK128" s="1829"/>
      <c r="AL128" s="1829" t="s">
        <v>3361</v>
      </c>
      <c r="AM128" s="1830">
        <v>0</v>
      </c>
      <c r="AN128" s="1829"/>
      <c r="AO128" s="1640">
        <f t="shared" si="79"/>
        <v>0</v>
      </c>
      <c r="AP128" s="1638">
        <f t="shared" si="80"/>
        <v>0</v>
      </c>
      <c r="AQ128" s="1829"/>
      <c r="AR128" s="1829" t="s">
        <v>3361</v>
      </c>
      <c r="AS128" s="1830">
        <v>0</v>
      </c>
      <c r="AT128" s="1829"/>
      <c r="AU128" s="1640">
        <f t="shared" si="81"/>
        <v>0</v>
      </c>
      <c r="AV128" s="1638">
        <f t="shared" si="82"/>
        <v>0</v>
      </c>
      <c r="AW128" s="2044">
        <f t="shared" si="83"/>
        <v>0</v>
      </c>
      <c r="AX128" s="2044">
        <f t="shared" si="84"/>
        <v>0</v>
      </c>
      <c r="AY128" s="2044">
        <f t="shared" si="85"/>
        <v>0</v>
      </c>
      <c r="AZ128" s="2044">
        <f t="shared" si="86"/>
        <v>0</v>
      </c>
      <c r="BA128" s="2045">
        <f t="shared" si="87"/>
        <v>0</v>
      </c>
      <c r="BB128" s="2049"/>
      <c r="BC128" s="2049"/>
      <c r="BD128" s="2045">
        <v>0</v>
      </c>
      <c r="BE128" s="2051">
        <v>0</v>
      </c>
      <c r="BF128" s="2051">
        <v>0</v>
      </c>
      <c r="BG128" s="2051">
        <v>0</v>
      </c>
      <c r="BH128" s="2051">
        <v>0</v>
      </c>
      <c r="BI128" s="2045">
        <f t="shared" si="63"/>
        <v>0</v>
      </c>
      <c r="BJ128" s="2045">
        <f t="shared" si="64"/>
        <v>0</v>
      </c>
      <c r="BK128" s="2045">
        <f t="shared" si="65"/>
        <v>0</v>
      </c>
      <c r="BL128" s="2045">
        <f t="shared" si="66"/>
        <v>0</v>
      </c>
      <c r="BM128" s="2045">
        <f t="shared" si="88"/>
        <v>0</v>
      </c>
      <c r="BN128" s="2047">
        <v>0</v>
      </c>
      <c r="BO128" s="2047">
        <v>0</v>
      </c>
      <c r="BP128" s="2047">
        <v>0</v>
      </c>
      <c r="BQ128" s="2047">
        <v>0</v>
      </c>
      <c r="BR128" s="2048">
        <f t="shared" si="89"/>
        <v>0</v>
      </c>
      <c r="BS128" s="2048">
        <f t="shared" si="90"/>
        <v>0</v>
      </c>
      <c r="BT128" s="2048">
        <f t="shared" si="91"/>
        <v>0</v>
      </c>
      <c r="BU128" s="2048">
        <f t="shared" si="92"/>
        <v>0</v>
      </c>
      <c r="BV128" s="1840">
        <f t="shared" si="93"/>
        <v>0</v>
      </c>
      <c r="BW128" s="2064" t="e">
        <f>INT(#REF!)=INT(BA128)</f>
        <v>#REF!</v>
      </c>
      <c r="BX128" s="2064">
        <v>121</v>
      </c>
      <c r="BY128" s="2064" t="s">
        <v>295</v>
      </c>
    </row>
    <row r="129" spans="1:78" s="1976" customFormat="1" ht="18" customHeight="1" x14ac:dyDescent="0.35">
      <c r="A129" s="1372" t="s">
        <v>295</v>
      </c>
      <c r="B129" s="1372" t="s">
        <v>268</v>
      </c>
      <c r="C129" s="1637">
        <v>0</v>
      </c>
      <c r="D129" s="1372" t="s">
        <v>295</v>
      </c>
      <c r="E129" s="1372" t="s">
        <v>163</v>
      </c>
      <c r="F129" s="1638">
        <v>33</v>
      </c>
      <c r="G129" s="1638">
        <v>33</v>
      </c>
      <c r="H129" s="1638">
        <v>33</v>
      </c>
      <c r="I129" s="1638">
        <v>33</v>
      </c>
      <c r="J129" s="1372" t="s">
        <v>295</v>
      </c>
      <c r="K129" s="1372" t="str">
        <f t="shared" si="69"/>
        <v/>
      </c>
      <c r="L129" s="1639">
        <v>0</v>
      </c>
      <c r="M129" s="1639">
        <v>0</v>
      </c>
      <c r="N129" s="1639">
        <v>0</v>
      </c>
      <c r="O129" s="1639">
        <v>0</v>
      </c>
      <c r="P129" s="1637">
        <v>0.79</v>
      </c>
      <c r="Q129" s="1637">
        <v>0.79</v>
      </c>
      <c r="R129" s="1637">
        <v>0.79</v>
      </c>
      <c r="S129" s="1637">
        <v>0.79</v>
      </c>
      <c r="T129" s="1640">
        <f t="shared" si="70"/>
        <v>0</v>
      </c>
      <c r="U129" s="1640">
        <f t="shared" si="71"/>
        <v>0</v>
      </c>
      <c r="V129" s="1640">
        <f t="shared" si="72"/>
        <v>0</v>
      </c>
      <c r="W129" s="1640">
        <f t="shared" si="73"/>
        <v>0</v>
      </c>
      <c r="X129" s="1640">
        <f t="shared" si="74"/>
        <v>0</v>
      </c>
      <c r="Y129" s="1829"/>
      <c r="Z129" s="1372" t="str">
        <f t="shared" si="97"/>
        <v/>
      </c>
      <c r="AA129" s="1840">
        <f t="shared" si="98"/>
        <v>0</v>
      </c>
      <c r="AB129" s="2028"/>
      <c r="AC129" s="1840">
        <f t="shared" si="75"/>
        <v>0</v>
      </c>
      <c r="AD129" s="1840">
        <f t="shared" si="76"/>
        <v>0</v>
      </c>
      <c r="AE129" s="1829"/>
      <c r="AF129" s="1829" t="s">
        <v>3361</v>
      </c>
      <c r="AG129" s="1830">
        <v>0</v>
      </c>
      <c r="AH129" s="1829"/>
      <c r="AI129" s="1640">
        <f t="shared" si="77"/>
        <v>0</v>
      </c>
      <c r="AJ129" s="1638">
        <f t="shared" si="78"/>
        <v>0</v>
      </c>
      <c r="AK129" s="1829"/>
      <c r="AL129" s="1829" t="s">
        <v>3361</v>
      </c>
      <c r="AM129" s="1830">
        <v>0</v>
      </c>
      <c r="AN129" s="1829"/>
      <c r="AO129" s="1640">
        <f t="shared" si="79"/>
        <v>0</v>
      </c>
      <c r="AP129" s="1638">
        <f t="shared" si="80"/>
        <v>0</v>
      </c>
      <c r="AQ129" s="1829"/>
      <c r="AR129" s="1829" t="s">
        <v>3361</v>
      </c>
      <c r="AS129" s="1830">
        <v>0</v>
      </c>
      <c r="AT129" s="1829"/>
      <c r="AU129" s="1640">
        <f t="shared" si="81"/>
        <v>0</v>
      </c>
      <c r="AV129" s="1638">
        <f t="shared" si="82"/>
        <v>0</v>
      </c>
      <c r="AW129" s="2044">
        <f t="shared" si="83"/>
        <v>0</v>
      </c>
      <c r="AX129" s="2044">
        <f t="shared" si="84"/>
        <v>0</v>
      </c>
      <c r="AY129" s="2044">
        <f t="shared" si="85"/>
        <v>0</v>
      </c>
      <c r="AZ129" s="2044">
        <f t="shared" si="86"/>
        <v>0</v>
      </c>
      <c r="BA129" s="2045">
        <f t="shared" si="87"/>
        <v>0</v>
      </c>
      <c r="BB129" s="2049"/>
      <c r="BC129" s="2049"/>
      <c r="BD129" s="2045">
        <v>0</v>
      </c>
      <c r="BE129" s="2051">
        <v>0</v>
      </c>
      <c r="BF129" s="2051">
        <v>0</v>
      </c>
      <c r="BG129" s="2051">
        <v>0</v>
      </c>
      <c r="BH129" s="2051">
        <v>0</v>
      </c>
      <c r="BI129" s="2045">
        <f t="shared" si="63"/>
        <v>0</v>
      </c>
      <c r="BJ129" s="2045">
        <f t="shared" si="64"/>
        <v>0</v>
      </c>
      <c r="BK129" s="2045">
        <f t="shared" si="65"/>
        <v>0</v>
      </c>
      <c r="BL129" s="2045">
        <f t="shared" si="66"/>
        <v>0</v>
      </c>
      <c r="BM129" s="2045">
        <f t="shared" si="88"/>
        <v>0</v>
      </c>
      <c r="BN129" s="2047">
        <v>0</v>
      </c>
      <c r="BO129" s="2047">
        <v>0</v>
      </c>
      <c r="BP129" s="2047">
        <v>0</v>
      </c>
      <c r="BQ129" s="2047">
        <v>0</v>
      </c>
      <c r="BR129" s="2048">
        <f t="shared" si="89"/>
        <v>0</v>
      </c>
      <c r="BS129" s="2048">
        <f t="shared" si="90"/>
        <v>0</v>
      </c>
      <c r="BT129" s="2048">
        <f t="shared" si="91"/>
        <v>0</v>
      </c>
      <c r="BU129" s="2048">
        <f t="shared" si="92"/>
        <v>0</v>
      </c>
      <c r="BV129" s="1840">
        <f t="shared" si="93"/>
        <v>0</v>
      </c>
      <c r="BW129" s="2064" t="e">
        <f>INT(#REF!)=INT(BA129)</f>
        <v>#REF!</v>
      </c>
      <c r="BX129" s="2064">
        <v>122</v>
      </c>
      <c r="BY129" s="2064" t="s">
        <v>295</v>
      </c>
    </row>
    <row r="130" spans="1:78" s="1976" customFormat="1" ht="18" customHeight="1" x14ac:dyDescent="0.35">
      <c r="A130" s="1372" t="s">
        <v>295</v>
      </c>
      <c r="B130" s="1372" t="s">
        <v>269</v>
      </c>
      <c r="C130" s="1637">
        <v>0</v>
      </c>
      <c r="D130" s="1372" t="s">
        <v>295</v>
      </c>
      <c r="E130" s="1372" t="s">
        <v>163</v>
      </c>
      <c r="F130" s="1638">
        <v>11</v>
      </c>
      <c r="G130" s="1638">
        <v>11</v>
      </c>
      <c r="H130" s="1638">
        <v>11</v>
      </c>
      <c r="I130" s="1638">
        <v>11</v>
      </c>
      <c r="J130" s="1372" t="s">
        <v>295</v>
      </c>
      <c r="K130" s="1372" t="str">
        <f t="shared" si="69"/>
        <v/>
      </c>
      <c r="L130" s="1639">
        <v>0</v>
      </c>
      <c r="M130" s="1639">
        <v>0</v>
      </c>
      <c r="N130" s="1639">
        <v>0</v>
      </c>
      <c r="O130" s="1639">
        <v>0</v>
      </c>
      <c r="P130" s="1637">
        <v>1.02</v>
      </c>
      <c r="Q130" s="1637">
        <v>1.02</v>
      </c>
      <c r="R130" s="1637">
        <v>1.02</v>
      </c>
      <c r="S130" s="1637">
        <v>1.02</v>
      </c>
      <c r="T130" s="1640">
        <f t="shared" si="70"/>
        <v>0</v>
      </c>
      <c r="U130" s="1640">
        <f t="shared" si="71"/>
        <v>0</v>
      </c>
      <c r="V130" s="1640">
        <f t="shared" si="72"/>
        <v>0</v>
      </c>
      <c r="W130" s="1640">
        <f t="shared" si="73"/>
        <v>0</v>
      </c>
      <c r="X130" s="1640">
        <f t="shared" si="74"/>
        <v>0</v>
      </c>
      <c r="Y130" s="1829"/>
      <c r="Z130" s="1372" t="str">
        <f t="shared" si="97"/>
        <v/>
      </c>
      <c r="AA130" s="1840">
        <f t="shared" si="98"/>
        <v>0</v>
      </c>
      <c r="AB130" s="2028"/>
      <c r="AC130" s="1840">
        <f t="shared" si="75"/>
        <v>0</v>
      </c>
      <c r="AD130" s="1840">
        <f t="shared" si="76"/>
        <v>0</v>
      </c>
      <c r="AE130" s="1829"/>
      <c r="AF130" s="1829" t="s">
        <v>3361</v>
      </c>
      <c r="AG130" s="1830">
        <v>0</v>
      </c>
      <c r="AH130" s="1829"/>
      <c r="AI130" s="1640">
        <f t="shared" si="77"/>
        <v>0</v>
      </c>
      <c r="AJ130" s="1638">
        <f t="shared" si="78"/>
        <v>0</v>
      </c>
      <c r="AK130" s="1829"/>
      <c r="AL130" s="1829" t="s">
        <v>3361</v>
      </c>
      <c r="AM130" s="1830">
        <v>0</v>
      </c>
      <c r="AN130" s="1829"/>
      <c r="AO130" s="1640">
        <f t="shared" si="79"/>
        <v>0</v>
      </c>
      <c r="AP130" s="1638">
        <f t="shared" si="80"/>
        <v>0</v>
      </c>
      <c r="AQ130" s="1829"/>
      <c r="AR130" s="1829" t="s">
        <v>3361</v>
      </c>
      <c r="AS130" s="1830">
        <v>0</v>
      </c>
      <c r="AT130" s="1829"/>
      <c r="AU130" s="1640">
        <f t="shared" si="81"/>
        <v>0</v>
      </c>
      <c r="AV130" s="1638">
        <f t="shared" si="82"/>
        <v>0</v>
      </c>
      <c r="AW130" s="2044">
        <f t="shared" si="83"/>
        <v>0</v>
      </c>
      <c r="AX130" s="2044">
        <f t="shared" si="84"/>
        <v>0</v>
      </c>
      <c r="AY130" s="2044">
        <f t="shared" si="85"/>
        <v>0</v>
      </c>
      <c r="AZ130" s="2044">
        <f t="shared" si="86"/>
        <v>0</v>
      </c>
      <c r="BA130" s="2045">
        <f t="shared" si="87"/>
        <v>0</v>
      </c>
      <c r="BB130" s="2049"/>
      <c r="BC130" s="2049"/>
      <c r="BD130" s="2045">
        <v>0</v>
      </c>
      <c r="BE130" s="2051">
        <v>1</v>
      </c>
      <c r="BF130" s="2051">
        <v>1</v>
      </c>
      <c r="BG130" s="2051">
        <v>1</v>
      </c>
      <c r="BH130" s="2051">
        <v>1</v>
      </c>
      <c r="BI130" s="2045">
        <f t="shared" si="63"/>
        <v>0</v>
      </c>
      <c r="BJ130" s="2045">
        <f t="shared" si="64"/>
        <v>0</v>
      </c>
      <c r="BK130" s="2045">
        <f t="shared" si="65"/>
        <v>0</v>
      </c>
      <c r="BL130" s="2045">
        <f t="shared" si="66"/>
        <v>0</v>
      </c>
      <c r="BM130" s="2045">
        <f t="shared" si="88"/>
        <v>0</v>
      </c>
      <c r="BN130" s="2047">
        <v>1</v>
      </c>
      <c r="BO130" s="2047">
        <v>1</v>
      </c>
      <c r="BP130" s="2047">
        <v>1</v>
      </c>
      <c r="BQ130" s="2047">
        <v>1</v>
      </c>
      <c r="BR130" s="2048">
        <f t="shared" si="89"/>
        <v>0</v>
      </c>
      <c r="BS130" s="2048">
        <f t="shared" si="90"/>
        <v>0</v>
      </c>
      <c r="BT130" s="2048">
        <f t="shared" si="91"/>
        <v>0</v>
      </c>
      <c r="BU130" s="2048">
        <f t="shared" si="92"/>
        <v>0</v>
      </c>
      <c r="BV130" s="1840">
        <f t="shared" si="93"/>
        <v>0</v>
      </c>
      <c r="BW130" s="2064" t="e">
        <f>INT(#REF!)=INT(BA130)</f>
        <v>#REF!</v>
      </c>
      <c r="BX130" s="2064">
        <v>123</v>
      </c>
      <c r="BY130" s="2064" t="s">
        <v>295</v>
      </c>
    </row>
    <row r="131" spans="1:78" s="1976" customFormat="1" ht="18" customHeight="1" x14ac:dyDescent="0.35">
      <c r="A131" s="1372" t="s">
        <v>295</v>
      </c>
      <c r="B131" s="1372" t="s">
        <v>3033</v>
      </c>
      <c r="C131" s="1637">
        <v>0</v>
      </c>
      <c r="D131" s="1372" t="s">
        <v>295</v>
      </c>
      <c r="E131" s="1372" t="s">
        <v>201</v>
      </c>
      <c r="F131" s="1638">
        <v>56</v>
      </c>
      <c r="G131" s="1638">
        <v>56</v>
      </c>
      <c r="H131" s="1638">
        <v>56</v>
      </c>
      <c r="I131" s="1638">
        <v>56</v>
      </c>
      <c r="J131" s="1372" t="s">
        <v>295</v>
      </c>
      <c r="K131" s="1372" t="str">
        <f t="shared" si="69"/>
        <v/>
      </c>
      <c r="L131" s="1639">
        <v>9451.2223247165057</v>
      </c>
      <c r="M131" s="1639">
        <v>9451.2223247165057</v>
      </c>
      <c r="N131" s="1639">
        <v>9451.2223247165057</v>
      </c>
      <c r="O131" s="1639">
        <v>9451.2223247165057</v>
      </c>
      <c r="P131" s="1637">
        <v>0.79</v>
      </c>
      <c r="Q131" s="1637">
        <v>0.79</v>
      </c>
      <c r="R131" s="1637">
        <v>0.79</v>
      </c>
      <c r="S131" s="1637">
        <v>0.79</v>
      </c>
      <c r="T131" s="1640">
        <f t="shared" si="70"/>
        <v>418122.07564545819</v>
      </c>
      <c r="U131" s="1640">
        <f t="shared" si="71"/>
        <v>418122.07564545819</v>
      </c>
      <c r="V131" s="1640">
        <f t="shared" si="72"/>
        <v>418122.07564545819</v>
      </c>
      <c r="W131" s="1640">
        <f t="shared" si="73"/>
        <v>418122.07564545819</v>
      </c>
      <c r="X131" s="1640">
        <f t="shared" si="74"/>
        <v>1672488.3025818327</v>
      </c>
      <c r="Y131" s="1829"/>
      <c r="Z131" s="1372" t="str">
        <f t="shared" si="97"/>
        <v/>
      </c>
      <c r="AA131" s="1840">
        <f t="shared" si="98"/>
        <v>9451.2223247165057</v>
      </c>
      <c r="AB131" s="2028"/>
      <c r="AC131" s="1840">
        <f t="shared" si="75"/>
        <v>418122.07564545819</v>
      </c>
      <c r="AD131" s="1840">
        <f t="shared" si="76"/>
        <v>0</v>
      </c>
      <c r="AE131" s="1829"/>
      <c r="AF131" s="1829" t="s">
        <v>3361</v>
      </c>
      <c r="AG131" s="1830">
        <v>9451.2223247165057</v>
      </c>
      <c r="AH131" s="1829"/>
      <c r="AI131" s="1640">
        <f t="shared" si="77"/>
        <v>418122.07564545819</v>
      </c>
      <c r="AJ131" s="1638">
        <f t="shared" si="78"/>
        <v>0</v>
      </c>
      <c r="AK131" s="1829"/>
      <c r="AL131" s="1829" t="s">
        <v>3361</v>
      </c>
      <c r="AM131" s="1830">
        <v>9451.2223247165057</v>
      </c>
      <c r="AN131" s="1829"/>
      <c r="AO131" s="1640">
        <f t="shared" si="79"/>
        <v>418122.07564545819</v>
      </c>
      <c r="AP131" s="1638">
        <f t="shared" si="80"/>
        <v>0</v>
      </c>
      <c r="AQ131" s="1829"/>
      <c r="AR131" s="1829" t="s">
        <v>3361</v>
      </c>
      <c r="AS131" s="1830">
        <v>9451.2223247165057</v>
      </c>
      <c r="AT131" s="1829"/>
      <c r="AU131" s="1640">
        <f t="shared" si="81"/>
        <v>418122.07564545819</v>
      </c>
      <c r="AV131" s="1638">
        <f t="shared" si="82"/>
        <v>0</v>
      </c>
      <c r="AW131" s="2044">
        <f t="shared" si="83"/>
        <v>418122.07564545819</v>
      </c>
      <c r="AX131" s="2044">
        <f t="shared" si="84"/>
        <v>418122.07564545819</v>
      </c>
      <c r="AY131" s="2044">
        <f t="shared" si="85"/>
        <v>418122.07564545819</v>
      </c>
      <c r="AZ131" s="2044">
        <f t="shared" si="86"/>
        <v>418122.07564545819</v>
      </c>
      <c r="BA131" s="2045">
        <f t="shared" si="87"/>
        <v>1672488.3025818327</v>
      </c>
      <c r="BB131" s="2049"/>
      <c r="BC131" s="2049"/>
      <c r="BD131" s="2045">
        <v>0</v>
      </c>
      <c r="BE131" s="2051">
        <v>14.999999999999998</v>
      </c>
      <c r="BF131" s="2051">
        <v>14.999999999999998</v>
      </c>
      <c r="BG131" s="2051">
        <v>14.999999999999998</v>
      </c>
      <c r="BH131" s="2051">
        <v>14.999999999999998</v>
      </c>
      <c r="BI131" s="2045">
        <f t="shared" si="63"/>
        <v>6271831.134681873</v>
      </c>
      <c r="BJ131" s="2045">
        <f t="shared" si="64"/>
        <v>6271831.134681873</v>
      </c>
      <c r="BK131" s="2045">
        <f t="shared" si="65"/>
        <v>6271831.134681873</v>
      </c>
      <c r="BL131" s="2045">
        <f t="shared" si="66"/>
        <v>6271831.134681873</v>
      </c>
      <c r="BM131" s="2045">
        <f t="shared" si="88"/>
        <v>25087324.538727492</v>
      </c>
      <c r="BN131" s="2047">
        <v>14.999999999999998</v>
      </c>
      <c r="BO131" s="2047">
        <v>15</v>
      </c>
      <c r="BP131" s="2047">
        <v>14.999999999999998</v>
      </c>
      <c r="BQ131" s="2047">
        <v>14.999999999999998</v>
      </c>
      <c r="BR131" s="2048">
        <f t="shared" si="89"/>
        <v>6271831.134681873</v>
      </c>
      <c r="BS131" s="2048">
        <f t="shared" si="90"/>
        <v>6271831.134681874</v>
      </c>
      <c r="BT131" s="2048">
        <f t="shared" si="91"/>
        <v>6271831.134681873</v>
      </c>
      <c r="BU131" s="2048">
        <f t="shared" si="92"/>
        <v>6271831.134681873</v>
      </c>
      <c r="BV131" s="1840">
        <f t="shared" si="93"/>
        <v>25087324.538727492</v>
      </c>
      <c r="BW131" s="2064" t="e">
        <f>INT(#REF!)=INT(BA131)</f>
        <v>#REF!</v>
      </c>
      <c r="BX131" s="2064">
        <v>124</v>
      </c>
      <c r="BY131" s="2064" t="s">
        <v>295</v>
      </c>
    </row>
    <row r="132" spans="1:78" s="1976" customFormat="1" ht="18" customHeight="1" x14ac:dyDescent="0.35">
      <c r="A132" s="1372" t="s">
        <v>295</v>
      </c>
      <c r="B132" s="1372" t="s">
        <v>3034</v>
      </c>
      <c r="C132" s="1637">
        <v>0</v>
      </c>
      <c r="D132" s="1372" t="s">
        <v>295</v>
      </c>
      <c r="E132" s="1372" t="s">
        <v>201</v>
      </c>
      <c r="F132" s="1638">
        <v>28</v>
      </c>
      <c r="G132" s="1638">
        <v>28</v>
      </c>
      <c r="H132" s="1638">
        <v>28</v>
      </c>
      <c r="I132" s="1638">
        <v>28</v>
      </c>
      <c r="J132" s="1372" t="s">
        <v>295</v>
      </c>
      <c r="K132" s="1372" t="str">
        <f t="shared" si="69"/>
        <v/>
      </c>
      <c r="L132" s="1639">
        <v>33445.783599908282</v>
      </c>
      <c r="M132" s="1639">
        <v>33445.783599908282</v>
      </c>
      <c r="N132" s="1639">
        <v>33445.783599908282</v>
      </c>
      <c r="O132" s="1639">
        <v>33445.783599908282</v>
      </c>
      <c r="P132" s="1637">
        <v>1.02</v>
      </c>
      <c r="Q132" s="1637">
        <v>1.02</v>
      </c>
      <c r="R132" s="1637">
        <v>1.02</v>
      </c>
      <c r="S132" s="1637">
        <v>1.02</v>
      </c>
      <c r="T132" s="1640">
        <f t="shared" si="70"/>
        <v>955211.57961338048</v>
      </c>
      <c r="U132" s="1640">
        <f t="shared" si="71"/>
        <v>955211.57961338048</v>
      </c>
      <c r="V132" s="1640">
        <f t="shared" si="72"/>
        <v>955211.57961338048</v>
      </c>
      <c r="W132" s="1640">
        <f t="shared" si="73"/>
        <v>955211.57961338048</v>
      </c>
      <c r="X132" s="1640">
        <f t="shared" si="74"/>
        <v>3820846.3184535219</v>
      </c>
      <c r="Y132" s="1829"/>
      <c r="Z132" s="1372" t="str">
        <f t="shared" si="97"/>
        <v/>
      </c>
      <c r="AA132" s="1840">
        <f t="shared" si="98"/>
        <v>33445.783599908282</v>
      </c>
      <c r="AB132" s="2028"/>
      <c r="AC132" s="1840">
        <f t="shared" si="75"/>
        <v>955211.57961338048</v>
      </c>
      <c r="AD132" s="1840">
        <f t="shared" si="76"/>
        <v>0</v>
      </c>
      <c r="AE132" s="1829"/>
      <c r="AF132" s="1829" t="s">
        <v>3361</v>
      </c>
      <c r="AG132" s="1830">
        <v>33445.783599908282</v>
      </c>
      <c r="AH132" s="1829"/>
      <c r="AI132" s="1640">
        <f t="shared" si="77"/>
        <v>955211.57961338048</v>
      </c>
      <c r="AJ132" s="1638">
        <f t="shared" si="78"/>
        <v>0</v>
      </c>
      <c r="AK132" s="1829"/>
      <c r="AL132" s="1829" t="s">
        <v>3361</v>
      </c>
      <c r="AM132" s="1830">
        <v>33445.783599908282</v>
      </c>
      <c r="AN132" s="1829"/>
      <c r="AO132" s="1640">
        <f t="shared" si="79"/>
        <v>955211.57961338048</v>
      </c>
      <c r="AP132" s="1638">
        <f t="shared" si="80"/>
        <v>0</v>
      </c>
      <c r="AQ132" s="1829"/>
      <c r="AR132" s="1829" t="s">
        <v>3361</v>
      </c>
      <c r="AS132" s="1830">
        <v>33445.783599908282</v>
      </c>
      <c r="AT132" s="1829"/>
      <c r="AU132" s="1640">
        <f t="shared" si="81"/>
        <v>955211.57961338048</v>
      </c>
      <c r="AV132" s="1638">
        <f t="shared" si="82"/>
        <v>0</v>
      </c>
      <c r="AW132" s="2044">
        <f t="shared" si="83"/>
        <v>955211.57961338048</v>
      </c>
      <c r="AX132" s="2044">
        <f t="shared" si="84"/>
        <v>955211.57961338048</v>
      </c>
      <c r="AY132" s="2044">
        <f t="shared" si="85"/>
        <v>955211.57961338048</v>
      </c>
      <c r="AZ132" s="2044">
        <f t="shared" si="86"/>
        <v>955211.57961338048</v>
      </c>
      <c r="BA132" s="2045">
        <f t="shared" si="87"/>
        <v>3820846.3184535219</v>
      </c>
      <c r="BB132" s="2049"/>
      <c r="BC132" s="2049"/>
      <c r="BD132" s="2045">
        <v>0</v>
      </c>
      <c r="BE132" s="2051">
        <v>10.996288933757402</v>
      </c>
      <c r="BF132" s="2051">
        <v>10.996288933757402</v>
      </c>
      <c r="BG132" s="2051">
        <v>10.996288933757402</v>
      </c>
      <c r="BH132" s="2051">
        <v>10.996288933757402</v>
      </c>
      <c r="BI132" s="2045">
        <f t="shared" si="63"/>
        <v>10503782.522299545</v>
      </c>
      <c r="BJ132" s="2045">
        <f t="shared" si="64"/>
        <v>10503782.522299545</v>
      </c>
      <c r="BK132" s="2045">
        <f t="shared" si="65"/>
        <v>10503782.522299545</v>
      </c>
      <c r="BL132" s="2045">
        <f t="shared" si="66"/>
        <v>10503782.522299545</v>
      </c>
      <c r="BM132" s="2045">
        <f t="shared" si="88"/>
        <v>42015130.08919818</v>
      </c>
      <c r="BN132" s="2047">
        <v>10.996288933757402</v>
      </c>
      <c r="BO132" s="2047">
        <v>10.996288933757402</v>
      </c>
      <c r="BP132" s="2047">
        <v>10.996288933757402</v>
      </c>
      <c r="BQ132" s="2047">
        <v>10.996288933757402</v>
      </c>
      <c r="BR132" s="2048">
        <f t="shared" si="89"/>
        <v>10503782.522299545</v>
      </c>
      <c r="BS132" s="2048">
        <f t="shared" si="90"/>
        <v>10503782.522299545</v>
      </c>
      <c r="BT132" s="2048">
        <f t="shared" si="91"/>
        <v>10503782.522299545</v>
      </c>
      <c r="BU132" s="2048">
        <f t="shared" si="92"/>
        <v>10503782.522299545</v>
      </c>
      <c r="BV132" s="1840">
        <f t="shared" si="93"/>
        <v>42015130.08919818</v>
      </c>
      <c r="BW132" s="2064" t="e">
        <f>INT(#REF!)=INT(BA132)</f>
        <v>#REF!</v>
      </c>
      <c r="BX132" s="2064">
        <v>125</v>
      </c>
      <c r="BY132" s="2064" t="s">
        <v>295</v>
      </c>
    </row>
    <row r="133" spans="1:78" s="1976" customFormat="1" ht="18" customHeight="1" x14ac:dyDescent="0.35">
      <c r="A133" s="1372" t="s">
        <v>295</v>
      </c>
      <c r="B133" s="1372" t="s">
        <v>3035</v>
      </c>
      <c r="C133" s="1637">
        <v>0</v>
      </c>
      <c r="D133" s="1372" t="s">
        <v>295</v>
      </c>
      <c r="E133" s="1372" t="s">
        <v>163</v>
      </c>
      <c r="F133" s="1638">
        <v>11</v>
      </c>
      <c r="G133" s="1638">
        <v>11</v>
      </c>
      <c r="H133" s="1638">
        <v>11</v>
      </c>
      <c r="I133" s="1638">
        <v>11</v>
      </c>
      <c r="J133" s="1372" t="s">
        <v>295</v>
      </c>
      <c r="K133" s="1372" t="str">
        <f t="shared" si="69"/>
        <v/>
      </c>
      <c r="L133" s="1639">
        <v>0</v>
      </c>
      <c r="M133" s="1639">
        <v>0</v>
      </c>
      <c r="N133" s="1639">
        <v>0</v>
      </c>
      <c r="O133" s="1639">
        <v>0</v>
      </c>
      <c r="P133" s="1637">
        <v>1.02</v>
      </c>
      <c r="Q133" s="1637">
        <v>1.02</v>
      </c>
      <c r="R133" s="1637">
        <v>1.02</v>
      </c>
      <c r="S133" s="1637">
        <v>1.02</v>
      </c>
      <c r="T133" s="1640">
        <f t="shared" si="70"/>
        <v>0</v>
      </c>
      <c r="U133" s="1640">
        <f t="shared" si="71"/>
        <v>0</v>
      </c>
      <c r="V133" s="1640">
        <f t="shared" si="72"/>
        <v>0</v>
      </c>
      <c r="W133" s="1640">
        <f t="shared" si="73"/>
        <v>0</v>
      </c>
      <c r="X133" s="1640">
        <f t="shared" si="74"/>
        <v>0</v>
      </c>
      <c r="Y133" s="1829"/>
      <c r="Z133" s="1372" t="str">
        <f t="shared" si="97"/>
        <v/>
      </c>
      <c r="AA133" s="1840">
        <f t="shared" si="98"/>
        <v>0</v>
      </c>
      <c r="AB133" s="2028"/>
      <c r="AC133" s="1840">
        <f t="shared" si="75"/>
        <v>0</v>
      </c>
      <c r="AD133" s="1840">
        <f t="shared" si="76"/>
        <v>0</v>
      </c>
      <c r="AE133" s="1829"/>
      <c r="AF133" s="1829" t="s">
        <v>3361</v>
      </c>
      <c r="AG133" s="1830">
        <v>0</v>
      </c>
      <c r="AH133" s="1829"/>
      <c r="AI133" s="1640">
        <f t="shared" si="77"/>
        <v>0</v>
      </c>
      <c r="AJ133" s="1638">
        <f t="shared" si="78"/>
        <v>0</v>
      </c>
      <c r="AK133" s="1829"/>
      <c r="AL133" s="1829" t="s">
        <v>3361</v>
      </c>
      <c r="AM133" s="1830">
        <v>0</v>
      </c>
      <c r="AN133" s="1829"/>
      <c r="AO133" s="1640">
        <f t="shared" si="79"/>
        <v>0</v>
      </c>
      <c r="AP133" s="1638">
        <f t="shared" si="80"/>
        <v>0</v>
      </c>
      <c r="AQ133" s="1829"/>
      <c r="AR133" s="1829" t="s">
        <v>3361</v>
      </c>
      <c r="AS133" s="1830">
        <v>0</v>
      </c>
      <c r="AT133" s="1829"/>
      <c r="AU133" s="1640">
        <f t="shared" si="81"/>
        <v>0</v>
      </c>
      <c r="AV133" s="1638">
        <f t="shared" si="82"/>
        <v>0</v>
      </c>
      <c r="AW133" s="2044">
        <f t="shared" si="83"/>
        <v>0</v>
      </c>
      <c r="AX133" s="2044">
        <f t="shared" si="84"/>
        <v>0</v>
      </c>
      <c r="AY133" s="2044">
        <f t="shared" si="85"/>
        <v>0</v>
      </c>
      <c r="AZ133" s="2044">
        <f t="shared" si="86"/>
        <v>0</v>
      </c>
      <c r="BA133" s="2045">
        <f t="shared" si="87"/>
        <v>0</v>
      </c>
      <c r="BB133" s="2049"/>
      <c r="BC133" s="2049"/>
      <c r="BD133" s="2045">
        <v>0</v>
      </c>
      <c r="BE133" s="2051">
        <v>1</v>
      </c>
      <c r="BF133" s="2051">
        <v>1</v>
      </c>
      <c r="BG133" s="2051">
        <v>1</v>
      </c>
      <c r="BH133" s="2051">
        <v>1</v>
      </c>
      <c r="BI133" s="2045">
        <f t="shared" si="63"/>
        <v>0</v>
      </c>
      <c r="BJ133" s="2045">
        <f t="shared" si="64"/>
        <v>0</v>
      </c>
      <c r="BK133" s="2045">
        <f t="shared" si="65"/>
        <v>0</v>
      </c>
      <c r="BL133" s="2045">
        <f t="shared" si="66"/>
        <v>0</v>
      </c>
      <c r="BM133" s="2045">
        <f t="shared" si="88"/>
        <v>0</v>
      </c>
      <c r="BN133" s="2047">
        <v>1</v>
      </c>
      <c r="BO133" s="2047">
        <v>1</v>
      </c>
      <c r="BP133" s="2047">
        <v>1</v>
      </c>
      <c r="BQ133" s="2047">
        <v>1</v>
      </c>
      <c r="BR133" s="2048">
        <f t="shared" si="89"/>
        <v>0</v>
      </c>
      <c r="BS133" s="2048">
        <f t="shared" si="90"/>
        <v>0</v>
      </c>
      <c r="BT133" s="2048">
        <f t="shared" si="91"/>
        <v>0</v>
      </c>
      <c r="BU133" s="2048">
        <f t="shared" si="92"/>
        <v>0</v>
      </c>
      <c r="BV133" s="1840">
        <f t="shared" si="93"/>
        <v>0</v>
      </c>
      <c r="BW133" s="2064" t="e">
        <f>INT(#REF!)=INT(BA133)</f>
        <v>#REF!</v>
      </c>
      <c r="BX133" s="2064">
        <v>126</v>
      </c>
      <c r="BY133" s="2064" t="s">
        <v>295</v>
      </c>
    </row>
    <row r="134" spans="1:78" s="1976" customFormat="1" ht="18" customHeight="1" x14ac:dyDescent="0.35">
      <c r="A134" s="1372" t="s">
        <v>295</v>
      </c>
      <c r="B134" s="1372" t="s">
        <v>3021</v>
      </c>
      <c r="C134" s="1637">
        <v>0</v>
      </c>
      <c r="D134" s="1372" t="s">
        <v>295</v>
      </c>
      <c r="E134" s="1372" t="s">
        <v>163</v>
      </c>
      <c r="F134" s="1638">
        <v>11</v>
      </c>
      <c r="G134" s="1638">
        <v>11</v>
      </c>
      <c r="H134" s="1638">
        <v>11</v>
      </c>
      <c r="I134" s="1638">
        <v>11</v>
      </c>
      <c r="J134" s="1372" t="s">
        <v>295</v>
      </c>
      <c r="K134" s="1372" t="str">
        <f t="shared" si="69"/>
        <v/>
      </c>
      <c r="L134" s="1639">
        <v>0</v>
      </c>
      <c r="M134" s="1639">
        <v>0</v>
      </c>
      <c r="N134" s="1639">
        <v>0</v>
      </c>
      <c r="O134" s="1639">
        <v>0</v>
      </c>
      <c r="P134" s="1637">
        <v>0.79</v>
      </c>
      <c r="Q134" s="1637">
        <v>0.79</v>
      </c>
      <c r="R134" s="1637">
        <v>0.79</v>
      </c>
      <c r="S134" s="1637">
        <v>0.79</v>
      </c>
      <c r="T134" s="1640">
        <f t="shared" si="70"/>
        <v>0</v>
      </c>
      <c r="U134" s="1640">
        <f t="shared" si="71"/>
        <v>0</v>
      </c>
      <c r="V134" s="1640">
        <f t="shared" si="72"/>
        <v>0</v>
      </c>
      <c r="W134" s="1640">
        <f t="shared" si="73"/>
        <v>0</v>
      </c>
      <c r="X134" s="1640">
        <f t="shared" si="74"/>
        <v>0</v>
      </c>
      <c r="Y134" s="1829"/>
      <c r="Z134" s="1372" t="str">
        <f t="shared" si="97"/>
        <v/>
      </c>
      <c r="AA134" s="1840">
        <f t="shared" si="98"/>
        <v>0</v>
      </c>
      <c r="AB134" s="2028"/>
      <c r="AC134" s="1840">
        <f t="shared" si="75"/>
        <v>0</v>
      </c>
      <c r="AD134" s="1840">
        <f t="shared" si="76"/>
        <v>0</v>
      </c>
      <c r="AE134" s="1829"/>
      <c r="AF134" s="1829" t="s">
        <v>3361</v>
      </c>
      <c r="AG134" s="1830">
        <v>0</v>
      </c>
      <c r="AH134" s="1829"/>
      <c r="AI134" s="1640">
        <f t="shared" si="77"/>
        <v>0</v>
      </c>
      <c r="AJ134" s="1638">
        <f t="shared" si="78"/>
        <v>0</v>
      </c>
      <c r="AK134" s="1829"/>
      <c r="AL134" s="1829" t="s">
        <v>3361</v>
      </c>
      <c r="AM134" s="1830">
        <v>0</v>
      </c>
      <c r="AN134" s="1829"/>
      <c r="AO134" s="1640">
        <f t="shared" si="79"/>
        <v>0</v>
      </c>
      <c r="AP134" s="1638">
        <f t="shared" si="80"/>
        <v>0</v>
      </c>
      <c r="AQ134" s="1829"/>
      <c r="AR134" s="1829" t="s">
        <v>3361</v>
      </c>
      <c r="AS134" s="1830">
        <v>0</v>
      </c>
      <c r="AT134" s="1829"/>
      <c r="AU134" s="1640">
        <f t="shared" si="81"/>
        <v>0</v>
      </c>
      <c r="AV134" s="1638">
        <f t="shared" si="82"/>
        <v>0</v>
      </c>
      <c r="AW134" s="2044">
        <f t="shared" si="83"/>
        <v>0</v>
      </c>
      <c r="AX134" s="2044">
        <f t="shared" si="84"/>
        <v>0</v>
      </c>
      <c r="AY134" s="2044">
        <f t="shared" si="85"/>
        <v>0</v>
      </c>
      <c r="AZ134" s="2044">
        <f t="shared" si="86"/>
        <v>0</v>
      </c>
      <c r="BA134" s="2045">
        <f t="shared" si="87"/>
        <v>0</v>
      </c>
      <c r="BB134" s="2049"/>
      <c r="BC134" s="2049"/>
      <c r="BD134" s="2045">
        <v>0</v>
      </c>
      <c r="BE134" s="2051">
        <v>1</v>
      </c>
      <c r="BF134" s="2051">
        <v>1</v>
      </c>
      <c r="BG134" s="2051">
        <v>1</v>
      </c>
      <c r="BH134" s="2051">
        <v>1</v>
      </c>
      <c r="BI134" s="2045">
        <f t="shared" si="63"/>
        <v>0</v>
      </c>
      <c r="BJ134" s="2045">
        <f t="shared" si="64"/>
        <v>0</v>
      </c>
      <c r="BK134" s="2045">
        <f t="shared" si="65"/>
        <v>0</v>
      </c>
      <c r="BL134" s="2045">
        <f t="shared" si="66"/>
        <v>0</v>
      </c>
      <c r="BM134" s="2045">
        <f t="shared" si="88"/>
        <v>0</v>
      </c>
      <c r="BN134" s="2047">
        <v>1</v>
      </c>
      <c r="BO134" s="2047">
        <v>1</v>
      </c>
      <c r="BP134" s="2047">
        <v>1</v>
      </c>
      <c r="BQ134" s="2047">
        <v>1</v>
      </c>
      <c r="BR134" s="2048">
        <f t="shared" si="89"/>
        <v>0</v>
      </c>
      <c r="BS134" s="2048">
        <f t="shared" si="90"/>
        <v>0</v>
      </c>
      <c r="BT134" s="2048">
        <f t="shared" si="91"/>
        <v>0</v>
      </c>
      <c r="BU134" s="2048">
        <f t="shared" si="92"/>
        <v>0</v>
      </c>
      <c r="BV134" s="1840">
        <f t="shared" si="93"/>
        <v>0</v>
      </c>
      <c r="BW134" s="2064" t="e">
        <f>INT(#REF!)=INT(BA134)</f>
        <v>#REF!</v>
      </c>
      <c r="BX134" s="2064">
        <v>127</v>
      </c>
      <c r="BY134" s="2064" t="s">
        <v>295</v>
      </c>
    </row>
    <row r="135" spans="1:78" s="1976" customFormat="1" ht="18" customHeight="1" x14ac:dyDescent="0.35">
      <c r="A135" s="1372" t="s">
        <v>3036</v>
      </c>
      <c r="B135" s="1372" t="s">
        <v>286</v>
      </c>
      <c r="C135" s="1637">
        <v>0</v>
      </c>
      <c r="D135" s="1372" t="s">
        <v>295</v>
      </c>
      <c r="E135" s="1372" t="s">
        <v>163</v>
      </c>
      <c r="F135" s="1638">
        <v>101125</v>
      </c>
      <c r="G135" s="1638">
        <v>101125</v>
      </c>
      <c r="H135" s="1638">
        <v>101125</v>
      </c>
      <c r="I135" s="1638">
        <v>101125</v>
      </c>
      <c r="J135" s="1372" t="s">
        <v>295</v>
      </c>
      <c r="K135" s="1372" t="str">
        <f t="shared" si="69"/>
        <v/>
      </c>
      <c r="L135" s="1639">
        <v>12.386762845136683</v>
      </c>
      <c r="M135" s="1639">
        <v>12.386762845136683</v>
      </c>
      <c r="N135" s="1639">
        <v>12.386762845136683</v>
      </c>
      <c r="O135" s="1639">
        <v>12.386762845136683</v>
      </c>
      <c r="P135" s="1637">
        <v>1</v>
      </c>
      <c r="Q135" s="1637">
        <v>1</v>
      </c>
      <c r="R135" s="1637">
        <v>1</v>
      </c>
      <c r="S135" s="1637">
        <v>1</v>
      </c>
      <c r="T135" s="1640">
        <f t="shared" si="70"/>
        <v>1252611.3927144471</v>
      </c>
      <c r="U135" s="1640">
        <f t="shared" si="71"/>
        <v>1252611.3927144471</v>
      </c>
      <c r="V135" s="1640">
        <f t="shared" si="72"/>
        <v>1252611.3927144471</v>
      </c>
      <c r="W135" s="1640">
        <f t="shared" si="73"/>
        <v>1252611.3927144471</v>
      </c>
      <c r="X135" s="1640">
        <f t="shared" si="74"/>
        <v>5010445.5708577884</v>
      </c>
      <c r="Y135" s="1829"/>
      <c r="Z135" s="1372" t="str">
        <f t="shared" si="97"/>
        <v/>
      </c>
      <c r="AA135" s="2024">
        <f t="shared" si="98"/>
        <v>12.386762845136683</v>
      </c>
      <c r="AB135" s="2028"/>
      <c r="AC135" s="1840">
        <f t="shared" si="75"/>
        <v>1252611.3927144471</v>
      </c>
      <c r="AD135" s="1840">
        <f t="shared" si="76"/>
        <v>0</v>
      </c>
      <c r="AE135" s="1829"/>
      <c r="AF135" s="1829" t="s">
        <v>3361</v>
      </c>
      <c r="AG135" s="1830">
        <v>12.386762845136683</v>
      </c>
      <c r="AH135" s="1829"/>
      <c r="AI135" s="1640">
        <f t="shared" si="77"/>
        <v>1252611.3927144471</v>
      </c>
      <c r="AJ135" s="1638">
        <f t="shared" si="78"/>
        <v>0</v>
      </c>
      <c r="AK135" s="1829"/>
      <c r="AL135" s="1829" t="s">
        <v>3361</v>
      </c>
      <c r="AM135" s="1830">
        <v>12.386762845136683</v>
      </c>
      <c r="AN135" s="1829"/>
      <c r="AO135" s="1640">
        <f t="shared" si="79"/>
        <v>1252611.3927144471</v>
      </c>
      <c r="AP135" s="1638">
        <f t="shared" si="80"/>
        <v>0</v>
      </c>
      <c r="AQ135" s="1829"/>
      <c r="AR135" s="1829" t="s">
        <v>3361</v>
      </c>
      <c r="AS135" s="1830">
        <v>12.386762845136683</v>
      </c>
      <c r="AT135" s="1829"/>
      <c r="AU135" s="1640">
        <f t="shared" si="81"/>
        <v>1252611.3927144471</v>
      </c>
      <c r="AV135" s="1638">
        <f t="shared" si="82"/>
        <v>0</v>
      </c>
      <c r="AW135" s="2044">
        <f t="shared" si="83"/>
        <v>1252611.3927144471</v>
      </c>
      <c r="AX135" s="2044">
        <f t="shared" si="84"/>
        <v>1252611.3927144471</v>
      </c>
      <c r="AY135" s="2044">
        <f t="shared" si="85"/>
        <v>1252611.3927144471</v>
      </c>
      <c r="AZ135" s="2044">
        <f t="shared" si="86"/>
        <v>1252611.3927144471</v>
      </c>
      <c r="BA135" s="2045">
        <f t="shared" si="87"/>
        <v>5010445.5708577884</v>
      </c>
      <c r="BB135" s="2049"/>
      <c r="BC135" s="2049"/>
      <c r="BD135" s="2045">
        <v>0</v>
      </c>
      <c r="BE135" s="2051">
        <v>2.808988764044944</v>
      </c>
      <c r="BF135" s="2051">
        <v>2.808988764044944</v>
      </c>
      <c r="BG135" s="2051">
        <v>2.808988764044944</v>
      </c>
      <c r="BH135" s="2051">
        <v>2.808988764044944</v>
      </c>
      <c r="BI135" s="2045">
        <f t="shared" si="63"/>
        <v>3518571.3278495707</v>
      </c>
      <c r="BJ135" s="2045">
        <f t="shared" si="64"/>
        <v>3518571.3278495707</v>
      </c>
      <c r="BK135" s="2045">
        <f t="shared" si="65"/>
        <v>3518571.3278495707</v>
      </c>
      <c r="BL135" s="2045">
        <f t="shared" si="66"/>
        <v>3518571.3278495707</v>
      </c>
      <c r="BM135" s="2045">
        <f t="shared" si="88"/>
        <v>14074285.311398283</v>
      </c>
      <c r="BN135" s="2047">
        <v>2.808988764044944</v>
      </c>
      <c r="BO135" s="2047">
        <v>2.808988764044944</v>
      </c>
      <c r="BP135" s="2047">
        <v>2.808988764044944</v>
      </c>
      <c r="BQ135" s="2047">
        <v>2.808988764044944</v>
      </c>
      <c r="BR135" s="2048">
        <f t="shared" si="89"/>
        <v>3518571.3278495707</v>
      </c>
      <c r="BS135" s="2048">
        <f t="shared" si="90"/>
        <v>3518571.3278495707</v>
      </c>
      <c r="BT135" s="2048">
        <f t="shared" si="91"/>
        <v>3518571.3278495707</v>
      </c>
      <c r="BU135" s="2048">
        <f t="shared" si="92"/>
        <v>3518571.3278495707</v>
      </c>
      <c r="BV135" s="1840">
        <f t="shared" si="93"/>
        <v>14074285.311398283</v>
      </c>
      <c r="BW135" s="2064" t="e">
        <f>INT(#REF!)=INT(BA135)</f>
        <v>#REF!</v>
      </c>
      <c r="BX135" s="2064">
        <v>128</v>
      </c>
      <c r="BY135" s="2064" t="s">
        <v>3485</v>
      </c>
    </row>
    <row r="136" spans="1:78" s="1976" customFormat="1" ht="77.5" x14ac:dyDescent="0.35">
      <c r="A136" s="1372" t="s">
        <v>3036</v>
      </c>
      <c r="B136" s="1372" t="s">
        <v>290</v>
      </c>
      <c r="C136" s="1637">
        <v>1</v>
      </c>
      <c r="D136" s="2055" t="s">
        <v>3343</v>
      </c>
      <c r="E136" s="1372" t="s">
        <v>163</v>
      </c>
      <c r="F136" s="1638">
        <v>12368</v>
      </c>
      <c r="G136" s="1638">
        <v>12368</v>
      </c>
      <c r="H136" s="1638">
        <v>12368</v>
      </c>
      <c r="I136" s="1638">
        <v>12368</v>
      </c>
      <c r="J136" s="1372" t="s">
        <v>3346</v>
      </c>
      <c r="K136" s="1372" t="str">
        <f t="shared" si="69"/>
        <v>Nicor Gas PY7-PY10 Adjustable Goals Template_2017-06-30, Tab 5.4.4, 5.4.5, 5.4.6, 5.4.9</v>
      </c>
      <c r="L136" s="1639">
        <v>9.8913191027463228</v>
      </c>
      <c r="M136" s="1639">
        <v>9.8913191027463228</v>
      </c>
      <c r="N136" s="1639">
        <v>9.8913191027463228</v>
      </c>
      <c r="O136" s="1639">
        <v>9.8913191027463228</v>
      </c>
      <c r="P136" s="1637">
        <v>1</v>
      </c>
      <c r="Q136" s="1637">
        <v>1</v>
      </c>
      <c r="R136" s="1637">
        <v>1</v>
      </c>
      <c r="S136" s="1637">
        <v>1</v>
      </c>
      <c r="T136" s="1640">
        <f t="shared" si="70"/>
        <v>122335.83466276652</v>
      </c>
      <c r="U136" s="1640">
        <f t="shared" si="71"/>
        <v>122335.83466276652</v>
      </c>
      <c r="V136" s="1640">
        <f t="shared" si="72"/>
        <v>122335.83466276652</v>
      </c>
      <c r="W136" s="1640">
        <f t="shared" si="73"/>
        <v>122335.83466276652</v>
      </c>
      <c r="X136" s="1640">
        <f t="shared" si="74"/>
        <v>489343.33865106606</v>
      </c>
      <c r="Y136" s="1372" t="str">
        <f t="shared" ref="Y136:Y157" si="101">J136</f>
        <v>RS-HWE-LFFA-V06-180101, RS-HWE-LFSH-V05-180101, RS-HWE-TMPS-V05-160601, RS-DHW-SHTM-V01-180101</v>
      </c>
      <c r="Z136" s="1372" t="str">
        <f t="shared" si="97"/>
        <v>Nicor Gas PY7-PY10 Adjustable Goals Template_2017-06-30, Tab 5.4.4, 5.4.5, 5.4.6, 5.4.9</v>
      </c>
      <c r="AA136" s="2024">
        <f t="shared" si="98"/>
        <v>9.8913191027463228</v>
      </c>
      <c r="AB136" s="2028"/>
      <c r="AC136" s="1840">
        <f t="shared" si="75"/>
        <v>122335.83466276652</v>
      </c>
      <c r="AD136" s="1840">
        <f t="shared" si="76"/>
        <v>0</v>
      </c>
      <c r="AE136" s="1372" t="s">
        <v>3346</v>
      </c>
      <c r="AF136" s="1372" t="s">
        <v>3387</v>
      </c>
      <c r="AG136" s="1981">
        <v>11.755449024960308</v>
      </c>
      <c r="AH136" s="1372" t="s">
        <v>3446</v>
      </c>
      <c r="AI136" s="1640">
        <f t="shared" si="77"/>
        <v>145391.3935407091</v>
      </c>
      <c r="AJ136" s="1638">
        <f t="shared" si="78"/>
        <v>23055.558877942589</v>
      </c>
      <c r="AK136" s="1372" t="s">
        <v>3346</v>
      </c>
      <c r="AL136" s="1372" t="s">
        <v>3387</v>
      </c>
      <c r="AM136" s="1981">
        <v>11.755449024960308</v>
      </c>
      <c r="AN136" s="1372" t="str">
        <f t="shared" ref="AN136:AN157" si="102">$AH136</f>
        <v>Refer TRM V.7 Updates</v>
      </c>
      <c r="AO136" s="1640">
        <f t="shared" si="79"/>
        <v>145391.3935407091</v>
      </c>
      <c r="AP136" s="1638">
        <f t="shared" si="80"/>
        <v>23055.558877942589</v>
      </c>
      <c r="AQ136" s="1372" t="s">
        <v>3346</v>
      </c>
      <c r="AR136" s="1372" t="s">
        <v>3387</v>
      </c>
      <c r="AS136" s="1981">
        <v>11.755449024960308</v>
      </c>
      <c r="AT136" s="1372" t="str">
        <f t="shared" ref="AT136:AT146" si="103">AH136</f>
        <v>Refer TRM V.7 Updates</v>
      </c>
      <c r="AU136" s="1640">
        <f t="shared" si="81"/>
        <v>145391.3935407091</v>
      </c>
      <c r="AV136" s="1638">
        <f t="shared" si="82"/>
        <v>23055.558877942589</v>
      </c>
      <c r="AW136" s="2044">
        <f t="shared" si="83"/>
        <v>122335.83466276652</v>
      </c>
      <c r="AX136" s="2044">
        <f t="shared" si="84"/>
        <v>145391.3935407091</v>
      </c>
      <c r="AY136" s="2044">
        <f t="shared" si="85"/>
        <v>145391.3935407091</v>
      </c>
      <c r="AZ136" s="2044">
        <f t="shared" si="86"/>
        <v>145391.3935407091</v>
      </c>
      <c r="BA136" s="2045">
        <f t="shared" si="87"/>
        <v>558510.0152848938</v>
      </c>
      <c r="BB136" s="2045" t="s">
        <v>3343</v>
      </c>
      <c r="BC136" s="2045" t="s">
        <v>3343</v>
      </c>
      <c r="BD136" s="2121">
        <v>1</v>
      </c>
      <c r="BE136" s="2051">
        <v>8</v>
      </c>
      <c r="BF136" s="2051">
        <v>8</v>
      </c>
      <c r="BG136" s="2051">
        <v>8</v>
      </c>
      <c r="BH136" s="2051">
        <v>8</v>
      </c>
      <c r="BI136" s="2045">
        <f t="shared" ref="BI136:BI199" si="104">F136*P136*L136*BE136</f>
        <v>978686.67730213213</v>
      </c>
      <c r="BJ136" s="2045">
        <f t="shared" ref="BJ136:BJ199" si="105">G136*Q136*M136*BF136</f>
        <v>978686.67730213213</v>
      </c>
      <c r="BK136" s="2045">
        <f t="shared" ref="BK136:BK199" si="106">H136*R136*N136*BG136</f>
        <v>978686.67730213213</v>
      </c>
      <c r="BL136" s="2045">
        <f t="shared" ref="BL136:BL199" si="107">I136*S136*O136*BH136</f>
        <v>978686.67730213213</v>
      </c>
      <c r="BM136" s="2045">
        <f t="shared" si="88"/>
        <v>3914746.7092085285</v>
      </c>
      <c r="BN136" s="2047">
        <v>8</v>
      </c>
      <c r="BO136" s="2050">
        <v>9</v>
      </c>
      <c r="BP136" s="2050">
        <v>9</v>
      </c>
      <c r="BQ136" s="2050">
        <v>9</v>
      </c>
      <c r="BR136" s="2048">
        <f t="shared" si="89"/>
        <v>978686.67730213213</v>
      </c>
      <c r="BS136" s="2048">
        <f t="shared" si="90"/>
        <v>1308522.5418663819</v>
      </c>
      <c r="BT136" s="2048">
        <f t="shared" si="91"/>
        <v>1308522.5418663819</v>
      </c>
      <c r="BU136" s="2048">
        <f t="shared" si="92"/>
        <v>1308522.5418663819</v>
      </c>
      <c r="BV136" s="1840">
        <f t="shared" si="93"/>
        <v>4904254.3029012773</v>
      </c>
      <c r="BW136" s="2064" t="e">
        <f>INT(#REF!)=INT(BA136)</f>
        <v>#REF!</v>
      </c>
      <c r="BX136" s="2064">
        <v>129</v>
      </c>
      <c r="BY136" s="2064" t="s">
        <v>512</v>
      </c>
    </row>
    <row r="137" spans="1:78" s="1976" customFormat="1" ht="77.5" x14ac:dyDescent="0.35">
      <c r="A137" s="1372" t="s">
        <v>3036</v>
      </c>
      <c r="B137" s="1372" t="s">
        <v>289</v>
      </c>
      <c r="C137" s="1637">
        <v>1</v>
      </c>
      <c r="D137" s="2055" t="s">
        <v>3343</v>
      </c>
      <c r="E137" s="1372" t="s">
        <v>163</v>
      </c>
      <c r="F137" s="1638">
        <v>761</v>
      </c>
      <c r="G137" s="1638">
        <v>761</v>
      </c>
      <c r="H137" s="1638">
        <v>761</v>
      </c>
      <c r="I137" s="1638">
        <v>761</v>
      </c>
      <c r="J137" s="1372" t="s">
        <v>3346</v>
      </c>
      <c r="K137" s="1372" t="str">
        <f t="shared" si="69"/>
        <v>Nicor Gas PY7-PY10 Adjustable Goals Template_2017-06-30, Tab 5.4.4, 5.4.5, 5.4.6, 5.4.9</v>
      </c>
      <c r="L137" s="1639">
        <v>9.8913191027463228</v>
      </c>
      <c r="M137" s="1639">
        <v>9.8913191027463228</v>
      </c>
      <c r="N137" s="1639">
        <v>9.8913191027463228</v>
      </c>
      <c r="O137" s="1639">
        <v>9.8913191027463228</v>
      </c>
      <c r="P137" s="1637">
        <v>1</v>
      </c>
      <c r="Q137" s="1637">
        <v>1</v>
      </c>
      <c r="R137" s="1637">
        <v>1</v>
      </c>
      <c r="S137" s="1637">
        <v>1</v>
      </c>
      <c r="T137" s="1640">
        <f t="shared" si="70"/>
        <v>7527.2938371899518</v>
      </c>
      <c r="U137" s="1640">
        <f t="shared" si="71"/>
        <v>7527.2938371899518</v>
      </c>
      <c r="V137" s="1640">
        <f t="shared" si="72"/>
        <v>7527.2938371899518</v>
      </c>
      <c r="W137" s="1640">
        <f t="shared" si="73"/>
        <v>7527.2938371899518</v>
      </c>
      <c r="X137" s="1640">
        <f t="shared" si="74"/>
        <v>30109.175348759807</v>
      </c>
      <c r="Y137" s="1372" t="str">
        <f t="shared" si="101"/>
        <v>RS-HWE-LFFA-V06-180101, RS-HWE-LFSH-V05-180101, RS-HWE-TMPS-V05-160601, RS-DHW-SHTM-V01-180101</v>
      </c>
      <c r="Z137" s="1372" t="str">
        <f t="shared" si="97"/>
        <v>Nicor Gas PY7-PY10 Adjustable Goals Template_2017-06-30, Tab 5.4.4, 5.4.5, 5.4.6, 5.4.9</v>
      </c>
      <c r="AA137" s="2024">
        <f t="shared" si="98"/>
        <v>9.8913191027463228</v>
      </c>
      <c r="AB137" s="2028"/>
      <c r="AC137" s="1840">
        <f t="shared" si="75"/>
        <v>7527.2938371899518</v>
      </c>
      <c r="AD137" s="1840">
        <f t="shared" si="76"/>
        <v>0</v>
      </c>
      <c r="AE137" s="1372" t="s">
        <v>3346</v>
      </c>
      <c r="AF137" s="1372" t="s">
        <v>3387</v>
      </c>
      <c r="AG137" s="1981">
        <f>Kits!C56</f>
        <v>11.755449024960308</v>
      </c>
      <c r="AH137" s="1372" t="s">
        <v>3446</v>
      </c>
      <c r="AI137" s="1640">
        <f t="shared" si="77"/>
        <v>8945.8967079947943</v>
      </c>
      <c r="AJ137" s="1638">
        <f t="shared" si="78"/>
        <v>1418.6028708048425</v>
      </c>
      <c r="AK137" s="1372" t="s">
        <v>3346</v>
      </c>
      <c r="AL137" s="1372" t="s">
        <v>3387</v>
      </c>
      <c r="AM137" s="1981">
        <v>11.755449024960308</v>
      </c>
      <c r="AN137" s="1372" t="str">
        <f t="shared" si="102"/>
        <v>Refer TRM V.7 Updates</v>
      </c>
      <c r="AO137" s="1640">
        <f t="shared" si="79"/>
        <v>8945.8967079947943</v>
      </c>
      <c r="AP137" s="1638">
        <f t="shared" si="80"/>
        <v>1418.6028708048425</v>
      </c>
      <c r="AQ137" s="1372" t="s">
        <v>3346</v>
      </c>
      <c r="AR137" s="1372" t="s">
        <v>3387</v>
      </c>
      <c r="AS137" s="1981">
        <f>Kits!C56</f>
        <v>11.755449024960308</v>
      </c>
      <c r="AT137" s="1372" t="str">
        <f t="shared" si="103"/>
        <v>Refer TRM V.7 Updates</v>
      </c>
      <c r="AU137" s="1640">
        <f t="shared" si="81"/>
        <v>8945.8967079947943</v>
      </c>
      <c r="AV137" s="1638">
        <f t="shared" si="82"/>
        <v>1418.6028708048425</v>
      </c>
      <c r="AW137" s="2044">
        <f t="shared" si="83"/>
        <v>7527.2938371899518</v>
      </c>
      <c r="AX137" s="2044">
        <f t="shared" si="84"/>
        <v>8945.8967079947943</v>
      </c>
      <c r="AY137" s="2044">
        <f t="shared" si="85"/>
        <v>8945.8967079947943</v>
      </c>
      <c r="AZ137" s="2044">
        <f t="shared" si="86"/>
        <v>8945.8967079947943</v>
      </c>
      <c r="BA137" s="2045">
        <f t="shared" si="87"/>
        <v>34364.983961174337</v>
      </c>
      <c r="BB137" s="2045" t="s">
        <v>3343</v>
      </c>
      <c r="BC137" s="2045" t="s">
        <v>3343</v>
      </c>
      <c r="BD137" s="2121">
        <v>1</v>
      </c>
      <c r="BE137" s="2051">
        <v>8</v>
      </c>
      <c r="BF137" s="2051">
        <v>8</v>
      </c>
      <c r="BG137" s="2051">
        <v>8</v>
      </c>
      <c r="BH137" s="2051">
        <v>8</v>
      </c>
      <c r="BI137" s="2045">
        <f t="shared" si="104"/>
        <v>60218.350697519614</v>
      </c>
      <c r="BJ137" s="2045">
        <f t="shared" si="105"/>
        <v>60218.350697519614</v>
      </c>
      <c r="BK137" s="2045">
        <f t="shared" si="106"/>
        <v>60218.350697519614</v>
      </c>
      <c r="BL137" s="2045">
        <f t="shared" si="107"/>
        <v>60218.350697519614</v>
      </c>
      <c r="BM137" s="2045">
        <f t="shared" si="88"/>
        <v>240873.40279007846</v>
      </c>
      <c r="BN137" s="2047">
        <v>8</v>
      </c>
      <c r="BO137" s="2050">
        <v>9</v>
      </c>
      <c r="BP137" s="2050">
        <v>9</v>
      </c>
      <c r="BQ137" s="2050">
        <v>9</v>
      </c>
      <c r="BR137" s="2048">
        <f t="shared" si="89"/>
        <v>60218.350697519614</v>
      </c>
      <c r="BS137" s="2048">
        <f t="shared" si="90"/>
        <v>80513.070371953145</v>
      </c>
      <c r="BT137" s="2048">
        <f t="shared" si="91"/>
        <v>80513.070371953145</v>
      </c>
      <c r="BU137" s="2048">
        <f t="shared" si="92"/>
        <v>80513.070371953145</v>
      </c>
      <c r="BV137" s="1840">
        <f t="shared" si="93"/>
        <v>301757.56181337906</v>
      </c>
      <c r="BW137" s="2064" t="e">
        <f>INT(#REF!)=INT(BA137)</f>
        <v>#REF!</v>
      </c>
      <c r="BX137" s="2064">
        <v>130</v>
      </c>
      <c r="BY137" s="2064" t="s">
        <v>512</v>
      </c>
    </row>
    <row r="138" spans="1:78" s="1976" customFormat="1" ht="62" x14ac:dyDescent="0.35">
      <c r="A138" s="1372" t="s">
        <v>3036</v>
      </c>
      <c r="B138" s="1372" t="s">
        <v>287</v>
      </c>
      <c r="C138" s="1637">
        <v>1</v>
      </c>
      <c r="D138" s="2055" t="s">
        <v>3345</v>
      </c>
      <c r="E138" s="1372" t="s">
        <v>163</v>
      </c>
      <c r="F138" s="1638">
        <v>1353</v>
      </c>
      <c r="G138" s="1638">
        <v>1353</v>
      </c>
      <c r="H138" s="1638">
        <v>1353</v>
      </c>
      <c r="I138" s="1638">
        <v>1353</v>
      </c>
      <c r="J138" s="1372" t="s">
        <v>3347</v>
      </c>
      <c r="K138" s="1372" t="str">
        <f t="shared" si="69"/>
        <v>Nicor Gas PY7-PY10 Adjustable Goals Template_2017-06-30, Tab 5.4.4, 5.4.5,  5.4.9</v>
      </c>
      <c r="L138" s="1639">
        <v>15.063129155771975</v>
      </c>
      <c r="M138" s="1639">
        <v>15.063129155771975</v>
      </c>
      <c r="N138" s="1639">
        <v>15.063129155771975</v>
      </c>
      <c r="O138" s="1639">
        <v>15.063129155771975</v>
      </c>
      <c r="P138" s="1637">
        <v>0.84</v>
      </c>
      <c r="Q138" s="1637">
        <v>0.84</v>
      </c>
      <c r="R138" s="1637">
        <v>0.84</v>
      </c>
      <c r="S138" s="1637">
        <v>0.84</v>
      </c>
      <c r="T138" s="1640">
        <f t="shared" si="70"/>
        <v>17119.547548117964</v>
      </c>
      <c r="U138" s="1640">
        <f t="shared" si="71"/>
        <v>17119.547548117964</v>
      </c>
      <c r="V138" s="1640">
        <f t="shared" si="72"/>
        <v>17119.547548117964</v>
      </c>
      <c r="W138" s="1640">
        <f t="shared" si="73"/>
        <v>17119.547548117964</v>
      </c>
      <c r="X138" s="1640">
        <f t="shared" si="74"/>
        <v>68478.190192471855</v>
      </c>
      <c r="Y138" s="1372" t="str">
        <f t="shared" si="101"/>
        <v>RS-HWE-LFFA-V06-180101, RS-HWE-LFSH-V05-180101, RS-DHW-SHTM-V01-180101</v>
      </c>
      <c r="Z138" s="1372" t="str">
        <f t="shared" si="97"/>
        <v>Nicor Gas PY7-PY10 Adjustable Goals Template_2017-06-30, Tab 5.4.4, 5.4.5,  5.4.9</v>
      </c>
      <c r="AA138" s="2024">
        <f t="shared" si="98"/>
        <v>15.063129155771975</v>
      </c>
      <c r="AB138" s="2028"/>
      <c r="AC138" s="1840">
        <f t="shared" si="75"/>
        <v>17119.547548117964</v>
      </c>
      <c r="AD138" s="1840">
        <f t="shared" si="76"/>
        <v>0</v>
      </c>
      <c r="AE138" s="1372" t="s">
        <v>3347</v>
      </c>
      <c r="AF138" s="1372" t="s">
        <v>3388</v>
      </c>
      <c r="AG138" s="1981">
        <v>16.570868020826801</v>
      </c>
      <c r="AH138" s="1372" t="s">
        <v>3446</v>
      </c>
      <c r="AI138" s="1640">
        <f t="shared" si="77"/>
        <v>18833.122923030074</v>
      </c>
      <c r="AJ138" s="1638">
        <f t="shared" si="78"/>
        <v>1713.5753749121104</v>
      </c>
      <c r="AK138" s="1372" t="s">
        <v>3347</v>
      </c>
      <c r="AL138" s="1372" t="s">
        <v>3388</v>
      </c>
      <c r="AM138" s="1981">
        <v>16.570868020826801</v>
      </c>
      <c r="AN138" s="1372" t="str">
        <f t="shared" si="102"/>
        <v>Refer TRM V.7 Updates</v>
      </c>
      <c r="AO138" s="1640">
        <f t="shared" si="79"/>
        <v>18833.122923030074</v>
      </c>
      <c r="AP138" s="1638">
        <f t="shared" si="80"/>
        <v>1713.5753749121104</v>
      </c>
      <c r="AQ138" s="1372" t="s">
        <v>3347</v>
      </c>
      <c r="AR138" s="1372" t="s">
        <v>3388</v>
      </c>
      <c r="AS138" s="1981">
        <v>16.570868020826801</v>
      </c>
      <c r="AT138" s="1372" t="str">
        <f t="shared" si="103"/>
        <v>Refer TRM V.7 Updates</v>
      </c>
      <c r="AU138" s="1640">
        <f t="shared" si="81"/>
        <v>18833.122923030074</v>
      </c>
      <c r="AV138" s="1638">
        <f t="shared" si="82"/>
        <v>1713.5753749121104</v>
      </c>
      <c r="AW138" s="2044">
        <f t="shared" si="83"/>
        <v>17119.547548117964</v>
      </c>
      <c r="AX138" s="2044">
        <f t="shared" si="84"/>
        <v>18833.122923030074</v>
      </c>
      <c r="AY138" s="2044">
        <f t="shared" si="85"/>
        <v>18833.122923030074</v>
      </c>
      <c r="AZ138" s="2044">
        <f t="shared" si="86"/>
        <v>18833.122923030074</v>
      </c>
      <c r="BA138" s="2045">
        <f t="shared" si="87"/>
        <v>73618.91631720819</v>
      </c>
      <c r="BB138" s="2045" t="s">
        <v>3345</v>
      </c>
      <c r="BC138" s="2045" t="s">
        <v>3345</v>
      </c>
      <c r="BD138" s="2045">
        <v>0</v>
      </c>
      <c r="BE138" s="2051">
        <v>8</v>
      </c>
      <c r="BF138" s="2051">
        <v>8</v>
      </c>
      <c r="BG138" s="2051">
        <v>8</v>
      </c>
      <c r="BH138" s="2051">
        <v>8</v>
      </c>
      <c r="BI138" s="2045">
        <f t="shared" si="104"/>
        <v>136956.38038494371</v>
      </c>
      <c r="BJ138" s="2045">
        <f t="shared" si="105"/>
        <v>136956.38038494371</v>
      </c>
      <c r="BK138" s="2045">
        <f t="shared" si="106"/>
        <v>136956.38038494371</v>
      </c>
      <c r="BL138" s="2045">
        <f t="shared" si="107"/>
        <v>136956.38038494371</v>
      </c>
      <c r="BM138" s="2045">
        <f t="shared" si="88"/>
        <v>547825.52153977484</v>
      </c>
      <c r="BN138" s="2047">
        <v>8</v>
      </c>
      <c r="BO138" s="2052">
        <v>8</v>
      </c>
      <c r="BP138" s="2052">
        <v>8</v>
      </c>
      <c r="BQ138" s="2052">
        <v>8</v>
      </c>
      <c r="BR138" s="2048">
        <f t="shared" si="89"/>
        <v>136956.38038494371</v>
      </c>
      <c r="BS138" s="2048">
        <f t="shared" si="90"/>
        <v>150664.98338424059</v>
      </c>
      <c r="BT138" s="2048">
        <f t="shared" si="91"/>
        <v>150664.98338424059</v>
      </c>
      <c r="BU138" s="2048">
        <f t="shared" si="92"/>
        <v>150664.98338424059</v>
      </c>
      <c r="BV138" s="1840">
        <f t="shared" si="93"/>
        <v>588951.33053766552</v>
      </c>
      <c r="BW138" s="2064" t="e">
        <f>INT(#REF!)=INT(BA138)</f>
        <v>#REF!</v>
      </c>
      <c r="BX138" s="2064">
        <v>131</v>
      </c>
      <c r="BY138" s="2064" t="s">
        <v>512</v>
      </c>
    </row>
    <row r="139" spans="1:78" s="1976" customFormat="1" ht="62" x14ac:dyDescent="0.35">
      <c r="A139" s="1372" t="s">
        <v>3036</v>
      </c>
      <c r="B139" s="1372" t="s">
        <v>288</v>
      </c>
      <c r="C139" s="1637">
        <v>1</v>
      </c>
      <c r="D139" s="2055" t="s">
        <v>3345</v>
      </c>
      <c r="E139" s="1372" t="s">
        <v>163</v>
      </c>
      <c r="F139" s="1638">
        <v>7667</v>
      </c>
      <c r="G139" s="1638">
        <v>7667</v>
      </c>
      <c r="H139" s="1638">
        <v>7667</v>
      </c>
      <c r="I139" s="1638">
        <v>7667</v>
      </c>
      <c r="J139" s="1372" t="s">
        <v>3347</v>
      </c>
      <c r="K139" s="1372" t="str">
        <f t="shared" si="69"/>
        <v>Nicor Gas PY7-PY10 Adjustable Goals Template_2017-06-30, Tab 5.4.4, 5.4.5,  5.4.9</v>
      </c>
      <c r="L139" s="1639">
        <v>22.246507719418904</v>
      </c>
      <c r="M139" s="1639">
        <v>22.246507719418904</v>
      </c>
      <c r="N139" s="1639">
        <v>22.246507719418904</v>
      </c>
      <c r="O139" s="1639">
        <v>22.246507719418904</v>
      </c>
      <c r="P139" s="1637">
        <v>0.84</v>
      </c>
      <c r="Q139" s="1637">
        <v>0.84</v>
      </c>
      <c r="R139" s="1637">
        <v>0.84</v>
      </c>
      <c r="S139" s="1637">
        <v>0.84</v>
      </c>
      <c r="T139" s="1640">
        <f t="shared" si="70"/>
        <v>143273.73873521917</v>
      </c>
      <c r="U139" s="1640">
        <f t="shared" si="71"/>
        <v>143273.73873521917</v>
      </c>
      <c r="V139" s="1640">
        <f t="shared" si="72"/>
        <v>143273.73873521917</v>
      </c>
      <c r="W139" s="1640">
        <f t="shared" si="73"/>
        <v>143273.73873521917</v>
      </c>
      <c r="X139" s="1640">
        <f t="shared" si="74"/>
        <v>573094.95494087669</v>
      </c>
      <c r="Y139" s="1372" t="str">
        <f t="shared" si="101"/>
        <v>RS-HWE-LFFA-V06-180101, RS-HWE-LFSH-V05-180101, RS-DHW-SHTM-V01-180101</v>
      </c>
      <c r="Z139" s="1372" t="str">
        <f t="shared" si="97"/>
        <v>Nicor Gas PY7-PY10 Adjustable Goals Template_2017-06-30, Tab 5.4.4, 5.4.5,  5.4.9</v>
      </c>
      <c r="AA139" s="2024">
        <f t="shared" si="98"/>
        <v>22.246507719418904</v>
      </c>
      <c r="AB139" s="2028"/>
      <c r="AC139" s="1840">
        <f t="shared" si="75"/>
        <v>143273.73873521917</v>
      </c>
      <c r="AD139" s="1840">
        <f t="shared" si="76"/>
        <v>0</v>
      </c>
      <c r="AE139" s="1372" t="s">
        <v>3347</v>
      </c>
      <c r="AF139" s="1372" t="s">
        <v>3388</v>
      </c>
      <c r="AG139" s="1981">
        <v>24.066567391588801</v>
      </c>
      <c r="AH139" s="1372" t="s">
        <v>3446</v>
      </c>
      <c r="AI139" s="1640">
        <f t="shared" si="77"/>
        <v>154995.43264070153</v>
      </c>
      <c r="AJ139" s="1638">
        <f t="shared" si="78"/>
        <v>11721.69390548236</v>
      </c>
      <c r="AK139" s="1372" t="s">
        <v>3347</v>
      </c>
      <c r="AL139" s="1372" t="s">
        <v>3388</v>
      </c>
      <c r="AM139" s="1981">
        <v>24.066567391588801</v>
      </c>
      <c r="AN139" s="1372" t="str">
        <f t="shared" si="102"/>
        <v>Refer TRM V.7 Updates</v>
      </c>
      <c r="AO139" s="1640">
        <f t="shared" si="79"/>
        <v>154995.43264070153</v>
      </c>
      <c r="AP139" s="1638">
        <f t="shared" si="80"/>
        <v>11721.69390548236</v>
      </c>
      <c r="AQ139" s="1372" t="s">
        <v>3347</v>
      </c>
      <c r="AR139" s="1372" t="s">
        <v>3388</v>
      </c>
      <c r="AS139" s="1981">
        <v>24.066567391588801</v>
      </c>
      <c r="AT139" s="1372" t="str">
        <f t="shared" si="103"/>
        <v>Refer TRM V.7 Updates</v>
      </c>
      <c r="AU139" s="1640">
        <f t="shared" si="81"/>
        <v>154995.43264070153</v>
      </c>
      <c r="AV139" s="1638">
        <f t="shared" si="82"/>
        <v>11721.69390548236</v>
      </c>
      <c r="AW139" s="2044">
        <f t="shared" si="83"/>
        <v>143273.73873521917</v>
      </c>
      <c r="AX139" s="2044">
        <f t="shared" si="84"/>
        <v>154995.43264070153</v>
      </c>
      <c r="AY139" s="2044">
        <f t="shared" si="85"/>
        <v>154995.43264070153</v>
      </c>
      <c r="AZ139" s="2044">
        <f t="shared" si="86"/>
        <v>154995.43264070153</v>
      </c>
      <c r="BA139" s="2045">
        <f t="shared" si="87"/>
        <v>608260.03665732383</v>
      </c>
      <c r="BB139" s="2045" t="s">
        <v>3345</v>
      </c>
      <c r="BC139" s="2045" t="s">
        <v>3345</v>
      </c>
      <c r="BD139" s="2121">
        <v>1</v>
      </c>
      <c r="BE139" s="2051">
        <v>8</v>
      </c>
      <c r="BF139" s="2051">
        <v>8</v>
      </c>
      <c r="BG139" s="2051">
        <v>8</v>
      </c>
      <c r="BH139" s="2051">
        <v>8</v>
      </c>
      <c r="BI139" s="2045">
        <f t="shared" si="104"/>
        <v>1146189.9098817534</v>
      </c>
      <c r="BJ139" s="2045">
        <f t="shared" si="105"/>
        <v>1146189.9098817534</v>
      </c>
      <c r="BK139" s="2045">
        <f t="shared" si="106"/>
        <v>1146189.9098817534</v>
      </c>
      <c r="BL139" s="2045">
        <f t="shared" si="107"/>
        <v>1146189.9098817534</v>
      </c>
      <c r="BM139" s="2045">
        <f t="shared" si="88"/>
        <v>4584759.6395270135</v>
      </c>
      <c r="BN139" s="2047">
        <v>8</v>
      </c>
      <c r="BO139" s="2050">
        <v>9</v>
      </c>
      <c r="BP139" s="2050">
        <v>9</v>
      </c>
      <c r="BQ139" s="2050">
        <v>9</v>
      </c>
      <c r="BR139" s="2048">
        <f t="shared" si="89"/>
        <v>1146189.9098817534</v>
      </c>
      <c r="BS139" s="2048">
        <f t="shared" si="90"/>
        <v>1394958.8937663138</v>
      </c>
      <c r="BT139" s="2048">
        <f t="shared" si="91"/>
        <v>1394958.8937663138</v>
      </c>
      <c r="BU139" s="2048">
        <f t="shared" si="92"/>
        <v>1394958.8937663138</v>
      </c>
      <c r="BV139" s="1840">
        <f t="shared" si="93"/>
        <v>5331066.5911806952</v>
      </c>
      <c r="BW139" s="2064" t="e">
        <f>INT(#REF!)=INT(BA139)</f>
        <v>#REF!</v>
      </c>
      <c r="BX139" s="2064">
        <v>132</v>
      </c>
      <c r="BY139" s="2064" t="s">
        <v>512</v>
      </c>
    </row>
    <row r="140" spans="1:78" s="1976" customFormat="1" ht="62" x14ac:dyDescent="0.35">
      <c r="A140" s="1372" t="s">
        <v>3036</v>
      </c>
      <c r="B140" s="1372" t="s">
        <v>2812</v>
      </c>
      <c r="C140" s="1637">
        <v>1</v>
      </c>
      <c r="D140" s="2055" t="s">
        <v>3345</v>
      </c>
      <c r="E140" s="1372" t="s">
        <v>163</v>
      </c>
      <c r="F140" s="1638">
        <v>185</v>
      </c>
      <c r="G140" s="1638">
        <v>185</v>
      </c>
      <c r="H140" s="1638">
        <v>185</v>
      </c>
      <c r="I140" s="1638">
        <v>185</v>
      </c>
      <c r="J140" s="1372" t="s">
        <v>3347</v>
      </c>
      <c r="K140" s="1372" t="str">
        <f t="shared" si="69"/>
        <v>Nicor Gas PY7-PY10 Adjustable Goals Template_2017-06-30, Tab 5.4.4, 5.4.5,  5.4.9</v>
      </c>
      <c r="L140" s="1639">
        <v>17.563813680281406</v>
      </c>
      <c r="M140" s="1639">
        <v>17.563813680281406</v>
      </c>
      <c r="N140" s="1639">
        <v>17.563813680281406</v>
      </c>
      <c r="O140" s="1639">
        <v>17.563813680281406</v>
      </c>
      <c r="P140" s="1637">
        <v>0.84</v>
      </c>
      <c r="Q140" s="1637">
        <v>0.84</v>
      </c>
      <c r="R140" s="1637">
        <v>0.84</v>
      </c>
      <c r="S140" s="1637">
        <v>0.84</v>
      </c>
      <c r="T140" s="1640">
        <f t="shared" si="70"/>
        <v>2729.4166459157304</v>
      </c>
      <c r="U140" s="1640">
        <f t="shared" si="71"/>
        <v>2729.4166459157304</v>
      </c>
      <c r="V140" s="1640">
        <f t="shared" si="72"/>
        <v>2729.4166459157304</v>
      </c>
      <c r="W140" s="1640">
        <f t="shared" si="73"/>
        <v>2729.4166459157304</v>
      </c>
      <c r="X140" s="1640">
        <f t="shared" si="74"/>
        <v>10917.666583662922</v>
      </c>
      <c r="Y140" s="1372" t="str">
        <f t="shared" si="101"/>
        <v>RS-HWE-LFFA-V06-180101, RS-HWE-LFSH-V05-180101, RS-DHW-SHTM-V01-180101</v>
      </c>
      <c r="Z140" s="1372" t="str">
        <f t="shared" si="97"/>
        <v>Nicor Gas PY7-PY10 Adjustable Goals Template_2017-06-30, Tab 5.4.4, 5.4.5,  5.4.9</v>
      </c>
      <c r="AA140" s="2024">
        <f t="shared" si="98"/>
        <v>17.563813680281406</v>
      </c>
      <c r="AB140" s="2028"/>
      <c r="AC140" s="1840">
        <f t="shared" si="75"/>
        <v>2729.4166459157304</v>
      </c>
      <c r="AD140" s="1840">
        <f t="shared" si="76"/>
        <v>0</v>
      </c>
      <c r="AE140" s="1372" t="s">
        <v>3347</v>
      </c>
      <c r="AF140" s="1372" t="s">
        <v>3388</v>
      </c>
      <c r="AG140" s="1981">
        <v>19.141088806557899</v>
      </c>
      <c r="AH140" s="1372" t="s">
        <v>3446</v>
      </c>
      <c r="AI140" s="1640">
        <f t="shared" si="77"/>
        <v>2974.5252005390976</v>
      </c>
      <c r="AJ140" s="1638">
        <f t="shared" si="78"/>
        <v>245.10855462336713</v>
      </c>
      <c r="AK140" s="1372" t="s">
        <v>3347</v>
      </c>
      <c r="AL140" s="1372" t="s">
        <v>3388</v>
      </c>
      <c r="AM140" s="1981">
        <v>19.141088806557899</v>
      </c>
      <c r="AN140" s="1372" t="str">
        <f t="shared" si="102"/>
        <v>Refer TRM V.7 Updates</v>
      </c>
      <c r="AO140" s="1640">
        <f t="shared" si="79"/>
        <v>2974.5252005390976</v>
      </c>
      <c r="AP140" s="1638">
        <f t="shared" si="80"/>
        <v>245.10855462336713</v>
      </c>
      <c r="AQ140" s="1372" t="s">
        <v>3347</v>
      </c>
      <c r="AR140" s="1372" t="s">
        <v>3388</v>
      </c>
      <c r="AS140" s="1981">
        <v>19.141088806557899</v>
      </c>
      <c r="AT140" s="1372" t="str">
        <f t="shared" si="103"/>
        <v>Refer TRM V.7 Updates</v>
      </c>
      <c r="AU140" s="1640">
        <f t="shared" si="81"/>
        <v>2974.5252005390976</v>
      </c>
      <c r="AV140" s="1638">
        <f t="shared" si="82"/>
        <v>245.10855462336713</v>
      </c>
      <c r="AW140" s="2044">
        <f t="shared" si="83"/>
        <v>2729.4166459157304</v>
      </c>
      <c r="AX140" s="2044">
        <f t="shared" si="84"/>
        <v>2974.5252005390976</v>
      </c>
      <c r="AY140" s="2044">
        <f t="shared" si="85"/>
        <v>2974.5252005390976</v>
      </c>
      <c r="AZ140" s="2044">
        <f t="shared" si="86"/>
        <v>2974.5252005390976</v>
      </c>
      <c r="BA140" s="2045">
        <f t="shared" si="87"/>
        <v>11652.992247533024</v>
      </c>
      <c r="BB140" s="2045" t="s">
        <v>3345</v>
      </c>
      <c r="BC140" s="2045" t="s">
        <v>3345</v>
      </c>
      <c r="BD140" s="2121">
        <v>1</v>
      </c>
      <c r="BE140" s="2051">
        <v>8</v>
      </c>
      <c r="BF140" s="2051">
        <v>8</v>
      </c>
      <c r="BG140" s="2051">
        <v>8</v>
      </c>
      <c r="BH140" s="2051">
        <v>8</v>
      </c>
      <c r="BI140" s="2045">
        <f t="shared" si="104"/>
        <v>21835.333167325844</v>
      </c>
      <c r="BJ140" s="2045">
        <f t="shared" si="105"/>
        <v>21835.333167325844</v>
      </c>
      <c r="BK140" s="2045">
        <f t="shared" si="106"/>
        <v>21835.333167325844</v>
      </c>
      <c r="BL140" s="2045">
        <f t="shared" si="107"/>
        <v>21835.333167325844</v>
      </c>
      <c r="BM140" s="2045">
        <f t="shared" si="88"/>
        <v>87341.332669303374</v>
      </c>
      <c r="BN140" s="2047">
        <v>8</v>
      </c>
      <c r="BO140" s="2050">
        <v>9</v>
      </c>
      <c r="BP140" s="2050">
        <v>9</v>
      </c>
      <c r="BQ140" s="2050">
        <v>9</v>
      </c>
      <c r="BR140" s="2048">
        <f t="shared" si="89"/>
        <v>21835.333167325844</v>
      </c>
      <c r="BS140" s="2048">
        <f t="shared" si="90"/>
        <v>26770.726804851878</v>
      </c>
      <c r="BT140" s="2048">
        <f t="shared" si="91"/>
        <v>26770.726804851878</v>
      </c>
      <c r="BU140" s="2048">
        <f t="shared" si="92"/>
        <v>26770.726804851878</v>
      </c>
      <c r="BV140" s="1840">
        <f t="shared" si="93"/>
        <v>102147.51358188147</v>
      </c>
      <c r="BW140" s="2064" t="e">
        <f>INT(#REF!)=INT(BA140)</f>
        <v>#REF!</v>
      </c>
      <c r="BX140" s="2064">
        <v>133</v>
      </c>
      <c r="BY140" s="2064" t="s">
        <v>512</v>
      </c>
    </row>
    <row r="141" spans="1:78" s="1976" customFormat="1" ht="62" x14ac:dyDescent="0.35">
      <c r="A141" s="1372" t="s">
        <v>3036</v>
      </c>
      <c r="B141" s="1372" t="s">
        <v>2813</v>
      </c>
      <c r="C141" s="1637">
        <v>1</v>
      </c>
      <c r="D141" s="2055" t="s">
        <v>3345</v>
      </c>
      <c r="E141" s="1372" t="s">
        <v>163</v>
      </c>
      <c r="F141" s="1638">
        <v>1046</v>
      </c>
      <c r="G141" s="1638">
        <v>1046</v>
      </c>
      <c r="H141" s="1638">
        <v>1046</v>
      </c>
      <c r="I141" s="1638">
        <v>1046</v>
      </c>
      <c r="J141" s="1372" t="s">
        <v>3347</v>
      </c>
      <c r="K141" s="1372" t="str">
        <f t="shared" si="69"/>
        <v>Nicor Gas PY7-PY10 Adjustable Goals Template_2017-06-30, Tab 5.4.4, 5.4.5,  5.4.9</v>
      </c>
      <c r="L141" s="1639">
        <v>27.005478770831402</v>
      </c>
      <c r="M141" s="1639">
        <v>27.005478770831402</v>
      </c>
      <c r="N141" s="1639">
        <v>27.005478770831402</v>
      </c>
      <c r="O141" s="1639">
        <v>27.005478770831402</v>
      </c>
      <c r="P141" s="1637">
        <v>0.84</v>
      </c>
      <c r="Q141" s="1637">
        <v>0.84</v>
      </c>
      <c r="R141" s="1637">
        <v>0.84</v>
      </c>
      <c r="S141" s="1637">
        <v>0.84</v>
      </c>
      <c r="T141" s="1640">
        <f t="shared" si="70"/>
        <v>23728.093867203304</v>
      </c>
      <c r="U141" s="1640">
        <f t="shared" si="71"/>
        <v>23728.093867203304</v>
      </c>
      <c r="V141" s="1640">
        <f t="shared" si="72"/>
        <v>23728.093867203304</v>
      </c>
      <c r="W141" s="1640">
        <f t="shared" si="73"/>
        <v>23728.093867203304</v>
      </c>
      <c r="X141" s="1640">
        <f t="shared" si="74"/>
        <v>94912.375468813218</v>
      </c>
      <c r="Y141" s="1372" t="str">
        <f t="shared" si="101"/>
        <v>RS-HWE-LFFA-V06-180101, RS-HWE-LFSH-V05-180101, RS-DHW-SHTM-V01-180101</v>
      </c>
      <c r="Z141" s="1372" t="str">
        <f t="shared" si="97"/>
        <v>Nicor Gas PY7-PY10 Adjustable Goals Template_2017-06-30, Tab 5.4.4, 5.4.5,  5.4.9</v>
      </c>
      <c r="AA141" s="2024">
        <f t="shared" si="98"/>
        <v>27.005478770831402</v>
      </c>
      <c r="AB141" s="2028"/>
      <c r="AC141" s="1840">
        <f t="shared" si="75"/>
        <v>23728.093867203304</v>
      </c>
      <c r="AD141" s="1840">
        <f t="shared" si="76"/>
        <v>0</v>
      </c>
      <c r="AE141" s="1372" t="s">
        <v>3347</v>
      </c>
      <c r="AF141" s="1372" t="s">
        <v>3388</v>
      </c>
      <c r="AG141" s="1981">
        <v>28.9932610749579</v>
      </c>
      <c r="AH141" s="1372" t="s">
        <v>3446</v>
      </c>
      <c r="AI141" s="1640">
        <f t="shared" si="77"/>
        <v>25474.638910901009</v>
      </c>
      <c r="AJ141" s="1638">
        <f t="shared" si="78"/>
        <v>1746.5450436977044</v>
      </c>
      <c r="AK141" s="1372" t="s">
        <v>3347</v>
      </c>
      <c r="AL141" s="1372" t="s">
        <v>3388</v>
      </c>
      <c r="AM141" s="1981">
        <v>28.9932610749579</v>
      </c>
      <c r="AN141" s="1372" t="str">
        <f t="shared" si="102"/>
        <v>Refer TRM V.7 Updates</v>
      </c>
      <c r="AO141" s="1640">
        <f t="shared" si="79"/>
        <v>25474.638910901009</v>
      </c>
      <c r="AP141" s="1638">
        <f t="shared" si="80"/>
        <v>1746.5450436977044</v>
      </c>
      <c r="AQ141" s="1372" t="s">
        <v>3347</v>
      </c>
      <c r="AR141" s="1372" t="s">
        <v>3388</v>
      </c>
      <c r="AS141" s="1981">
        <v>28.9932610749579</v>
      </c>
      <c r="AT141" s="1372" t="str">
        <f t="shared" si="103"/>
        <v>Refer TRM V.7 Updates</v>
      </c>
      <c r="AU141" s="1640">
        <f t="shared" si="81"/>
        <v>25474.638910901009</v>
      </c>
      <c r="AV141" s="1638">
        <f t="shared" si="82"/>
        <v>1746.5450436977044</v>
      </c>
      <c r="AW141" s="2044">
        <f t="shared" si="83"/>
        <v>23728.093867203304</v>
      </c>
      <c r="AX141" s="2044">
        <f t="shared" si="84"/>
        <v>25474.638910901009</v>
      </c>
      <c r="AY141" s="2044">
        <f t="shared" si="85"/>
        <v>25474.638910901009</v>
      </c>
      <c r="AZ141" s="2044">
        <f t="shared" si="86"/>
        <v>25474.638910901009</v>
      </c>
      <c r="BA141" s="2045">
        <f t="shared" si="87"/>
        <v>100152.01059990632</v>
      </c>
      <c r="BB141" s="2045" t="s">
        <v>3345</v>
      </c>
      <c r="BC141" s="2045" t="s">
        <v>3345</v>
      </c>
      <c r="BD141" s="2045">
        <v>0</v>
      </c>
      <c r="BE141" s="2051">
        <v>9</v>
      </c>
      <c r="BF141" s="2051">
        <v>9</v>
      </c>
      <c r="BG141" s="2051">
        <v>9</v>
      </c>
      <c r="BH141" s="2051">
        <v>9</v>
      </c>
      <c r="BI141" s="2045">
        <f t="shared" si="104"/>
        <v>213552.84480482974</v>
      </c>
      <c r="BJ141" s="2045">
        <f t="shared" si="105"/>
        <v>213552.84480482974</v>
      </c>
      <c r="BK141" s="2045">
        <f t="shared" si="106"/>
        <v>213552.84480482974</v>
      </c>
      <c r="BL141" s="2045">
        <f t="shared" si="107"/>
        <v>213552.84480482974</v>
      </c>
      <c r="BM141" s="2045">
        <f t="shared" si="88"/>
        <v>854211.37921931897</v>
      </c>
      <c r="BN141" s="2047">
        <v>9</v>
      </c>
      <c r="BO141" s="2052">
        <v>9</v>
      </c>
      <c r="BP141" s="2052">
        <v>9</v>
      </c>
      <c r="BQ141" s="2052">
        <v>9</v>
      </c>
      <c r="BR141" s="2048">
        <f t="shared" si="89"/>
        <v>213552.84480482974</v>
      </c>
      <c r="BS141" s="2048">
        <f t="shared" si="90"/>
        <v>229271.75019810908</v>
      </c>
      <c r="BT141" s="2048">
        <f t="shared" si="91"/>
        <v>229271.75019810908</v>
      </c>
      <c r="BU141" s="2048">
        <f t="shared" si="92"/>
        <v>229271.75019810908</v>
      </c>
      <c r="BV141" s="1840">
        <f t="shared" si="93"/>
        <v>901368.09539915691</v>
      </c>
      <c r="BW141" s="2064" t="e">
        <f>INT(#REF!)=INT(BA141)</f>
        <v>#REF!</v>
      </c>
      <c r="BX141" s="2064">
        <v>134</v>
      </c>
      <c r="BY141" s="2064" t="s">
        <v>512</v>
      </c>
    </row>
    <row r="142" spans="1:78" s="1976" customFormat="1" ht="62" x14ac:dyDescent="0.35">
      <c r="A142" s="1372" t="s">
        <v>2818</v>
      </c>
      <c r="B142" s="1372" t="s">
        <v>250</v>
      </c>
      <c r="C142" s="1637">
        <v>1</v>
      </c>
      <c r="D142" s="2055" t="str">
        <f>'[9]5.3.7'!$A$2</f>
        <v>5.3.7</v>
      </c>
      <c r="E142" s="1372" t="s">
        <v>163</v>
      </c>
      <c r="F142" s="1638">
        <v>8686</v>
      </c>
      <c r="G142" s="1638">
        <v>8686</v>
      </c>
      <c r="H142" s="1638">
        <v>8686</v>
      </c>
      <c r="I142" s="1638">
        <v>8686</v>
      </c>
      <c r="J142" s="1372" t="str">
        <f>+'[9]5.3.7'!$B$16</f>
        <v>RS-HVC-GHEF-V07-180101</v>
      </c>
      <c r="K142" s="1372" t="str">
        <f t="shared" si="69"/>
        <v>Nicor Gas PY7-PY10 Adjustable Goals Template_2017-06-30, Tab 5.3.7</v>
      </c>
      <c r="L142" s="1639">
        <v>175.86032388663943</v>
      </c>
      <c r="M142" s="1639">
        <v>175.86032388663943</v>
      </c>
      <c r="N142" s="1639">
        <v>175.86032388663943</v>
      </c>
      <c r="O142" s="1639">
        <v>175.86032388663943</v>
      </c>
      <c r="P142" s="1637">
        <v>0.72</v>
      </c>
      <c r="Q142" s="1637">
        <v>0.72</v>
      </c>
      <c r="R142" s="1637">
        <v>0.72</v>
      </c>
      <c r="S142" s="1637">
        <v>0.72</v>
      </c>
      <c r="T142" s="1640">
        <f t="shared" si="70"/>
        <v>1099816.3967611319</v>
      </c>
      <c r="U142" s="1640">
        <f t="shared" si="71"/>
        <v>1099816.3967611319</v>
      </c>
      <c r="V142" s="1640">
        <f t="shared" si="72"/>
        <v>1099816.3967611319</v>
      </c>
      <c r="W142" s="1640">
        <f t="shared" si="73"/>
        <v>1099816.3967611319</v>
      </c>
      <c r="X142" s="1640">
        <f t="shared" si="74"/>
        <v>4399265.5870445278</v>
      </c>
      <c r="Y142" s="1372" t="str">
        <f t="shared" si="101"/>
        <v>RS-HVC-GHEF-V07-180101</v>
      </c>
      <c r="Z142" s="1372" t="str">
        <f t="shared" si="97"/>
        <v>Nicor Gas PY7-PY10 Adjustable Goals Template_2017-06-30, Tab 5.3.7</v>
      </c>
      <c r="AA142" s="2024">
        <f t="shared" si="98"/>
        <v>175.86032388663943</v>
      </c>
      <c r="AB142" s="2028"/>
      <c r="AC142" s="1840">
        <f t="shared" si="75"/>
        <v>1099816.3967611319</v>
      </c>
      <c r="AD142" s="1840">
        <f t="shared" si="76"/>
        <v>0</v>
      </c>
      <c r="AE142" s="1372" t="s">
        <v>2798</v>
      </c>
      <c r="AF142" s="1372" t="s">
        <v>3389</v>
      </c>
      <c r="AG142" s="1981">
        <v>163.85733974358956</v>
      </c>
      <c r="AH142" s="1372" t="s">
        <v>3446</v>
      </c>
      <c r="AI142" s="1640">
        <f t="shared" si="77"/>
        <v>1024750.6941692295</v>
      </c>
      <c r="AJ142" s="1638">
        <f t="shared" si="78"/>
        <v>-75065.70259190246</v>
      </c>
      <c r="AK142" s="1372" t="s">
        <v>2798</v>
      </c>
      <c r="AL142" s="1372" t="s">
        <v>3389</v>
      </c>
      <c r="AM142" s="1981">
        <v>163.85733974358956</v>
      </c>
      <c r="AN142" s="1372" t="str">
        <f t="shared" si="102"/>
        <v>Refer TRM V.7 Updates</v>
      </c>
      <c r="AO142" s="1640">
        <f t="shared" si="79"/>
        <v>1024750.6941692295</v>
      </c>
      <c r="AP142" s="1638">
        <f t="shared" si="80"/>
        <v>-75065.70259190246</v>
      </c>
      <c r="AQ142" s="1372" t="s">
        <v>2798</v>
      </c>
      <c r="AR142" s="1372" t="s">
        <v>3389</v>
      </c>
      <c r="AS142" s="1981">
        <v>163.85733974358956</v>
      </c>
      <c r="AT142" s="1372" t="str">
        <f t="shared" si="103"/>
        <v>Refer TRM V.7 Updates</v>
      </c>
      <c r="AU142" s="1640">
        <f t="shared" si="81"/>
        <v>1024750.6941692295</v>
      </c>
      <c r="AV142" s="1638">
        <f t="shared" si="82"/>
        <v>-75065.70259190246</v>
      </c>
      <c r="AW142" s="2044">
        <f t="shared" si="83"/>
        <v>1099816.3967611319</v>
      </c>
      <c r="AX142" s="2044">
        <f t="shared" si="84"/>
        <v>1024750.6941692295</v>
      </c>
      <c r="AY142" s="2044">
        <f t="shared" si="85"/>
        <v>1024750.6941692295</v>
      </c>
      <c r="AZ142" s="2044">
        <f t="shared" si="86"/>
        <v>1024750.6941692295</v>
      </c>
      <c r="BA142" s="2045">
        <f t="shared" si="87"/>
        <v>4174068.47926882</v>
      </c>
      <c r="BB142" s="2045" t="str">
        <f>'[9]5.3.7'!$A$2</f>
        <v>5.3.7</v>
      </c>
      <c r="BC142" s="2045" t="str">
        <f>'[9]5.3.7'!$A$2</f>
        <v>5.3.7</v>
      </c>
      <c r="BD142" s="2045">
        <v>0</v>
      </c>
      <c r="BE142" s="2051">
        <v>20</v>
      </c>
      <c r="BF142" s="2051">
        <v>20</v>
      </c>
      <c r="BG142" s="2051">
        <v>20</v>
      </c>
      <c r="BH142" s="2051">
        <v>20</v>
      </c>
      <c r="BI142" s="2045">
        <f t="shared" si="104"/>
        <v>21996327.935222644</v>
      </c>
      <c r="BJ142" s="2045">
        <f t="shared" si="105"/>
        <v>21996327.935222644</v>
      </c>
      <c r="BK142" s="2045">
        <f t="shared" si="106"/>
        <v>21996327.935222644</v>
      </c>
      <c r="BL142" s="2045">
        <f t="shared" si="107"/>
        <v>21996327.935222644</v>
      </c>
      <c r="BM142" s="2045">
        <f t="shared" si="88"/>
        <v>87985311.740890577</v>
      </c>
      <c r="BN142" s="2047">
        <v>20</v>
      </c>
      <c r="BO142" s="2047">
        <v>20</v>
      </c>
      <c r="BP142" s="2047">
        <v>20</v>
      </c>
      <c r="BQ142" s="2047">
        <v>20</v>
      </c>
      <c r="BR142" s="2048">
        <f t="shared" si="89"/>
        <v>21996327.935222644</v>
      </c>
      <c r="BS142" s="2048">
        <f t="shared" si="90"/>
        <v>20495013.883384593</v>
      </c>
      <c r="BT142" s="2048">
        <f t="shared" si="91"/>
        <v>20495013.883384593</v>
      </c>
      <c r="BU142" s="2048">
        <f t="shared" si="92"/>
        <v>20495013.883384593</v>
      </c>
      <c r="BV142" s="1840">
        <f t="shared" si="93"/>
        <v>83481369.585376427</v>
      </c>
      <c r="BW142" s="2064" t="e">
        <f>INT(#REF!)=INT(BA142)</f>
        <v>#REF!</v>
      </c>
      <c r="BX142" s="2064">
        <v>135</v>
      </c>
      <c r="BY142" s="2064" t="s">
        <v>512</v>
      </c>
    </row>
    <row r="143" spans="1:78" s="1976" customFormat="1" ht="62" x14ac:dyDescent="0.35">
      <c r="A143" s="1372" t="s">
        <v>2818</v>
      </c>
      <c r="B143" s="1372" t="s">
        <v>251</v>
      </c>
      <c r="C143" s="1637">
        <v>1</v>
      </c>
      <c r="D143" s="2055" t="str">
        <f>'[9]5.3.7'!$A$2</f>
        <v>5.3.7</v>
      </c>
      <c r="E143" s="1372" t="s">
        <v>163</v>
      </c>
      <c r="F143" s="1638">
        <v>2300</v>
      </c>
      <c r="G143" s="1638">
        <v>2300</v>
      </c>
      <c r="H143" s="1638">
        <v>2300</v>
      </c>
      <c r="I143" s="1638">
        <v>2300</v>
      </c>
      <c r="J143" s="1372" t="str">
        <f>+'[9]5.3.7'!$B$16</f>
        <v>RS-HVC-GHEF-V07-180101</v>
      </c>
      <c r="K143" s="1372" t="str">
        <f t="shared" si="69"/>
        <v>Nicor Gas PY7-PY10 Adjustable Goals Template_2017-06-30, Tab 5.3.7</v>
      </c>
      <c r="L143" s="1639">
        <v>195.19891620407071</v>
      </c>
      <c r="M143" s="1639">
        <v>195.19891620407071</v>
      </c>
      <c r="N143" s="1639">
        <v>195.19891620407071</v>
      </c>
      <c r="O143" s="1639">
        <v>195.19891620407071</v>
      </c>
      <c r="P143" s="1637">
        <v>0.72</v>
      </c>
      <c r="Q143" s="1637">
        <v>0.72</v>
      </c>
      <c r="R143" s="1637">
        <v>0.72</v>
      </c>
      <c r="S143" s="1637">
        <v>0.72</v>
      </c>
      <c r="T143" s="1640">
        <f t="shared" si="70"/>
        <v>323249.4052339411</v>
      </c>
      <c r="U143" s="1640">
        <f t="shared" si="71"/>
        <v>323249.4052339411</v>
      </c>
      <c r="V143" s="1640">
        <f t="shared" si="72"/>
        <v>323249.4052339411</v>
      </c>
      <c r="W143" s="1640">
        <f t="shared" si="73"/>
        <v>323249.4052339411</v>
      </c>
      <c r="X143" s="1640">
        <f t="shared" si="74"/>
        <v>1292997.6209357644</v>
      </c>
      <c r="Y143" s="1372" t="str">
        <f t="shared" si="101"/>
        <v>RS-HVC-GHEF-V07-180101</v>
      </c>
      <c r="Z143" s="1372" t="str">
        <f t="shared" si="97"/>
        <v>Nicor Gas PY7-PY10 Adjustable Goals Template_2017-06-30, Tab 5.3.7</v>
      </c>
      <c r="AA143" s="2024">
        <f t="shared" si="98"/>
        <v>195.19891620407071</v>
      </c>
      <c r="AB143" s="2028"/>
      <c r="AC143" s="1840">
        <f t="shared" si="75"/>
        <v>323249.4052339411</v>
      </c>
      <c r="AD143" s="1840">
        <f t="shared" si="76"/>
        <v>0</v>
      </c>
      <c r="AE143" s="1372" t="s">
        <v>2798</v>
      </c>
      <c r="AF143" s="1372" t="s">
        <v>3389</v>
      </c>
      <c r="AG143" s="1981">
        <v>182.32808760683753</v>
      </c>
      <c r="AH143" s="1372" t="s">
        <v>3446</v>
      </c>
      <c r="AI143" s="1640">
        <f t="shared" si="77"/>
        <v>301935.31307692296</v>
      </c>
      <c r="AJ143" s="1638">
        <f t="shared" si="78"/>
        <v>-21314.092157018138</v>
      </c>
      <c r="AK143" s="1372" t="s">
        <v>2798</v>
      </c>
      <c r="AL143" s="1372" t="s">
        <v>3389</v>
      </c>
      <c r="AM143" s="1981">
        <v>182.32808760683753</v>
      </c>
      <c r="AN143" s="1372" t="str">
        <f t="shared" si="102"/>
        <v>Refer TRM V.7 Updates</v>
      </c>
      <c r="AO143" s="1640">
        <f t="shared" si="79"/>
        <v>301935.31307692296</v>
      </c>
      <c r="AP143" s="1638">
        <f t="shared" si="80"/>
        <v>-21314.092157018138</v>
      </c>
      <c r="AQ143" s="1372" t="s">
        <v>2798</v>
      </c>
      <c r="AR143" s="1372" t="s">
        <v>3389</v>
      </c>
      <c r="AS143" s="1981">
        <v>182.32808760683753</v>
      </c>
      <c r="AT143" s="1372" t="str">
        <f t="shared" si="103"/>
        <v>Refer TRM V.7 Updates</v>
      </c>
      <c r="AU143" s="1640">
        <f t="shared" si="81"/>
        <v>301935.31307692296</v>
      </c>
      <c r="AV143" s="1638">
        <f t="shared" si="82"/>
        <v>-21314.092157018138</v>
      </c>
      <c r="AW143" s="2044">
        <f t="shared" si="83"/>
        <v>323249.4052339411</v>
      </c>
      <c r="AX143" s="2044">
        <f t="shared" si="84"/>
        <v>301935.31307692296</v>
      </c>
      <c r="AY143" s="2044">
        <f t="shared" si="85"/>
        <v>301935.31307692296</v>
      </c>
      <c r="AZ143" s="2044">
        <f t="shared" si="86"/>
        <v>301935.31307692296</v>
      </c>
      <c r="BA143" s="2045">
        <f t="shared" si="87"/>
        <v>1229055.34446471</v>
      </c>
      <c r="BB143" s="2045" t="str">
        <f>'[9]5.3.7'!$A$2</f>
        <v>5.3.7</v>
      </c>
      <c r="BC143" s="2045" t="str">
        <f>'[9]5.3.7'!$A$2</f>
        <v>5.3.7</v>
      </c>
      <c r="BD143" s="2045">
        <v>0</v>
      </c>
      <c r="BE143" s="2051">
        <v>20</v>
      </c>
      <c r="BF143" s="2051">
        <v>20</v>
      </c>
      <c r="BG143" s="2051">
        <v>20</v>
      </c>
      <c r="BH143" s="2051">
        <v>20</v>
      </c>
      <c r="BI143" s="2045">
        <f t="shared" si="104"/>
        <v>6464988.1046788217</v>
      </c>
      <c r="BJ143" s="2045">
        <f t="shared" si="105"/>
        <v>6464988.1046788217</v>
      </c>
      <c r="BK143" s="2045">
        <f t="shared" si="106"/>
        <v>6464988.1046788217</v>
      </c>
      <c r="BL143" s="2045">
        <f t="shared" si="107"/>
        <v>6464988.1046788217</v>
      </c>
      <c r="BM143" s="2045">
        <f t="shared" si="88"/>
        <v>25859952.418715287</v>
      </c>
      <c r="BN143" s="2047">
        <v>20</v>
      </c>
      <c r="BO143" s="2047">
        <v>20</v>
      </c>
      <c r="BP143" s="2047">
        <v>20</v>
      </c>
      <c r="BQ143" s="2047">
        <v>20</v>
      </c>
      <c r="BR143" s="2048">
        <f t="shared" si="89"/>
        <v>6464988.1046788217</v>
      </c>
      <c r="BS143" s="2048">
        <f t="shared" si="90"/>
        <v>6038706.261538459</v>
      </c>
      <c r="BT143" s="2048">
        <f t="shared" si="91"/>
        <v>6038706.261538459</v>
      </c>
      <c r="BU143" s="2048">
        <f t="shared" si="92"/>
        <v>6038706.261538459</v>
      </c>
      <c r="BV143" s="1840">
        <f t="shared" si="93"/>
        <v>24581106.8892942</v>
      </c>
      <c r="BW143" s="2064" t="e">
        <f>INT(#REF!)=INT(BA143)</f>
        <v>#REF!</v>
      </c>
      <c r="BX143" s="2064">
        <v>136</v>
      </c>
      <c r="BY143" s="2064" t="s">
        <v>512</v>
      </c>
    </row>
    <row r="144" spans="1:78" s="1849" customFormat="1" ht="62" x14ac:dyDescent="0.35">
      <c r="A144" s="1843" t="s">
        <v>2818</v>
      </c>
      <c r="B144" s="1843" t="s">
        <v>252</v>
      </c>
      <c r="C144" s="1637">
        <v>1</v>
      </c>
      <c r="D144" s="2055" t="str">
        <f>'[9]5.3.7'!$A$2</f>
        <v>5.3.7</v>
      </c>
      <c r="E144" s="1843" t="s">
        <v>163</v>
      </c>
      <c r="F144" s="1845">
        <v>1200</v>
      </c>
      <c r="G144" s="1845">
        <v>1200</v>
      </c>
      <c r="H144" s="1845">
        <v>1200</v>
      </c>
      <c r="I144" s="1845">
        <v>1200</v>
      </c>
      <c r="J144" s="1843" t="str">
        <f>+'[9]5.3.7'!$B$16</f>
        <v>RS-HVC-GHEF-V07-180101</v>
      </c>
      <c r="K144" s="1843" t="str">
        <f t="shared" si="69"/>
        <v>Nicor Gas PY7-PY10 Adjustable Goals Template_2017-06-30, Tab 5.3.7</v>
      </c>
      <c r="L144" s="1975">
        <v>170.17227200293556</v>
      </c>
      <c r="M144" s="1975">
        <v>170.17227200293556</v>
      </c>
      <c r="N144" s="1975">
        <v>170.17227200293556</v>
      </c>
      <c r="O144" s="1975">
        <v>170.17227200293556</v>
      </c>
      <c r="P144" s="1844">
        <v>0.72</v>
      </c>
      <c r="Q144" s="1844">
        <v>0.72</v>
      </c>
      <c r="R144" s="1844">
        <v>0.72</v>
      </c>
      <c r="S144" s="1844">
        <v>0.72</v>
      </c>
      <c r="T144" s="1847">
        <f t="shared" si="70"/>
        <v>147028.84301053631</v>
      </c>
      <c r="U144" s="1847">
        <f t="shared" si="71"/>
        <v>147028.84301053631</v>
      </c>
      <c r="V144" s="1847">
        <f t="shared" si="72"/>
        <v>147028.84301053631</v>
      </c>
      <c r="W144" s="1847">
        <f t="shared" si="73"/>
        <v>147028.84301053631</v>
      </c>
      <c r="X144" s="1847">
        <f t="shared" si="74"/>
        <v>588115.37204214523</v>
      </c>
      <c r="Y144" s="1843" t="str">
        <f t="shared" si="101"/>
        <v>RS-HVC-GHEF-V07-180101</v>
      </c>
      <c r="Z144" s="1843" t="str">
        <f t="shared" si="97"/>
        <v>Nicor Gas PY7-PY10 Adjustable Goals Template_2017-06-30, Tab 5.3.7</v>
      </c>
      <c r="AA144" s="2125">
        <f t="shared" si="98"/>
        <v>170.17227200293556</v>
      </c>
      <c r="AB144" s="2028"/>
      <c r="AC144" s="1848">
        <f t="shared" si="75"/>
        <v>147028.84301053631</v>
      </c>
      <c r="AD144" s="1848">
        <f t="shared" si="76"/>
        <v>0</v>
      </c>
      <c r="AE144" s="1843" t="s">
        <v>2798</v>
      </c>
      <c r="AF144" s="1843" t="s">
        <v>3389</v>
      </c>
      <c r="AG144" s="1972">
        <v>158.557350885435</v>
      </c>
      <c r="AH144" s="1843" t="s">
        <v>3446</v>
      </c>
      <c r="AI144" s="1847">
        <f t="shared" si="77"/>
        <v>136993.55116501584</v>
      </c>
      <c r="AJ144" s="1845">
        <f t="shared" si="78"/>
        <v>-10035.291845520464</v>
      </c>
      <c r="AK144" s="1843" t="s">
        <v>2798</v>
      </c>
      <c r="AL144" s="1843" t="s">
        <v>3389</v>
      </c>
      <c r="AM144" s="1981">
        <v>158.557350885435</v>
      </c>
      <c r="AN144" s="1372" t="str">
        <f t="shared" si="102"/>
        <v>Refer TRM V.7 Updates</v>
      </c>
      <c r="AO144" s="1847">
        <f t="shared" si="79"/>
        <v>136993.55116501584</v>
      </c>
      <c r="AP144" s="1845">
        <f t="shared" si="80"/>
        <v>-10035.291845520464</v>
      </c>
      <c r="AQ144" s="1843" t="s">
        <v>2798</v>
      </c>
      <c r="AR144" s="1843" t="s">
        <v>3389</v>
      </c>
      <c r="AS144" s="1981">
        <v>158.557350885435</v>
      </c>
      <c r="AT144" s="1372" t="str">
        <f t="shared" si="103"/>
        <v>Refer TRM V.7 Updates</v>
      </c>
      <c r="AU144" s="1847">
        <f t="shared" si="81"/>
        <v>136993.55116501584</v>
      </c>
      <c r="AV144" s="1845">
        <f t="shared" si="82"/>
        <v>-10035.291845520464</v>
      </c>
      <c r="AW144" s="2044">
        <f t="shared" si="83"/>
        <v>147028.84301053631</v>
      </c>
      <c r="AX144" s="2044">
        <f t="shared" si="84"/>
        <v>136993.55116501584</v>
      </c>
      <c r="AY144" s="2044">
        <f t="shared" si="85"/>
        <v>136993.55116501584</v>
      </c>
      <c r="AZ144" s="2044">
        <f t="shared" si="86"/>
        <v>136993.55116501584</v>
      </c>
      <c r="BA144" s="2045">
        <f t="shared" si="87"/>
        <v>558009.49650558387</v>
      </c>
      <c r="BB144" s="2051" t="str">
        <f>'[9]5.3.7'!$A$2</f>
        <v>5.3.7</v>
      </c>
      <c r="BC144" s="2051" t="str">
        <f>'[9]5.3.7'!$A$2</f>
        <v>5.3.7</v>
      </c>
      <c r="BD144" s="2045">
        <v>0</v>
      </c>
      <c r="BE144" s="2051">
        <v>20</v>
      </c>
      <c r="BF144" s="2051">
        <v>20</v>
      </c>
      <c r="BG144" s="2051">
        <v>20</v>
      </c>
      <c r="BH144" s="2051">
        <v>20</v>
      </c>
      <c r="BI144" s="2045">
        <f t="shared" si="104"/>
        <v>2940576.860210726</v>
      </c>
      <c r="BJ144" s="2045">
        <f t="shared" si="105"/>
        <v>2940576.860210726</v>
      </c>
      <c r="BK144" s="2045">
        <f t="shared" si="106"/>
        <v>2940576.860210726</v>
      </c>
      <c r="BL144" s="2045">
        <f t="shared" si="107"/>
        <v>2940576.860210726</v>
      </c>
      <c r="BM144" s="2045">
        <f t="shared" si="88"/>
        <v>11762307.440842904</v>
      </c>
      <c r="BN144" s="2047">
        <v>20</v>
      </c>
      <c r="BO144" s="2047">
        <v>20</v>
      </c>
      <c r="BP144" s="2047">
        <v>20</v>
      </c>
      <c r="BQ144" s="2047">
        <v>20</v>
      </c>
      <c r="BR144" s="2048">
        <f t="shared" si="89"/>
        <v>2940576.860210726</v>
      </c>
      <c r="BS144" s="2048">
        <f t="shared" si="90"/>
        <v>2739871.0233003171</v>
      </c>
      <c r="BT144" s="2048">
        <f t="shared" si="91"/>
        <v>2739871.0233003171</v>
      </c>
      <c r="BU144" s="2048">
        <f t="shared" si="92"/>
        <v>2739871.0233003171</v>
      </c>
      <c r="BV144" s="1840">
        <f t="shared" si="93"/>
        <v>11160189.930111676</v>
      </c>
      <c r="BW144" s="2064" t="e">
        <f>INT(#REF!)=INT(BA144)</f>
        <v>#REF!</v>
      </c>
      <c r="BX144" s="2064">
        <v>137</v>
      </c>
      <c r="BY144" s="2064" t="s">
        <v>512</v>
      </c>
      <c r="BZ144" s="1976"/>
    </row>
    <row r="145" spans="1:78" s="1849" customFormat="1" ht="62" x14ac:dyDescent="0.35">
      <c r="A145" s="1843" t="s">
        <v>2818</v>
      </c>
      <c r="B145" s="1843" t="s">
        <v>253</v>
      </c>
      <c r="C145" s="1637">
        <v>1</v>
      </c>
      <c r="D145" s="2055" t="str">
        <f>'[9]5.3.7'!$A$2</f>
        <v>5.3.7</v>
      </c>
      <c r="E145" s="1843" t="s">
        <v>163</v>
      </c>
      <c r="F145" s="1845">
        <v>200</v>
      </c>
      <c r="G145" s="1845">
        <v>200</v>
      </c>
      <c r="H145" s="1845">
        <v>200</v>
      </c>
      <c r="I145" s="1845">
        <v>200</v>
      </c>
      <c r="J145" s="1843" t="str">
        <f>+'[9]5.3.7'!$B$16</f>
        <v>RS-HVC-GHEF-V07-180101</v>
      </c>
      <c r="K145" s="1843" t="str">
        <f t="shared" si="69"/>
        <v>Nicor Gas PY7-PY10 Adjustable Goals Template_2017-06-30, Tab 5.3.7</v>
      </c>
      <c r="L145" s="1975">
        <v>189.51086432036681</v>
      </c>
      <c r="M145" s="1975">
        <v>189.51086432036681</v>
      </c>
      <c r="N145" s="1975">
        <v>189.51086432036681</v>
      </c>
      <c r="O145" s="1975">
        <v>189.51086432036681</v>
      </c>
      <c r="P145" s="1844">
        <v>0.72</v>
      </c>
      <c r="Q145" s="1844">
        <v>0.72</v>
      </c>
      <c r="R145" s="1844">
        <v>0.72</v>
      </c>
      <c r="S145" s="1844">
        <v>0.72</v>
      </c>
      <c r="T145" s="1847">
        <f t="shared" si="70"/>
        <v>27289.564462132821</v>
      </c>
      <c r="U145" s="1847">
        <f t="shared" si="71"/>
        <v>27289.564462132821</v>
      </c>
      <c r="V145" s="1847">
        <f t="shared" si="72"/>
        <v>27289.564462132821</v>
      </c>
      <c r="W145" s="1847">
        <f t="shared" si="73"/>
        <v>27289.564462132821</v>
      </c>
      <c r="X145" s="1847">
        <f t="shared" si="74"/>
        <v>109158.25784853128</v>
      </c>
      <c r="Y145" s="1843" t="str">
        <f t="shared" si="101"/>
        <v>RS-HVC-GHEF-V07-180101</v>
      </c>
      <c r="Z145" s="1843" t="str">
        <f t="shared" si="97"/>
        <v>Nicor Gas PY7-PY10 Adjustable Goals Template_2017-06-30, Tab 5.3.7</v>
      </c>
      <c r="AA145" s="2125">
        <f t="shared" si="98"/>
        <v>189.51086432036681</v>
      </c>
      <c r="AB145" s="2028"/>
      <c r="AC145" s="1848">
        <f t="shared" si="75"/>
        <v>27289.564462132821</v>
      </c>
      <c r="AD145" s="1848">
        <f t="shared" si="76"/>
        <v>0</v>
      </c>
      <c r="AE145" s="1843" t="s">
        <v>2798</v>
      </c>
      <c r="AF145" s="1843" t="s">
        <v>3389</v>
      </c>
      <c r="AG145" s="1981">
        <v>177.014563549494</v>
      </c>
      <c r="AH145" s="1843" t="s">
        <v>3446</v>
      </c>
      <c r="AI145" s="1847">
        <f t="shared" si="77"/>
        <v>25490.097151127138</v>
      </c>
      <c r="AJ145" s="1845">
        <f t="shared" si="78"/>
        <v>-1799.4673110056829</v>
      </c>
      <c r="AK145" s="1843" t="s">
        <v>2798</v>
      </c>
      <c r="AL145" s="1843" t="s">
        <v>3389</v>
      </c>
      <c r="AM145" s="1981">
        <v>177.014563549494</v>
      </c>
      <c r="AN145" s="1372" t="str">
        <f t="shared" si="102"/>
        <v>Refer TRM V.7 Updates</v>
      </c>
      <c r="AO145" s="1847">
        <f t="shared" si="79"/>
        <v>25490.097151127138</v>
      </c>
      <c r="AP145" s="1845">
        <f t="shared" si="80"/>
        <v>-1799.4673110056829</v>
      </c>
      <c r="AQ145" s="1843" t="s">
        <v>2798</v>
      </c>
      <c r="AR145" s="1843" t="s">
        <v>3389</v>
      </c>
      <c r="AS145" s="1981">
        <v>177.014563549494</v>
      </c>
      <c r="AT145" s="1372" t="str">
        <f t="shared" si="103"/>
        <v>Refer TRM V.7 Updates</v>
      </c>
      <c r="AU145" s="1847">
        <f t="shared" si="81"/>
        <v>25490.097151127138</v>
      </c>
      <c r="AV145" s="1845">
        <f t="shared" si="82"/>
        <v>-1799.4673110056829</v>
      </c>
      <c r="AW145" s="2044">
        <f t="shared" si="83"/>
        <v>27289.564462132821</v>
      </c>
      <c r="AX145" s="2044">
        <f t="shared" si="84"/>
        <v>25490.097151127138</v>
      </c>
      <c r="AY145" s="2044">
        <f t="shared" si="85"/>
        <v>25490.097151127138</v>
      </c>
      <c r="AZ145" s="2044">
        <f t="shared" si="86"/>
        <v>25490.097151127138</v>
      </c>
      <c r="BA145" s="2045">
        <f t="shared" si="87"/>
        <v>103759.85591551423</v>
      </c>
      <c r="BB145" s="2051" t="str">
        <f>'[9]5.3.7'!$A$2</f>
        <v>5.3.7</v>
      </c>
      <c r="BC145" s="2051" t="str">
        <f>'[9]5.3.7'!$A$2</f>
        <v>5.3.7</v>
      </c>
      <c r="BD145" s="2045">
        <v>0</v>
      </c>
      <c r="BE145" s="2051">
        <v>20</v>
      </c>
      <c r="BF145" s="2051">
        <v>20</v>
      </c>
      <c r="BG145" s="2051">
        <v>20</v>
      </c>
      <c r="BH145" s="2051">
        <v>20</v>
      </c>
      <c r="BI145" s="2045">
        <f t="shared" si="104"/>
        <v>545791.28924265644</v>
      </c>
      <c r="BJ145" s="2045">
        <f t="shared" si="105"/>
        <v>545791.28924265644</v>
      </c>
      <c r="BK145" s="2045">
        <f t="shared" si="106"/>
        <v>545791.28924265644</v>
      </c>
      <c r="BL145" s="2045">
        <f t="shared" si="107"/>
        <v>545791.28924265644</v>
      </c>
      <c r="BM145" s="2045">
        <f t="shared" si="88"/>
        <v>2183165.1569706257</v>
      </c>
      <c r="BN145" s="2047">
        <v>20</v>
      </c>
      <c r="BO145" s="2047">
        <v>20</v>
      </c>
      <c r="BP145" s="2047">
        <v>20</v>
      </c>
      <c r="BQ145" s="2047">
        <v>20</v>
      </c>
      <c r="BR145" s="2048">
        <f t="shared" si="89"/>
        <v>545791.28924265644</v>
      </c>
      <c r="BS145" s="2048">
        <f t="shared" si="90"/>
        <v>509801.94302254269</v>
      </c>
      <c r="BT145" s="2048">
        <f t="shared" si="91"/>
        <v>509801.94302254269</v>
      </c>
      <c r="BU145" s="2048">
        <f t="shared" si="92"/>
        <v>509801.94302254269</v>
      </c>
      <c r="BV145" s="1840">
        <f t="shared" si="93"/>
        <v>2075197.1183102843</v>
      </c>
      <c r="BW145" s="2064" t="e">
        <f>INT(#REF!)=INT(BA145)</f>
        <v>#REF!</v>
      </c>
      <c r="BX145" s="2064">
        <v>138</v>
      </c>
      <c r="BY145" s="2064" t="s">
        <v>512</v>
      </c>
      <c r="BZ145" s="1976"/>
    </row>
    <row r="146" spans="1:78" s="1976" customFormat="1" ht="62" x14ac:dyDescent="0.35">
      <c r="A146" s="1372" t="s">
        <v>2818</v>
      </c>
      <c r="B146" s="1372" t="s">
        <v>249</v>
      </c>
      <c r="C146" s="1637">
        <v>1</v>
      </c>
      <c r="D146" s="2055" t="str">
        <f>'[9]5.3.6'!$A$1</f>
        <v>5.3.6</v>
      </c>
      <c r="E146" s="1372" t="s">
        <v>163</v>
      </c>
      <c r="F146" s="1638">
        <v>60</v>
      </c>
      <c r="G146" s="1638">
        <v>60</v>
      </c>
      <c r="H146" s="1638">
        <v>60</v>
      </c>
      <c r="I146" s="1638">
        <v>60</v>
      </c>
      <c r="J146" s="1372" t="str">
        <f>+'[9]5.3.6'!$B$9</f>
        <v>RS-HVC-GHEB-V06-180101</v>
      </c>
      <c r="K146" s="1372" t="str">
        <f t="shared" si="69"/>
        <v>Nicor Gas PY7-PY10 Adjustable Goals Template_2017-06-30, Tab 5.3.6</v>
      </c>
      <c r="L146" s="1639">
        <v>203.26059050064188</v>
      </c>
      <c r="M146" s="1639">
        <v>203.26059050064188</v>
      </c>
      <c r="N146" s="1639">
        <v>203.26059050064188</v>
      </c>
      <c r="O146" s="1639">
        <v>203.26059050064188</v>
      </c>
      <c r="P146" s="1637">
        <v>0.72</v>
      </c>
      <c r="Q146" s="1637">
        <v>0.72</v>
      </c>
      <c r="R146" s="1637">
        <v>0.72</v>
      </c>
      <c r="S146" s="1637">
        <v>0.72</v>
      </c>
      <c r="T146" s="1640">
        <f t="shared" si="70"/>
        <v>8780.8575096277291</v>
      </c>
      <c r="U146" s="1640">
        <f t="shared" si="71"/>
        <v>8780.8575096277291</v>
      </c>
      <c r="V146" s="1640">
        <f t="shared" si="72"/>
        <v>8780.8575096277291</v>
      </c>
      <c r="W146" s="1640">
        <f t="shared" si="73"/>
        <v>8780.8575096277291</v>
      </c>
      <c r="X146" s="1640">
        <f t="shared" si="74"/>
        <v>35123.430038510916</v>
      </c>
      <c r="Y146" s="1372" t="str">
        <f t="shared" si="101"/>
        <v>RS-HVC-GHEB-V06-180101</v>
      </c>
      <c r="Z146" s="1372" t="str">
        <f t="shared" si="97"/>
        <v>Nicor Gas PY7-PY10 Adjustable Goals Template_2017-06-30, Tab 5.3.6</v>
      </c>
      <c r="AA146" s="2024">
        <f t="shared" si="98"/>
        <v>203.26059050064188</v>
      </c>
      <c r="AB146" s="2028"/>
      <c r="AC146" s="1840">
        <f t="shared" si="75"/>
        <v>8780.8575096277291</v>
      </c>
      <c r="AD146" s="1840">
        <f t="shared" si="76"/>
        <v>0</v>
      </c>
      <c r="AE146" s="1372" t="s">
        <v>2797</v>
      </c>
      <c r="AF146" s="1372" t="s">
        <v>3390</v>
      </c>
      <c r="AG146" s="1981">
        <v>199.36252097561001</v>
      </c>
      <c r="AH146" s="1372" t="s">
        <v>3446</v>
      </c>
      <c r="AI146" s="1640">
        <f t="shared" si="77"/>
        <v>8612.4609061463525</v>
      </c>
      <c r="AJ146" s="1638">
        <f t="shared" si="78"/>
        <v>-168.39660348137659</v>
      </c>
      <c r="AK146" s="1372" t="s">
        <v>2797</v>
      </c>
      <c r="AL146" s="1372" t="s">
        <v>3390</v>
      </c>
      <c r="AM146" s="1981">
        <v>199.36252097561001</v>
      </c>
      <c r="AN146" s="1372" t="str">
        <f t="shared" si="102"/>
        <v>Refer TRM V.7 Updates</v>
      </c>
      <c r="AO146" s="1640">
        <f t="shared" si="79"/>
        <v>8612.4609061463525</v>
      </c>
      <c r="AP146" s="1638">
        <f t="shared" si="80"/>
        <v>-168.39660348137659</v>
      </c>
      <c r="AQ146" s="1372" t="s">
        <v>2797</v>
      </c>
      <c r="AR146" s="1372" t="s">
        <v>3390</v>
      </c>
      <c r="AS146" s="1981">
        <v>199.36252097561001</v>
      </c>
      <c r="AT146" s="1372" t="str">
        <f t="shared" si="103"/>
        <v>Refer TRM V.7 Updates</v>
      </c>
      <c r="AU146" s="1640">
        <f t="shared" si="81"/>
        <v>8612.4609061463525</v>
      </c>
      <c r="AV146" s="1638">
        <f t="shared" si="82"/>
        <v>-168.39660348137659</v>
      </c>
      <c r="AW146" s="2044">
        <f t="shared" si="83"/>
        <v>8780.8575096277291</v>
      </c>
      <c r="AX146" s="2044">
        <f t="shared" si="84"/>
        <v>8612.4609061463525</v>
      </c>
      <c r="AY146" s="2044">
        <f t="shared" si="85"/>
        <v>8612.4609061463525</v>
      </c>
      <c r="AZ146" s="2044">
        <f t="shared" si="86"/>
        <v>8612.4609061463525</v>
      </c>
      <c r="BA146" s="2045">
        <f t="shared" si="87"/>
        <v>34618.240228066788</v>
      </c>
      <c r="BB146" s="2045" t="str">
        <f>'[9]5.3.6'!$A$1</f>
        <v>5.3.6</v>
      </c>
      <c r="BC146" s="2045" t="str">
        <f>'[9]5.3.6'!$A$1</f>
        <v>5.3.6</v>
      </c>
      <c r="BD146" s="2045">
        <v>0</v>
      </c>
      <c r="BE146" s="2051">
        <v>25</v>
      </c>
      <c r="BF146" s="2051">
        <v>25</v>
      </c>
      <c r="BG146" s="2051">
        <v>25</v>
      </c>
      <c r="BH146" s="2051">
        <v>25</v>
      </c>
      <c r="BI146" s="2045">
        <f t="shared" si="104"/>
        <v>219521.43774069322</v>
      </c>
      <c r="BJ146" s="2045">
        <f t="shared" si="105"/>
        <v>219521.43774069322</v>
      </c>
      <c r="BK146" s="2045">
        <f t="shared" si="106"/>
        <v>219521.43774069322</v>
      </c>
      <c r="BL146" s="2045">
        <f t="shared" si="107"/>
        <v>219521.43774069322</v>
      </c>
      <c r="BM146" s="2045">
        <f t="shared" si="88"/>
        <v>878085.75096277287</v>
      </c>
      <c r="BN146" s="2047">
        <v>25</v>
      </c>
      <c r="BO146" s="2047">
        <v>25</v>
      </c>
      <c r="BP146" s="2047">
        <v>25</v>
      </c>
      <c r="BQ146" s="2047">
        <v>25</v>
      </c>
      <c r="BR146" s="2048">
        <f t="shared" si="89"/>
        <v>219521.43774069322</v>
      </c>
      <c r="BS146" s="2048">
        <f t="shared" si="90"/>
        <v>215311.52265365882</v>
      </c>
      <c r="BT146" s="2048">
        <f t="shared" si="91"/>
        <v>215311.52265365882</v>
      </c>
      <c r="BU146" s="2048">
        <f t="shared" si="92"/>
        <v>215311.52265365882</v>
      </c>
      <c r="BV146" s="1840">
        <f t="shared" si="93"/>
        <v>865456.00570166972</v>
      </c>
      <c r="BW146" s="2064" t="e">
        <f>INT(#REF!)=INT(BA146)</f>
        <v>#REF!</v>
      </c>
      <c r="BX146" s="2064">
        <v>139</v>
      </c>
      <c r="BY146" s="2064" t="s">
        <v>512</v>
      </c>
    </row>
    <row r="147" spans="1:78" s="1976" customFormat="1" ht="62" x14ac:dyDescent="0.35">
      <c r="A147" s="1372" t="s">
        <v>2818</v>
      </c>
      <c r="B147" s="1372" t="s">
        <v>3037</v>
      </c>
      <c r="C147" s="1637">
        <v>0</v>
      </c>
      <c r="D147" s="2056" t="str">
        <f>'[9]5.3.13'!$A$1</f>
        <v>5.3.13</v>
      </c>
      <c r="E147" s="1372" t="s">
        <v>201</v>
      </c>
      <c r="F147" s="1638">
        <v>100</v>
      </c>
      <c r="G147" s="1638">
        <v>100</v>
      </c>
      <c r="H147" s="1638">
        <v>100</v>
      </c>
      <c r="I147" s="1638">
        <v>100</v>
      </c>
      <c r="J147" s="1372" t="str">
        <f>'[9]5.3.13'!$B$13</f>
        <v>RS-HVC-FTUN-V03-180101</v>
      </c>
      <c r="K147" s="1372" t="str">
        <f t="shared" si="69"/>
        <v>Nicor Gas PY7-PY10 Adjustable Goals Template_2017-06-30, Tab 5.3.13</v>
      </c>
      <c r="L147" s="1639">
        <v>71.256410256410177</v>
      </c>
      <c r="M147" s="1639">
        <v>71.256410256410177</v>
      </c>
      <c r="N147" s="1639">
        <v>71.256410256410177</v>
      </c>
      <c r="O147" s="1639">
        <v>71.256410256410177</v>
      </c>
      <c r="P147" s="1637">
        <v>0.72</v>
      </c>
      <c r="Q147" s="1637">
        <v>0.72</v>
      </c>
      <c r="R147" s="1637">
        <v>0.72</v>
      </c>
      <c r="S147" s="1637">
        <v>0.72</v>
      </c>
      <c r="T147" s="1640">
        <f t="shared" si="70"/>
        <v>5130.4615384615327</v>
      </c>
      <c r="U147" s="1640">
        <f t="shared" si="71"/>
        <v>5130.4615384615327</v>
      </c>
      <c r="V147" s="1640">
        <f t="shared" si="72"/>
        <v>5130.4615384615327</v>
      </c>
      <c r="W147" s="1640">
        <f t="shared" si="73"/>
        <v>5130.4615384615327</v>
      </c>
      <c r="X147" s="1640">
        <f t="shared" si="74"/>
        <v>20521.846153846131</v>
      </c>
      <c r="Y147" s="1372" t="str">
        <f t="shared" si="101"/>
        <v>RS-HVC-FTUN-V03-180101</v>
      </c>
      <c r="Z147" s="1372" t="str">
        <f t="shared" si="97"/>
        <v>Nicor Gas PY7-PY10 Adjustable Goals Template_2017-06-30, Tab 5.3.13</v>
      </c>
      <c r="AA147" s="1840">
        <f t="shared" si="98"/>
        <v>71.256410256410177</v>
      </c>
      <c r="AB147" s="2028"/>
      <c r="AC147" s="1840">
        <f t="shared" si="75"/>
        <v>5130.4615384615327</v>
      </c>
      <c r="AD147" s="1840">
        <f t="shared" si="76"/>
        <v>0</v>
      </c>
      <c r="AE147" s="1372" t="s">
        <v>3056</v>
      </c>
      <c r="AF147" s="1372" t="s">
        <v>3391</v>
      </c>
      <c r="AG147" s="1639">
        <v>71.256410256410177</v>
      </c>
      <c r="AH147" s="1372" t="s">
        <v>3445</v>
      </c>
      <c r="AI147" s="1640">
        <f t="shared" si="77"/>
        <v>5130.4615384615327</v>
      </c>
      <c r="AJ147" s="1638">
        <f t="shared" si="78"/>
        <v>0</v>
      </c>
      <c r="AK147" s="1372" t="s">
        <v>3056</v>
      </c>
      <c r="AL147" s="1372" t="s">
        <v>3391</v>
      </c>
      <c r="AM147" s="1639">
        <v>71.256410256410177</v>
      </c>
      <c r="AN147" s="1372" t="str">
        <f t="shared" si="102"/>
        <v>No change</v>
      </c>
      <c r="AO147" s="1640">
        <f t="shared" si="79"/>
        <v>5130.4615384615327</v>
      </c>
      <c r="AP147" s="1638">
        <f t="shared" si="80"/>
        <v>0</v>
      </c>
      <c r="AQ147" s="1372" t="s">
        <v>3056</v>
      </c>
      <c r="AR147" s="1372" t="s">
        <v>3391</v>
      </c>
      <c r="AS147" s="1639">
        <v>71.256410256410177</v>
      </c>
      <c r="AT147" s="1372" t="str">
        <f>$AH147</f>
        <v>No change</v>
      </c>
      <c r="AU147" s="1640">
        <f t="shared" si="81"/>
        <v>5130.4615384615327</v>
      </c>
      <c r="AV147" s="1638">
        <f t="shared" si="82"/>
        <v>0</v>
      </c>
      <c r="AW147" s="2044">
        <f t="shared" si="83"/>
        <v>5130.4615384615327</v>
      </c>
      <c r="AX147" s="2044">
        <f t="shared" si="84"/>
        <v>5130.4615384615327</v>
      </c>
      <c r="AY147" s="2044">
        <f t="shared" si="85"/>
        <v>5130.4615384615327</v>
      </c>
      <c r="AZ147" s="2044">
        <f t="shared" si="86"/>
        <v>5130.4615384615327</v>
      </c>
      <c r="BA147" s="2045">
        <f t="shared" si="87"/>
        <v>20521.846153846131</v>
      </c>
      <c r="BB147" s="2045" t="str">
        <f>'[9]5.3.13'!$A$1</f>
        <v>5.3.13</v>
      </c>
      <c r="BC147" s="2045" t="str">
        <f>'[9]5.3.13'!$A$1</f>
        <v>5.3.13</v>
      </c>
      <c r="BD147" s="2045">
        <v>0</v>
      </c>
      <c r="BE147" s="2051">
        <v>10</v>
      </c>
      <c r="BF147" s="2051">
        <v>10</v>
      </c>
      <c r="BG147" s="2051">
        <v>10</v>
      </c>
      <c r="BH147" s="2051">
        <v>10</v>
      </c>
      <c r="BI147" s="2045">
        <f t="shared" si="104"/>
        <v>51304.615384615325</v>
      </c>
      <c r="BJ147" s="2045">
        <f t="shared" si="105"/>
        <v>51304.615384615325</v>
      </c>
      <c r="BK147" s="2045">
        <f t="shared" si="106"/>
        <v>51304.615384615325</v>
      </c>
      <c r="BL147" s="2045">
        <f t="shared" si="107"/>
        <v>51304.615384615325</v>
      </c>
      <c r="BM147" s="2045">
        <f t="shared" si="88"/>
        <v>205218.4615384613</v>
      </c>
      <c r="BN147" s="2047">
        <v>10</v>
      </c>
      <c r="BO147" s="2047">
        <v>10</v>
      </c>
      <c r="BP147" s="2047">
        <v>10</v>
      </c>
      <c r="BQ147" s="2047">
        <v>10</v>
      </c>
      <c r="BR147" s="2048">
        <f t="shared" si="89"/>
        <v>51304.615384615325</v>
      </c>
      <c r="BS147" s="2048">
        <f t="shared" si="90"/>
        <v>51304.615384615325</v>
      </c>
      <c r="BT147" s="2048">
        <f t="shared" si="91"/>
        <v>51304.615384615325</v>
      </c>
      <c r="BU147" s="2048">
        <f t="shared" si="92"/>
        <v>51304.615384615325</v>
      </c>
      <c r="BV147" s="1840">
        <f t="shared" si="93"/>
        <v>205218.4615384613</v>
      </c>
      <c r="BW147" s="2064" t="e">
        <f>INT(#REF!)=INT(BA147)</f>
        <v>#REF!</v>
      </c>
      <c r="BX147" s="2064">
        <v>140</v>
      </c>
      <c r="BY147" s="2064" t="s">
        <v>512</v>
      </c>
    </row>
    <row r="148" spans="1:78" s="1976" customFormat="1" ht="62" x14ac:dyDescent="0.35">
      <c r="A148" s="1372" t="s">
        <v>2818</v>
      </c>
      <c r="B148" s="1372" t="s">
        <v>2768</v>
      </c>
      <c r="C148" s="1637">
        <v>1</v>
      </c>
      <c r="D148" s="2055" t="str">
        <f>'[9]5.3.7'!$A$2</f>
        <v>5.3.7</v>
      </c>
      <c r="E148" s="1372" t="s">
        <v>163</v>
      </c>
      <c r="F148" s="1638">
        <v>800</v>
      </c>
      <c r="G148" s="1638">
        <v>800</v>
      </c>
      <c r="H148" s="1638">
        <v>800</v>
      </c>
      <c r="I148" s="1638">
        <v>800</v>
      </c>
      <c r="J148" s="1372" t="str">
        <f>+'[9]5.3.7'!$B$16</f>
        <v>RS-HVC-GHEF-V07-180101</v>
      </c>
      <c r="K148" s="1372" t="str">
        <f t="shared" si="69"/>
        <v>Nicor Gas PY7-PY10 Adjustable Goals Template_2017-06-30, Tab 5.3.7</v>
      </c>
      <c r="L148" s="1639">
        <v>235.88731443994598</v>
      </c>
      <c r="M148" s="1639">
        <v>235.88731443994598</v>
      </c>
      <c r="N148" s="1639">
        <v>235.88731443994598</v>
      </c>
      <c r="O148" s="1639">
        <v>235.88731443994598</v>
      </c>
      <c r="P148" s="1637">
        <v>0.72</v>
      </c>
      <c r="Q148" s="1637">
        <v>0.72</v>
      </c>
      <c r="R148" s="1637">
        <v>0.72</v>
      </c>
      <c r="S148" s="1637">
        <v>0.72</v>
      </c>
      <c r="T148" s="1640">
        <f t="shared" si="70"/>
        <v>135871.09311740889</v>
      </c>
      <c r="U148" s="1640">
        <f t="shared" si="71"/>
        <v>135871.09311740889</v>
      </c>
      <c r="V148" s="1640">
        <f t="shared" si="72"/>
        <v>135871.09311740889</v>
      </c>
      <c r="W148" s="1640">
        <f t="shared" si="73"/>
        <v>135871.09311740889</v>
      </c>
      <c r="X148" s="1640">
        <f t="shared" si="74"/>
        <v>543484.37246963556</v>
      </c>
      <c r="Y148" s="1372" t="str">
        <f t="shared" si="101"/>
        <v>RS-HVC-GHEF-V07-180101</v>
      </c>
      <c r="Z148" s="1372" t="str">
        <f t="shared" si="97"/>
        <v>Nicor Gas PY7-PY10 Adjustable Goals Template_2017-06-30, Tab 5.3.7</v>
      </c>
      <c r="AA148" s="2024">
        <f t="shared" si="98"/>
        <v>235.88731443994598</v>
      </c>
      <c r="AB148" s="2028"/>
      <c r="AC148" s="1840">
        <f t="shared" si="75"/>
        <v>135871.09311740889</v>
      </c>
      <c r="AD148" s="1840">
        <f t="shared" si="76"/>
        <v>0</v>
      </c>
      <c r="AE148" s="1372" t="s">
        <v>2798</v>
      </c>
      <c r="AF148" s="1372" t="s">
        <v>3389</v>
      </c>
      <c r="AG148" s="1981">
        <v>219.78731170940165</v>
      </c>
      <c r="AH148" s="1372" t="s">
        <v>3446</v>
      </c>
      <c r="AI148" s="1640">
        <f t="shared" si="77"/>
        <v>126597.49154461535</v>
      </c>
      <c r="AJ148" s="1638">
        <f t="shared" si="78"/>
        <v>-9273.6015727935446</v>
      </c>
      <c r="AK148" s="1372" t="s">
        <v>2798</v>
      </c>
      <c r="AL148" s="1372" t="s">
        <v>3389</v>
      </c>
      <c r="AM148" s="1981">
        <v>219.78731170940165</v>
      </c>
      <c r="AN148" s="1372" t="str">
        <f t="shared" si="102"/>
        <v>Refer TRM V.7 Updates</v>
      </c>
      <c r="AO148" s="1640">
        <f t="shared" si="79"/>
        <v>126597.49154461535</v>
      </c>
      <c r="AP148" s="1638">
        <f t="shared" si="80"/>
        <v>-9273.6015727935446</v>
      </c>
      <c r="AQ148" s="1372" t="s">
        <v>2798</v>
      </c>
      <c r="AR148" s="1372" t="s">
        <v>3389</v>
      </c>
      <c r="AS148" s="1981">
        <v>219.78731170940165</v>
      </c>
      <c r="AT148" s="1372" t="str">
        <f>AH148</f>
        <v>Refer TRM V.7 Updates</v>
      </c>
      <c r="AU148" s="1640">
        <f t="shared" si="81"/>
        <v>126597.49154461535</v>
      </c>
      <c r="AV148" s="1638">
        <f t="shared" si="82"/>
        <v>-9273.6015727935446</v>
      </c>
      <c r="AW148" s="2044">
        <f t="shared" si="83"/>
        <v>135871.09311740889</v>
      </c>
      <c r="AX148" s="2044">
        <f t="shared" si="84"/>
        <v>126597.49154461535</v>
      </c>
      <c r="AY148" s="2044">
        <f t="shared" si="85"/>
        <v>126597.49154461535</v>
      </c>
      <c r="AZ148" s="2044">
        <f t="shared" si="86"/>
        <v>126597.49154461535</v>
      </c>
      <c r="BA148" s="2045">
        <f t="shared" si="87"/>
        <v>515663.56775125494</v>
      </c>
      <c r="BB148" s="2045" t="str">
        <f>'[9]5.3.7'!$A$2</f>
        <v>5.3.7</v>
      </c>
      <c r="BC148" s="2045" t="str">
        <f>'[9]5.3.7'!$A$2</f>
        <v>5.3.7</v>
      </c>
      <c r="BD148" s="2045">
        <v>0</v>
      </c>
      <c r="BE148" s="2051">
        <v>20</v>
      </c>
      <c r="BF148" s="2051">
        <v>20</v>
      </c>
      <c r="BG148" s="2051">
        <v>20</v>
      </c>
      <c r="BH148" s="2051">
        <v>20</v>
      </c>
      <c r="BI148" s="2045">
        <f t="shared" si="104"/>
        <v>2717421.8623481779</v>
      </c>
      <c r="BJ148" s="2045">
        <f t="shared" si="105"/>
        <v>2717421.8623481779</v>
      </c>
      <c r="BK148" s="2045">
        <f t="shared" si="106"/>
        <v>2717421.8623481779</v>
      </c>
      <c r="BL148" s="2045">
        <f t="shared" si="107"/>
        <v>2717421.8623481779</v>
      </c>
      <c r="BM148" s="2045">
        <f t="shared" si="88"/>
        <v>10869687.449392712</v>
      </c>
      <c r="BN148" s="2047">
        <v>20</v>
      </c>
      <c r="BO148" s="2047">
        <v>20</v>
      </c>
      <c r="BP148" s="2047">
        <v>20</v>
      </c>
      <c r="BQ148" s="2047">
        <v>20</v>
      </c>
      <c r="BR148" s="2048">
        <f t="shared" si="89"/>
        <v>2717421.8623481779</v>
      </c>
      <c r="BS148" s="2048">
        <f t="shared" si="90"/>
        <v>2531949.8308923068</v>
      </c>
      <c r="BT148" s="2048">
        <f t="shared" si="91"/>
        <v>2531949.8308923068</v>
      </c>
      <c r="BU148" s="2048">
        <f t="shared" si="92"/>
        <v>2531949.8308923068</v>
      </c>
      <c r="BV148" s="1840">
        <f t="shared" si="93"/>
        <v>10313271.355025098</v>
      </c>
      <c r="BW148" s="2064" t="e">
        <f>INT(#REF!)=INT(BA148)</f>
        <v>#REF!</v>
      </c>
      <c r="BX148" s="2064">
        <v>141</v>
      </c>
      <c r="BY148" s="2064" t="s">
        <v>512</v>
      </c>
    </row>
    <row r="149" spans="1:78" s="1976" customFormat="1" ht="62" x14ac:dyDescent="0.35">
      <c r="A149" s="1372" t="s">
        <v>2818</v>
      </c>
      <c r="B149" s="1372" t="s">
        <v>2770</v>
      </c>
      <c r="C149" s="1637">
        <v>1</v>
      </c>
      <c r="D149" s="2055" t="str">
        <f>'[9]5.3.7'!$A$2</f>
        <v>5.3.7</v>
      </c>
      <c r="E149" s="1372" t="s">
        <v>163</v>
      </c>
      <c r="F149" s="1638">
        <v>200</v>
      </c>
      <c r="G149" s="1638">
        <v>200</v>
      </c>
      <c r="H149" s="1638">
        <v>200</v>
      </c>
      <c r="I149" s="1638">
        <v>200</v>
      </c>
      <c r="J149" s="1372" t="str">
        <f>+'[9]5.3.7'!$B$16</f>
        <v>RS-HVC-GHEF-V07-180101</v>
      </c>
      <c r="K149" s="1372" t="str">
        <f t="shared" si="69"/>
        <v>Nicor Gas PY7-PY10 Adjustable Goals Template_2017-06-30, Tab 5.3.7</v>
      </c>
      <c r="L149" s="1639">
        <v>253.98823684906148</v>
      </c>
      <c r="M149" s="1639">
        <v>253.98823684906148</v>
      </c>
      <c r="N149" s="1639">
        <v>253.98823684906148</v>
      </c>
      <c r="O149" s="1639">
        <v>253.98823684906148</v>
      </c>
      <c r="P149" s="1637">
        <v>0.72</v>
      </c>
      <c r="Q149" s="1637">
        <v>0.72</v>
      </c>
      <c r="R149" s="1637">
        <v>0.72</v>
      </c>
      <c r="S149" s="1637">
        <v>0.72</v>
      </c>
      <c r="T149" s="1640">
        <f t="shared" si="70"/>
        <v>36574.306106264848</v>
      </c>
      <c r="U149" s="1640">
        <f t="shared" si="71"/>
        <v>36574.306106264848</v>
      </c>
      <c r="V149" s="1640">
        <f t="shared" si="72"/>
        <v>36574.306106264848</v>
      </c>
      <c r="W149" s="1640">
        <f t="shared" si="73"/>
        <v>36574.306106264848</v>
      </c>
      <c r="X149" s="1640">
        <f t="shared" si="74"/>
        <v>146297.22442505939</v>
      </c>
      <c r="Y149" s="1372" t="str">
        <f t="shared" si="101"/>
        <v>RS-HVC-GHEF-V07-180101</v>
      </c>
      <c r="Z149" s="1372" t="str">
        <f t="shared" si="97"/>
        <v>Nicor Gas PY7-PY10 Adjustable Goals Template_2017-06-30, Tab 5.3.7</v>
      </c>
      <c r="AA149" s="2024">
        <f t="shared" si="98"/>
        <v>253.98823684906148</v>
      </c>
      <c r="AB149" s="2028"/>
      <c r="AC149" s="1840">
        <f t="shared" si="75"/>
        <v>36574.306106264848</v>
      </c>
      <c r="AD149" s="1840">
        <f t="shared" si="76"/>
        <v>0</v>
      </c>
      <c r="AE149" s="1372" t="s">
        <v>2798</v>
      </c>
      <c r="AF149" s="1372" t="s">
        <v>3389</v>
      </c>
      <c r="AG149" s="1981">
        <v>237.24101752136741</v>
      </c>
      <c r="AH149" s="1372" t="s">
        <v>3446</v>
      </c>
      <c r="AI149" s="1640">
        <f t="shared" si="77"/>
        <v>34162.7065230769</v>
      </c>
      <c r="AJ149" s="1638">
        <f t="shared" si="78"/>
        <v>-2411.5995831879482</v>
      </c>
      <c r="AK149" s="1372" t="s">
        <v>2798</v>
      </c>
      <c r="AL149" s="1372" t="s">
        <v>3389</v>
      </c>
      <c r="AM149" s="1981">
        <v>237.24101752136741</v>
      </c>
      <c r="AN149" s="1372" t="str">
        <f t="shared" si="102"/>
        <v>Refer TRM V.7 Updates</v>
      </c>
      <c r="AO149" s="1640">
        <f t="shared" si="79"/>
        <v>34162.7065230769</v>
      </c>
      <c r="AP149" s="1638">
        <f t="shared" si="80"/>
        <v>-2411.5995831879482</v>
      </c>
      <c r="AQ149" s="1372" t="s">
        <v>2798</v>
      </c>
      <c r="AR149" s="1372" t="s">
        <v>3389</v>
      </c>
      <c r="AS149" s="1981">
        <v>237.24101752136741</v>
      </c>
      <c r="AT149" s="1372" t="str">
        <f>AH149</f>
        <v>Refer TRM V.7 Updates</v>
      </c>
      <c r="AU149" s="1640">
        <f t="shared" si="81"/>
        <v>34162.7065230769</v>
      </c>
      <c r="AV149" s="1638">
        <f t="shared" si="82"/>
        <v>-2411.5995831879482</v>
      </c>
      <c r="AW149" s="2044">
        <f t="shared" si="83"/>
        <v>36574.306106264848</v>
      </c>
      <c r="AX149" s="2044">
        <f t="shared" si="84"/>
        <v>34162.7065230769</v>
      </c>
      <c r="AY149" s="2044">
        <f t="shared" si="85"/>
        <v>34162.7065230769</v>
      </c>
      <c r="AZ149" s="2044">
        <f t="shared" si="86"/>
        <v>34162.7065230769</v>
      </c>
      <c r="BA149" s="2045">
        <f t="shared" si="87"/>
        <v>139062.42567549553</v>
      </c>
      <c r="BB149" s="2045" t="str">
        <f>'[9]5.3.7'!$A$2</f>
        <v>5.3.7</v>
      </c>
      <c r="BC149" s="2045" t="str">
        <f>'[9]5.3.7'!$A$2</f>
        <v>5.3.7</v>
      </c>
      <c r="BD149" s="2045">
        <v>0</v>
      </c>
      <c r="BE149" s="2051">
        <v>20</v>
      </c>
      <c r="BF149" s="2051">
        <v>20</v>
      </c>
      <c r="BG149" s="2051">
        <v>20</v>
      </c>
      <c r="BH149" s="2051">
        <v>20</v>
      </c>
      <c r="BI149" s="2045">
        <f t="shared" si="104"/>
        <v>731486.12212529709</v>
      </c>
      <c r="BJ149" s="2045">
        <f t="shared" si="105"/>
        <v>731486.12212529709</v>
      </c>
      <c r="BK149" s="2045">
        <f t="shared" si="106"/>
        <v>731486.12212529709</v>
      </c>
      <c r="BL149" s="2045">
        <f t="shared" si="107"/>
        <v>731486.12212529709</v>
      </c>
      <c r="BM149" s="2045">
        <f t="shared" si="88"/>
        <v>2925944.4885011883</v>
      </c>
      <c r="BN149" s="2047">
        <v>20</v>
      </c>
      <c r="BO149" s="2047">
        <v>20</v>
      </c>
      <c r="BP149" s="2047">
        <v>20</v>
      </c>
      <c r="BQ149" s="2047">
        <v>20</v>
      </c>
      <c r="BR149" s="2048">
        <f t="shared" si="89"/>
        <v>731486.12212529709</v>
      </c>
      <c r="BS149" s="2048">
        <f t="shared" si="90"/>
        <v>683254.13046153821</v>
      </c>
      <c r="BT149" s="2048">
        <f t="shared" si="91"/>
        <v>683254.13046153821</v>
      </c>
      <c r="BU149" s="2048">
        <f t="shared" si="92"/>
        <v>683254.13046153821</v>
      </c>
      <c r="BV149" s="1840">
        <f t="shared" si="93"/>
        <v>2781248.5135099115</v>
      </c>
      <c r="BW149" s="2064" t="e">
        <f>INT(#REF!)=INT(BA149)</f>
        <v>#REF!</v>
      </c>
      <c r="BX149" s="2064">
        <v>142</v>
      </c>
      <c r="BY149" s="2064" t="s">
        <v>512</v>
      </c>
    </row>
    <row r="150" spans="1:78" s="1976" customFormat="1" ht="62" x14ac:dyDescent="0.35">
      <c r="A150" s="1372" t="s">
        <v>2818</v>
      </c>
      <c r="B150" s="1372" t="s">
        <v>3038</v>
      </c>
      <c r="C150" s="1637">
        <v>0</v>
      </c>
      <c r="D150" s="2053" t="str">
        <f>'[9]5.3.16'!$A$2</f>
        <v>5.3.16</v>
      </c>
      <c r="E150" s="1372" t="s">
        <v>163</v>
      </c>
      <c r="F150" s="1638">
        <v>24358</v>
      </c>
      <c r="G150" s="1638">
        <v>24358</v>
      </c>
      <c r="H150" s="1638">
        <v>24358</v>
      </c>
      <c r="I150" s="1638">
        <v>24358</v>
      </c>
      <c r="J150" s="1372" t="str">
        <f>+'[9]5.3.16'!$B$16</f>
        <v>RS-HVC-ADTH-V02-180101</v>
      </c>
      <c r="K150" s="1372" t="str">
        <f t="shared" si="69"/>
        <v>Nicor Gas PY7-PY10 Adjustable Goals Template_2017-06-30, Tab 5.3.16</v>
      </c>
      <c r="L150" s="1639">
        <v>74.347799999999992</v>
      </c>
      <c r="M150" s="1639">
        <v>74.347799999999992</v>
      </c>
      <c r="N150" s="1639">
        <v>74.347799999999992</v>
      </c>
      <c r="O150" s="1639">
        <v>74.347799999999992</v>
      </c>
      <c r="P150" s="1637">
        <v>1</v>
      </c>
      <c r="Q150" s="1637">
        <v>1</v>
      </c>
      <c r="R150" s="1637">
        <v>1</v>
      </c>
      <c r="S150" s="1637">
        <v>1</v>
      </c>
      <c r="T150" s="1640">
        <f t="shared" si="70"/>
        <v>1810963.7123999998</v>
      </c>
      <c r="U150" s="1640">
        <f t="shared" si="71"/>
        <v>1810963.7123999998</v>
      </c>
      <c r="V150" s="1640">
        <f t="shared" si="72"/>
        <v>1810963.7123999998</v>
      </c>
      <c r="W150" s="1640">
        <f t="shared" si="73"/>
        <v>1810963.7123999998</v>
      </c>
      <c r="X150" s="1640">
        <f t="shared" si="74"/>
        <v>7243854.8495999994</v>
      </c>
      <c r="Y150" s="1372" t="str">
        <f t="shared" si="101"/>
        <v>RS-HVC-ADTH-V02-180101</v>
      </c>
      <c r="Z150" s="1372" t="str">
        <f t="shared" si="97"/>
        <v>Nicor Gas PY7-PY10 Adjustable Goals Template_2017-06-30, Tab 5.3.16</v>
      </c>
      <c r="AA150" s="2024">
        <f t="shared" si="98"/>
        <v>74.347799999999992</v>
      </c>
      <c r="AB150" s="2028"/>
      <c r="AC150" s="1840">
        <f t="shared" si="75"/>
        <v>1810963.7123999998</v>
      </c>
      <c r="AD150" s="1840">
        <f t="shared" si="76"/>
        <v>0</v>
      </c>
      <c r="AE150" s="1372" t="s">
        <v>2803</v>
      </c>
      <c r="AF150" s="1372" t="s">
        <v>3392</v>
      </c>
      <c r="AG150" s="1639">
        <v>74.347799999999992</v>
      </c>
      <c r="AH150" s="1372" t="s">
        <v>3445</v>
      </c>
      <c r="AI150" s="1640">
        <f t="shared" si="77"/>
        <v>1810963.7123999998</v>
      </c>
      <c r="AJ150" s="1638">
        <f t="shared" si="78"/>
        <v>0</v>
      </c>
      <c r="AK150" s="1372" t="s">
        <v>2803</v>
      </c>
      <c r="AL150" s="1372" t="s">
        <v>3392</v>
      </c>
      <c r="AM150" s="1639">
        <v>74.347799999999992</v>
      </c>
      <c r="AN150" s="1372" t="str">
        <f t="shared" si="102"/>
        <v>No change</v>
      </c>
      <c r="AO150" s="1640">
        <f t="shared" si="79"/>
        <v>1810963.7123999998</v>
      </c>
      <c r="AP150" s="1638">
        <f t="shared" si="80"/>
        <v>0</v>
      </c>
      <c r="AQ150" s="1372" t="s">
        <v>2803</v>
      </c>
      <c r="AR150" s="1372" t="s">
        <v>3392</v>
      </c>
      <c r="AS150" s="1639">
        <v>74.347799999999992</v>
      </c>
      <c r="AT150" s="1372" t="str">
        <f>$AH150</f>
        <v>No change</v>
      </c>
      <c r="AU150" s="1640">
        <f t="shared" si="81"/>
        <v>1810963.7123999998</v>
      </c>
      <c r="AV150" s="1638">
        <f t="shared" si="82"/>
        <v>0</v>
      </c>
      <c r="AW150" s="2044">
        <f t="shared" si="83"/>
        <v>1810963.7123999998</v>
      </c>
      <c r="AX150" s="2044">
        <f t="shared" si="84"/>
        <v>1810963.7123999998</v>
      </c>
      <c r="AY150" s="2044">
        <f t="shared" si="85"/>
        <v>1810963.7123999998</v>
      </c>
      <c r="AZ150" s="2044">
        <f t="shared" si="86"/>
        <v>1810963.7123999998</v>
      </c>
      <c r="BA150" s="2045">
        <f t="shared" si="87"/>
        <v>7243854.8495999994</v>
      </c>
      <c r="BB150" s="2045" t="str">
        <f>'[9]5.3.16'!$A$2</f>
        <v>5.3.16</v>
      </c>
      <c r="BC150" s="2045" t="str">
        <f>'[9]5.3.16'!$A$2</f>
        <v>5.3.16</v>
      </c>
      <c r="BD150" s="2121">
        <v>1</v>
      </c>
      <c r="BE150" s="2051">
        <v>10</v>
      </c>
      <c r="BF150" s="2051">
        <v>10</v>
      </c>
      <c r="BG150" s="2051">
        <v>10</v>
      </c>
      <c r="BH150" s="2051">
        <v>10</v>
      </c>
      <c r="BI150" s="2045">
        <f t="shared" si="104"/>
        <v>18109637.123999998</v>
      </c>
      <c r="BJ150" s="2045">
        <f t="shared" si="105"/>
        <v>18109637.123999998</v>
      </c>
      <c r="BK150" s="2045">
        <f t="shared" si="106"/>
        <v>18109637.123999998</v>
      </c>
      <c r="BL150" s="2045">
        <f t="shared" si="107"/>
        <v>18109637.123999998</v>
      </c>
      <c r="BM150" s="2045">
        <f t="shared" si="88"/>
        <v>72438548.495999992</v>
      </c>
      <c r="BN150" s="2047">
        <v>10</v>
      </c>
      <c r="BO150" s="2050">
        <v>11</v>
      </c>
      <c r="BP150" s="2050">
        <v>11</v>
      </c>
      <c r="BQ150" s="2050">
        <v>11</v>
      </c>
      <c r="BR150" s="2048">
        <f t="shared" si="89"/>
        <v>18109637.123999998</v>
      </c>
      <c r="BS150" s="2048">
        <f t="shared" si="90"/>
        <v>19920600.836399999</v>
      </c>
      <c r="BT150" s="2048">
        <f t="shared" si="91"/>
        <v>19920600.836399999</v>
      </c>
      <c r="BU150" s="2048">
        <f t="shared" si="92"/>
        <v>19920600.836399999</v>
      </c>
      <c r="BV150" s="1840">
        <f t="shared" si="93"/>
        <v>77871439.633200005</v>
      </c>
      <c r="BW150" s="2064" t="e">
        <f>INT(#REF!)=INT(BA150)</f>
        <v>#REF!</v>
      </c>
      <c r="BX150" s="2064">
        <v>143</v>
      </c>
      <c r="BY150" s="2064" t="s">
        <v>512</v>
      </c>
    </row>
    <row r="151" spans="1:78" s="1976" customFormat="1" ht="62" x14ac:dyDescent="0.35">
      <c r="A151" s="1372" t="s">
        <v>2818</v>
      </c>
      <c r="B151" s="1372" t="s">
        <v>3039</v>
      </c>
      <c r="C151" s="1637">
        <v>0</v>
      </c>
      <c r="D151" s="2053" t="str">
        <f>'[9]5.3.16'!$A$2</f>
        <v>5.3.16</v>
      </c>
      <c r="E151" s="1372" t="s">
        <v>163</v>
      </c>
      <c r="F151" s="1638">
        <v>1500</v>
      </c>
      <c r="G151" s="1638">
        <v>1500</v>
      </c>
      <c r="H151" s="1638">
        <v>1500</v>
      </c>
      <c r="I151" s="1638">
        <v>1500</v>
      </c>
      <c r="J151" s="1372" t="str">
        <f>+'[9]5.3.16'!$B$16</f>
        <v>RS-HVC-ADTH-V02-180101</v>
      </c>
      <c r="K151" s="1372" t="str">
        <f t="shared" ref="K151:K214" si="108">IF(D151&lt;&gt;"Custom",CONCATENATE($H$1,", ",$I$1," ",D151),"")</f>
        <v>Nicor Gas PY7-PY10 Adjustable Goals Template_2017-06-30, Tab 5.3.16</v>
      </c>
      <c r="L151" s="1639">
        <v>74.347799999999992</v>
      </c>
      <c r="M151" s="1639">
        <v>74.347799999999992</v>
      </c>
      <c r="N151" s="1639">
        <v>74.347799999999992</v>
      </c>
      <c r="O151" s="1639">
        <v>74.347799999999992</v>
      </c>
      <c r="P151" s="1637">
        <v>1</v>
      </c>
      <c r="Q151" s="1637">
        <v>1</v>
      </c>
      <c r="R151" s="1637">
        <v>1</v>
      </c>
      <c r="S151" s="1637">
        <v>1</v>
      </c>
      <c r="T151" s="1640">
        <f t="shared" ref="T151:T214" si="109">+F151*L151*P151</f>
        <v>111521.69999999998</v>
      </c>
      <c r="U151" s="1640">
        <f t="shared" ref="U151:U214" si="110">+G151*M151*Q151</f>
        <v>111521.69999999998</v>
      </c>
      <c r="V151" s="1640">
        <f t="shared" ref="V151:V214" si="111">+H151*N151*R151</f>
        <v>111521.69999999998</v>
      </c>
      <c r="W151" s="1640">
        <f t="shared" ref="W151:W214" si="112">+I151*O151*S151</f>
        <v>111521.69999999998</v>
      </c>
      <c r="X151" s="1640">
        <f t="shared" ref="X151:X214" si="113">+SUM(T151:W151)</f>
        <v>446086.79999999993</v>
      </c>
      <c r="Y151" s="1372" t="str">
        <f t="shared" si="101"/>
        <v>RS-HVC-ADTH-V02-180101</v>
      </c>
      <c r="Z151" s="1372" t="str">
        <f t="shared" si="97"/>
        <v>Nicor Gas PY7-PY10 Adjustable Goals Template_2017-06-30, Tab 5.3.16</v>
      </c>
      <c r="AA151" s="2024">
        <f t="shared" si="98"/>
        <v>74.347799999999992</v>
      </c>
      <c r="AB151" s="2028"/>
      <c r="AC151" s="1840">
        <f t="shared" ref="AC151:AC214" si="114">F151*AA151*P151</f>
        <v>111521.69999999998</v>
      </c>
      <c r="AD151" s="1840">
        <f t="shared" ref="AD151:AD214" si="115">AC151-T151</f>
        <v>0</v>
      </c>
      <c r="AE151" s="1372" t="s">
        <v>2803</v>
      </c>
      <c r="AF151" s="1372" t="s">
        <v>3392</v>
      </c>
      <c r="AG151" s="1639">
        <v>74.347799999999992</v>
      </c>
      <c r="AH151" s="1372" t="s">
        <v>3445</v>
      </c>
      <c r="AI151" s="1640">
        <f t="shared" ref="AI151:AI214" si="116">G151*AG151*Q151</f>
        <v>111521.69999999998</v>
      </c>
      <c r="AJ151" s="1638">
        <f t="shared" ref="AJ151:AJ214" si="117">AI151-U151</f>
        <v>0</v>
      </c>
      <c r="AK151" s="1372" t="s">
        <v>2803</v>
      </c>
      <c r="AL151" s="1372" t="s">
        <v>3392</v>
      </c>
      <c r="AM151" s="1639">
        <v>74.347799999999992</v>
      </c>
      <c r="AN151" s="1372" t="str">
        <f t="shared" si="102"/>
        <v>No change</v>
      </c>
      <c r="AO151" s="1640">
        <f t="shared" ref="AO151:AO214" si="118">H151*AM151*R151</f>
        <v>111521.69999999998</v>
      </c>
      <c r="AP151" s="1638">
        <f t="shared" ref="AP151:AP214" si="119">AO151-V151</f>
        <v>0</v>
      </c>
      <c r="AQ151" s="1372" t="s">
        <v>2803</v>
      </c>
      <c r="AR151" s="1372" t="s">
        <v>3392</v>
      </c>
      <c r="AS151" s="1639">
        <v>74.347799999999992</v>
      </c>
      <c r="AT151" s="1372" t="str">
        <f>$AH151</f>
        <v>No change</v>
      </c>
      <c r="AU151" s="1640">
        <f t="shared" ref="AU151:AU214" si="120">I151*AS151*S151</f>
        <v>111521.69999999998</v>
      </c>
      <c r="AV151" s="1638">
        <f t="shared" ref="AV151:AV214" si="121">AU151-W151</f>
        <v>0</v>
      </c>
      <c r="AW151" s="2044">
        <f t="shared" ref="AW151:AW214" si="122">IF($C151=1,AC151,T151)</f>
        <v>111521.69999999998</v>
      </c>
      <c r="AX151" s="2044">
        <f t="shared" ref="AX151:AX214" si="123">IF($C151=1,AI151,U151)</f>
        <v>111521.69999999998</v>
      </c>
      <c r="AY151" s="2044">
        <f t="shared" ref="AY151:AY214" si="124">IF($C151=1,AO151,V151)</f>
        <v>111521.69999999998</v>
      </c>
      <c r="AZ151" s="2044">
        <f t="shared" ref="AZ151:AZ214" si="125">IF($C151=1,AU151,W151)</f>
        <v>111521.69999999998</v>
      </c>
      <c r="BA151" s="2045">
        <f t="shared" ref="BA151:BA214" si="126">SUM(AW151:AZ151)</f>
        <v>446086.79999999993</v>
      </c>
      <c r="BB151" s="2045" t="str">
        <f>'[9]5.3.16'!$A$2</f>
        <v>5.3.16</v>
      </c>
      <c r="BC151" s="2045" t="str">
        <f>'[9]5.3.16'!$A$2</f>
        <v>5.3.16</v>
      </c>
      <c r="BD151" s="2121">
        <v>1</v>
      </c>
      <c r="BE151" s="2051">
        <v>10</v>
      </c>
      <c r="BF151" s="2051">
        <v>10</v>
      </c>
      <c r="BG151" s="2051">
        <v>10</v>
      </c>
      <c r="BH151" s="2051">
        <v>10</v>
      </c>
      <c r="BI151" s="2045">
        <f t="shared" si="104"/>
        <v>1115216.9999999998</v>
      </c>
      <c r="BJ151" s="2045">
        <f t="shared" si="105"/>
        <v>1115216.9999999998</v>
      </c>
      <c r="BK151" s="2045">
        <f t="shared" si="106"/>
        <v>1115216.9999999998</v>
      </c>
      <c r="BL151" s="2045">
        <f t="shared" si="107"/>
        <v>1115216.9999999998</v>
      </c>
      <c r="BM151" s="2045">
        <f t="shared" ref="BM151:BM214" si="127">SUM(BI151:BL151)</f>
        <v>4460867.9999999991</v>
      </c>
      <c r="BN151" s="2047">
        <v>10</v>
      </c>
      <c r="BO151" s="2050">
        <v>11</v>
      </c>
      <c r="BP151" s="2050">
        <v>11</v>
      </c>
      <c r="BQ151" s="2050">
        <v>11</v>
      </c>
      <c r="BR151" s="2048">
        <f t="shared" ref="BR151:BR214" si="128">F151*P151*AA151*BN151</f>
        <v>1115216.9999999998</v>
      </c>
      <c r="BS151" s="2048">
        <f t="shared" ref="BS151:BS214" si="129">G151*Q151*AG151*BO151</f>
        <v>1226738.6999999997</v>
      </c>
      <c r="BT151" s="2048">
        <f t="shared" ref="BT151:BT214" si="130">H151*R151*AM151*BP151</f>
        <v>1226738.6999999997</v>
      </c>
      <c r="BU151" s="2048">
        <f t="shared" ref="BU151:BU214" si="131">I151*S151*AS151*BQ151</f>
        <v>1226738.6999999997</v>
      </c>
      <c r="BV151" s="1840">
        <f t="shared" ref="BV151:BV214" si="132">SUM(BR151:BU151)</f>
        <v>4795433.0999999987</v>
      </c>
      <c r="BW151" s="2064" t="e">
        <f>INT(#REF!)=INT(BA151)</f>
        <v>#REF!</v>
      </c>
      <c r="BX151" s="2064">
        <v>144</v>
      </c>
      <c r="BY151" s="2064" t="s">
        <v>512</v>
      </c>
    </row>
    <row r="152" spans="1:78" s="1849" customFormat="1" ht="62" x14ac:dyDescent="0.35">
      <c r="A152" s="1843" t="s">
        <v>3040</v>
      </c>
      <c r="B152" s="1843" t="s">
        <v>234</v>
      </c>
      <c r="C152" s="1637">
        <v>1</v>
      </c>
      <c r="D152" s="2055" t="str">
        <f>'[9]5.4.4'!$A$1</f>
        <v>5.4.4</v>
      </c>
      <c r="E152" s="1843" t="s">
        <v>201</v>
      </c>
      <c r="F152" s="1845">
        <v>7619</v>
      </c>
      <c r="G152" s="1845">
        <v>7619</v>
      </c>
      <c r="H152" s="1845">
        <v>7619</v>
      </c>
      <c r="I152" s="1845">
        <v>7619</v>
      </c>
      <c r="J152" s="1843" t="str">
        <f>+'[9]5.4.4'!$B$17</f>
        <v>RS-HWE-LFFA-V06-180101</v>
      </c>
      <c r="K152" s="1843" t="str">
        <f t="shared" si="108"/>
        <v>Nicor Gas PY7-PY10 Adjustable Goals Template_2017-06-30, Tab 5.4.4</v>
      </c>
      <c r="L152" s="1846">
        <v>0.69358029252296793</v>
      </c>
      <c r="M152" s="1846">
        <v>0.69358029252296793</v>
      </c>
      <c r="N152" s="1846">
        <v>0.69358029252296793</v>
      </c>
      <c r="O152" s="1846">
        <v>0.69358029252296793</v>
      </c>
      <c r="P152" s="1844">
        <v>1.05</v>
      </c>
      <c r="Q152" s="1844">
        <v>1.05</v>
      </c>
      <c r="R152" s="1844">
        <v>1.05</v>
      </c>
      <c r="S152" s="1844">
        <v>1.05</v>
      </c>
      <c r="T152" s="1847">
        <f t="shared" si="109"/>
        <v>5548.6076611691178</v>
      </c>
      <c r="U152" s="1847">
        <f t="shared" si="110"/>
        <v>5548.6076611691178</v>
      </c>
      <c r="V152" s="1847">
        <f t="shared" si="111"/>
        <v>5548.6076611691178</v>
      </c>
      <c r="W152" s="1847">
        <f t="shared" si="112"/>
        <v>5548.6076611691178</v>
      </c>
      <c r="X152" s="1847">
        <f t="shared" si="113"/>
        <v>22194.430644676471</v>
      </c>
      <c r="Y152" s="1843" t="str">
        <f t="shared" si="101"/>
        <v>RS-HWE-LFFA-V06-180101</v>
      </c>
      <c r="Z152" s="1843" t="str">
        <f t="shared" si="97"/>
        <v>Nicor Gas PY7-PY10 Adjustable Goals Template_2017-06-30, Tab 5.4.4</v>
      </c>
      <c r="AA152" s="2125">
        <f t="shared" si="98"/>
        <v>0.69358029252296793</v>
      </c>
      <c r="AB152" s="2028"/>
      <c r="AC152" s="1848">
        <f t="shared" si="114"/>
        <v>5548.6076611691178</v>
      </c>
      <c r="AD152" s="1848">
        <f t="shared" si="115"/>
        <v>0</v>
      </c>
      <c r="AE152" s="1843" t="s">
        <v>2799</v>
      </c>
      <c r="AF152" s="1843" t="s">
        <v>3393</v>
      </c>
      <c r="AG152" s="1981">
        <v>0.90936082797455897</v>
      </c>
      <c r="AH152" s="1372" t="s">
        <v>3446</v>
      </c>
      <c r="AI152" s="1640">
        <f t="shared" si="116"/>
        <v>7274.8411557550735</v>
      </c>
      <c r="AJ152" s="1638">
        <f t="shared" si="117"/>
        <v>1726.2334945859557</v>
      </c>
      <c r="AK152" s="1843" t="s">
        <v>2799</v>
      </c>
      <c r="AL152" s="1843" t="s">
        <v>3393</v>
      </c>
      <c r="AM152" s="1981">
        <v>0.90936082797455897</v>
      </c>
      <c r="AN152" s="1372" t="str">
        <f t="shared" si="102"/>
        <v>Refer TRM V.7 Updates</v>
      </c>
      <c r="AO152" s="1640">
        <f t="shared" si="118"/>
        <v>7274.8411557550735</v>
      </c>
      <c r="AP152" s="1638">
        <f t="shared" si="119"/>
        <v>1726.2334945859557</v>
      </c>
      <c r="AQ152" s="1843" t="s">
        <v>2799</v>
      </c>
      <c r="AR152" s="1843" t="s">
        <v>3393</v>
      </c>
      <c r="AS152" s="1981">
        <v>0.90936082797455897</v>
      </c>
      <c r="AT152" s="1372" t="str">
        <f>AH152</f>
        <v>Refer TRM V.7 Updates</v>
      </c>
      <c r="AU152" s="1640">
        <f t="shared" si="120"/>
        <v>7274.8411557550735</v>
      </c>
      <c r="AV152" s="1638">
        <f t="shared" si="121"/>
        <v>1726.2334945859557</v>
      </c>
      <c r="AW152" s="2044">
        <f t="shared" si="122"/>
        <v>5548.6076611691178</v>
      </c>
      <c r="AX152" s="2044">
        <f t="shared" si="123"/>
        <v>7274.8411557550735</v>
      </c>
      <c r="AY152" s="2044">
        <f t="shared" si="124"/>
        <v>7274.8411557550735</v>
      </c>
      <c r="AZ152" s="2044">
        <f t="shared" si="125"/>
        <v>7274.8411557550735</v>
      </c>
      <c r="BA152" s="2045">
        <f t="shared" si="126"/>
        <v>27373.131128434339</v>
      </c>
      <c r="BB152" s="2051" t="str">
        <f>'[9]5.4.4'!$A$1</f>
        <v>5.4.4</v>
      </c>
      <c r="BC152" s="2051" t="str">
        <f>'[9]5.4.4'!$A$1</f>
        <v>5.4.4</v>
      </c>
      <c r="BD152" s="2121">
        <v>1</v>
      </c>
      <c r="BE152" s="2051">
        <v>9</v>
      </c>
      <c r="BF152" s="2051">
        <v>9</v>
      </c>
      <c r="BG152" s="2051">
        <v>9</v>
      </c>
      <c r="BH152" s="2051">
        <v>9</v>
      </c>
      <c r="BI152" s="2045">
        <f t="shared" si="104"/>
        <v>49937.468950522059</v>
      </c>
      <c r="BJ152" s="2045">
        <f t="shared" si="105"/>
        <v>49937.468950522059</v>
      </c>
      <c r="BK152" s="2045">
        <f t="shared" si="106"/>
        <v>49937.468950522059</v>
      </c>
      <c r="BL152" s="2045">
        <f t="shared" si="107"/>
        <v>49937.468950522059</v>
      </c>
      <c r="BM152" s="2045">
        <f t="shared" si="127"/>
        <v>199749.87580208824</v>
      </c>
      <c r="BN152" s="2047">
        <v>9</v>
      </c>
      <c r="BO152" s="2050">
        <v>10</v>
      </c>
      <c r="BP152" s="2050">
        <v>10</v>
      </c>
      <c r="BQ152" s="2050">
        <v>10</v>
      </c>
      <c r="BR152" s="2048">
        <f t="shared" si="128"/>
        <v>49937.468950522059</v>
      </c>
      <c r="BS152" s="2048">
        <f t="shared" si="129"/>
        <v>72748.411557550731</v>
      </c>
      <c r="BT152" s="2048">
        <f t="shared" si="130"/>
        <v>72748.411557550731</v>
      </c>
      <c r="BU152" s="2048">
        <f t="shared" si="131"/>
        <v>72748.411557550731</v>
      </c>
      <c r="BV152" s="1840">
        <f t="shared" si="132"/>
        <v>268182.70362317422</v>
      </c>
      <c r="BW152" s="2064" t="e">
        <f>INT(#REF!)=INT(BA152)</f>
        <v>#REF!</v>
      </c>
      <c r="BX152" s="2064">
        <v>145</v>
      </c>
      <c r="BY152" s="2064" t="s">
        <v>512</v>
      </c>
      <c r="BZ152" s="1976"/>
    </row>
    <row r="153" spans="1:78" s="1849" customFormat="1" ht="62" x14ac:dyDescent="0.35">
      <c r="A153" s="1843" t="s">
        <v>3040</v>
      </c>
      <c r="B153" s="1843" t="s">
        <v>235</v>
      </c>
      <c r="C153" s="1637">
        <v>1</v>
      </c>
      <c r="D153" s="2055" t="str">
        <f>'[9]5.4.4'!$A$1</f>
        <v>5.4.4</v>
      </c>
      <c r="E153" s="1843" t="s">
        <v>201</v>
      </c>
      <c r="F153" s="1845">
        <v>1991</v>
      </c>
      <c r="G153" s="1845">
        <v>1991</v>
      </c>
      <c r="H153" s="1845">
        <v>1991</v>
      </c>
      <c r="I153" s="1845">
        <v>1991</v>
      </c>
      <c r="J153" s="1843" t="str">
        <f>+'[9]5.4.4'!$B$17</f>
        <v>RS-HWE-LFFA-V06-180101</v>
      </c>
      <c r="K153" s="1843" t="str">
        <f t="shared" si="108"/>
        <v>Nicor Gas PY7-PY10 Adjustable Goals Template_2017-06-30, Tab 5.4.4</v>
      </c>
      <c r="L153" s="1846">
        <v>5.5987127100000018</v>
      </c>
      <c r="M153" s="1846">
        <v>5.5987127100000018</v>
      </c>
      <c r="N153" s="1846">
        <v>5.5987127100000018</v>
      </c>
      <c r="O153" s="1846">
        <v>5.5987127100000018</v>
      </c>
      <c r="P153" s="1844">
        <v>1.05</v>
      </c>
      <c r="Q153" s="1844">
        <v>1.05</v>
      </c>
      <c r="R153" s="1844">
        <v>1.05</v>
      </c>
      <c r="S153" s="1844">
        <v>1.05</v>
      </c>
      <c r="T153" s="1847">
        <f t="shared" si="109"/>
        <v>11704.388855890504</v>
      </c>
      <c r="U153" s="1847">
        <f t="shared" si="110"/>
        <v>11704.388855890504</v>
      </c>
      <c r="V153" s="1847">
        <f t="shared" si="111"/>
        <v>11704.388855890504</v>
      </c>
      <c r="W153" s="1847">
        <f t="shared" si="112"/>
        <v>11704.388855890504</v>
      </c>
      <c r="X153" s="1847">
        <f t="shared" si="113"/>
        <v>46817.555423562015</v>
      </c>
      <c r="Y153" s="1843" t="str">
        <f t="shared" si="101"/>
        <v>RS-HWE-LFFA-V06-180101</v>
      </c>
      <c r="Z153" s="1843" t="str">
        <f t="shared" si="97"/>
        <v>Nicor Gas PY7-PY10 Adjustable Goals Template_2017-06-30, Tab 5.4.4</v>
      </c>
      <c r="AA153" s="2125">
        <f t="shared" si="98"/>
        <v>5.5987127100000018</v>
      </c>
      <c r="AB153" s="2028"/>
      <c r="AC153" s="1848">
        <f t="shared" si="114"/>
        <v>11704.388855890504</v>
      </c>
      <c r="AD153" s="1848">
        <f t="shared" si="115"/>
        <v>0</v>
      </c>
      <c r="AE153" s="1843" t="s">
        <v>2799</v>
      </c>
      <c r="AF153" s="1843" t="s">
        <v>3393</v>
      </c>
      <c r="AG153" s="1981">
        <v>8.5846928219999992</v>
      </c>
      <c r="AH153" s="1372" t="s">
        <v>3446</v>
      </c>
      <c r="AI153" s="1640">
        <f t="shared" si="116"/>
        <v>17946.729579032097</v>
      </c>
      <c r="AJ153" s="1638">
        <f t="shared" si="117"/>
        <v>6242.3407231415931</v>
      </c>
      <c r="AK153" s="1843" t="s">
        <v>2799</v>
      </c>
      <c r="AL153" s="1843" t="s">
        <v>3393</v>
      </c>
      <c r="AM153" s="1981">
        <v>8.5846928219999992</v>
      </c>
      <c r="AN153" s="1372" t="str">
        <f t="shared" si="102"/>
        <v>Refer TRM V.7 Updates</v>
      </c>
      <c r="AO153" s="1640">
        <f t="shared" si="118"/>
        <v>17946.729579032097</v>
      </c>
      <c r="AP153" s="1638">
        <f t="shared" si="119"/>
        <v>6242.3407231415931</v>
      </c>
      <c r="AQ153" s="1843" t="s">
        <v>2799</v>
      </c>
      <c r="AR153" s="1843" t="s">
        <v>3393</v>
      </c>
      <c r="AS153" s="1981">
        <v>8.5846928219999992</v>
      </c>
      <c r="AT153" s="1372" t="str">
        <f>AH153</f>
        <v>Refer TRM V.7 Updates</v>
      </c>
      <c r="AU153" s="1640">
        <f t="shared" si="120"/>
        <v>17946.729579032097</v>
      </c>
      <c r="AV153" s="1638">
        <f t="shared" si="121"/>
        <v>6242.3407231415931</v>
      </c>
      <c r="AW153" s="2044">
        <f t="shared" si="122"/>
        <v>11704.388855890504</v>
      </c>
      <c r="AX153" s="2044">
        <f t="shared" si="123"/>
        <v>17946.729579032097</v>
      </c>
      <c r="AY153" s="2044">
        <f t="shared" si="124"/>
        <v>17946.729579032097</v>
      </c>
      <c r="AZ153" s="2044">
        <f t="shared" si="125"/>
        <v>17946.729579032097</v>
      </c>
      <c r="BA153" s="2045">
        <f t="shared" si="126"/>
        <v>65544.577592986796</v>
      </c>
      <c r="BB153" s="2051" t="str">
        <f>'[9]5.4.4'!$A$1</f>
        <v>5.4.4</v>
      </c>
      <c r="BC153" s="2051" t="str">
        <f>'[9]5.4.4'!$A$1</f>
        <v>5.4.4</v>
      </c>
      <c r="BD153" s="2121">
        <v>1</v>
      </c>
      <c r="BE153" s="2051">
        <v>9</v>
      </c>
      <c r="BF153" s="2051">
        <v>9</v>
      </c>
      <c r="BG153" s="2051">
        <v>9</v>
      </c>
      <c r="BH153" s="2051">
        <v>9</v>
      </c>
      <c r="BI153" s="2045">
        <f t="shared" si="104"/>
        <v>105339.49970301455</v>
      </c>
      <c r="BJ153" s="2045">
        <f t="shared" si="105"/>
        <v>105339.49970301455</v>
      </c>
      <c r="BK153" s="2045">
        <f t="shared" si="106"/>
        <v>105339.49970301455</v>
      </c>
      <c r="BL153" s="2045">
        <f t="shared" si="107"/>
        <v>105339.49970301455</v>
      </c>
      <c r="BM153" s="2045">
        <f t="shared" si="127"/>
        <v>421357.99881205818</v>
      </c>
      <c r="BN153" s="2047">
        <v>9</v>
      </c>
      <c r="BO153" s="2050">
        <v>10</v>
      </c>
      <c r="BP153" s="2050">
        <v>10</v>
      </c>
      <c r="BQ153" s="2050">
        <v>10</v>
      </c>
      <c r="BR153" s="2048">
        <f t="shared" si="128"/>
        <v>105339.49970301455</v>
      </c>
      <c r="BS153" s="2048">
        <f t="shared" si="129"/>
        <v>179467.29579032102</v>
      </c>
      <c r="BT153" s="2048">
        <f t="shared" si="130"/>
        <v>179467.29579032102</v>
      </c>
      <c r="BU153" s="2048">
        <f t="shared" si="131"/>
        <v>179467.29579032102</v>
      </c>
      <c r="BV153" s="1840">
        <f t="shared" si="132"/>
        <v>643741.38707397762</v>
      </c>
      <c r="BW153" s="2064" t="e">
        <f>INT(#REF!)=INT(BA153)</f>
        <v>#REF!</v>
      </c>
      <c r="BX153" s="2064">
        <v>146</v>
      </c>
      <c r="BY153" s="2064" t="s">
        <v>512</v>
      </c>
      <c r="BZ153" s="1976"/>
    </row>
    <row r="154" spans="1:78" s="1976" customFormat="1" ht="62" x14ac:dyDescent="0.35">
      <c r="A154" s="1372" t="s">
        <v>3040</v>
      </c>
      <c r="B154" s="1372" t="s">
        <v>240</v>
      </c>
      <c r="C154" s="1637">
        <v>1</v>
      </c>
      <c r="D154" s="2055" t="str">
        <f>'[9]5.4.5'!$A$2</f>
        <v>5.4.5</v>
      </c>
      <c r="E154" s="1372" t="s">
        <v>201</v>
      </c>
      <c r="F154" s="1638">
        <v>3948</v>
      </c>
      <c r="G154" s="1638">
        <v>3948</v>
      </c>
      <c r="H154" s="1638">
        <v>3948</v>
      </c>
      <c r="I154" s="1638">
        <v>3948</v>
      </c>
      <c r="J154" s="1372" t="str">
        <f>+'[9]5.4.5'!$B$16</f>
        <v>RS-HWE-LFSH-V05-180101</v>
      </c>
      <c r="K154" s="1372" t="str">
        <f t="shared" si="108"/>
        <v>Nicor Gas PY7-PY10 Adjustable Goals Template_2017-06-30, Tab 5.4.5</v>
      </c>
      <c r="L154" s="1639">
        <v>14.043413232868827</v>
      </c>
      <c r="M154" s="1639">
        <v>14.043413232868827</v>
      </c>
      <c r="N154" s="1639">
        <v>14.043413232868827</v>
      </c>
      <c r="O154" s="1639">
        <v>14.043413232868827</v>
      </c>
      <c r="P154" s="1637">
        <v>1.05</v>
      </c>
      <c r="Q154" s="1637">
        <v>1.05</v>
      </c>
      <c r="R154" s="1637">
        <v>1.05</v>
      </c>
      <c r="S154" s="1637">
        <v>1.05</v>
      </c>
      <c r="T154" s="1640">
        <f t="shared" si="109"/>
        <v>58215.565215534436</v>
      </c>
      <c r="U154" s="1640">
        <f t="shared" si="110"/>
        <v>58215.565215534436</v>
      </c>
      <c r="V154" s="1640">
        <f t="shared" si="111"/>
        <v>58215.565215534436</v>
      </c>
      <c r="W154" s="1640">
        <f t="shared" si="112"/>
        <v>58215.565215534436</v>
      </c>
      <c r="X154" s="1640">
        <f t="shared" si="113"/>
        <v>232862.26086213774</v>
      </c>
      <c r="Y154" s="1372" t="str">
        <f t="shared" si="101"/>
        <v>RS-HWE-LFSH-V05-180101</v>
      </c>
      <c r="Z154" s="1372" t="str">
        <f t="shared" si="97"/>
        <v>Nicor Gas PY7-PY10 Adjustable Goals Template_2017-06-30, Tab 5.4.5</v>
      </c>
      <c r="AA154" s="2024">
        <f t="shared" si="98"/>
        <v>14.043413232868827</v>
      </c>
      <c r="AB154" s="2028"/>
      <c r="AC154" s="1840">
        <f t="shared" si="114"/>
        <v>58215.565215534436</v>
      </c>
      <c r="AD154" s="1840">
        <f t="shared" si="115"/>
        <v>0</v>
      </c>
      <c r="AE154" s="1372" t="s">
        <v>2800</v>
      </c>
      <c r="AF154" s="1372" t="s">
        <v>3394</v>
      </c>
      <c r="AG154" s="1981">
        <v>8.88215879685721</v>
      </c>
      <c r="AH154" s="1372" t="s">
        <v>3446</v>
      </c>
      <c r="AI154" s="1640">
        <f t="shared" si="116"/>
        <v>36820.101076491876</v>
      </c>
      <c r="AJ154" s="1638">
        <f t="shared" si="117"/>
        <v>-21395.46413904256</v>
      </c>
      <c r="AK154" s="1372" t="s">
        <v>2800</v>
      </c>
      <c r="AL154" s="1372" t="s">
        <v>3394</v>
      </c>
      <c r="AM154" s="1981">
        <v>8.88215879685721</v>
      </c>
      <c r="AN154" s="1372" t="str">
        <f t="shared" si="102"/>
        <v>Refer TRM V.7 Updates</v>
      </c>
      <c r="AO154" s="1640">
        <f t="shared" si="118"/>
        <v>36820.101076491876</v>
      </c>
      <c r="AP154" s="1638">
        <f t="shared" si="119"/>
        <v>-21395.46413904256</v>
      </c>
      <c r="AQ154" s="1372" t="s">
        <v>2800</v>
      </c>
      <c r="AR154" s="1372" t="s">
        <v>3394</v>
      </c>
      <c r="AS154" s="1981">
        <v>8.88215879685721</v>
      </c>
      <c r="AT154" s="1372" t="str">
        <f>AH154</f>
        <v>Refer TRM V.7 Updates</v>
      </c>
      <c r="AU154" s="1640">
        <f t="shared" si="120"/>
        <v>36820.101076491876</v>
      </c>
      <c r="AV154" s="1638">
        <f t="shared" si="121"/>
        <v>-21395.46413904256</v>
      </c>
      <c r="AW154" s="2044">
        <f t="shared" si="122"/>
        <v>58215.565215534436</v>
      </c>
      <c r="AX154" s="2044">
        <f t="shared" si="123"/>
        <v>36820.101076491876</v>
      </c>
      <c r="AY154" s="2044">
        <f t="shared" si="124"/>
        <v>36820.101076491876</v>
      </c>
      <c r="AZ154" s="2044">
        <f t="shared" si="125"/>
        <v>36820.101076491876</v>
      </c>
      <c r="BA154" s="2045">
        <f t="shared" si="126"/>
        <v>168675.86844501007</v>
      </c>
      <c r="BB154" s="2045" t="str">
        <f>'[9]5.4.5'!$A$2</f>
        <v>5.4.5</v>
      </c>
      <c r="BC154" s="2045" t="str">
        <f>'[9]5.4.5'!$A$2</f>
        <v>5.4.5</v>
      </c>
      <c r="BD154" s="2045">
        <v>0</v>
      </c>
      <c r="BE154" s="2051">
        <v>10</v>
      </c>
      <c r="BF154" s="2051">
        <v>10</v>
      </c>
      <c r="BG154" s="2051">
        <v>10</v>
      </c>
      <c r="BH154" s="2051">
        <v>10</v>
      </c>
      <c r="BI154" s="2045">
        <f t="shared" si="104"/>
        <v>582155.65215534437</v>
      </c>
      <c r="BJ154" s="2045">
        <f t="shared" si="105"/>
        <v>582155.65215534437</v>
      </c>
      <c r="BK154" s="2045">
        <f t="shared" si="106"/>
        <v>582155.65215534437</v>
      </c>
      <c r="BL154" s="2045">
        <f t="shared" si="107"/>
        <v>582155.65215534437</v>
      </c>
      <c r="BM154" s="2045">
        <f t="shared" si="127"/>
        <v>2328622.6086213775</v>
      </c>
      <c r="BN154" s="2047">
        <v>10</v>
      </c>
      <c r="BO154" s="2047">
        <v>10</v>
      </c>
      <c r="BP154" s="2047">
        <v>10</v>
      </c>
      <c r="BQ154" s="2047">
        <v>10</v>
      </c>
      <c r="BR154" s="2048">
        <f t="shared" si="128"/>
        <v>582155.65215534437</v>
      </c>
      <c r="BS154" s="2048">
        <f t="shared" si="129"/>
        <v>368201.01076491881</v>
      </c>
      <c r="BT154" s="2048">
        <f t="shared" si="130"/>
        <v>368201.01076491881</v>
      </c>
      <c r="BU154" s="2048">
        <f t="shared" si="131"/>
        <v>368201.01076491881</v>
      </c>
      <c r="BV154" s="1840">
        <f t="shared" si="132"/>
        <v>1686758.6844501006</v>
      </c>
      <c r="BW154" s="2064" t="e">
        <f>INT(#REF!)=INT(BA154)</f>
        <v>#REF!</v>
      </c>
      <c r="BX154" s="2064">
        <v>147</v>
      </c>
      <c r="BY154" s="2064" t="s">
        <v>512</v>
      </c>
    </row>
    <row r="155" spans="1:78" s="1976" customFormat="1" ht="62" x14ac:dyDescent="0.35">
      <c r="A155" s="1372" t="s">
        <v>3040</v>
      </c>
      <c r="B155" s="1372" t="s">
        <v>241</v>
      </c>
      <c r="C155" s="1637">
        <v>1</v>
      </c>
      <c r="D155" s="2055" t="str">
        <f>'[9]5.4.5'!$A$2</f>
        <v>5.4.5</v>
      </c>
      <c r="E155" s="1372" t="s">
        <v>201</v>
      </c>
      <c r="F155" s="1638">
        <v>1900</v>
      </c>
      <c r="G155" s="1638">
        <v>1900</v>
      </c>
      <c r="H155" s="1638">
        <v>1900</v>
      </c>
      <c r="I155" s="1638">
        <v>1900</v>
      </c>
      <c r="J155" s="1372" t="str">
        <f>+'[9]5.4.5'!$B$16</f>
        <v>RS-HWE-LFSH-V05-180101</v>
      </c>
      <c r="K155" s="1372" t="str">
        <f t="shared" si="108"/>
        <v>Nicor Gas PY7-PY10 Adjustable Goals Template_2017-06-30, Tab 5.4.5</v>
      </c>
      <c r="L155" s="1639">
        <v>14.043413232868824</v>
      </c>
      <c r="M155" s="1639">
        <v>14.043413232868824</v>
      </c>
      <c r="N155" s="1639">
        <v>14.043413232868824</v>
      </c>
      <c r="O155" s="1639">
        <v>14.043413232868824</v>
      </c>
      <c r="P155" s="1637">
        <v>1.05</v>
      </c>
      <c r="Q155" s="1637">
        <v>1.05</v>
      </c>
      <c r="R155" s="1637">
        <v>1.05</v>
      </c>
      <c r="S155" s="1637">
        <v>1.05</v>
      </c>
      <c r="T155" s="1640">
        <f t="shared" si="109"/>
        <v>28016.609399573306</v>
      </c>
      <c r="U155" s="1640">
        <f t="shared" si="110"/>
        <v>28016.609399573306</v>
      </c>
      <c r="V155" s="1640">
        <f t="shared" si="111"/>
        <v>28016.609399573306</v>
      </c>
      <c r="W155" s="1640">
        <f t="shared" si="112"/>
        <v>28016.609399573306</v>
      </c>
      <c r="X155" s="1640">
        <f t="shared" si="113"/>
        <v>112066.43759829323</v>
      </c>
      <c r="Y155" s="1372" t="str">
        <f t="shared" si="101"/>
        <v>RS-HWE-LFSH-V05-180101</v>
      </c>
      <c r="Z155" s="1372" t="str">
        <f t="shared" si="97"/>
        <v>Nicor Gas PY7-PY10 Adjustable Goals Template_2017-06-30, Tab 5.4.5</v>
      </c>
      <c r="AA155" s="2024">
        <f t="shared" si="98"/>
        <v>14.043413232868824</v>
      </c>
      <c r="AB155" s="2028"/>
      <c r="AC155" s="1840">
        <f t="shared" si="114"/>
        <v>28016.609399573306</v>
      </c>
      <c r="AD155" s="1840">
        <f t="shared" si="115"/>
        <v>0</v>
      </c>
      <c r="AE155" s="1372" t="s">
        <v>2800</v>
      </c>
      <c r="AF155" s="1372" t="s">
        <v>3394</v>
      </c>
      <c r="AG155" s="1981">
        <v>8.88215879685721</v>
      </c>
      <c r="AH155" s="1372" t="s">
        <v>3446</v>
      </c>
      <c r="AI155" s="1640">
        <f t="shared" si="116"/>
        <v>17719.906799730135</v>
      </c>
      <c r="AJ155" s="1638">
        <f t="shared" si="117"/>
        <v>-10296.702599843171</v>
      </c>
      <c r="AK155" s="1372" t="s">
        <v>2800</v>
      </c>
      <c r="AL155" s="1372" t="s">
        <v>3394</v>
      </c>
      <c r="AM155" s="1981">
        <v>8.88215879685721</v>
      </c>
      <c r="AN155" s="1372" t="str">
        <f t="shared" si="102"/>
        <v>Refer TRM V.7 Updates</v>
      </c>
      <c r="AO155" s="1640">
        <f t="shared" si="118"/>
        <v>17719.906799730135</v>
      </c>
      <c r="AP155" s="1638">
        <f t="shared" si="119"/>
        <v>-10296.702599843171</v>
      </c>
      <c r="AQ155" s="1372" t="s">
        <v>2800</v>
      </c>
      <c r="AR155" s="1372" t="s">
        <v>3394</v>
      </c>
      <c r="AS155" s="1981">
        <v>8.88215879685721</v>
      </c>
      <c r="AT155" s="1372" t="str">
        <f>AH155</f>
        <v>Refer TRM V.7 Updates</v>
      </c>
      <c r="AU155" s="1640">
        <f t="shared" si="120"/>
        <v>17719.906799730135</v>
      </c>
      <c r="AV155" s="1638">
        <f t="shared" si="121"/>
        <v>-10296.702599843171</v>
      </c>
      <c r="AW155" s="2044">
        <f t="shared" si="122"/>
        <v>28016.609399573306</v>
      </c>
      <c r="AX155" s="2044">
        <f t="shared" si="123"/>
        <v>17719.906799730135</v>
      </c>
      <c r="AY155" s="2044">
        <f t="shared" si="124"/>
        <v>17719.906799730135</v>
      </c>
      <c r="AZ155" s="2044">
        <f t="shared" si="125"/>
        <v>17719.906799730135</v>
      </c>
      <c r="BA155" s="2045">
        <f t="shared" si="126"/>
        <v>81176.329798763705</v>
      </c>
      <c r="BB155" s="2045" t="str">
        <f>'[9]5.4.5'!$A$2</f>
        <v>5.4.5</v>
      </c>
      <c r="BC155" s="2045" t="str">
        <f>'[9]5.4.5'!$A$2</f>
        <v>5.4.5</v>
      </c>
      <c r="BD155" s="2045">
        <v>0</v>
      </c>
      <c r="BE155" s="2051">
        <v>10</v>
      </c>
      <c r="BF155" s="2051">
        <v>10</v>
      </c>
      <c r="BG155" s="2051">
        <v>10</v>
      </c>
      <c r="BH155" s="2051">
        <v>10</v>
      </c>
      <c r="BI155" s="2045">
        <f t="shared" si="104"/>
        <v>280166.09399573301</v>
      </c>
      <c r="BJ155" s="2045">
        <f t="shared" si="105"/>
        <v>280166.09399573301</v>
      </c>
      <c r="BK155" s="2045">
        <f t="shared" si="106"/>
        <v>280166.09399573301</v>
      </c>
      <c r="BL155" s="2045">
        <f t="shared" si="107"/>
        <v>280166.09399573301</v>
      </c>
      <c r="BM155" s="2045">
        <f t="shared" si="127"/>
        <v>1120664.375982932</v>
      </c>
      <c r="BN155" s="2047">
        <v>10</v>
      </c>
      <c r="BO155" s="2047">
        <v>10</v>
      </c>
      <c r="BP155" s="2047">
        <v>10</v>
      </c>
      <c r="BQ155" s="2047">
        <v>10</v>
      </c>
      <c r="BR155" s="2048">
        <f t="shared" si="128"/>
        <v>280166.09399573301</v>
      </c>
      <c r="BS155" s="2048">
        <f t="shared" si="129"/>
        <v>177199.06799730135</v>
      </c>
      <c r="BT155" s="2048">
        <f t="shared" si="130"/>
        <v>177199.06799730135</v>
      </c>
      <c r="BU155" s="2048">
        <f t="shared" si="131"/>
        <v>177199.06799730135</v>
      </c>
      <c r="BV155" s="1840">
        <f t="shared" si="132"/>
        <v>811763.29798763699</v>
      </c>
      <c r="BW155" s="2064" t="e">
        <f>INT(#REF!)=INT(BA155)</f>
        <v>#REF!</v>
      </c>
      <c r="BX155" s="2064">
        <v>148</v>
      </c>
      <c r="BY155" s="2064" t="s">
        <v>512</v>
      </c>
    </row>
    <row r="156" spans="1:78" s="1976" customFormat="1" ht="62" x14ac:dyDescent="0.35">
      <c r="A156" s="1372" t="s">
        <v>3040</v>
      </c>
      <c r="B156" s="1372" t="s">
        <v>245</v>
      </c>
      <c r="C156" s="1637">
        <v>0</v>
      </c>
      <c r="D156" s="2053" t="str">
        <f>'[9]5.4.6'!$A$1</f>
        <v>5.4.6</v>
      </c>
      <c r="E156" s="1372" t="s">
        <v>201</v>
      </c>
      <c r="F156" s="1638">
        <v>1342</v>
      </c>
      <c r="G156" s="1638">
        <v>1342</v>
      </c>
      <c r="H156" s="1638">
        <v>1342</v>
      </c>
      <c r="I156" s="1638">
        <v>1342</v>
      </c>
      <c r="J156" s="1372" t="str">
        <f>+'[9]5.4.6'!$B$13</f>
        <v>RS-HWE-TMPS-V05-160601</v>
      </c>
      <c r="K156" s="1372" t="str">
        <f t="shared" si="108"/>
        <v>Nicor Gas PY7-PY10 Adjustable Goals Template_2017-06-30, Tab 5.4.6</v>
      </c>
      <c r="L156" s="1639">
        <v>3.4965719653846157</v>
      </c>
      <c r="M156" s="1639">
        <v>3.4965719653846157</v>
      </c>
      <c r="N156" s="1639">
        <v>3.4965719653846157</v>
      </c>
      <c r="O156" s="1639">
        <v>3.4965719653846157</v>
      </c>
      <c r="P156" s="1637">
        <v>1.05</v>
      </c>
      <c r="Q156" s="1637">
        <v>1.05</v>
      </c>
      <c r="R156" s="1637">
        <v>1.05</v>
      </c>
      <c r="S156" s="1637">
        <v>1.05</v>
      </c>
      <c r="T156" s="1640">
        <f t="shared" si="109"/>
        <v>4927.0195564234627</v>
      </c>
      <c r="U156" s="1640">
        <f t="shared" si="110"/>
        <v>4927.0195564234627</v>
      </c>
      <c r="V156" s="1640">
        <f t="shared" si="111"/>
        <v>4927.0195564234627</v>
      </c>
      <c r="W156" s="1640">
        <f t="shared" si="112"/>
        <v>4927.0195564234627</v>
      </c>
      <c r="X156" s="1640">
        <f t="shared" si="113"/>
        <v>19708.078225693851</v>
      </c>
      <c r="Y156" s="1372" t="str">
        <f t="shared" si="101"/>
        <v>RS-HWE-TMPS-V05-160601</v>
      </c>
      <c r="Z156" s="1372" t="str">
        <f t="shared" si="97"/>
        <v>Nicor Gas PY7-PY10 Adjustable Goals Template_2017-06-30, Tab 5.4.6</v>
      </c>
      <c r="AA156" s="1840">
        <f t="shared" si="98"/>
        <v>3.4965719653846157</v>
      </c>
      <c r="AB156" s="2028"/>
      <c r="AC156" s="1840">
        <f t="shared" si="114"/>
        <v>4927.0195564234627</v>
      </c>
      <c r="AD156" s="1840">
        <f t="shared" si="115"/>
        <v>0</v>
      </c>
      <c r="AE156" s="1372" t="s">
        <v>2801</v>
      </c>
      <c r="AF156" s="1372" t="s">
        <v>3395</v>
      </c>
      <c r="AG156" s="1639">
        <v>3.4965719653846157</v>
      </c>
      <c r="AH156" s="1372" t="s">
        <v>3445</v>
      </c>
      <c r="AI156" s="1640">
        <f t="shared" si="116"/>
        <v>4927.0195564234627</v>
      </c>
      <c r="AJ156" s="1638">
        <f t="shared" si="117"/>
        <v>0</v>
      </c>
      <c r="AK156" s="1372" t="s">
        <v>2801</v>
      </c>
      <c r="AL156" s="1372" t="s">
        <v>3395</v>
      </c>
      <c r="AM156" s="1639">
        <v>3.4965719653846157</v>
      </c>
      <c r="AN156" s="1372" t="str">
        <f t="shared" si="102"/>
        <v>No change</v>
      </c>
      <c r="AO156" s="1640">
        <f t="shared" si="118"/>
        <v>4927.0195564234627</v>
      </c>
      <c r="AP156" s="1638">
        <f t="shared" si="119"/>
        <v>0</v>
      </c>
      <c r="AQ156" s="1372" t="s">
        <v>2801</v>
      </c>
      <c r="AR156" s="1372" t="s">
        <v>3395</v>
      </c>
      <c r="AS156" s="1639">
        <v>3.4965719653846157</v>
      </c>
      <c r="AT156" s="1372" t="str">
        <f>$AH156</f>
        <v>No change</v>
      </c>
      <c r="AU156" s="1640">
        <f t="shared" si="120"/>
        <v>4927.0195564234627</v>
      </c>
      <c r="AV156" s="1638">
        <f t="shared" si="121"/>
        <v>0</v>
      </c>
      <c r="AW156" s="2044">
        <f t="shared" si="122"/>
        <v>4927.0195564234627</v>
      </c>
      <c r="AX156" s="2044">
        <f t="shared" si="123"/>
        <v>4927.0195564234627</v>
      </c>
      <c r="AY156" s="2044">
        <f t="shared" si="124"/>
        <v>4927.0195564234627</v>
      </c>
      <c r="AZ156" s="2044">
        <f t="shared" si="125"/>
        <v>4927.0195564234627</v>
      </c>
      <c r="BA156" s="2045">
        <f t="shared" si="126"/>
        <v>19708.078225693851</v>
      </c>
      <c r="BB156" s="2045" t="str">
        <f>'[9]5.4.6'!$A$1</f>
        <v>5.4.6</v>
      </c>
      <c r="BC156" s="2045" t="str">
        <f>'[9]5.4.6'!$A$1</f>
        <v>5.4.6</v>
      </c>
      <c r="BD156" s="2045">
        <v>0</v>
      </c>
      <c r="BE156" s="2051">
        <v>2</v>
      </c>
      <c r="BF156" s="2051">
        <v>2</v>
      </c>
      <c r="BG156" s="2051">
        <v>2</v>
      </c>
      <c r="BH156" s="2051">
        <v>2</v>
      </c>
      <c r="BI156" s="2045">
        <f t="shared" si="104"/>
        <v>9854.0391128469255</v>
      </c>
      <c r="BJ156" s="2045">
        <f t="shared" si="105"/>
        <v>9854.0391128469255</v>
      </c>
      <c r="BK156" s="2045">
        <f t="shared" si="106"/>
        <v>9854.0391128469255</v>
      </c>
      <c r="BL156" s="2045">
        <f t="shared" si="107"/>
        <v>9854.0391128469255</v>
      </c>
      <c r="BM156" s="2045">
        <f t="shared" si="127"/>
        <v>39416.156451387702</v>
      </c>
      <c r="BN156" s="2047">
        <v>2</v>
      </c>
      <c r="BO156" s="2047">
        <v>2</v>
      </c>
      <c r="BP156" s="2047">
        <v>2</v>
      </c>
      <c r="BQ156" s="2047">
        <v>2</v>
      </c>
      <c r="BR156" s="2048">
        <f t="shared" si="128"/>
        <v>9854.0391128469255</v>
      </c>
      <c r="BS156" s="2048">
        <f t="shared" si="129"/>
        <v>9854.0391128469255</v>
      </c>
      <c r="BT156" s="2048">
        <f t="shared" si="130"/>
        <v>9854.0391128469255</v>
      </c>
      <c r="BU156" s="2048">
        <f t="shared" si="131"/>
        <v>9854.0391128469255</v>
      </c>
      <c r="BV156" s="1840">
        <f t="shared" si="132"/>
        <v>39416.156451387702</v>
      </c>
      <c r="BW156" s="2064" t="e">
        <f>INT(#REF!)=INT(BA156)</f>
        <v>#REF!</v>
      </c>
      <c r="BX156" s="2064">
        <v>149</v>
      </c>
      <c r="BY156" s="2064" t="s">
        <v>512</v>
      </c>
    </row>
    <row r="157" spans="1:78" s="1976" customFormat="1" ht="62" x14ac:dyDescent="0.35">
      <c r="A157" s="1372" t="s">
        <v>3040</v>
      </c>
      <c r="B157" s="1372" t="s">
        <v>244</v>
      </c>
      <c r="C157" s="1637">
        <v>1</v>
      </c>
      <c r="D157" s="2055" t="str">
        <f>'[9]5.4.1'!$A$1</f>
        <v>5.4.1</v>
      </c>
      <c r="E157" s="1372" t="s">
        <v>163</v>
      </c>
      <c r="F157" s="1638">
        <v>3602</v>
      </c>
      <c r="G157" s="1638">
        <v>3602</v>
      </c>
      <c r="H157" s="1638">
        <v>3602</v>
      </c>
      <c r="I157" s="1638">
        <v>3602</v>
      </c>
      <c r="J157" s="1372" t="str">
        <f>+'[9]5.4.1'!$B$12</f>
        <v>RS-HWE-PINS-V02-150601</v>
      </c>
      <c r="K157" s="1372" t="str">
        <f t="shared" si="108"/>
        <v>Nicor Gas PY7-PY10 Adjustable Goals Template_2017-06-30, Tab 5.4.1</v>
      </c>
      <c r="L157" s="1639">
        <v>3.1776001386193995</v>
      </c>
      <c r="M157" s="1639">
        <v>3.1776001386193995</v>
      </c>
      <c r="N157" s="1639">
        <v>3.1776001386193995</v>
      </c>
      <c r="O157" s="1639">
        <v>3.1776001386193995</v>
      </c>
      <c r="P157" s="1637">
        <v>1.05</v>
      </c>
      <c r="Q157" s="1637">
        <v>1.05</v>
      </c>
      <c r="R157" s="1637">
        <v>1.05</v>
      </c>
      <c r="S157" s="1637">
        <v>1.05</v>
      </c>
      <c r="T157" s="1640">
        <f t="shared" si="109"/>
        <v>12018.00148427243</v>
      </c>
      <c r="U157" s="1640">
        <f t="shared" si="110"/>
        <v>12018.00148427243</v>
      </c>
      <c r="V157" s="1640">
        <f t="shared" si="111"/>
        <v>12018.00148427243</v>
      </c>
      <c r="W157" s="1640">
        <f t="shared" si="112"/>
        <v>12018.00148427243</v>
      </c>
      <c r="X157" s="1640">
        <f t="shared" si="113"/>
        <v>48072.005937089722</v>
      </c>
      <c r="Y157" s="1372" t="str">
        <f t="shared" si="101"/>
        <v>RS-HWE-PINS-V02-150601</v>
      </c>
      <c r="Z157" s="1372" t="str">
        <f t="shared" ref="Z157:Z220" si="133">K157</f>
        <v>Nicor Gas PY7-PY10 Adjustable Goals Template_2017-06-30, Tab 5.4.1</v>
      </c>
      <c r="AA157" s="2024">
        <f t="shared" ref="AA157:AA220" si="134">L157</f>
        <v>3.1776001386193995</v>
      </c>
      <c r="AB157" s="2028"/>
      <c r="AC157" s="1840">
        <f t="shared" si="114"/>
        <v>12018.00148427243</v>
      </c>
      <c r="AD157" s="1840">
        <f t="shared" si="115"/>
        <v>0</v>
      </c>
      <c r="AE157" s="1372" t="s">
        <v>2570</v>
      </c>
      <c r="AF157" s="1372" t="s">
        <v>3396</v>
      </c>
      <c r="AG157" s="1981">
        <v>2.6419375384615398</v>
      </c>
      <c r="AH157" s="1372" t="s">
        <v>3446</v>
      </c>
      <c r="AI157" s="1640">
        <f t="shared" si="116"/>
        <v>9992.0719642153908</v>
      </c>
      <c r="AJ157" s="1638">
        <f t="shared" si="117"/>
        <v>-2025.9295200570396</v>
      </c>
      <c r="AK157" s="1372" t="s">
        <v>2570</v>
      </c>
      <c r="AL157" s="1372" t="s">
        <v>3396</v>
      </c>
      <c r="AM157" s="1981">
        <v>2.6419375384615398</v>
      </c>
      <c r="AN157" s="1372" t="str">
        <f t="shared" si="102"/>
        <v>Refer TRM V.7 Updates</v>
      </c>
      <c r="AO157" s="1640">
        <f t="shared" si="118"/>
        <v>9992.0719642153908</v>
      </c>
      <c r="AP157" s="1638">
        <f t="shared" si="119"/>
        <v>-2025.9295200570396</v>
      </c>
      <c r="AQ157" s="1372" t="s">
        <v>2570</v>
      </c>
      <c r="AR157" s="1372" t="s">
        <v>3396</v>
      </c>
      <c r="AS157" s="1981">
        <v>2.6419375384615398</v>
      </c>
      <c r="AT157" s="1372" t="str">
        <f>AH157</f>
        <v>Refer TRM V.7 Updates</v>
      </c>
      <c r="AU157" s="1640">
        <f t="shared" si="120"/>
        <v>9992.0719642153908</v>
      </c>
      <c r="AV157" s="1638">
        <f t="shared" si="121"/>
        <v>-2025.9295200570396</v>
      </c>
      <c r="AW157" s="2044">
        <f t="shared" si="122"/>
        <v>12018.00148427243</v>
      </c>
      <c r="AX157" s="2044">
        <f t="shared" si="123"/>
        <v>9992.0719642153908</v>
      </c>
      <c r="AY157" s="2044">
        <f t="shared" si="124"/>
        <v>9992.0719642153908</v>
      </c>
      <c r="AZ157" s="2044">
        <f t="shared" si="125"/>
        <v>9992.0719642153908</v>
      </c>
      <c r="BA157" s="2045">
        <f t="shared" si="126"/>
        <v>41994.217376918605</v>
      </c>
      <c r="BB157" s="2045" t="str">
        <f>'[9]5.4.1'!$A$1</f>
        <v>5.4.1</v>
      </c>
      <c r="BC157" s="2045" t="str">
        <f>'[9]5.4.1'!$A$1</f>
        <v>5.4.1</v>
      </c>
      <c r="BD157" s="2045">
        <v>0</v>
      </c>
      <c r="BE157" s="2051">
        <v>15</v>
      </c>
      <c r="BF157" s="2051">
        <v>15</v>
      </c>
      <c r="BG157" s="2051">
        <v>15</v>
      </c>
      <c r="BH157" s="2051">
        <v>15</v>
      </c>
      <c r="BI157" s="2045">
        <f t="shared" si="104"/>
        <v>180270.0222640865</v>
      </c>
      <c r="BJ157" s="2045">
        <f t="shared" si="105"/>
        <v>180270.0222640865</v>
      </c>
      <c r="BK157" s="2045">
        <f t="shared" si="106"/>
        <v>180270.0222640865</v>
      </c>
      <c r="BL157" s="2045">
        <f t="shared" si="107"/>
        <v>180270.0222640865</v>
      </c>
      <c r="BM157" s="2045">
        <f t="shared" si="127"/>
        <v>721080.08905634598</v>
      </c>
      <c r="BN157" s="2047">
        <v>15</v>
      </c>
      <c r="BO157" s="2047">
        <v>15</v>
      </c>
      <c r="BP157" s="2047">
        <v>15</v>
      </c>
      <c r="BQ157" s="2047">
        <v>15</v>
      </c>
      <c r="BR157" s="2048">
        <f t="shared" si="128"/>
        <v>180270.0222640865</v>
      </c>
      <c r="BS157" s="2048">
        <f t="shared" si="129"/>
        <v>149881.07946323085</v>
      </c>
      <c r="BT157" s="2048">
        <f t="shared" si="130"/>
        <v>149881.07946323085</v>
      </c>
      <c r="BU157" s="2048">
        <f t="shared" si="131"/>
        <v>149881.07946323085</v>
      </c>
      <c r="BV157" s="1840">
        <f t="shared" si="132"/>
        <v>629913.26065377903</v>
      </c>
      <c r="BW157" s="2064" t="e">
        <f>INT(#REF!)=INT(BA157)</f>
        <v>#REF!</v>
      </c>
      <c r="BX157" s="2064">
        <v>150</v>
      </c>
      <c r="BY157" s="2064" t="s">
        <v>512</v>
      </c>
    </row>
    <row r="158" spans="1:78" s="1976" customFormat="1" ht="18" customHeight="1" x14ac:dyDescent="0.35">
      <c r="A158" s="1372" t="s">
        <v>3040</v>
      </c>
      <c r="B158" s="1372" t="s">
        <v>279</v>
      </c>
      <c r="C158" s="1637">
        <v>0</v>
      </c>
      <c r="D158" s="1372" t="s">
        <v>295</v>
      </c>
      <c r="E158" s="1372" t="s">
        <v>201</v>
      </c>
      <c r="F158" s="1638">
        <v>4932</v>
      </c>
      <c r="G158" s="1638">
        <v>4932</v>
      </c>
      <c r="H158" s="1638">
        <v>4932</v>
      </c>
      <c r="I158" s="1638">
        <v>4932</v>
      </c>
      <c r="J158" s="1372" t="s">
        <v>295</v>
      </c>
      <c r="K158" s="1372" t="str">
        <f t="shared" si="108"/>
        <v/>
      </c>
      <c r="L158" s="1639">
        <v>0</v>
      </c>
      <c r="M158" s="1639">
        <v>0</v>
      </c>
      <c r="N158" s="1639">
        <v>0</v>
      </c>
      <c r="O158" s="1639">
        <v>0</v>
      </c>
      <c r="P158" s="1637">
        <v>1.05</v>
      </c>
      <c r="Q158" s="1637">
        <v>1.05</v>
      </c>
      <c r="R158" s="1637">
        <v>1.05</v>
      </c>
      <c r="S158" s="1637">
        <v>1.05</v>
      </c>
      <c r="T158" s="1640">
        <f t="shared" si="109"/>
        <v>0</v>
      </c>
      <c r="U158" s="1640">
        <f t="shared" si="110"/>
        <v>0</v>
      </c>
      <c r="V158" s="1640">
        <f t="shared" si="111"/>
        <v>0</v>
      </c>
      <c r="W158" s="1640">
        <f t="shared" si="112"/>
        <v>0</v>
      </c>
      <c r="X158" s="1640">
        <f t="shared" si="113"/>
        <v>0</v>
      </c>
      <c r="Y158" s="1829"/>
      <c r="Z158" s="1372" t="str">
        <f t="shared" si="133"/>
        <v/>
      </c>
      <c r="AA158" s="1840">
        <f t="shared" si="134"/>
        <v>0</v>
      </c>
      <c r="AB158" s="2028"/>
      <c r="AC158" s="1840">
        <f t="shared" si="114"/>
        <v>0</v>
      </c>
      <c r="AD158" s="1840">
        <f t="shared" si="115"/>
        <v>0</v>
      </c>
      <c r="AE158" s="1829"/>
      <c r="AF158" s="1829" t="s">
        <v>3361</v>
      </c>
      <c r="AG158" s="1830">
        <v>0</v>
      </c>
      <c r="AH158" s="1829"/>
      <c r="AI158" s="1640">
        <f t="shared" si="116"/>
        <v>0</v>
      </c>
      <c r="AJ158" s="1638">
        <f t="shared" si="117"/>
        <v>0</v>
      </c>
      <c r="AK158" s="1829"/>
      <c r="AL158" s="1829" t="s">
        <v>3361</v>
      </c>
      <c r="AM158" s="1830">
        <v>0</v>
      </c>
      <c r="AN158" s="1829"/>
      <c r="AO158" s="1640">
        <f t="shared" si="118"/>
        <v>0</v>
      </c>
      <c r="AP158" s="1638">
        <f t="shared" si="119"/>
        <v>0</v>
      </c>
      <c r="AQ158" s="1829"/>
      <c r="AR158" s="1829" t="s">
        <v>3361</v>
      </c>
      <c r="AS158" s="1830">
        <v>0</v>
      </c>
      <c r="AT158" s="1829"/>
      <c r="AU158" s="1640">
        <f t="shared" si="120"/>
        <v>0</v>
      </c>
      <c r="AV158" s="1638">
        <f t="shared" si="121"/>
        <v>0</v>
      </c>
      <c r="AW158" s="2044">
        <f t="shared" si="122"/>
        <v>0</v>
      </c>
      <c r="AX158" s="2044">
        <f t="shared" si="123"/>
        <v>0</v>
      </c>
      <c r="AY158" s="2044">
        <f t="shared" si="124"/>
        <v>0</v>
      </c>
      <c r="AZ158" s="2044">
        <f t="shared" si="125"/>
        <v>0</v>
      </c>
      <c r="BA158" s="2045">
        <f t="shared" si="126"/>
        <v>0</v>
      </c>
      <c r="BB158" s="2049"/>
      <c r="BC158" s="2049"/>
      <c r="BD158" s="2045">
        <v>0</v>
      </c>
      <c r="BE158" s="2051">
        <v>1</v>
      </c>
      <c r="BF158" s="2051">
        <v>1</v>
      </c>
      <c r="BG158" s="2051">
        <v>1</v>
      </c>
      <c r="BH158" s="2051">
        <v>1</v>
      </c>
      <c r="BI158" s="2045">
        <f t="shared" si="104"/>
        <v>0</v>
      </c>
      <c r="BJ158" s="2045">
        <f t="shared" si="105"/>
        <v>0</v>
      </c>
      <c r="BK158" s="2045">
        <f t="shared" si="106"/>
        <v>0</v>
      </c>
      <c r="BL158" s="2045">
        <f t="shared" si="107"/>
        <v>0</v>
      </c>
      <c r="BM158" s="2045">
        <f t="shared" si="127"/>
        <v>0</v>
      </c>
      <c r="BN158" s="2047">
        <v>1</v>
      </c>
      <c r="BO158" s="2047">
        <v>1</v>
      </c>
      <c r="BP158" s="2047">
        <v>1</v>
      </c>
      <c r="BQ158" s="2047">
        <v>1</v>
      </c>
      <c r="BR158" s="2048">
        <f t="shared" si="128"/>
        <v>0</v>
      </c>
      <c r="BS158" s="2048">
        <f t="shared" si="129"/>
        <v>0</v>
      </c>
      <c r="BT158" s="2048">
        <f t="shared" si="130"/>
        <v>0</v>
      </c>
      <c r="BU158" s="2048">
        <f t="shared" si="131"/>
        <v>0</v>
      </c>
      <c r="BV158" s="1840">
        <f t="shared" si="132"/>
        <v>0</v>
      </c>
      <c r="BW158" s="2064" t="e">
        <f>INT(#REF!)=INT(BA158)</f>
        <v>#REF!</v>
      </c>
      <c r="BX158" s="2064">
        <v>151</v>
      </c>
      <c r="BY158" s="2064" t="s">
        <v>295</v>
      </c>
    </row>
    <row r="159" spans="1:78" s="1976" customFormat="1" ht="62" x14ac:dyDescent="0.35">
      <c r="A159" s="1372" t="s">
        <v>3040</v>
      </c>
      <c r="B159" s="1372" t="s">
        <v>231</v>
      </c>
      <c r="C159" s="1637">
        <v>0</v>
      </c>
      <c r="D159" s="2053" t="str">
        <f>'[9]5.3.11'!$A$2</f>
        <v>5.3.11</v>
      </c>
      <c r="E159" s="1372" t="s">
        <v>201</v>
      </c>
      <c r="F159" s="1638">
        <v>493</v>
      </c>
      <c r="G159" s="1638">
        <v>493</v>
      </c>
      <c r="H159" s="1638">
        <v>493</v>
      </c>
      <c r="I159" s="1638">
        <v>493</v>
      </c>
      <c r="J159" s="1372" t="str">
        <f>+'[9]5.3.11'!$B$12</f>
        <v>RS-HVC-PROG-V04-180101</v>
      </c>
      <c r="K159" s="1372" t="str">
        <f t="shared" si="108"/>
        <v>Nicor Gas PY7-PY10 Adjustable Goals Template_2017-06-30, Tab 5.3.11</v>
      </c>
      <c r="L159" s="1639">
        <v>62.309999999999995</v>
      </c>
      <c r="M159" s="1639">
        <v>62.309999999999995</v>
      </c>
      <c r="N159" s="1639">
        <v>62.309999999999995</v>
      </c>
      <c r="O159" s="1639">
        <v>62.309999999999995</v>
      </c>
      <c r="P159" s="1637">
        <v>1.05</v>
      </c>
      <c r="Q159" s="1637">
        <v>1.05</v>
      </c>
      <c r="R159" s="1637">
        <v>1.05</v>
      </c>
      <c r="S159" s="1637">
        <v>1.05</v>
      </c>
      <c r="T159" s="1640">
        <f t="shared" si="109"/>
        <v>32254.771499999999</v>
      </c>
      <c r="U159" s="1640">
        <f t="shared" si="110"/>
        <v>32254.771499999999</v>
      </c>
      <c r="V159" s="1640">
        <f t="shared" si="111"/>
        <v>32254.771499999999</v>
      </c>
      <c r="W159" s="1640">
        <f t="shared" si="112"/>
        <v>32254.771499999999</v>
      </c>
      <c r="X159" s="1640">
        <f t="shared" si="113"/>
        <v>129019.086</v>
      </c>
      <c r="Y159" s="1372" t="str">
        <f>J159</f>
        <v>RS-HVC-PROG-V04-180101</v>
      </c>
      <c r="Z159" s="1372" t="str">
        <f t="shared" si="133"/>
        <v>Nicor Gas PY7-PY10 Adjustable Goals Template_2017-06-30, Tab 5.3.11</v>
      </c>
      <c r="AA159" s="1840">
        <f t="shared" si="134"/>
        <v>62.309999999999995</v>
      </c>
      <c r="AB159" s="2028"/>
      <c r="AC159" s="1840">
        <f t="shared" si="114"/>
        <v>32254.771499999999</v>
      </c>
      <c r="AD159" s="1840">
        <f t="shared" si="115"/>
        <v>0</v>
      </c>
      <c r="AE159" s="1372" t="s">
        <v>2802</v>
      </c>
      <c r="AF159" s="1372" t="s">
        <v>3397</v>
      </c>
      <c r="AG159" s="1639">
        <v>62.309999999999995</v>
      </c>
      <c r="AH159" s="1372" t="s">
        <v>3445</v>
      </c>
      <c r="AI159" s="1640">
        <f t="shared" si="116"/>
        <v>32254.771499999999</v>
      </c>
      <c r="AJ159" s="1638">
        <f t="shared" si="117"/>
        <v>0</v>
      </c>
      <c r="AK159" s="1372" t="s">
        <v>2802</v>
      </c>
      <c r="AL159" s="1372" t="s">
        <v>3397</v>
      </c>
      <c r="AM159" s="1639">
        <v>62.309999999999995</v>
      </c>
      <c r="AN159" s="1372" t="str">
        <f t="shared" ref="AN159:AN178" si="135">$AH159</f>
        <v>No change</v>
      </c>
      <c r="AO159" s="1640">
        <f t="shared" si="118"/>
        <v>32254.771499999999</v>
      </c>
      <c r="AP159" s="1638">
        <f t="shared" si="119"/>
        <v>0</v>
      </c>
      <c r="AQ159" s="1372" t="s">
        <v>2802</v>
      </c>
      <c r="AR159" s="1372" t="s">
        <v>3397</v>
      </c>
      <c r="AS159" s="1639">
        <v>62.309999999999995</v>
      </c>
      <c r="AT159" s="1372" t="str">
        <f>$AH159</f>
        <v>No change</v>
      </c>
      <c r="AU159" s="1640">
        <f t="shared" si="120"/>
        <v>32254.771499999999</v>
      </c>
      <c r="AV159" s="1638">
        <f t="shared" si="121"/>
        <v>0</v>
      </c>
      <c r="AW159" s="2044">
        <f t="shared" si="122"/>
        <v>32254.771499999999</v>
      </c>
      <c r="AX159" s="2044">
        <f t="shared" si="123"/>
        <v>32254.771499999999</v>
      </c>
      <c r="AY159" s="2044">
        <f t="shared" si="124"/>
        <v>32254.771499999999</v>
      </c>
      <c r="AZ159" s="2044">
        <f t="shared" si="125"/>
        <v>32254.771499999999</v>
      </c>
      <c r="BA159" s="2045">
        <f t="shared" si="126"/>
        <v>129019.086</v>
      </c>
      <c r="BB159" s="2045" t="str">
        <f>'[9]5.3.11'!$A$2</f>
        <v>5.3.11</v>
      </c>
      <c r="BC159" s="2045" t="str">
        <f>'[9]5.3.11'!$A$2</f>
        <v>5.3.11</v>
      </c>
      <c r="BD159" s="2045">
        <v>0</v>
      </c>
      <c r="BE159" s="2051">
        <v>2</v>
      </c>
      <c r="BF159" s="2051">
        <v>2</v>
      </c>
      <c r="BG159" s="2051">
        <v>2</v>
      </c>
      <c r="BH159" s="2051">
        <v>2</v>
      </c>
      <c r="BI159" s="2045">
        <f t="shared" si="104"/>
        <v>64509.542999999991</v>
      </c>
      <c r="BJ159" s="2045">
        <f t="shared" si="105"/>
        <v>64509.542999999991</v>
      </c>
      <c r="BK159" s="2045">
        <f t="shared" si="106"/>
        <v>64509.542999999991</v>
      </c>
      <c r="BL159" s="2045">
        <f t="shared" si="107"/>
        <v>64509.542999999991</v>
      </c>
      <c r="BM159" s="2045">
        <f t="shared" si="127"/>
        <v>258038.17199999996</v>
      </c>
      <c r="BN159" s="2047">
        <v>2</v>
      </c>
      <c r="BO159" s="2047">
        <v>2</v>
      </c>
      <c r="BP159" s="2047">
        <v>2</v>
      </c>
      <c r="BQ159" s="2047">
        <v>2</v>
      </c>
      <c r="BR159" s="2048">
        <f t="shared" si="128"/>
        <v>64509.542999999991</v>
      </c>
      <c r="BS159" s="2048">
        <f t="shared" si="129"/>
        <v>64509.542999999991</v>
      </c>
      <c r="BT159" s="2048">
        <f t="shared" si="130"/>
        <v>64509.542999999991</v>
      </c>
      <c r="BU159" s="2048">
        <f t="shared" si="131"/>
        <v>64509.542999999991</v>
      </c>
      <c r="BV159" s="1840">
        <f t="shared" si="132"/>
        <v>258038.17199999996</v>
      </c>
      <c r="BW159" s="2064" t="e">
        <f>INT(#REF!)=INT(BA159)</f>
        <v>#REF!</v>
      </c>
      <c r="BX159" s="2064">
        <v>152</v>
      </c>
      <c r="BY159" s="2064" t="s">
        <v>512</v>
      </c>
    </row>
    <row r="160" spans="1:78" s="1976" customFormat="1" ht="62" x14ac:dyDescent="0.35">
      <c r="A160" s="1372" t="s">
        <v>3040</v>
      </c>
      <c r="B160" s="1372" t="s">
        <v>3038</v>
      </c>
      <c r="C160" s="1637">
        <v>0</v>
      </c>
      <c r="D160" s="2053" t="str">
        <f>'[9]5.3.16'!$A$2</f>
        <v>5.3.16</v>
      </c>
      <c r="E160" s="1372" t="s">
        <v>163</v>
      </c>
      <c r="F160" s="1638">
        <v>274</v>
      </c>
      <c r="G160" s="1638">
        <v>274</v>
      </c>
      <c r="H160" s="1638">
        <v>274</v>
      </c>
      <c r="I160" s="1638">
        <v>274</v>
      </c>
      <c r="J160" s="1372" t="str">
        <f>+'[9]5.3.16'!$B$16</f>
        <v>RS-HVC-ADTH-V02-180101</v>
      </c>
      <c r="K160" s="1372" t="str">
        <f t="shared" si="108"/>
        <v>Nicor Gas PY7-PY10 Adjustable Goals Template_2017-06-30, Tab 5.3.16</v>
      </c>
      <c r="L160" s="1639">
        <v>74.347799999999978</v>
      </c>
      <c r="M160" s="1639">
        <v>74.347799999999978</v>
      </c>
      <c r="N160" s="1639">
        <v>74.347799999999978</v>
      </c>
      <c r="O160" s="1639">
        <v>74.347799999999978</v>
      </c>
      <c r="P160" s="1637">
        <v>1.05</v>
      </c>
      <c r="Q160" s="1637">
        <v>1.05</v>
      </c>
      <c r="R160" s="1637">
        <v>1.05</v>
      </c>
      <c r="S160" s="1637">
        <v>1.05</v>
      </c>
      <c r="T160" s="1640">
        <f t="shared" si="109"/>
        <v>21389.862059999996</v>
      </c>
      <c r="U160" s="1640">
        <f t="shared" si="110"/>
        <v>21389.862059999996</v>
      </c>
      <c r="V160" s="1640">
        <f t="shared" si="111"/>
        <v>21389.862059999996</v>
      </c>
      <c r="W160" s="1640">
        <f t="shared" si="112"/>
        <v>21389.862059999996</v>
      </c>
      <c r="X160" s="1640">
        <f t="shared" si="113"/>
        <v>85559.448239999983</v>
      </c>
      <c r="Y160" s="1372" t="str">
        <f>J160</f>
        <v>RS-HVC-ADTH-V02-180101</v>
      </c>
      <c r="Z160" s="1372" t="str">
        <f t="shared" si="133"/>
        <v>Nicor Gas PY7-PY10 Adjustable Goals Template_2017-06-30, Tab 5.3.16</v>
      </c>
      <c r="AA160" s="2024">
        <f t="shared" si="134"/>
        <v>74.347799999999978</v>
      </c>
      <c r="AB160" s="2028"/>
      <c r="AC160" s="1840">
        <f t="shared" si="114"/>
        <v>21389.862059999996</v>
      </c>
      <c r="AD160" s="1840">
        <f t="shared" si="115"/>
        <v>0</v>
      </c>
      <c r="AE160" s="1372" t="s">
        <v>2803</v>
      </c>
      <c r="AF160" s="1372" t="s">
        <v>3392</v>
      </c>
      <c r="AG160" s="1639">
        <v>74.347799999999978</v>
      </c>
      <c r="AH160" s="1372" t="s">
        <v>3445</v>
      </c>
      <c r="AI160" s="1640">
        <f t="shared" si="116"/>
        <v>21389.862059999996</v>
      </c>
      <c r="AJ160" s="1638">
        <f t="shared" si="117"/>
        <v>0</v>
      </c>
      <c r="AK160" s="1372" t="s">
        <v>2803</v>
      </c>
      <c r="AL160" s="1372" t="s">
        <v>3392</v>
      </c>
      <c r="AM160" s="1639">
        <v>74.347799999999978</v>
      </c>
      <c r="AN160" s="1372" t="str">
        <f t="shared" si="135"/>
        <v>No change</v>
      </c>
      <c r="AO160" s="1640">
        <f t="shared" si="118"/>
        <v>21389.862059999996</v>
      </c>
      <c r="AP160" s="1638">
        <f t="shared" si="119"/>
        <v>0</v>
      </c>
      <c r="AQ160" s="1372" t="s">
        <v>2803</v>
      </c>
      <c r="AR160" s="1372" t="s">
        <v>3392</v>
      </c>
      <c r="AS160" s="1639">
        <v>74.347799999999978</v>
      </c>
      <c r="AT160" s="1372" t="str">
        <f>$AH160</f>
        <v>No change</v>
      </c>
      <c r="AU160" s="1640">
        <f t="shared" si="120"/>
        <v>21389.862059999996</v>
      </c>
      <c r="AV160" s="1638">
        <f t="shared" si="121"/>
        <v>0</v>
      </c>
      <c r="AW160" s="2044">
        <f t="shared" si="122"/>
        <v>21389.862059999996</v>
      </c>
      <c r="AX160" s="2044">
        <f t="shared" si="123"/>
        <v>21389.862059999996</v>
      </c>
      <c r="AY160" s="2044">
        <f t="shared" si="124"/>
        <v>21389.862059999996</v>
      </c>
      <c r="AZ160" s="2044">
        <f t="shared" si="125"/>
        <v>21389.862059999996</v>
      </c>
      <c r="BA160" s="2045">
        <f t="shared" si="126"/>
        <v>85559.448239999983</v>
      </c>
      <c r="BB160" s="2045" t="str">
        <f>'[9]5.3.16'!$A$2</f>
        <v>5.3.16</v>
      </c>
      <c r="BC160" s="2045" t="str">
        <f>'[9]5.3.16'!$A$2</f>
        <v>5.3.16</v>
      </c>
      <c r="BD160" s="2121">
        <v>1</v>
      </c>
      <c r="BE160" s="2051">
        <v>10</v>
      </c>
      <c r="BF160" s="2051">
        <v>10</v>
      </c>
      <c r="BG160" s="2051">
        <v>10</v>
      </c>
      <c r="BH160" s="2051">
        <v>10</v>
      </c>
      <c r="BI160" s="2045">
        <f t="shared" si="104"/>
        <v>213898.62059999991</v>
      </c>
      <c r="BJ160" s="2045">
        <f t="shared" si="105"/>
        <v>213898.62059999991</v>
      </c>
      <c r="BK160" s="2045">
        <f t="shared" si="106"/>
        <v>213898.62059999991</v>
      </c>
      <c r="BL160" s="2045">
        <f t="shared" si="107"/>
        <v>213898.62059999991</v>
      </c>
      <c r="BM160" s="2045">
        <f t="shared" si="127"/>
        <v>855594.48239999963</v>
      </c>
      <c r="BN160" s="2047">
        <v>10</v>
      </c>
      <c r="BO160" s="2050">
        <v>11</v>
      </c>
      <c r="BP160" s="2050">
        <v>11</v>
      </c>
      <c r="BQ160" s="2050">
        <v>11</v>
      </c>
      <c r="BR160" s="2048">
        <f t="shared" si="128"/>
        <v>213898.62059999991</v>
      </c>
      <c r="BS160" s="2048">
        <f t="shared" si="129"/>
        <v>235288.48265999992</v>
      </c>
      <c r="BT160" s="2048">
        <f t="shared" si="130"/>
        <v>235288.48265999992</v>
      </c>
      <c r="BU160" s="2048">
        <f t="shared" si="131"/>
        <v>235288.48265999992</v>
      </c>
      <c r="BV160" s="1840">
        <f t="shared" si="132"/>
        <v>919764.06857999973</v>
      </c>
      <c r="BW160" s="2064" t="e">
        <f>INT(#REF!)=INT(BA160)</f>
        <v>#REF!</v>
      </c>
      <c r="BX160" s="2064">
        <v>153</v>
      </c>
      <c r="BY160" s="2064" t="s">
        <v>512</v>
      </c>
    </row>
    <row r="161" spans="1:77" s="1976" customFormat="1" ht="62" x14ac:dyDescent="0.35">
      <c r="A161" s="1372" t="s">
        <v>3040</v>
      </c>
      <c r="B161" s="1372" t="s">
        <v>3038</v>
      </c>
      <c r="C161" s="1637">
        <v>0</v>
      </c>
      <c r="D161" s="2053" t="str">
        <f>'[9]5.3.16'!$A$2</f>
        <v>5.3.16</v>
      </c>
      <c r="E161" s="1372" t="s">
        <v>163</v>
      </c>
      <c r="F161" s="1638">
        <v>822</v>
      </c>
      <c r="G161" s="1638">
        <v>822</v>
      </c>
      <c r="H161" s="1638">
        <v>822</v>
      </c>
      <c r="I161" s="1638">
        <v>822</v>
      </c>
      <c r="J161" s="1372" t="str">
        <f>+'[9]5.3.16'!$B$16</f>
        <v>RS-HVC-ADTH-V02-180101</v>
      </c>
      <c r="K161" s="1372" t="str">
        <f t="shared" si="108"/>
        <v>Nicor Gas PY7-PY10 Adjustable Goals Template_2017-06-30, Tab 5.3.16</v>
      </c>
      <c r="L161" s="1639">
        <v>74.347799999999992</v>
      </c>
      <c r="M161" s="1639">
        <v>74.347799999999992</v>
      </c>
      <c r="N161" s="1639">
        <v>74.347799999999992</v>
      </c>
      <c r="O161" s="1639">
        <v>74.347799999999992</v>
      </c>
      <c r="P161" s="1637">
        <v>1.05</v>
      </c>
      <c r="Q161" s="1637">
        <v>1.05</v>
      </c>
      <c r="R161" s="1637">
        <v>1.05</v>
      </c>
      <c r="S161" s="1637">
        <v>1.05</v>
      </c>
      <c r="T161" s="1640">
        <f t="shared" si="109"/>
        <v>64169.586179999998</v>
      </c>
      <c r="U161" s="1640">
        <f t="shared" si="110"/>
        <v>64169.586179999998</v>
      </c>
      <c r="V161" s="1640">
        <f t="shared" si="111"/>
        <v>64169.586179999998</v>
      </c>
      <c r="W161" s="1640">
        <f t="shared" si="112"/>
        <v>64169.586179999998</v>
      </c>
      <c r="X161" s="1640">
        <f t="shared" si="113"/>
        <v>256678.34471999999</v>
      </c>
      <c r="Y161" s="1372" t="str">
        <f>J161</f>
        <v>RS-HVC-ADTH-V02-180101</v>
      </c>
      <c r="Z161" s="1372" t="str">
        <f t="shared" si="133"/>
        <v>Nicor Gas PY7-PY10 Adjustable Goals Template_2017-06-30, Tab 5.3.16</v>
      </c>
      <c r="AA161" s="2024">
        <f t="shared" si="134"/>
        <v>74.347799999999992</v>
      </c>
      <c r="AB161" s="2028"/>
      <c r="AC161" s="1840">
        <f t="shared" si="114"/>
        <v>64169.586179999998</v>
      </c>
      <c r="AD161" s="1840">
        <f t="shared" si="115"/>
        <v>0</v>
      </c>
      <c r="AE161" s="1372" t="s">
        <v>2803</v>
      </c>
      <c r="AF161" s="1372" t="s">
        <v>3392</v>
      </c>
      <c r="AG161" s="1639">
        <v>74.347799999999992</v>
      </c>
      <c r="AH161" s="1372" t="s">
        <v>3445</v>
      </c>
      <c r="AI161" s="1640">
        <f t="shared" si="116"/>
        <v>64169.586179999998</v>
      </c>
      <c r="AJ161" s="1638">
        <f t="shared" si="117"/>
        <v>0</v>
      </c>
      <c r="AK161" s="1372" t="s">
        <v>2803</v>
      </c>
      <c r="AL161" s="1372" t="s">
        <v>3392</v>
      </c>
      <c r="AM161" s="1639">
        <v>74.347799999999992</v>
      </c>
      <c r="AN161" s="1372" t="str">
        <f t="shared" si="135"/>
        <v>No change</v>
      </c>
      <c r="AO161" s="1640">
        <f t="shared" si="118"/>
        <v>64169.586179999998</v>
      </c>
      <c r="AP161" s="1638">
        <f t="shared" si="119"/>
        <v>0</v>
      </c>
      <c r="AQ161" s="1372" t="s">
        <v>2803</v>
      </c>
      <c r="AR161" s="1372" t="s">
        <v>3392</v>
      </c>
      <c r="AS161" s="1639">
        <v>74.347799999999992</v>
      </c>
      <c r="AT161" s="1372" t="str">
        <f>$AH161</f>
        <v>No change</v>
      </c>
      <c r="AU161" s="1640">
        <f t="shared" si="120"/>
        <v>64169.586179999998</v>
      </c>
      <c r="AV161" s="1638">
        <f t="shared" si="121"/>
        <v>0</v>
      </c>
      <c r="AW161" s="2044">
        <f t="shared" si="122"/>
        <v>64169.586179999998</v>
      </c>
      <c r="AX161" s="2044">
        <f t="shared" si="123"/>
        <v>64169.586179999998</v>
      </c>
      <c r="AY161" s="2044">
        <f t="shared" si="124"/>
        <v>64169.586179999998</v>
      </c>
      <c r="AZ161" s="2044">
        <f t="shared" si="125"/>
        <v>64169.586179999998</v>
      </c>
      <c r="BA161" s="2045">
        <f t="shared" si="126"/>
        <v>256678.34471999999</v>
      </c>
      <c r="BB161" s="2045" t="str">
        <f>'[9]5.3.16'!$A$2</f>
        <v>5.3.16</v>
      </c>
      <c r="BC161" s="2045" t="str">
        <f>'[9]5.3.16'!$A$2</f>
        <v>5.3.16</v>
      </c>
      <c r="BD161" s="2121">
        <v>1</v>
      </c>
      <c r="BE161" s="2051">
        <v>10</v>
      </c>
      <c r="BF161" s="2051">
        <v>10</v>
      </c>
      <c r="BG161" s="2051">
        <v>10</v>
      </c>
      <c r="BH161" s="2051">
        <v>10</v>
      </c>
      <c r="BI161" s="2045">
        <f t="shared" si="104"/>
        <v>641695.86179999996</v>
      </c>
      <c r="BJ161" s="2045">
        <f t="shared" si="105"/>
        <v>641695.86179999996</v>
      </c>
      <c r="BK161" s="2045">
        <f t="shared" si="106"/>
        <v>641695.86179999996</v>
      </c>
      <c r="BL161" s="2045">
        <f t="shared" si="107"/>
        <v>641695.86179999996</v>
      </c>
      <c r="BM161" s="2045">
        <f t="shared" si="127"/>
        <v>2566783.4471999998</v>
      </c>
      <c r="BN161" s="2047">
        <v>10</v>
      </c>
      <c r="BO161" s="2050">
        <v>11</v>
      </c>
      <c r="BP161" s="2050">
        <v>11</v>
      </c>
      <c r="BQ161" s="2050">
        <v>11</v>
      </c>
      <c r="BR161" s="2048">
        <f t="shared" si="128"/>
        <v>641695.86179999996</v>
      </c>
      <c r="BS161" s="2048">
        <f t="shared" si="129"/>
        <v>705865.44797999994</v>
      </c>
      <c r="BT161" s="2048">
        <f t="shared" si="130"/>
        <v>705865.44797999994</v>
      </c>
      <c r="BU161" s="2048">
        <f t="shared" si="131"/>
        <v>705865.44797999994</v>
      </c>
      <c r="BV161" s="1840">
        <f t="shared" si="132"/>
        <v>2759292.2057399997</v>
      </c>
      <c r="BW161" s="2064" t="e">
        <f>INT(#REF!)=INT(BA161)</f>
        <v>#REF!</v>
      </c>
      <c r="BX161" s="2064">
        <v>154</v>
      </c>
      <c r="BY161" s="2064" t="s">
        <v>512</v>
      </c>
    </row>
    <row r="162" spans="1:77" s="1976" customFormat="1" ht="18" customHeight="1" x14ac:dyDescent="0.35">
      <c r="A162" s="1372" t="s">
        <v>3040</v>
      </c>
      <c r="B162" s="1372" t="s">
        <v>280</v>
      </c>
      <c r="C162" s="1637">
        <v>0</v>
      </c>
      <c r="D162" s="1372" t="s">
        <v>295</v>
      </c>
      <c r="E162" s="1372" t="s">
        <v>163</v>
      </c>
      <c r="F162" s="1638">
        <v>274</v>
      </c>
      <c r="G162" s="1638">
        <v>274</v>
      </c>
      <c r="H162" s="1638">
        <v>274</v>
      </c>
      <c r="I162" s="1638">
        <v>274</v>
      </c>
      <c r="J162" s="1372" t="s">
        <v>295</v>
      </c>
      <c r="K162" s="1372" t="str">
        <f t="shared" si="108"/>
        <v/>
      </c>
      <c r="L162" s="1639">
        <v>0</v>
      </c>
      <c r="M162" s="1639">
        <v>0</v>
      </c>
      <c r="N162" s="1639">
        <v>0</v>
      </c>
      <c r="O162" s="1639">
        <v>0</v>
      </c>
      <c r="P162" s="1637">
        <v>1.05</v>
      </c>
      <c r="Q162" s="1637">
        <v>1.05</v>
      </c>
      <c r="R162" s="1637">
        <v>1.05</v>
      </c>
      <c r="S162" s="1637">
        <v>1.05</v>
      </c>
      <c r="T162" s="1640">
        <f t="shared" si="109"/>
        <v>0</v>
      </c>
      <c r="U162" s="1640">
        <f t="shared" si="110"/>
        <v>0</v>
      </c>
      <c r="V162" s="1640">
        <f t="shared" si="111"/>
        <v>0</v>
      </c>
      <c r="W162" s="1640">
        <f t="shared" si="112"/>
        <v>0</v>
      </c>
      <c r="X162" s="1640">
        <f t="shared" si="113"/>
        <v>0</v>
      </c>
      <c r="Y162" s="1829"/>
      <c r="Z162" s="1372" t="str">
        <f t="shared" si="133"/>
        <v/>
      </c>
      <c r="AA162" s="1840">
        <f t="shared" si="134"/>
        <v>0</v>
      </c>
      <c r="AB162" s="2028"/>
      <c r="AC162" s="1840">
        <f t="shared" si="114"/>
        <v>0</v>
      </c>
      <c r="AD162" s="1840">
        <f t="shared" si="115"/>
        <v>0</v>
      </c>
      <c r="AE162" s="1829"/>
      <c r="AF162" s="1829" t="s">
        <v>3361</v>
      </c>
      <c r="AG162" s="1830">
        <v>0</v>
      </c>
      <c r="AH162" s="1372" t="s">
        <v>3445</v>
      </c>
      <c r="AI162" s="1640">
        <f t="shared" si="116"/>
        <v>0</v>
      </c>
      <c r="AJ162" s="1638">
        <f t="shared" si="117"/>
        <v>0</v>
      </c>
      <c r="AK162" s="1829"/>
      <c r="AL162" s="1829" t="s">
        <v>3361</v>
      </c>
      <c r="AM162" s="1830">
        <v>0</v>
      </c>
      <c r="AN162" s="1372" t="str">
        <f t="shared" si="135"/>
        <v>No change</v>
      </c>
      <c r="AO162" s="1640">
        <f t="shared" si="118"/>
        <v>0</v>
      </c>
      <c r="AP162" s="1638">
        <f t="shared" si="119"/>
        <v>0</v>
      </c>
      <c r="AQ162" s="1829"/>
      <c r="AR162" s="1829" t="s">
        <v>3361</v>
      </c>
      <c r="AS162" s="1830">
        <v>0</v>
      </c>
      <c r="AT162" s="1372" t="str">
        <f>$AH162</f>
        <v>No change</v>
      </c>
      <c r="AU162" s="1640">
        <f t="shared" si="120"/>
        <v>0</v>
      </c>
      <c r="AV162" s="1638">
        <f t="shared" si="121"/>
        <v>0</v>
      </c>
      <c r="AW162" s="2044">
        <f t="shared" si="122"/>
        <v>0</v>
      </c>
      <c r="AX162" s="2044">
        <f t="shared" si="123"/>
        <v>0</v>
      </c>
      <c r="AY162" s="2044">
        <f t="shared" si="124"/>
        <v>0</v>
      </c>
      <c r="AZ162" s="2044">
        <f t="shared" si="125"/>
        <v>0</v>
      </c>
      <c r="BA162" s="2045">
        <f t="shared" si="126"/>
        <v>0</v>
      </c>
      <c r="BB162" s="2049"/>
      <c r="BC162" s="2049"/>
      <c r="BD162" s="2045">
        <v>0</v>
      </c>
      <c r="BE162" s="2051">
        <v>1</v>
      </c>
      <c r="BF162" s="2051">
        <v>1</v>
      </c>
      <c r="BG162" s="2051">
        <v>1</v>
      </c>
      <c r="BH162" s="2051">
        <v>1</v>
      </c>
      <c r="BI162" s="2045">
        <f t="shared" si="104"/>
        <v>0</v>
      </c>
      <c r="BJ162" s="2045">
        <f t="shared" si="105"/>
        <v>0</v>
      </c>
      <c r="BK162" s="2045">
        <f t="shared" si="106"/>
        <v>0</v>
      </c>
      <c r="BL162" s="2045">
        <f t="shared" si="107"/>
        <v>0</v>
      </c>
      <c r="BM162" s="2045">
        <f t="shared" si="127"/>
        <v>0</v>
      </c>
      <c r="BN162" s="2047">
        <v>1</v>
      </c>
      <c r="BO162" s="2047">
        <v>1</v>
      </c>
      <c r="BP162" s="2047">
        <v>1</v>
      </c>
      <c r="BQ162" s="2047">
        <v>1</v>
      </c>
      <c r="BR162" s="2048">
        <f t="shared" si="128"/>
        <v>0</v>
      </c>
      <c r="BS162" s="2048">
        <f t="shared" si="129"/>
        <v>0</v>
      </c>
      <c r="BT162" s="2048">
        <f t="shared" si="130"/>
        <v>0</v>
      </c>
      <c r="BU162" s="2048">
        <f t="shared" si="131"/>
        <v>0</v>
      </c>
      <c r="BV162" s="1840">
        <f t="shared" si="132"/>
        <v>0</v>
      </c>
      <c r="BW162" s="2064" t="e">
        <f>INT(#REF!)=INT(BA162)</f>
        <v>#REF!</v>
      </c>
      <c r="BX162" s="2064">
        <v>155</v>
      </c>
      <c r="BY162" s="2064" t="s">
        <v>295</v>
      </c>
    </row>
    <row r="163" spans="1:77" s="1976" customFormat="1" ht="62" x14ac:dyDescent="0.35">
      <c r="A163" s="1372" t="s">
        <v>3040</v>
      </c>
      <c r="B163" s="1372" t="s">
        <v>260</v>
      </c>
      <c r="C163" s="1637">
        <v>0</v>
      </c>
      <c r="D163" s="2056" t="str">
        <f>'[9]5.6.1'!$A$2</f>
        <v>5.6.1</v>
      </c>
      <c r="E163" s="1372" t="s">
        <v>201</v>
      </c>
      <c r="F163" s="1638">
        <v>73</v>
      </c>
      <c r="G163" s="1638">
        <v>73</v>
      </c>
      <c r="H163" s="1638">
        <v>73</v>
      </c>
      <c r="I163" s="1638">
        <v>73</v>
      </c>
      <c r="J163" s="1372" t="str">
        <f>+'[9]5.6.1'!$B$24</f>
        <v>RS-SHL-AIRS-V06-180101</v>
      </c>
      <c r="K163" s="1372" t="str">
        <f t="shared" si="108"/>
        <v>Nicor Gas PY7-PY10 Adjustable Goals Template_2017-06-30, Tab 5.6.1</v>
      </c>
      <c r="L163" s="1639">
        <v>83.921658638743438</v>
      </c>
      <c r="M163" s="1639">
        <v>83.921658638743438</v>
      </c>
      <c r="N163" s="1639">
        <v>83.921658638743438</v>
      </c>
      <c r="O163" s="1639">
        <v>83.921658638743438</v>
      </c>
      <c r="P163" s="1637">
        <v>1.05</v>
      </c>
      <c r="Q163" s="1637">
        <v>1.05</v>
      </c>
      <c r="R163" s="1637">
        <v>1.05</v>
      </c>
      <c r="S163" s="1637">
        <v>1.05</v>
      </c>
      <c r="T163" s="1640">
        <f t="shared" si="109"/>
        <v>6432.5951346596839</v>
      </c>
      <c r="U163" s="1640">
        <f t="shared" si="110"/>
        <v>6432.5951346596839</v>
      </c>
      <c r="V163" s="1640">
        <f t="shared" si="111"/>
        <v>6432.5951346596839</v>
      </c>
      <c r="W163" s="1640">
        <f t="shared" si="112"/>
        <v>6432.5951346596839</v>
      </c>
      <c r="X163" s="1640">
        <f t="shared" si="113"/>
        <v>25730.380538638736</v>
      </c>
      <c r="Y163" s="1372" t="str">
        <f t="shared" ref="Y163:Y178" si="136">J163</f>
        <v>RS-SHL-AIRS-V06-180101</v>
      </c>
      <c r="Z163" s="1372" t="str">
        <f t="shared" si="133"/>
        <v>Nicor Gas PY7-PY10 Adjustable Goals Template_2017-06-30, Tab 5.6.1</v>
      </c>
      <c r="AA163" s="2024">
        <f t="shared" si="134"/>
        <v>83.921658638743438</v>
      </c>
      <c r="AB163" s="2028"/>
      <c r="AC163" s="1840">
        <f t="shared" si="114"/>
        <v>6432.5951346596839</v>
      </c>
      <c r="AD163" s="1840">
        <f t="shared" si="115"/>
        <v>0</v>
      </c>
      <c r="AE163" s="1372" t="s">
        <v>2804</v>
      </c>
      <c r="AF163" s="1372" t="s">
        <v>3398</v>
      </c>
      <c r="AG163" s="1981">
        <v>83.921658638743438</v>
      </c>
      <c r="AH163" s="1372" t="s">
        <v>3446</v>
      </c>
      <c r="AI163" s="1640">
        <f t="shared" si="116"/>
        <v>6432.5951346596839</v>
      </c>
      <c r="AJ163" s="1638">
        <f t="shared" si="117"/>
        <v>0</v>
      </c>
      <c r="AK163" s="1372" t="s">
        <v>2804</v>
      </c>
      <c r="AL163" s="1372" t="s">
        <v>3398</v>
      </c>
      <c r="AM163" s="1981">
        <v>83.921658638743438</v>
      </c>
      <c r="AN163" s="1372" t="str">
        <f t="shared" si="135"/>
        <v>Refer TRM V.7 Updates</v>
      </c>
      <c r="AO163" s="1640">
        <f t="shared" si="118"/>
        <v>6432.5951346596839</v>
      </c>
      <c r="AP163" s="1638">
        <f t="shared" si="119"/>
        <v>0</v>
      </c>
      <c r="AQ163" s="1372" t="s">
        <v>2804</v>
      </c>
      <c r="AR163" s="1372" t="s">
        <v>3398</v>
      </c>
      <c r="AS163" s="1981">
        <v>83.921658638743438</v>
      </c>
      <c r="AT163" s="1372" t="str">
        <f>AH163</f>
        <v>Refer TRM V.7 Updates</v>
      </c>
      <c r="AU163" s="1640">
        <f t="shared" si="120"/>
        <v>6432.5951346596839</v>
      </c>
      <c r="AV163" s="1638">
        <f t="shared" si="121"/>
        <v>0</v>
      </c>
      <c r="AW163" s="2044">
        <f t="shared" si="122"/>
        <v>6432.5951346596839</v>
      </c>
      <c r="AX163" s="2044">
        <f t="shared" si="123"/>
        <v>6432.5951346596839</v>
      </c>
      <c r="AY163" s="2044">
        <f t="shared" si="124"/>
        <v>6432.5951346596839</v>
      </c>
      <c r="AZ163" s="2044">
        <f t="shared" si="125"/>
        <v>6432.5951346596839</v>
      </c>
      <c r="BA163" s="2045">
        <f t="shared" si="126"/>
        <v>25730.380538638736</v>
      </c>
      <c r="BB163" s="2045" t="str">
        <f>'[9]5.6.1'!$A$2</f>
        <v>5.6.1</v>
      </c>
      <c r="BC163" s="2045" t="str">
        <f>'[9]5.6.1'!$A$2</f>
        <v>5.6.1</v>
      </c>
      <c r="BD163" s="2121">
        <v>1</v>
      </c>
      <c r="BE163" s="2051">
        <v>15</v>
      </c>
      <c r="BF163" s="2051">
        <v>15</v>
      </c>
      <c r="BG163" s="2051">
        <v>15</v>
      </c>
      <c r="BH163" s="2051">
        <v>15</v>
      </c>
      <c r="BI163" s="2045">
        <f t="shared" si="104"/>
        <v>96488.927019895273</v>
      </c>
      <c r="BJ163" s="2045">
        <f t="shared" si="105"/>
        <v>96488.927019895273</v>
      </c>
      <c r="BK163" s="2045">
        <f t="shared" si="106"/>
        <v>96488.927019895273</v>
      </c>
      <c r="BL163" s="2045">
        <f t="shared" si="107"/>
        <v>96488.927019895273</v>
      </c>
      <c r="BM163" s="2045">
        <f t="shared" si="127"/>
        <v>385955.70807958109</v>
      </c>
      <c r="BN163" s="2047">
        <v>15</v>
      </c>
      <c r="BO163" s="2050">
        <v>20</v>
      </c>
      <c r="BP163" s="2050">
        <v>20</v>
      </c>
      <c r="BQ163" s="2050">
        <v>20</v>
      </c>
      <c r="BR163" s="2048">
        <f t="shared" si="128"/>
        <v>96488.927019895273</v>
      </c>
      <c r="BS163" s="2048">
        <f t="shared" si="129"/>
        <v>128651.9026931937</v>
      </c>
      <c r="BT163" s="2048">
        <f t="shared" si="130"/>
        <v>128651.9026931937</v>
      </c>
      <c r="BU163" s="2048">
        <f t="shared" si="131"/>
        <v>128651.9026931937</v>
      </c>
      <c r="BV163" s="1840">
        <f t="shared" si="132"/>
        <v>482444.63509947638</v>
      </c>
      <c r="BW163" s="2064" t="e">
        <f>INT(#REF!)=INT(BA163)</f>
        <v>#REF!</v>
      </c>
      <c r="BX163" s="2064">
        <v>156</v>
      </c>
      <c r="BY163" s="2064" t="s">
        <v>512</v>
      </c>
    </row>
    <row r="164" spans="1:77" s="1976" customFormat="1" ht="62" x14ac:dyDescent="0.35">
      <c r="A164" s="1372" t="s">
        <v>3040</v>
      </c>
      <c r="B164" s="1372" t="s">
        <v>255</v>
      </c>
      <c r="C164" s="1637">
        <v>1</v>
      </c>
      <c r="D164" s="2055" t="str">
        <f>'[9]5.6.4'!$A$2</f>
        <v>5.6.4</v>
      </c>
      <c r="E164" s="1372" t="s">
        <v>201</v>
      </c>
      <c r="F164" s="1638">
        <v>8</v>
      </c>
      <c r="G164" s="1638">
        <v>8</v>
      </c>
      <c r="H164" s="1638">
        <v>8</v>
      </c>
      <c r="I164" s="1638">
        <v>8</v>
      </c>
      <c r="J164" s="1372" t="str">
        <f>+'[9]5.6.4'!$B$29</f>
        <v>RS-SHL-AINS-V07-180101</v>
      </c>
      <c r="K164" s="1372" t="str">
        <f t="shared" si="108"/>
        <v>Nicor Gas PY7-PY10 Adjustable Goals Template_2017-06-30, Tab 5.6.4</v>
      </c>
      <c r="L164" s="1639">
        <v>169.411636224782</v>
      </c>
      <c r="M164" s="1639">
        <v>169.411636224782</v>
      </c>
      <c r="N164" s="1639">
        <v>169.411636224782</v>
      </c>
      <c r="O164" s="1639">
        <v>169.411636224782</v>
      </c>
      <c r="P164" s="1637">
        <v>1.05</v>
      </c>
      <c r="Q164" s="1637">
        <v>1.05</v>
      </c>
      <c r="R164" s="1637">
        <v>1.05</v>
      </c>
      <c r="S164" s="1637">
        <v>1.05</v>
      </c>
      <c r="T164" s="1640">
        <f t="shared" si="109"/>
        <v>1423.0577442881688</v>
      </c>
      <c r="U164" s="1640">
        <f t="shared" si="110"/>
        <v>1423.0577442881688</v>
      </c>
      <c r="V164" s="1640">
        <f t="shared" si="111"/>
        <v>1423.0577442881688</v>
      </c>
      <c r="W164" s="1640">
        <f t="shared" si="112"/>
        <v>1423.0577442881688</v>
      </c>
      <c r="X164" s="1640">
        <f t="shared" si="113"/>
        <v>5692.2309771526752</v>
      </c>
      <c r="Y164" s="1372" t="str">
        <f t="shared" si="136"/>
        <v>RS-SHL-AINS-V07-180101</v>
      </c>
      <c r="Z164" s="1372" t="str">
        <f t="shared" si="133"/>
        <v>Nicor Gas PY7-PY10 Adjustable Goals Template_2017-06-30, Tab 5.6.4</v>
      </c>
      <c r="AA164" s="2024">
        <f t="shared" si="134"/>
        <v>169.411636224782</v>
      </c>
      <c r="AB164" s="2028"/>
      <c r="AC164" s="1840">
        <f t="shared" si="114"/>
        <v>1423.0577442881688</v>
      </c>
      <c r="AD164" s="1840">
        <f t="shared" si="115"/>
        <v>0</v>
      </c>
      <c r="AE164" s="1372" t="s">
        <v>2806</v>
      </c>
      <c r="AF164" s="1372" t="s">
        <v>3399</v>
      </c>
      <c r="AG164" s="1981">
        <v>203.43017042526313</v>
      </c>
      <c r="AH164" s="1372" t="s">
        <v>3446</v>
      </c>
      <c r="AI164" s="1640">
        <f t="shared" si="116"/>
        <v>1708.8134315722104</v>
      </c>
      <c r="AJ164" s="1638">
        <f t="shared" si="117"/>
        <v>285.75568728404164</v>
      </c>
      <c r="AK164" s="1372" t="s">
        <v>2806</v>
      </c>
      <c r="AL164" s="1372" t="s">
        <v>3399</v>
      </c>
      <c r="AM164" s="1981">
        <v>203.43017042526313</v>
      </c>
      <c r="AN164" s="1372" t="str">
        <f t="shared" si="135"/>
        <v>Refer TRM V.7 Updates</v>
      </c>
      <c r="AO164" s="1640">
        <f t="shared" si="118"/>
        <v>1708.8134315722104</v>
      </c>
      <c r="AP164" s="1638">
        <f t="shared" si="119"/>
        <v>285.75568728404164</v>
      </c>
      <c r="AQ164" s="1372" t="s">
        <v>2806</v>
      </c>
      <c r="AR164" s="1372" t="s">
        <v>3399</v>
      </c>
      <c r="AS164" s="1981">
        <v>203.43017042526313</v>
      </c>
      <c r="AT164" s="1372" t="str">
        <f>AH164</f>
        <v>Refer TRM V.7 Updates</v>
      </c>
      <c r="AU164" s="1640">
        <f t="shared" si="120"/>
        <v>1708.8134315722104</v>
      </c>
      <c r="AV164" s="1638">
        <f t="shared" si="121"/>
        <v>285.75568728404164</v>
      </c>
      <c r="AW164" s="2044">
        <f t="shared" si="122"/>
        <v>1423.0577442881688</v>
      </c>
      <c r="AX164" s="2044">
        <f t="shared" si="123"/>
        <v>1708.8134315722104</v>
      </c>
      <c r="AY164" s="2044">
        <f t="shared" si="124"/>
        <v>1708.8134315722104</v>
      </c>
      <c r="AZ164" s="2044">
        <f t="shared" si="125"/>
        <v>1708.8134315722104</v>
      </c>
      <c r="BA164" s="2045">
        <f t="shared" si="126"/>
        <v>6549.4980390048004</v>
      </c>
      <c r="BB164" s="2045" t="str">
        <f>'[9]5.6.4'!$A$2</f>
        <v>5.6.4</v>
      </c>
      <c r="BC164" s="2045" t="str">
        <f>'[9]5.6.4'!$A$2</f>
        <v>5.6.4</v>
      </c>
      <c r="BD164" s="2121">
        <v>1</v>
      </c>
      <c r="BE164" s="2051">
        <v>25</v>
      </c>
      <c r="BF164" s="2051">
        <v>25</v>
      </c>
      <c r="BG164" s="2051">
        <v>25</v>
      </c>
      <c r="BH164" s="2051">
        <v>25</v>
      </c>
      <c r="BI164" s="2045">
        <f t="shared" si="104"/>
        <v>35576.443607204223</v>
      </c>
      <c r="BJ164" s="2045">
        <f t="shared" si="105"/>
        <v>35576.443607204223</v>
      </c>
      <c r="BK164" s="2045">
        <f t="shared" si="106"/>
        <v>35576.443607204223</v>
      </c>
      <c r="BL164" s="2045">
        <f t="shared" si="107"/>
        <v>35576.443607204223</v>
      </c>
      <c r="BM164" s="2045">
        <f t="shared" si="127"/>
        <v>142305.77442881689</v>
      </c>
      <c r="BN164" s="2047">
        <v>25</v>
      </c>
      <c r="BO164" s="2050">
        <v>20</v>
      </c>
      <c r="BP164" s="2050">
        <v>20</v>
      </c>
      <c r="BQ164" s="2050">
        <v>20</v>
      </c>
      <c r="BR164" s="2048">
        <f t="shared" si="128"/>
        <v>35576.443607204223</v>
      </c>
      <c r="BS164" s="2048">
        <f t="shared" si="129"/>
        <v>34176.268631444211</v>
      </c>
      <c r="BT164" s="2048">
        <f t="shared" si="130"/>
        <v>34176.268631444211</v>
      </c>
      <c r="BU164" s="2048">
        <f t="shared" si="131"/>
        <v>34176.268631444211</v>
      </c>
      <c r="BV164" s="1840">
        <f t="shared" si="132"/>
        <v>138105.24950153686</v>
      </c>
      <c r="BW164" s="2064" t="e">
        <f>INT(#REF!)=INT(BA164)</f>
        <v>#REF!</v>
      </c>
      <c r="BX164" s="2064">
        <v>157</v>
      </c>
      <c r="BY164" s="2064" t="s">
        <v>512</v>
      </c>
    </row>
    <row r="165" spans="1:77" s="1976" customFormat="1" ht="62" x14ac:dyDescent="0.35">
      <c r="A165" s="1372" t="s">
        <v>3040</v>
      </c>
      <c r="B165" s="1372" t="s">
        <v>256</v>
      </c>
      <c r="C165" s="1637">
        <v>1</v>
      </c>
      <c r="D165" s="2055" t="str">
        <f>'[9]5.6.4'!$A$2</f>
        <v>5.6.4</v>
      </c>
      <c r="E165" s="1372" t="s">
        <v>201</v>
      </c>
      <c r="F165" s="1638">
        <v>36</v>
      </c>
      <c r="G165" s="1638">
        <v>36</v>
      </c>
      <c r="H165" s="1638">
        <v>36</v>
      </c>
      <c r="I165" s="1638">
        <v>36</v>
      </c>
      <c r="J165" s="1372" t="str">
        <f>+'[9]5.6.4'!$B$29</f>
        <v>RS-SHL-AINS-V07-180101</v>
      </c>
      <c r="K165" s="1372" t="str">
        <f t="shared" si="108"/>
        <v>Nicor Gas PY7-PY10 Adjustable Goals Template_2017-06-30, Tab 5.6.4</v>
      </c>
      <c r="L165" s="1639">
        <v>90.976771339718709</v>
      </c>
      <c r="M165" s="1639">
        <v>90.976771339718709</v>
      </c>
      <c r="N165" s="1639">
        <v>90.976771339718709</v>
      </c>
      <c r="O165" s="1639">
        <v>90.976771339718709</v>
      </c>
      <c r="P165" s="1637">
        <v>1.05</v>
      </c>
      <c r="Q165" s="1637">
        <v>1.05</v>
      </c>
      <c r="R165" s="1637">
        <v>1.05</v>
      </c>
      <c r="S165" s="1637">
        <v>1.05</v>
      </c>
      <c r="T165" s="1640">
        <f t="shared" si="109"/>
        <v>3438.9219566413672</v>
      </c>
      <c r="U165" s="1640">
        <f t="shared" si="110"/>
        <v>3438.9219566413672</v>
      </c>
      <c r="V165" s="1640">
        <f t="shared" si="111"/>
        <v>3438.9219566413672</v>
      </c>
      <c r="W165" s="1640">
        <f t="shared" si="112"/>
        <v>3438.9219566413672</v>
      </c>
      <c r="X165" s="1640">
        <f t="shared" si="113"/>
        <v>13755.687826565469</v>
      </c>
      <c r="Y165" s="1372" t="str">
        <f t="shared" si="136"/>
        <v>RS-SHL-AINS-V07-180101</v>
      </c>
      <c r="Z165" s="1372" t="str">
        <f t="shared" si="133"/>
        <v>Nicor Gas PY7-PY10 Adjustable Goals Template_2017-06-30, Tab 5.6.4</v>
      </c>
      <c r="AA165" s="2024">
        <f t="shared" si="134"/>
        <v>90.976771339718709</v>
      </c>
      <c r="AB165" s="2028"/>
      <c r="AC165" s="1840">
        <f t="shared" si="114"/>
        <v>3438.9219566413672</v>
      </c>
      <c r="AD165" s="1840">
        <f t="shared" si="115"/>
        <v>0</v>
      </c>
      <c r="AE165" s="1372" t="s">
        <v>2806</v>
      </c>
      <c r="AF165" s="1372" t="s">
        <v>3399</v>
      </c>
      <c r="AG165" s="1981">
        <v>109.24527093181956</v>
      </c>
      <c r="AH165" s="1372" t="s">
        <v>3446</v>
      </c>
      <c r="AI165" s="1640">
        <f t="shared" si="116"/>
        <v>4129.4712412227791</v>
      </c>
      <c r="AJ165" s="1638">
        <f t="shared" si="117"/>
        <v>690.54928458141194</v>
      </c>
      <c r="AK165" s="1372" t="s">
        <v>2806</v>
      </c>
      <c r="AL165" s="1372" t="s">
        <v>3399</v>
      </c>
      <c r="AM165" s="1981">
        <v>109.24527093181956</v>
      </c>
      <c r="AN165" s="1372" t="str">
        <f t="shared" si="135"/>
        <v>Refer TRM V.7 Updates</v>
      </c>
      <c r="AO165" s="1640">
        <f t="shared" si="118"/>
        <v>4129.4712412227791</v>
      </c>
      <c r="AP165" s="1638">
        <f t="shared" si="119"/>
        <v>690.54928458141194</v>
      </c>
      <c r="AQ165" s="1372" t="s">
        <v>2806</v>
      </c>
      <c r="AR165" s="1372" t="s">
        <v>3399</v>
      </c>
      <c r="AS165" s="1981">
        <v>109.24527093181956</v>
      </c>
      <c r="AT165" s="1372" t="str">
        <f>AH165</f>
        <v>Refer TRM V.7 Updates</v>
      </c>
      <c r="AU165" s="1640">
        <f t="shared" si="120"/>
        <v>4129.4712412227791</v>
      </c>
      <c r="AV165" s="1638">
        <f t="shared" si="121"/>
        <v>690.54928458141194</v>
      </c>
      <c r="AW165" s="2044">
        <f t="shared" si="122"/>
        <v>3438.9219566413672</v>
      </c>
      <c r="AX165" s="2044">
        <f t="shared" si="123"/>
        <v>4129.4712412227791</v>
      </c>
      <c r="AY165" s="2044">
        <f t="shared" si="124"/>
        <v>4129.4712412227791</v>
      </c>
      <c r="AZ165" s="2044">
        <f t="shared" si="125"/>
        <v>4129.4712412227791</v>
      </c>
      <c r="BA165" s="2045">
        <f t="shared" si="126"/>
        <v>15827.335680309705</v>
      </c>
      <c r="BB165" s="2045" t="str">
        <f>'[9]5.6.4'!$A$2</f>
        <v>5.6.4</v>
      </c>
      <c r="BC165" s="2045" t="str">
        <f>'[9]5.6.4'!$A$2</f>
        <v>5.6.4</v>
      </c>
      <c r="BD165" s="2121">
        <v>1</v>
      </c>
      <c r="BE165" s="2051">
        <v>25</v>
      </c>
      <c r="BF165" s="2051">
        <v>25</v>
      </c>
      <c r="BG165" s="2051">
        <v>25</v>
      </c>
      <c r="BH165" s="2051">
        <v>25</v>
      </c>
      <c r="BI165" s="2045">
        <f t="shared" si="104"/>
        <v>85973.048916034197</v>
      </c>
      <c r="BJ165" s="2045">
        <f t="shared" si="105"/>
        <v>85973.048916034197</v>
      </c>
      <c r="BK165" s="2045">
        <f t="shared" si="106"/>
        <v>85973.048916034197</v>
      </c>
      <c r="BL165" s="2045">
        <f t="shared" si="107"/>
        <v>85973.048916034197</v>
      </c>
      <c r="BM165" s="2045">
        <f t="shared" si="127"/>
        <v>343892.19566413679</v>
      </c>
      <c r="BN165" s="2047">
        <v>25</v>
      </c>
      <c r="BO165" s="2050">
        <v>20</v>
      </c>
      <c r="BP165" s="2050">
        <v>20</v>
      </c>
      <c r="BQ165" s="2050">
        <v>20</v>
      </c>
      <c r="BR165" s="2048">
        <f t="shared" si="128"/>
        <v>85973.048916034197</v>
      </c>
      <c r="BS165" s="2048">
        <f t="shared" si="129"/>
        <v>82589.424824455607</v>
      </c>
      <c r="BT165" s="2048">
        <f t="shared" si="130"/>
        <v>82589.424824455607</v>
      </c>
      <c r="BU165" s="2048">
        <f t="shared" si="131"/>
        <v>82589.424824455607</v>
      </c>
      <c r="BV165" s="1840">
        <f t="shared" si="132"/>
        <v>333741.32338940102</v>
      </c>
      <c r="BW165" s="2064" t="e">
        <f>INT(#REF!)=INT(BA165)</f>
        <v>#REF!</v>
      </c>
      <c r="BX165" s="2064">
        <v>158</v>
      </c>
      <c r="BY165" s="2064" t="s">
        <v>512</v>
      </c>
    </row>
    <row r="166" spans="1:77" s="1976" customFormat="1" ht="61.5" customHeight="1" x14ac:dyDescent="0.35">
      <c r="A166" s="1372" t="s">
        <v>3040</v>
      </c>
      <c r="B166" s="1372" t="s">
        <v>257</v>
      </c>
      <c r="C166" s="1637">
        <v>1</v>
      </c>
      <c r="D166" s="2055" t="str">
        <f>'[9]5.6.4'!$A$2</f>
        <v>5.6.4</v>
      </c>
      <c r="E166" s="1372" t="s">
        <v>201</v>
      </c>
      <c r="F166" s="1638">
        <v>28</v>
      </c>
      <c r="G166" s="1638">
        <v>28</v>
      </c>
      <c r="H166" s="1638">
        <v>28</v>
      </c>
      <c r="I166" s="1638">
        <v>28</v>
      </c>
      <c r="J166" s="1372" t="str">
        <f>+'[9]5.6.4'!$B$29</f>
        <v>RS-SHL-AINS-V07-180101</v>
      </c>
      <c r="K166" s="1372" t="str">
        <f t="shared" si="108"/>
        <v>Nicor Gas PY7-PY10 Adjustable Goals Template_2017-06-30, Tab 5.6.4</v>
      </c>
      <c r="L166" s="1639">
        <v>97.768054132986222</v>
      </c>
      <c r="M166" s="1639">
        <v>97.768054132986222</v>
      </c>
      <c r="N166" s="1639">
        <v>97.768054132986222</v>
      </c>
      <c r="O166" s="1639">
        <v>97.768054132986222</v>
      </c>
      <c r="P166" s="1637">
        <v>1.05</v>
      </c>
      <c r="Q166" s="1637">
        <v>1.05</v>
      </c>
      <c r="R166" s="1637">
        <v>1.05</v>
      </c>
      <c r="S166" s="1637">
        <v>1.05</v>
      </c>
      <c r="T166" s="1640">
        <f t="shared" si="109"/>
        <v>2874.380791509795</v>
      </c>
      <c r="U166" s="1640">
        <f t="shared" si="110"/>
        <v>2874.380791509795</v>
      </c>
      <c r="V166" s="1640">
        <f t="shared" si="111"/>
        <v>2874.380791509795</v>
      </c>
      <c r="W166" s="1640">
        <f t="shared" si="112"/>
        <v>2874.380791509795</v>
      </c>
      <c r="X166" s="1640">
        <f t="shared" si="113"/>
        <v>11497.52316603918</v>
      </c>
      <c r="Y166" s="1372" t="str">
        <f t="shared" si="136"/>
        <v>RS-SHL-AINS-V07-180101</v>
      </c>
      <c r="Z166" s="1372" t="str">
        <f t="shared" si="133"/>
        <v>Nicor Gas PY7-PY10 Adjustable Goals Template_2017-06-30, Tab 5.6.4</v>
      </c>
      <c r="AA166" s="2024">
        <f t="shared" si="134"/>
        <v>97.768054132986222</v>
      </c>
      <c r="AB166" s="2028"/>
      <c r="AC166" s="1840">
        <f t="shared" si="114"/>
        <v>2874.380791509795</v>
      </c>
      <c r="AD166" s="1840">
        <f t="shared" si="115"/>
        <v>0</v>
      </c>
      <c r="AE166" s="1372" t="s">
        <v>2806</v>
      </c>
      <c r="AF166" s="1372" t="s">
        <v>3399</v>
      </c>
      <c r="AG166" s="1981">
        <v>117.40027047510635</v>
      </c>
      <c r="AH166" s="1372" t="s">
        <v>3446</v>
      </c>
      <c r="AI166" s="1640">
        <f t="shared" si="116"/>
        <v>3451.5679519681271</v>
      </c>
      <c r="AJ166" s="1638">
        <f t="shared" si="117"/>
        <v>577.18716045833207</v>
      </c>
      <c r="AK166" s="1372" t="s">
        <v>2806</v>
      </c>
      <c r="AL166" s="1372" t="s">
        <v>3399</v>
      </c>
      <c r="AM166" s="1981">
        <v>117.40027047510635</v>
      </c>
      <c r="AN166" s="1372" t="str">
        <f t="shared" si="135"/>
        <v>Refer TRM V.7 Updates</v>
      </c>
      <c r="AO166" s="1640">
        <f t="shared" si="118"/>
        <v>3451.5679519681271</v>
      </c>
      <c r="AP166" s="1638">
        <f t="shared" si="119"/>
        <v>577.18716045833207</v>
      </c>
      <c r="AQ166" s="1372" t="s">
        <v>2806</v>
      </c>
      <c r="AR166" s="1372" t="s">
        <v>3399</v>
      </c>
      <c r="AS166" s="1981">
        <v>117.40027047510635</v>
      </c>
      <c r="AT166" s="1372" t="str">
        <f>AH166</f>
        <v>Refer TRM V.7 Updates</v>
      </c>
      <c r="AU166" s="1640">
        <f t="shared" si="120"/>
        <v>3451.5679519681271</v>
      </c>
      <c r="AV166" s="1638">
        <f t="shared" si="121"/>
        <v>577.18716045833207</v>
      </c>
      <c r="AW166" s="2044">
        <f t="shared" si="122"/>
        <v>2874.380791509795</v>
      </c>
      <c r="AX166" s="2044">
        <f t="shared" si="123"/>
        <v>3451.5679519681271</v>
      </c>
      <c r="AY166" s="2044">
        <f t="shared" si="124"/>
        <v>3451.5679519681271</v>
      </c>
      <c r="AZ166" s="2044">
        <f t="shared" si="125"/>
        <v>3451.5679519681271</v>
      </c>
      <c r="BA166" s="2045">
        <f t="shared" si="126"/>
        <v>13229.084647414176</v>
      </c>
      <c r="BB166" s="2045" t="str">
        <f>'[9]5.6.4'!$A$2</f>
        <v>5.6.4</v>
      </c>
      <c r="BC166" s="2045" t="str">
        <f>'[9]5.6.4'!$A$2</f>
        <v>5.6.4</v>
      </c>
      <c r="BD166" s="2121">
        <v>1</v>
      </c>
      <c r="BE166" s="2051">
        <v>25</v>
      </c>
      <c r="BF166" s="2051">
        <v>25</v>
      </c>
      <c r="BG166" s="2051">
        <v>25</v>
      </c>
      <c r="BH166" s="2051">
        <v>25</v>
      </c>
      <c r="BI166" s="2045">
        <f t="shared" si="104"/>
        <v>71859.519787744881</v>
      </c>
      <c r="BJ166" s="2045">
        <f t="shared" si="105"/>
        <v>71859.519787744881</v>
      </c>
      <c r="BK166" s="2045">
        <f t="shared" si="106"/>
        <v>71859.519787744881</v>
      </c>
      <c r="BL166" s="2045">
        <f t="shared" si="107"/>
        <v>71859.519787744881</v>
      </c>
      <c r="BM166" s="2045">
        <f t="shared" si="127"/>
        <v>287438.07915097952</v>
      </c>
      <c r="BN166" s="2047">
        <v>25</v>
      </c>
      <c r="BO166" s="2050">
        <v>20</v>
      </c>
      <c r="BP166" s="2050">
        <v>20</v>
      </c>
      <c r="BQ166" s="2050">
        <v>20</v>
      </c>
      <c r="BR166" s="2048">
        <f t="shared" si="128"/>
        <v>71859.519787744881</v>
      </c>
      <c r="BS166" s="2048">
        <f t="shared" si="129"/>
        <v>69031.359039362549</v>
      </c>
      <c r="BT166" s="2048">
        <f t="shared" si="130"/>
        <v>69031.359039362549</v>
      </c>
      <c r="BU166" s="2048">
        <f t="shared" si="131"/>
        <v>69031.359039362549</v>
      </c>
      <c r="BV166" s="1840">
        <f t="shared" si="132"/>
        <v>278953.59690583253</v>
      </c>
      <c r="BW166" s="2064" t="e">
        <f>INT(#REF!)=INT(BA166)</f>
        <v>#REF!</v>
      </c>
      <c r="BX166" s="2064">
        <v>159</v>
      </c>
      <c r="BY166" s="2064" t="s">
        <v>512</v>
      </c>
    </row>
    <row r="167" spans="1:77" s="1976" customFormat="1" ht="62" x14ac:dyDescent="0.35">
      <c r="A167" s="1372" t="s">
        <v>3040</v>
      </c>
      <c r="B167" s="1372" t="s">
        <v>258</v>
      </c>
      <c r="C167" s="1637">
        <v>1</v>
      </c>
      <c r="D167" s="2055" t="str">
        <f>'[9]5.6.4'!$A$2</f>
        <v>5.6.4</v>
      </c>
      <c r="E167" s="1372" t="s">
        <v>201</v>
      </c>
      <c r="F167" s="1638">
        <v>3</v>
      </c>
      <c r="G167" s="1638">
        <v>3</v>
      </c>
      <c r="H167" s="1638">
        <v>3</v>
      </c>
      <c r="I167" s="1638">
        <v>3</v>
      </c>
      <c r="J167" s="1372" t="str">
        <f>+'[9]5.6.4'!$B$29</f>
        <v>RS-SHL-AINS-V07-180101</v>
      </c>
      <c r="K167" s="1372" t="str">
        <f t="shared" si="108"/>
        <v>Nicor Gas PY7-PY10 Adjustable Goals Template_2017-06-30, Tab 5.6.4</v>
      </c>
      <c r="L167" s="1639">
        <v>28.058276596263042</v>
      </c>
      <c r="M167" s="1639">
        <v>28.058276596263042</v>
      </c>
      <c r="N167" s="1639">
        <v>28.058276596263042</v>
      </c>
      <c r="O167" s="1639">
        <v>28.058276596263042</v>
      </c>
      <c r="P167" s="1637">
        <v>1.05</v>
      </c>
      <c r="Q167" s="1637">
        <v>1.05</v>
      </c>
      <c r="R167" s="1637">
        <v>1.05</v>
      </c>
      <c r="S167" s="1637">
        <v>1.05</v>
      </c>
      <c r="T167" s="1640">
        <f t="shared" si="109"/>
        <v>88.383571278228587</v>
      </c>
      <c r="U167" s="1640">
        <f t="shared" si="110"/>
        <v>88.383571278228587</v>
      </c>
      <c r="V167" s="1640">
        <f t="shared" si="111"/>
        <v>88.383571278228587</v>
      </c>
      <c r="W167" s="1640">
        <f t="shared" si="112"/>
        <v>88.383571278228587</v>
      </c>
      <c r="X167" s="1640">
        <f t="shared" si="113"/>
        <v>353.53428511291435</v>
      </c>
      <c r="Y167" s="1372" t="str">
        <f t="shared" si="136"/>
        <v>RS-SHL-AINS-V07-180101</v>
      </c>
      <c r="Z167" s="1372" t="str">
        <f t="shared" si="133"/>
        <v>Nicor Gas PY7-PY10 Adjustable Goals Template_2017-06-30, Tab 5.6.4</v>
      </c>
      <c r="AA167" s="2024">
        <f t="shared" si="134"/>
        <v>28.058276596263042</v>
      </c>
      <c r="AB167" s="2028"/>
      <c r="AC167" s="1840">
        <f t="shared" si="114"/>
        <v>88.383571278228587</v>
      </c>
      <c r="AD167" s="1840">
        <f t="shared" si="115"/>
        <v>0</v>
      </c>
      <c r="AE167" s="1372" t="s">
        <v>2806</v>
      </c>
      <c r="AF167" s="1372" t="s">
        <v>3399</v>
      </c>
      <c r="AG167" s="1981">
        <v>33.692490769899045</v>
      </c>
      <c r="AH167" s="1372" t="s">
        <v>3446</v>
      </c>
      <c r="AI167" s="1640">
        <f t="shared" si="116"/>
        <v>106.13134592518199</v>
      </c>
      <c r="AJ167" s="1638">
        <f t="shared" si="117"/>
        <v>17.747774646953403</v>
      </c>
      <c r="AK167" s="1372" t="s">
        <v>2806</v>
      </c>
      <c r="AL167" s="1372" t="s">
        <v>3399</v>
      </c>
      <c r="AM167" s="1981">
        <v>33.692490769899045</v>
      </c>
      <c r="AN167" s="1372" t="str">
        <f t="shared" si="135"/>
        <v>Refer TRM V.7 Updates</v>
      </c>
      <c r="AO167" s="1640">
        <f t="shared" si="118"/>
        <v>106.13134592518199</v>
      </c>
      <c r="AP167" s="1638">
        <f t="shared" si="119"/>
        <v>17.747774646953403</v>
      </c>
      <c r="AQ167" s="1372" t="s">
        <v>2806</v>
      </c>
      <c r="AR167" s="1372" t="s">
        <v>3399</v>
      </c>
      <c r="AS167" s="1981">
        <v>33.692490769899045</v>
      </c>
      <c r="AT167" s="1372" t="str">
        <f>AH167</f>
        <v>Refer TRM V.7 Updates</v>
      </c>
      <c r="AU167" s="1640">
        <f t="shared" si="120"/>
        <v>106.13134592518199</v>
      </c>
      <c r="AV167" s="1638">
        <f t="shared" si="121"/>
        <v>17.747774646953403</v>
      </c>
      <c r="AW167" s="2044">
        <f t="shared" si="122"/>
        <v>88.383571278228587</v>
      </c>
      <c r="AX167" s="2044">
        <f t="shared" si="123"/>
        <v>106.13134592518199</v>
      </c>
      <c r="AY167" s="2044">
        <f t="shared" si="124"/>
        <v>106.13134592518199</v>
      </c>
      <c r="AZ167" s="2044">
        <f t="shared" si="125"/>
        <v>106.13134592518199</v>
      </c>
      <c r="BA167" s="2045">
        <f t="shared" si="126"/>
        <v>406.77760905377454</v>
      </c>
      <c r="BB167" s="2045" t="str">
        <f>'[9]5.6.4'!$A$2</f>
        <v>5.6.4</v>
      </c>
      <c r="BC167" s="2045" t="str">
        <f>'[9]5.6.4'!$A$2</f>
        <v>5.6.4</v>
      </c>
      <c r="BD167" s="2121">
        <v>1</v>
      </c>
      <c r="BE167" s="2051">
        <v>25</v>
      </c>
      <c r="BF167" s="2051">
        <v>25</v>
      </c>
      <c r="BG167" s="2051">
        <v>25</v>
      </c>
      <c r="BH167" s="2051">
        <v>25</v>
      </c>
      <c r="BI167" s="2045">
        <f t="shared" si="104"/>
        <v>2209.5892819557148</v>
      </c>
      <c r="BJ167" s="2045">
        <f t="shared" si="105"/>
        <v>2209.5892819557148</v>
      </c>
      <c r="BK167" s="2045">
        <f t="shared" si="106"/>
        <v>2209.5892819557148</v>
      </c>
      <c r="BL167" s="2045">
        <f t="shared" si="107"/>
        <v>2209.5892819557148</v>
      </c>
      <c r="BM167" s="2045">
        <f t="shared" si="127"/>
        <v>8838.3571278228592</v>
      </c>
      <c r="BN167" s="2047">
        <v>25</v>
      </c>
      <c r="BO167" s="2050">
        <v>20</v>
      </c>
      <c r="BP167" s="2050">
        <v>20</v>
      </c>
      <c r="BQ167" s="2050">
        <v>20</v>
      </c>
      <c r="BR167" s="2048">
        <f t="shared" si="128"/>
        <v>2209.5892819557148</v>
      </c>
      <c r="BS167" s="2048">
        <f t="shared" si="129"/>
        <v>2122.6269185036399</v>
      </c>
      <c r="BT167" s="2048">
        <f t="shared" si="130"/>
        <v>2122.6269185036399</v>
      </c>
      <c r="BU167" s="2048">
        <f t="shared" si="131"/>
        <v>2122.6269185036399</v>
      </c>
      <c r="BV167" s="1840">
        <f t="shared" si="132"/>
        <v>8577.4700374666354</v>
      </c>
      <c r="BW167" s="2064" t="e">
        <f>INT(#REF!)=INT(BA167)</f>
        <v>#REF!</v>
      </c>
      <c r="BX167" s="2064">
        <v>160</v>
      </c>
      <c r="BY167" s="2064" t="s">
        <v>512</v>
      </c>
    </row>
    <row r="168" spans="1:77" s="1976" customFormat="1" ht="62" x14ac:dyDescent="0.35">
      <c r="A168" s="1372" t="s">
        <v>3040</v>
      </c>
      <c r="B168" s="1372" t="s">
        <v>248</v>
      </c>
      <c r="C168" s="1637">
        <v>0</v>
      </c>
      <c r="D168" s="2053" t="str">
        <f>'[9]5.3.4'!$A$2</f>
        <v>5.3.4</v>
      </c>
      <c r="E168" s="1372" t="s">
        <v>201</v>
      </c>
      <c r="F168" s="1638">
        <v>52</v>
      </c>
      <c r="G168" s="1638">
        <v>52</v>
      </c>
      <c r="H168" s="1638">
        <v>52</v>
      </c>
      <c r="I168" s="1638">
        <v>52</v>
      </c>
      <c r="J168" s="1372" t="str">
        <f>+'[9]5.3.4'!$B$30</f>
        <v>S-HVC-DINS-V06-160601</v>
      </c>
      <c r="K168" s="1372" t="str">
        <f t="shared" si="108"/>
        <v>Nicor Gas PY7-PY10 Adjustable Goals Template_2017-06-30, Tab 5.3.4</v>
      </c>
      <c r="L168" s="1639">
        <v>181.00609989316251</v>
      </c>
      <c r="M168" s="1639">
        <v>181.00609989316251</v>
      </c>
      <c r="N168" s="1639">
        <v>181.00609989316251</v>
      </c>
      <c r="O168" s="1639">
        <v>181.00609989316251</v>
      </c>
      <c r="P168" s="1637">
        <v>1.05</v>
      </c>
      <c r="Q168" s="1637">
        <v>1.05</v>
      </c>
      <c r="R168" s="1637">
        <v>1.05</v>
      </c>
      <c r="S168" s="1637">
        <v>1.05</v>
      </c>
      <c r="T168" s="1640">
        <f t="shared" si="109"/>
        <v>9882.933054166675</v>
      </c>
      <c r="U168" s="1640">
        <f t="shared" si="110"/>
        <v>9882.933054166675</v>
      </c>
      <c r="V168" s="1640">
        <f t="shared" si="111"/>
        <v>9882.933054166675</v>
      </c>
      <c r="W168" s="1640">
        <f t="shared" si="112"/>
        <v>9882.933054166675</v>
      </c>
      <c r="X168" s="1640">
        <f t="shared" si="113"/>
        <v>39531.7322166667</v>
      </c>
      <c r="Y168" s="1372" t="str">
        <f t="shared" si="136"/>
        <v>S-HVC-DINS-V06-160601</v>
      </c>
      <c r="Z168" s="1372" t="str">
        <f t="shared" si="133"/>
        <v>Nicor Gas PY7-PY10 Adjustable Goals Template_2017-06-30, Tab 5.3.4</v>
      </c>
      <c r="AA168" s="1840">
        <f t="shared" si="134"/>
        <v>181.00609989316251</v>
      </c>
      <c r="AB168" s="2028"/>
      <c r="AC168" s="1840">
        <f t="shared" si="114"/>
        <v>9882.933054166675</v>
      </c>
      <c r="AD168" s="1840">
        <f t="shared" si="115"/>
        <v>0</v>
      </c>
      <c r="AE168" s="1372" t="s">
        <v>3010</v>
      </c>
      <c r="AF168" s="1372" t="s">
        <v>3400</v>
      </c>
      <c r="AG168" s="1639">
        <v>181.00609989316251</v>
      </c>
      <c r="AH168" s="1372" t="s">
        <v>3445</v>
      </c>
      <c r="AI168" s="1640">
        <f t="shared" si="116"/>
        <v>9882.933054166675</v>
      </c>
      <c r="AJ168" s="1638">
        <f t="shared" si="117"/>
        <v>0</v>
      </c>
      <c r="AK168" s="1372" t="s">
        <v>3010</v>
      </c>
      <c r="AL168" s="1372" t="s">
        <v>3400</v>
      </c>
      <c r="AM168" s="1639">
        <v>181.00609989316251</v>
      </c>
      <c r="AN168" s="1372" t="str">
        <f t="shared" si="135"/>
        <v>No change</v>
      </c>
      <c r="AO168" s="1640">
        <f t="shared" si="118"/>
        <v>9882.933054166675</v>
      </c>
      <c r="AP168" s="1638">
        <f t="shared" si="119"/>
        <v>0</v>
      </c>
      <c r="AQ168" s="1372" t="s">
        <v>3010</v>
      </c>
      <c r="AR168" s="1372" t="s">
        <v>3400</v>
      </c>
      <c r="AS168" s="1639">
        <v>181.00609989316251</v>
      </c>
      <c r="AT168" s="1372" t="str">
        <f>$AH168</f>
        <v>No change</v>
      </c>
      <c r="AU168" s="1640">
        <f t="shared" si="120"/>
        <v>9882.933054166675</v>
      </c>
      <c r="AV168" s="1638">
        <f t="shared" si="121"/>
        <v>0</v>
      </c>
      <c r="AW168" s="2044">
        <f t="shared" si="122"/>
        <v>9882.933054166675</v>
      </c>
      <c r="AX168" s="2044">
        <f t="shared" si="123"/>
        <v>9882.933054166675</v>
      </c>
      <c r="AY168" s="2044">
        <f t="shared" si="124"/>
        <v>9882.933054166675</v>
      </c>
      <c r="AZ168" s="2044">
        <f t="shared" si="125"/>
        <v>9882.933054166675</v>
      </c>
      <c r="BA168" s="2045">
        <f t="shared" si="126"/>
        <v>39531.7322166667</v>
      </c>
      <c r="BB168" s="2045" t="str">
        <f>'[9]5.3.4'!$A$2</f>
        <v>5.3.4</v>
      </c>
      <c r="BC168" s="2045" t="str">
        <f>'[9]5.3.4'!$A$2</f>
        <v>5.3.4</v>
      </c>
      <c r="BD168" s="2045">
        <v>0</v>
      </c>
      <c r="BE168" s="2051">
        <v>20</v>
      </c>
      <c r="BF168" s="2051">
        <v>20</v>
      </c>
      <c r="BG168" s="2051">
        <v>20</v>
      </c>
      <c r="BH168" s="2051">
        <v>20</v>
      </c>
      <c r="BI168" s="2045">
        <f t="shared" si="104"/>
        <v>197658.66108333346</v>
      </c>
      <c r="BJ168" s="2045">
        <f t="shared" si="105"/>
        <v>197658.66108333346</v>
      </c>
      <c r="BK168" s="2045">
        <f t="shared" si="106"/>
        <v>197658.66108333346</v>
      </c>
      <c r="BL168" s="2045">
        <f t="shared" si="107"/>
        <v>197658.66108333346</v>
      </c>
      <c r="BM168" s="2045">
        <f t="shared" si="127"/>
        <v>790634.64433333382</v>
      </c>
      <c r="BN168" s="2047">
        <v>20</v>
      </c>
      <c r="BO168" s="2047">
        <v>20</v>
      </c>
      <c r="BP168" s="2047">
        <v>20</v>
      </c>
      <c r="BQ168" s="2047">
        <v>20</v>
      </c>
      <c r="BR168" s="2048">
        <f t="shared" si="128"/>
        <v>197658.66108333346</v>
      </c>
      <c r="BS168" s="2048">
        <f t="shared" si="129"/>
        <v>197658.66108333346</v>
      </c>
      <c r="BT168" s="2048">
        <f t="shared" si="130"/>
        <v>197658.66108333346</v>
      </c>
      <c r="BU168" s="2048">
        <f t="shared" si="131"/>
        <v>197658.66108333346</v>
      </c>
      <c r="BV168" s="1840">
        <f t="shared" si="132"/>
        <v>790634.64433333382</v>
      </c>
      <c r="BW168" s="2064" t="e">
        <f>INT(#REF!)=INT(BA168)</f>
        <v>#REF!</v>
      </c>
      <c r="BX168" s="2064">
        <v>161</v>
      </c>
      <c r="BY168" s="2064" t="s">
        <v>512</v>
      </c>
    </row>
    <row r="169" spans="1:77" s="1976" customFormat="1" ht="62" x14ac:dyDescent="0.35">
      <c r="A169" s="1372" t="s">
        <v>3040</v>
      </c>
      <c r="B169" s="1372" t="s">
        <v>259</v>
      </c>
      <c r="C169" s="1637">
        <v>0</v>
      </c>
      <c r="D169" s="2056" t="str">
        <f>'[9]5.6.4'!$A$2</f>
        <v>5.6.4</v>
      </c>
      <c r="E169" s="1843" t="s">
        <v>201</v>
      </c>
      <c r="F169" s="1638">
        <v>1</v>
      </c>
      <c r="G169" s="1638">
        <v>1</v>
      </c>
      <c r="H169" s="1638">
        <v>1</v>
      </c>
      <c r="I169" s="1638">
        <v>1</v>
      </c>
      <c r="J169" s="1372" t="str">
        <f>+'[9]5.6.4'!$B$29</f>
        <v>RS-SHL-AINS-V07-180101</v>
      </c>
      <c r="K169" s="1372" t="str">
        <f t="shared" si="108"/>
        <v>Nicor Gas PY7-PY10 Adjustable Goals Template_2017-06-30, Tab 5.6.4</v>
      </c>
      <c r="L169" s="1639">
        <v>177.0940497558943</v>
      </c>
      <c r="M169" s="1639">
        <v>177.0940497558943</v>
      </c>
      <c r="N169" s="1639">
        <v>177.0940497558943</v>
      </c>
      <c r="O169" s="1639">
        <v>177.0940497558943</v>
      </c>
      <c r="P169" s="1637">
        <v>1.05</v>
      </c>
      <c r="Q169" s="1637">
        <v>1.05</v>
      </c>
      <c r="R169" s="1637">
        <v>1.05</v>
      </c>
      <c r="S169" s="1637">
        <v>1.05</v>
      </c>
      <c r="T169" s="1640">
        <f t="shared" si="109"/>
        <v>185.94875224368903</v>
      </c>
      <c r="U169" s="1640">
        <f t="shared" si="110"/>
        <v>185.94875224368903</v>
      </c>
      <c r="V169" s="1640">
        <f t="shared" si="111"/>
        <v>185.94875224368903</v>
      </c>
      <c r="W169" s="1640">
        <f t="shared" si="112"/>
        <v>185.94875224368903</v>
      </c>
      <c r="X169" s="1640">
        <f t="shared" si="113"/>
        <v>743.79500897475612</v>
      </c>
      <c r="Y169" s="1372" t="str">
        <f t="shared" si="136"/>
        <v>RS-SHL-AINS-V07-180101</v>
      </c>
      <c r="Z169" s="1372" t="str">
        <f t="shared" si="133"/>
        <v>Nicor Gas PY7-PY10 Adjustable Goals Template_2017-06-30, Tab 5.6.4</v>
      </c>
      <c r="AA169" s="2024">
        <f t="shared" si="134"/>
        <v>177.0940497558943</v>
      </c>
      <c r="AB169" s="2028"/>
      <c r="AC169" s="1840">
        <f t="shared" si="114"/>
        <v>185.94875224368903</v>
      </c>
      <c r="AD169" s="1840">
        <f t="shared" si="115"/>
        <v>0</v>
      </c>
      <c r="AE169" s="1372" t="s">
        <v>2806</v>
      </c>
      <c r="AF169" s="1372" t="s">
        <v>3399</v>
      </c>
      <c r="AG169" s="1981">
        <f>M169</f>
        <v>177.0940497558943</v>
      </c>
      <c r="AH169" s="1372" t="s">
        <v>3446</v>
      </c>
      <c r="AI169" s="1640">
        <f t="shared" si="116"/>
        <v>185.94875224368903</v>
      </c>
      <c r="AJ169" s="1638">
        <f t="shared" si="117"/>
        <v>0</v>
      </c>
      <c r="AK169" s="1372" t="s">
        <v>2806</v>
      </c>
      <c r="AL169" s="1372" t="s">
        <v>3399</v>
      </c>
      <c r="AM169" s="1981">
        <f>N169</f>
        <v>177.0940497558943</v>
      </c>
      <c r="AN169" s="1372" t="str">
        <f t="shared" si="135"/>
        <v>Refer TRM V.7 Updates</v>
      </c>
      <c r="AO169" s="1640">
        <f t="shared" si="118"/>
        <v>185.94875224368903</v>
      </c>
      <c r="AP169" s="1638">
        <f t="shared" si="119"/>
        <v>0</v>
      </c>
      <c r="AQ169" s="1372" t="s">
        <v>2806</v>
      </c>
      <c r="AR169" s="1372" t="s">
        <v>3399</v>
      </c>
      <c r="AS169" s="1981">
        <f>O169</f>
        <v>177.0940497558943</v>
      </c>
      <c r="AT169" s="1372" t="str">
        <f t="shared" ref="AT169:AT175" si="137">AH169</f>
        <v>Refer TRM V.7 Updates</v>
      </c>
      <c r="AU169" s="1640">
        <f t="shared" si="120"/>
        <v>185.94875224368903</v>
      </c>
      <c r="AV169" s="1638">
        <f t="shared" si="121"/>
        <v>0</v>
      </c>
      <c r="AW169" s="2044">
        <f t="shared" si="122"/>
        <v>185.94875224368903</v>
      </c>
      <c r="AX169" s="2044">
        <f t="shared" si="123"/>
        <v>185.94875224368903</v>
      </c>
      <c r="AY169" s="2044">
        <f t="shared" si="124"/>
        <v>185.94875224368903</v>
      </c>
      <c r="AZ169" s="2044">
        <f t="shared" si="125"/>
        <v>185.94875224368903</v>
      </c>
      <c r="BA169" s="2045">
        <f t="shared" si="126"/>
        <v>743.79500897475612</v>
      </c>
      <c r="BB169" s="2045" t="str">
        <f>'[9]5.6.4'!$A$2</f>
        <v>5.6.4</v>
      </c>
      <c r="BC169" s="2045" t="str">
        <f>'[9]5.6.4'!$A$2</f>
        <v>5.6.4</v>
      </c>
      <c r="BD169" s="2121">
        <v>1</v>
      </c>
      <c r="BE169" s="2051">
        <v>25</v>
      </c>
      <c r="BF169" s="2051">
        <v>25</v>
      </c>
      <c r="BG169" s="2051">
        <v>25</v>
      </c>
      <c r="BH169" s="2051">
        <v>25</v>
      </c>
      <c r="BI169" s="2045">
        <f t="shared" si="104"/>
        <v>4648.7188060922253</v>
      </c>
      <c r="BJ169" s="2045">
        <f t="shared" si="105"/>
        <v>4648.7188060922253</v>
      </c>
      <c r="BK169" s="2045">
        <f t="shared" si="106"/>
        <v>4648.7188060922253</v>
      </c>
      <c r="BL169" s="2045">
        <f t="shared" si="107"/>
        <v>4648.7188060922253</v>
      </c>
      <c r="BM169" s="2045">
        <f t="shared" si="127"/>
        <v>18594.875224368901</v>
      </c>
      <c r="BN169" s="2047">
        <v>25</v>
      </c>
      <c r="BO169" s="2050">
        <v>20</v>
      </c>
      <c r="BP169" s="2050">
        <v>20</v>
      </c>
      <c r="BQ169" s="2050">
        <v>20</v>
      </c>
      <c r="BR169" s="2048">
        <f t="shared" si="128"/>
        <v>4648.7188060922253</v>
      </c>
      <c r="BS169" s="2048">
        <f t="shared" si="129"/>
        <v>3718.9750448737805</v>
      </c>
      <c r="BT169" s="2048">
        <f t="shared" si="130"/>
        <v>3718.9750448737805</v>
      </c>
      <c r="BU169" s="2048">
        <f t="shared" si="131"/>
        <v>3718.9750448737805</v>
      </c>
      <c r="BV169" s="1840">
        <f t="shared" si="132"/>
        <v>15805.643940713566</v>
      </c>
      <c r="BW169" s="2064" t="e">
        <f>INT(#REF!)=INT(BA169)</f>
        <v>#REF!</v>
      </c>
      <c r="BX169" s="2064">
        <v>162</v>
      </c>
      <c r="BY169" s="2064" t="s">
        <v>512</v>
      </c>
    </row>
    <row r="170" spans="1:77" s="1976" customFormat="1" ht="62" x14ac:dyDescent="0.35">
      <c r="A170" s="1372" t="s">
        <v>3040</v>
      </c>
      <c r="B170" s="1372" t="s">
        <v>261</v>
      </c>
      <c r="C170" s="1637">
        <v>0</v>
      </c>
      <c r="D170" s="2056" t="str">
        <f>'[9]5.6.2'!$A$1</f>
        <v>5.6.2</v>
      </c>
      <c r="E170" s="1843" t="s">
        <v>201</v>
      </c>
      <c r="F170" s="1638">
        <v>6</v>
      </c>
      <c r="G170" s="1638">
        <v>6</v>
      </c>
      <c r="H170" s="1638">
        <v>6</v>
      </c>
      <c r="I170" s="1638">
        <v>6</v>
      </c>
      <c r="J170" s="1372" t="str">
        <f>+'[9]5.6.2'!$B$14</f>
        <v>RS-SHL-BINS-V08-180101</v>
      </c>
      <c r="K170" s="1372" t="str">
        <f t="shared" si="108"/>
        <v>Nicor Gas PY7-PY10 Adjustable Goals Template_2017-06-30, Tab 5.6.2</v>
      </c>
      <c r="L170" s="1639">
        <v>123.99008162266374</v>
      </c>
      <c r="M170" s="1639">
        <v>123.99008162266374</v>
      </c>
      <c r="N170" s="1639">
        <v>123.99008162266374</v>
      </c>
      <c r="O170" s="1639">
        <v>123.99008162266374</v>
      </c>
      <c r="P170" s="1637">
        <v>1.05</v>
      </c>
      <c r="Q170" s="1637">
        <v>1.05</v>
      </c>
      <c r="R170" s="1637">
        <v>1.05</v>
      </c>
      <c r="S170" s="1637">
        <v>1.05</v>
      </c>
      <c r="T170" s="1640">
        <f t="shared" si="109"/>
        <v>781.13751422278153</v>
      </c>
      <c r="U170" s="1640">
        <f t="shared" si="110"/>
        <v>781.13751422278153</v>
      </c>
      <c r="V170" s="1640">
        <f t="shared" si="111"/>
        <v>781.13751422278153</v>
      </c>
      <c r="W170" s="1640">
        <f t="shared" si="112"/>
        <v>781.13751422278153</v>
      </c>
      <c r="X170" s="1640">
        <f t="shared" si="113"/>
        <v>3124.5500568911261</v>
      </c>
      <c r="Y170" s="1372" t="str">
        <f t="shared" si="136"/>
        <v>RS-SHL-BINS-V08-180101</v>
      </c>
      <c r="Z170" s="1372" t="str">
        <f t="shared" si="133"/>
        <v>Nicor Gas PY7-PY10 Adjustable Goals Template_2017-06-30, Tab 5.6.2</v>
      </c>
      <c r="AA170" s="2024">
        <f t="shared" si="134"/>
        <v>123.99008162266374</v>
      </c>
      <c r="AB170" s="2028"/>
      <c r="AC170" s="1840">
        <f t="shared" si="114"/>
        <v>781.13751422278153</v>
      </c>
      <c r="AD170" s="1840">
        <f t="shared" si="115"/>
        <v>0</v>
      </c>
      <c r="AE170" s="1372" t="s">
        <v>2805</v>
      </c>
      <c r="AF170" s="1372" t="s">
        <v>3401</v>
      </c>
      <c r="AG170" s="1846">
        <f>M170</f>
        <v>123.99008162266374</v>
      </c>
      <c r="AH170" s="1372" t="s">
        <v>3446</v>
      </c>
      <c r="AI170" s="1640">
        <f t="shared" si="116"/>
        <v>781.13751422278153</v>
      </c>
      <c r="AJ170" s="1638">
        <f t="shared" si="117"/>
        <v>0</v>
      </c>
      <c r="AK170" s="1372" t="s">
        <v>2805</v>
      </c>
      <c r="AL170" s="1372" t="s">
        <v>3401</v>
      </c>
      <c r="AM170" s="1846">
        <f>N170</f>
        <v>123.99008162266374</v>
      </c>
      <c r="AN170" s="1372" t="str">
        <f t="shared" si="135"/>
        <v>Refer TRM V.7 Updates</v>
      </c>
      <c r="AO170" s="1640">
        <f t="shared" si="118"/>
        <v>781.13751422278153</v>
      </c>
      <c r="AP170" s="1638">
        <f t="shared" si="119"/>
        <v>0</v>
      </c>
      <c r="AQ170" s="1372" t="s">
        <v>2805</v>
      </c>
      <c r="AR170" s="1372" t="s">
        <v>3401</v>
      </c>
      <c r="AS170" s="1846">
        <f>O170</f>
        <v>123.99008162266374</v>
      </c>
      <c r="AT170" s="1372" t="str">
        <f t="shared" si="137"/>
        <v>Refer TRM V.7 Updates</v>
      </c>
      <c r="AU170" s="1640">
        <f t="shared" si="120"/>
        <v>781.13751422278153</v>
      </c>
      <c r="AV170" s="1638">
        <f t="shared" si="121"/>
        <v>0</v>
      </c>
      <c r="AW170" s="2044">
        <f t="shared" si="122"/>
        <v>781.13751422278153</v>
      </c>
      <c r="AX170" s="2044">
        <f t="shared" si="123"/>
        <v>781.13751422278153</v>
      </c>
      <c r="AY170" s="2044">
        <f t="shared" si="124"/>
        <v>781.13751422278153</v>
      </c>
      <c r="AZ170" s="2044">
        <f t="shared" si="125"/>
        <v>781.13751422278153</v>
      </c>
      <c r="BA170" s="2045">
        <f t="shared" si="126"/>
        <v>3124.5500568911261</v>
      </c>
      <c r="BB170" s="2045" t="str">
        <f>'[9]5.6.2'!$A$1</f>
        <v>5.6.2</v>
      </c>
      <c r="BC170" s="2045" t="str">
        <f>'[9]5.6.2'!$A$1</f>
        <v>5.6.2</v>
      </c>
      <c r="BD170" s="2121">
        <v>1</v>
      </c>
      <c r="BE170" s="2051">
        <v>25</v>
      </c>
      <c r="BF170" s="2051">
        <v>25</v>
      </c>
      <c r="BG170" s="2051">
        <v>25</v>
      </c>
      <c r="BH170" s="2051">
        <v>25</v>
      </c>
      <c r="BI170" s="2045">
        <f t="shared" si="104"/>
        <v>19528.43785556954</v>
      </c>
      <c r="BJ170" s="2045">
        <f t="shared" si="105"/>
        <v>19528.43785556954</v>
      </c>
      <c r="BK170" s="2045">
        <f t="shared" si="106"/>
        <v>19528.43785556954</v>
      </c>
      <c r="BL170" s="2045">
        <f t="shared" si="107"/>
        <v>19528.43785556954</v>
      </c>
      <c r="BM170" s="2045">
        <f t="shared" si="127"/>
        <v>78113.751422278161</v>
      </c>
      <c r="BN170" s="2047">
        <v>25</v>
      </c>
      <c r="BO170" s="2050">
        <v>20</v>
      </c>
      <c r="BP170" s="2050">
        <v>20</v>
      </c>
      <c r="BQ170" s="2050">
        <v>20</v>
      </c>
      <c r="BR170" s="2048">
        <f t="shared" si="128"/>
        <v>19528.43785556954</v>
      </c>
      <c r="BS170" s="2048">
        <f t="shared" si="129"/>
        <v>15622.750284455633</v>
      </c>
      <c r="BT170" s="2048">
        <f t="shared" si="130"/>
        <v>15622.750284455633</v>
      </c>
      <c r="BU170" s="2048">
        <f t="shared" si="131"/>
        <v>15622.750284455633</v>
      </c>
      <c r="BV170" s="1840">
        <f t="shared" si="132"/>
        <v>66396.688708936432</v>
      </c>
      <c r="BW170" s="2064" t="e">
        <f>INT(#REF!)=INT(BA170)</f>
        <v>#REF!</v>
      </c>
      <c r="BX170" s="2064">
        <v>163</v>
      </c>
      <c r="BY170" s="2064" t="s">
        <v>512</v>
      </c>
    </row>
    <row r="171" spans="1:77" s="1976" customFormat="1" ht="62" x14ac:dyDescent="0.35">
      <c r="A171" s="1372" t="s">
        <v>3040</v>
      </c>
      <c r="B171" s="1372" t="s">
        <v>260</v>
      </c>
      <c r="C171" s="1637">
        <v>1</v>
      </c>
      <c r="D171" s="2055" t="str">
        <f>'[9]5.6.1'!$A$2</f>
        <v>5.6.1</v>
      </c>
      <c r="E171" s="1372" t="s">
        <v>201</v>
      </c>
      <c r="F171" s="1638">
        <v>864</v>
      </c>
      <c r="G171" s="1638">
        <v>864</v>
      </c>
      <c r="H171" s="1638">
        <v>864</v>
      </c>
      <c r="I171" s="1638">
        <v>864</v>
      </c>
      <c r="J171" s="1372" t="str">
        <f>+'[9]5.6.1'!$B$24</f>
        <v>RS-SHL-AIRS-V06-180101</v>
      </c>
      <c r="K171" s="1372" t="str">
        <f t="shared" si="108"/>
        <v>Nicor Gas PY7-PY10 Adjustable Goals Template_2017-06-30, Tab 5.6.1</v>
      </c>
      <c r="L171" s="1639">
        <v>83.921658638743438</v>
      </c>
      <c r="M171" s="1639">
        <v>83.921658638743438</v>
      </c>
      <c r="N171" s="1639">
        <v>83.921658638743438</v>
      </c>
      <c r="O171" s="1639">
        <v>83.921658638743438</v>
      </c>
      <c r="P171" s="1637">
        <v>1.05</v>
      </c>
      <c r="Q171" s="1637">
        <v>1.05</v>
      </c>
      <c r="R171" s="1637">
        <v>1.05</v>
      </c>
      <c r="S171" s="1637">
        <v>1.05</v>
      </c>
      <c r="T171" s="1640">
        <f t="shared" si="109"/>
        <v>76133.72871706805</v>
      </c>
      <c r="U171" s="1640">
        <f t="shared" si="110"/>
        <v>76133.72871706805</v>
      </c>
      <c r="V171" s="1640">
        <f t="shared" si="111"/>
        <v>76133.72871706805</v>
      </c>
      <c r="W171" s="1640">
        <f t="shared" si="112"/>
        <v>76133.72871706805</v>
      </c>
      <c r="X171" s="1640">
        <f t="shared" si="113"/>
        <v>304534.9148682722</v>
      </c>
      <c r="Y171" s="1372" t="str">
        <f t="shared" si="136"/>
        <v>RS-SHL-AIRS-V06-180101</v>
      </c>
      <c r="Z171" s="1372" t="str">
        <f t="shared" si="133"/>
        <v>Nicor Gas PY7-PY10 Adjustable Goals Template_2017-06-30, Tab 5.6.1</v>
      </c>
      <c r="AA171" s="2024">
        <f t="shared" si="134"/>
        <v>83.921658638743438</v>
      </c>
      <c r="AB171" s="2028"/>
      <c r="AC171" s="1840">
        <f t="shared" si="114"/>
        <v>76133.72871706805</v>
      </c>
      <c r="AD171" s="1840">
        <f t="shared" si="115"/>
        <v>0</v>
      </c>
      <c r="AE171" s="1372" t="s">
        <v>2804</v>
      </c>
      <c r="AF171" s="1372" t="s">
        <v>3398</v>
      </c>
      <c r="AG171" s="1988">
        <v>60.423594219895271</v>
      </c>
      <c r="AH171" s="1372" t="s">
        <v>3446</v>
      </c>
      <c r="AI171" s="1640">
        <f t="shared" si="116"/>
        <v>54816.284676288997</v>
      </c>
      <c r="AJ171" s="1638">
        <f t="shared" si="117"/>
        <v>-21317.444040779053</v>
      </c>
      <c r="AK171" s="1372" t="s">
        <v>2804</v>
      </c>
      <c r="AL171" s="1372" t="s">
        <v>3398</v>
      </c>
      <c r="AM171" s="1988">
        <v>60.423594219895271</v>
      </c>
      <c r="AN171" s="1372" t="str">
        <f t="shared" si="135"/>
        <v>Refer TRM V.7 Updates</v>
      </c>
      <c r="AO171" s="1640">
        <f t="shared" si="118"/>
        <v>54816.284676288997</v>
      </c>
      <c r="AP171" s="1638">
        <f t="shared" si="119"/>
        <v>-21317.444040779053</v>
      </c>
      <c r="AQ171" s="1372" t="s">
        <v>2804</v>
      </c>
      <c r="AR171" s="1372" t="s">
        <v>3398</v>
      </c>
      <c r="AS171" s="1988">
        <v>60.423594219895271</v>
      </c>
      <c r="AT171" s="1372" t="str">
        <f t="shared" si="137"/>
        <v>Refer TRM V.7 Updates</v>
      </c>
      <c r="AU171" s="1640">
        <f t="shared" si="120"/>
        <v>54816.284676288997</v>
      </c>
      <c r="AV171" s="1638">
        <f t="shared" si="121"/>
        <v>-21317.444040779053</v>
      </c>
      <c r="AW171" s="2044">
        <f t="shared" si="122"/>
        <v>76133.72871706805</v>
      </c>
      <c r="AX171" s="2044">
        <f t="shared" si="123"/>
        <v>54816.284676288997</v>
      </c>
      <c r="AY171" s="2044">
        <f t="shared" si="124"/>
        <v>54816.284676288997</v>
      </c>
      <c r="AZ171" s="2044">
        <f t="shared" si="125"/>
        <v>54816.284676288997</v>
      </c>
      <c r="BA171" s="2045">
        <f t="shared" si="126"/>
        <v>240582.58274593507</v>
      </c>
      <c r="BB171" s="2045" t="str">
        <f>'[9]5.6.1'!$A$2</f>
        <v>5.6.1</v>
      </c>
      <c r="BC171" s="2045" t="str">
        <f>'[9]5.6.1'!$A$2</f>
        <v>5.6.1</v>
      </c>
      <c r="BD171" s="2121">
        <v>1</v>
      </c>
      <c r="BE171" s="2051">
        <v>15</v>
      </c>
      <c r="BF171" s="2051">
        <v>15</v>
      </c>
      <c r="BG171" s="2051">
        <v>15</v>
      </c>
      <c r="BH171" s="2051">
        <v>15</v>
      </c>
      <c r="BI171" s="2045">
        <f t="shared" si="104"/>
        <v>1142005.9307560208</v>
      </c>
      <c r="BJ171" s="2045">
        <f t="shared" si="105"/>
        <v>1142005.9307560208</v>
      </c>
      <c r="BK171" s="2045">
        <f t="shared" si="106"/>
        <v>1142005.9307560208</v>
      </c>
      <c r="BL171" s="2045">
        <f t="shared" si="107"/>
        <v>1142005.9307560208</v>
      </c>
      <c r="BM171" s="2045">
        <f t="shared" si="127"/>
        <v>4568023.7230240833</v>
      </c>
      <c r="BN171" s="2047">
        <v>15</v>
      </c>
      <c r="BO171" s="2050">
        <v>20</v>
      </c>
      <c r="BP171" s="2050">
        <v>20</v>
      </c>
      <c r="BQ171" s="2050">
        <v>20</v>
      </c>
      <c r="BR171" s="2048">
        <f t="shared" si="128"/>
        <v>1142005.9307560208</v>
      </c>
      <c r="BS171" s="2048">
        <f t="shared" si="129"/>
        <v>1096325.6935257798</v>
      </c>
      <c r="BT171" s="2048">
        <f t="shared" si="130"/>
        <v>1096325.6935257798</v>
      </c>
      <c r="BU171" s="2048">
        <f t="shared" si="131"/>
        <v>1096325.6935257798</v>
      </c>
      <c r="BV171" s="1840">
        <f t="shared" si="132"/>
        <v>4430983.0113333603</v>
      </c>
      <c r="BW171" s="2064" t="e">
        <f>INT(#REF!)=INT(BA171)</f>
        <v>#REF!</v>
      </c>
      <c r="BX171" s="2064">
        <v>164</v>
      </c>
      <c r="BY171" s="2064" t="s">
        <v>512</v>
      </c>
    </row>
    <row r="172" spans="1:77" s="1976" customFormat="1" ht="62" x14ac:dyDescent="0.35">
      <c r="A172" s="1372" t="s">
        <v>3040</v>
      </c>
      <c r="B172" s="1372" t="s">
        <v>255</v>
      </c>
      <c r="C172" s="1637">
        <v>1</v>
      </c>
      <c r="D172" s="2055" t="str">
        <f>'[9]5.6.4'!$A$2</f>
        <v>5.6.4</v>
      </c>
      <c r="E172" s="1372" t="s">
        <v>201</v>
      </c>
      <c r="F172" s="1638">
        <v>94</v>
      </c>
      <c r="G172" s="1638">
        <v>94</v>
      </c>
      <c r="H172" s="1638">
        <v>94</v>
      </c>
      <c r="I172" s="1638">
        <v>94</v>
      </c>
      <c r="J172" s="1372" t="str">
        <f>+'[9]5.6.4'!$B$29</f>
        <v>RS-SHL-AINS-V07-180101</v>
      </c>
      <c r="K172" s="1372" t="str">
        <f t="shared" si="108"/>
        <v>Nicor Gas PY7-PY10 Adjustable Goals Template_2017-06-30, Tab 5.6.4</v>
      </c>
      <c r="L172" s="1639">
        <v>169.41163622478197</v>
      </c>
      <c r="M172" s="1639">
        <v>169.41163622478197</v>
      </c>
      <c r="N172" s="1639">
        <v>169.41163622478197</v>
      </c>
      <c r="O172" s="1639">
        <v>169.41163622478197</v>
      </c>
      <c r="P172" s="1637">
        <v>1.05</v>
      </c>
      <c r="Q172" s="1637">
        <v>1.05</v>
      </c>
      <c r="R172" s="1637">
        <v>1.05</v>
      </c>
      <c r="S172" s="1637">
        <v>1.05</v>
      </c>
      <c r="T172" s="1640">
        <f t="shared" si="109"/>
        <v>16720.928495385982</v>
      </c>
      <c r="U172" s="1640">
        <f t="shared" si="110"/>
        <v>16720.928495385982</v>
      </c>
      <c r="V172" s="1640">
        <f t="shared" si="111"/>
        <v>16720.928495385982</v>
      </c>
      <c r="W172" s="1640">
        <f t="shared" si="112"/>
        <v>16720.928495385982</v>
      </c>
      <c r="X172" s="1640">
        <f t="shared" si="113"/>
        <v>66883.71398154393</v>
      </c>
      <c r="Y172" s="1372" t="str">
        <f t="shared" si="136"/>
        <v>RS-SHL-AINS-V07-180101</v>
      </c>
      <c r="Z172" s="1372" t="str">
        <f t="shared" si="133"/>
        <v>Nicor Gas PY7-PY10 Adjustable Goals Template_2017-06-30, Tab 5.6.4</v>
      </c>
      <c r="AA172" s="2024">
        <f t="shared" si="134"/>
        <v>169.41163622478197</v>
      </c>
      <c r="AB172" s="2028"/>
      <c r="AC172" s="1840">
        <f t="shared" si="114"/>
        <v>16720.928495385982</v>
      </c>
      <c r="AD172" s="1840">
        <f t="shared" si="115"/>
        <v>0</v>
      </c>
      <c r="AE172" s="1372" t="s">
        <v>2806</v>
      </c>
      <c r="AF172" s="1372" t="s">
        <v>3399</v>
      </c>
      <c r="AG172" s="1981">
        <v>203.43017042526313</v>
      </c>
      <c r="AH172" s="1372" t="s">
        <v>3446</v>
      </c>
      <c r="AI172" s="1640">
        <f t="shared" si="116"/>
        <v>20078.557820973474</v>
      </c>
      <c r="AJ172" s="1638">
        <f t="shared" si="117"/>
        <v>3357.6293255874916</v>
      </c>
      <c r="AK172" s="1372" t="s">
        <v>2806</v>
      </c>
      <c r="AL172" s="1372" t="s">
        <v>3399</v>
      </c>
      <c r="AM172" s="1981">
        <v>203.43017042526313</v>
      </c>
      <c r="AN172" s="1372" t="str">
        <f t="shared" si="135"/>
        <v>Refer TRM V.7 Updates</v>
      </c>
      <c r="AO172" s="1640">
        <f t="shared" si="118"/>
        <v>20078.557820973474</v>
      </c>
      <c r="AP172" s="1638">
        <f t="shared" si="119"/>
        <v>3357.6293255874916</v>
      </c>
      <c r="AQ172" s="1372" t="s">
        <v>2806</v>
      </c>
      <c r="AR172" s="1372" t="s">
        <v>3399</v>
      </c>
      <c r="AS172" s="1981">
        <v>203.43017042526313</v>
      </c>
      <c r="AT172" s="1372" t="str">
        <f t="shared" si="137"/>
        <v>Refer TRM V.7 Updates</v>
      </c>
      <c r="AU172" s="1640">
        <f t="shared" si="120"/>
        <v>20078.557820973474</v>
      </c>
      <c r="AV172" s="1638">
        <f t="shared" si="121"/>
        <v>3357.6293255874916</v>
      </c>
      <c r="AW172" s="2044">
        <f t="shared" si="122"/>
        <v>16720.928495385982</v>
      </c>
      <c r="AX172" s="2044">
        <f t="shared" si="123"/>
        <v>20078.557820973474</v>
      </c>
      <c r="AY172" s="2044">
        <f t="shared" si="124"/>
        <v>20078.557820973474</v>
      </c>
      <c r="AZ172" s="2044">
        <f t="shared" si="125"/>
        <v>20078.557820973474</v>
      </c>
      <c r="BA172" s="2045">
        <f t="shared" si="126"/>
        <v>76956.601958306404</v>
      </c>
      <c r="BB172" s="2045" t="str">
        <f>'[9]5.6.4'!$A$2</f>
        <v>5.6.4</v>
      </c>
      <c r="BC172" s="2045" t="str">
        <f>'[9]5.6.4'!$A$2</f>
        <v>5.6.4</v>
      </c>
      <c r="BD172" s="2121">
        <v>1</v>
      </c>
      <c r="BE172" s="2051">
        <v>25</v>
      </c>
      <c r="BF172" s="2051">
        <v>25</v>
      </c>
      <c r="BG172" s="2051">
        <v>25</v>
      </c>
      <c r="BH172" s="2051">
        <v>25</v>
      </c>
      <c r="BI172" s="2045">
        <f t="shared" si="104"/>
        <v>418023.21238464955</v>
      </c>
      <c r="BJ172" s="2045">
        <f t="shared" si="105"/>
        <v>418023.21238464955</v>
      </c>
      <c r="BK172" s="2045">
        <f t="shared" si="106"/>
        <v>418023.21238464955</v>
      </c>
      <c r="BL172" s="2045">
        <f t="shared" si="107"/>
        <v>418023.21238464955</v>
      </c>
      <c r="BM172" s="2045">
        <f t="shared" si="127"/>
        <v>1672092.8495385982</v>
      </c>
      <c r="BN172" s="2047">
        <v>25</v>
      </c>
      <c r="BO172" s="2050">
        <v>20</v>
      </c>
      <c r="BP172" s="2050">
        <v>20</v>
      </c>
      <c r="BQ172" s="2050">
        <v>20</v>
      </c>
      <c r="BR172" s="2048">
        <f t="shared" si="128"/>
        <v>418023.21238464955</v>
      </c>
      <c r="BS172" s="2048">
        <f t="shared" si="129"/>
        <v>401571.15641946939</v>
      </c>
      <c r="BT172" s="2048">
        <f t="shared" si="130"/>
        <v>401571.15641946939</v>
      </c>
      <c r="BU172" s="2048">
        <f t="shared" si="131"/>
        <v>401571.15641946939</v>
      </c>
      <c r="BV172" s="1840">
        <f t="shared" si="132"/>
        <v>1622736.6816430576</v>
      </c>
      <c r="BW172" s="2064" t="e">
        <f>INT(#REF!)=INT(BA172)</f>
        <v>#REF!</v>
      </c>
      <c r="BX172" s="2064">
        <v>165</v>
      </c>
      <c r="BY172" s="2064" t="s">
        <v>512</v>
      </c>
    </row>
    <row r="173" spans="1:77" s="1976" customFormat="1" ht="62" x14ac:dyDescent="0.35">
      <c r="A173" s="1372" t="s">
        <v>3040</v>
      </c>
      <c r="B173" s="1372" t="s">
        <v>256</v>
      </c>
      <c r="C173" s="1637">
        <v>1</v>
      </c>
      <c r="D173" s="2055" t="str">
        <f>'[9]5.6.4'!$A$2</f>
        <v>5.6.4</v>
      </c>
      <c r="E173" s="1372" t="s">
        <v>201</v>
      </c>
      <c r="F173" s="1638">
        <v>312</v>
      </c>
      <c r="G173" s="1638">
        <v>312</v>
      </c>
      <c r="H173" s="1638">
        <v>312</v>
      </c>
      <c r="I173" s="1638">
        <v>312</v>
      </c>
      <c r="J173" s="1372" t="str">
        <f>+'[9]5.6.4'!$B$29</f>
        <v>RS-SHL-AINS-V07-180101</v>
      </c>
      <c r="K173" s="1372" t="str">
        <f t="shared" si="108"/>
        <v>Nicor Gas PY7-PY10 Adjustable Goals Template_2017-06-30, Tab 5.6.4</v>
      </c>
      <c r="L173" s="1639">
        <v>90.976771339718709</v>
      </c>
      <c r="M173" s="1639">
        <v>90.976771339718709</v>
      </c>
      <c r="N173" s="1639">
        <v>90.976771339718709</v>
      </c>
      <c r="O173" s="1639">
        <v>90.976771339718709</v>
      </c>
      <c r="P173" s="1637">
        <v>1.05</v>
      </c>
      <c r="Q173" s="1637">
        <v>1.05</v>
      </c>
      <c r="R173" s="1637">
        <v>1.05</v>
      </c>
      <c r="S173" s="1637">
        <v>1.05</v>
      </c>
      <c r="T173" s="1640">
        <f t="shared" si="109"/>
        <v>29803.990290891852</v>
      </c>
      <c r="U173" s="1640">
        <f t="shared" si="110"/>
        <v>29803.990290891852</v>
      </c>
      <c r="V173" s="1640">
        <f t="shared" si="111"/>
        <v>29803.990290891852</v>
      </c>
      <c r="W173" s="1640">
        <f t="shared" si="112"/>
        <v>29803.990290891852</v>
      </c>
      <c r="X173" s="1640">
        <f t="shared" si="113"/>
        <v>119215.96116356741</v>
      </c>
      <c r="Y173" s="1372" t="str">
        <f t="shared" si="136"/>
        <v>RS-SHL-AINS-V07-180101</v>
      </c>
      <c r="Z173" s="1372" t="str">
        <f t="shared" si="133"/>
        <v>Nicor Gas PY7-PY10 Adjustable Goals Template_2017-06-30, Tab 5.6.4</v>
      </c>
      <c r="AA173" s="2024">
        <f t="shared" si="134"/>
        <v>90.976771339718709</v>
      </c>
      <c r="AB173" s="2028"/>
      <c r="AC173" s="1840">
        <f t="shared" si="114"/>
        <v>29803.990290891852</v>
      </c>
      <c r="AD173" s="1840">
        <f t="shared" si="115"/>
        <v>0</v>
      </c>
      <c r="AE173" s="1372" t="s">
        <v>2806</v>
      </c>
      <c r="AF173" s="1372" t="s">
        <v>3399</v>
      </c>
      <c r="AG173" s="1981">
        <v>109.24527093181956</v>
      </c>
      <c r="AH173" s="1372" t="s">
        <v>3446</v>
      </c>
      <c r="AI173" s="1640">
        <f t="shared" si="116"/>
        <v>35788.75075726409</v>
      </c>
      <c r="AJ173" s="1638">
        <f t="shared" si="117"/>
        <v>5984.7604663722377</v>
      </c>
      <c r="AK173" s="1372" t="s">
        <v>2806</v>
      </c>
      <c r="AL173" s="1372" t="s">
        <v>3399</v>
      </c>
      <c r="AM173" s="1981">
        <v>109.24527093181956</v>
      </c>
      <c r="AN173" s="1372" t="str">
        <f t="shared" si="135"/>
        <v>Refer TRM V.7 Updates</v>
      </c>
      <c r="AO173" s="1640">
        <f t="shared" si="118"/>
        <v>35788.75075726409</v>
      </c>
      <c r="AP173" s="1638">
        <f t="shared" si="119"/>
        <v>5984.7604663722377</v>
      </c>
      <c r="AQ173" s="1372" t="s">
        <v>2806</v>
      </c>
      <c r="AR173" s="1372" t="s">
        <v>3399</v>
      </c>
      <c r="AS173" s="1981">
        <v>109.24527093181956</v>
      </c>
      <c r="AT173" s="1372" t="str">
        <f t="shared" si="137"/>
        <v>Refer TRM V.7 Updates</v>
      </c>
      <c r="AU173" s="1640">
        <f t="shared" si="120"/>
        <v>35788.75075726409</v>
      </c>
      <c r="AV173" s="1638">
        <f t="shared" si="121"/>
        <v>5984.7604663722377</v>
      </c>
      <c r="AW173" s="2044">
        <f t="shared" si="122"/>
        <v>29803.990290891852</v>
      </c>
      <c r="AX173" s="2044">
        <f t="shared" si="123"/>
        <v>35788.75075726409</v>
      </c>
      <c r="AY173" s="2044">
        <f t="shared" si="124"/>
        <v>35788.75075726409</v>
      </c>
      <c r="AZ173" s="2044">
        <f t="shared" si="125"/>
        <v>35788.75075726409</v>
      </c>
      <c r="BA173" s="2045">
        <f t="shared" si="126"/>
        <v>137170.24256268411</v>
      </c>
      <c r="BB173" s="2045" t="str">
        <f>'[9]5.6.4'!$A$2</f>
        <v>5.6.4</v>
      </c>
      <c r="BC173" s="2045" t="str">
        <f>'[9]5.6.4'!$A$2</f>
        <v>5.6.4</v>
      </c>
      <c r="BD173" s="2121">
        <v>1</v>
      </c>
      <c r="BE173" s="2051">
        <v>25</v>
      </c>
      <c r="BF173" s="2051">
        <v>25</v>
      </c>
      <c r="BG173" s="2051">
        <v>25</v>
      </c>
      <c r="BH173" s="2051">
        <v>25</v>
      </c>
      <c r="BI173" s="2045">
        <f t="shared" si="104"/>
        <v>745099.75727229635</v>
      </c>
      <c r="BJ173" s="2045">
        <f t="shared" si="105"/>
        <v>745099.75727229635</v>
      </c>
      <c r="BK173" s="2045">
        <f t="shared" si="106"/>
        <v>745099.75727229635</v>
      </c>
      <c r="BL173" s="2045">
        <f t="shared" si="107"/>
        <v>745099.75727229635</v>
      </c>
      <c r="BM173" s="2045">
        <f t="shared" si="127"/>
        <v>2980399.0290891854</v>
      </c>
      <c r="BN173" s="2047">
        <v>25</v>
      </c>
      <c r="BO173" s="2050">
        <v>20</v>
      </c>
      <c r="BP173" s="2050">
        <v>20</v>
      </c>
      <c r="BQ173" s="2050">
        <v>20</v>
      </c>
      <c r="BR173" s="2048">
        <f t="shared" si="128"/>
        <v>745099.75727229635</v>
      </c>
      <c r="BS173" s="2048">
        <f t="shared" si="129"/>
        <v>715775.0151452818</v>
      </c>
      <c r="BT173" s="2048">
        <f t="shared" si="130"/>
        <v>715775.0151452818</v>
      </c>
      <c r="BU173" s="2048">
        <f t="shared" si="131"/>
        <v>715775.0151452818</v>
      </c>
      <c r="BV173" s="1840">
        <f t="shared" si="132"/>
        <v>2892424.802708142</v>
      </c>
      <c r="BW173" s="2064" t="e">
        <f>INT(#REF!)=INT(BA173)</f>
        <v>#REF!</v>
      </c>
      <c r="BX173" s="2064">
        <v>166</v>
      </c>
      <c r="BY173" s="2064" t="s">
        <v>512</v>
      </c>
    </row>
    <row r="174" spans="1:77" s="1976" customFormat="1" ht="62" x14ac:dyDescent="0.35">
      <c r="A174" s="1372" t="s">
        <v>3040</v>
      </c>
      <c r="B174" s="1372" t="s">
        <v>257</v>
      </c>
      <c r="C174" s="1637">
        <v>1</v>
      </c>
      <c r="D174" s="2055" t="str">
        <f>'[9]5.6.4'!$A$2</f>
        <v>5.6.4</v>
      </c>
      <c r="E174" s="1372" t="s">
        <v>201</v>
      </c>
      <c r="F174" s="1638">
        <v>223</v>
      </c>
      <c r="G174" s="1638">
        <v>223</v>
      </c>
      <c r="H174" s="1638">
        <v>223</v>
      </c>
      <c r="I174" s="1638">
        <v>223</v>
      </c>
      <c r="J174" s="1372" t="str">
        <f>+'[9]5.6.4'!$B$29</f>
        <v>RS-SHL-AINS-V07-180101</v>
      </c>
      <c r="K174" s="1372" t="str">
        <f t="shared" si="108"/>
        <v>Nicor Gas PY7-PY10 Adjustable Goals Template_2017-06-30, Tab 5.6.4</v>
      </c>
      <c r="L174" s="1639">
        <v>97.768054132986222</v>
      </c>
      <c r="M174" s="1639">
        <v>97.768054132986222</v>
      </c>
      <c r="N174" s="1639">
        <v>97.768054132986222</v>
      </c>
      <c r="O174" s="1639">
        <v>97.768054132986222</v>
      </c>
      <c r="P174" s="1637">
        <v>1.05</v>
      </c>
      <c r="Q174" s="1637">
        <v>1.05</v>
      </c>
      <c r="R174" s="1637">
        <v>1.05</v>
      </c>
      <c r="S174" s="1637">
        <v>1.05</v>
      </c>
      <c r="T174" s="1640">
        <f t="shared" si="109"/>
        <v>22892.389875238725</v>
      </c>
      <c r="U174" s="1640">
        <f t="shared" si="110"/>
        <v>22892.389875238725</v>
      </c>
      <c r="V174" s="1640">
        <f t="shared" si="111"/>
        <v>22892.389875238725</v>
      </c>
      <c r="W174" s="1640">
        <f t="shared" si="112"/>
        <v>22892.389875238725</v>
      </c>
      <c r="X174" s="1640">
        <f t="shared" si="113"/>
        <v>91569.5595009549</v>
      </c>
      <c r="Y174" s="1372" t="str">
        <f t="shared" si="136"/>
        <v>RS-SHL-AINS-V07-180101</v>
      </c>
      <c r="Z174" s="1372" t="str">
        <f t="shared" si="133"/>
        <v>Nicor Gas PY7-PY10 Adjustable Goals Template_2017-06-30, Tab 5.6.4</v>
      </c>
      <c r="AA174" s="2024">
        <f t="shared" si="134"/>
        <v>97.768054132986222</v>
      </c>
      <c r="AB174" s="2028"/>
      <c r="AC174" s="1840">
        <f t="shared" si="114"/>
        <v>22892.389875238725</v>
      </c>
      <c r="AD174" s="1840">
        <f t="shared" si="115"/>
        <v>0</v>
      </c>
      <c r="AE174" s="1372" t="s">
        <v>2806</v>
      </c>
      <c r="AF174" s="1372" t="s">
        <v>3399</v>
      </c>
      <c r="AG174" s="1981">
        <v>117.40027047510635</v>
      </c>
      <c r="AH174" s="1372" t="s">
        <v>3446</v>
      </c>
      <c r="AI174" s="1640">
        <f t="shared" si="116"/>
        <v>27489.273331746153</v>
      </c>
      <c r="AJ174" s="1638">
        <f t="shared" si="117"/>
        <v>4596.8834565074285</v>
      </c>
      <c r="AK174" s="1372" t="s">
        <v>2806</v>
      </c>
      <c r="AL174" s="1372" t="s">
        <v>3399</v>
      </c>
      <c r="AM174" s="1981">
        <v>117.40027047510635</v>
      </c>
      <c r="AN174" s="1372" t="str">
        <f t="shared" si="135"/>
        <v>Refer TRM V.7 Updates</v>
      </c>
      <c r="AO174" s="1640">
        <f t="shared" si="118"/>
        <v>27489.273331746153</v>
      </c>
      <c r="AP174" s="1638">
        <f t="shared" si="119"/>
        <v>4596.8834565074285</v>
      </c>
      <c r="AQ174" s="1372" t="s">
        <v>2806</v>
      </c>
      <c r="AR174" s="1372" t="s">
        <v>3399</v>
      </c>
      <c r="AS174" s="1981">
        <v>117.40027047510635</v>
      </c>
      <c r="AT174" s="1372" t="str">
        <f t="shared" si="137"/>
        <v>Refer TRM V.7 Updates</v>
      </c>
      <c r="AU174" s="1640">
        <f t="shared" si="120"/>
        <v>27489.273331746153</v>
      </c>
      <c r="AV174" s="1638">
        <f t="shared" si="121"/>
        <v>4596.8834565074285</v>
      </c>
      <c r="AW174" s="2044">
        <f t="shared" si="122"/>
        <v>22892.389875238725</v>
      </c>
      <c r="AX174" s="2044">
        <f t="shared" si="123"/>
        <v>27489.273331746153</v>
      </c>
      <c r="AY174" s="2044">
        <f t="shared" si="124"/>
        <v>27489.273331746153</v>
      </c>
      <c r="AZ174" s="2044">
        <f t="shared" si="125"/>
        <v>27489.273331746153</v>
      </c>
      <c r="BA174" s="2045">
        <f t="shared" si="126"/>
        <v>105360.20987047719</v>
      </c>
      <c r="BB174" s="2045" t="str">
        <f>'[9]5.6.4'!$A$2</f>
        <v>5.6.4</v>
      </c>
      <c r="BC174" s="2045" t="str">
        <f>'[9]5.6.4'!$A$2</f>
        <v>5.6.4</v>
      </c>
      <c r="BD174" s="2121">
        <v>1</v>
      </c>
      <c r="BE174" s="2051">
        <v>25</v>
      </c>
      <c r="BF174" s="2051">
        <v>25</v>
      </c>
      <c r="BG174" s="2051">
        <v>25</v>
      </c>
      <c r="BH174" s="2051">
        <v>25</v>
      </c>
      <c r="BI174" s="2045">
        <f t="shared" si="104"/>
        <v>572309.7468809681</v>
      </c>
      <c r="BJ174" s="2045">
        <f t="shared" si="105"/>
        <v>572309.7468809681</v>
      </c>
      <c r="BK174" s="2045">
        <f t="shared" si="106"/>
        <v>572309.7468809681</v>
      </c>
      <c r="BL174" s="2045">
        <f t="shared" si="107"/>
        <v>572309.7468809681</v>
      </c>
      <c r="BM174" s="2045">
        <f t="shared" si="127"/>
        <v>2289238.9875238724</v>
      </c>
      <c r="BN174" s="2047">
        <v>25</v>
      </c>
      <c r="BO174" s="2050">
        <v>20</v>
      </c>
      <c r="BP174" s="2050">
        <v>20</v>
      </c>
      <c r="BQ174" s="2050">
        <v>20</v>
      </c>
      <c r="BR174" s="2048">
        <f t="shared" si="128"/>
        <v>572309.7468809681</v>
      </c>
      <c r="BS174" s="2048">
        <f t="shared" si="129"/>
        <v>549785.46663492313</v>
      </c>
      <c r="BT174" s="2048">
        <f t="shared" si="130"/>
        <v>549785.46663492313</v>
      </c>
      <c r="BU174" s="2048">
        <f t="shared" si="131"/>
        <v>549785.46663492313</v>
      </c>
      <c r="BV174" s="1840">
        <f t="shared" si="132"/>
        <v>2221666.1467857375</v>
      </c>
      <c r="BW174" s="2064" t="e">
        <f>INT(#REF!)=INT(BA174)</f>
        <v>#REF!</v>
      </c>
      <c r="BX174" s="2064">
        <v>167</v>
      </c>
      <c r="BY174" s="2064" t="s">
        <v>512</v>
      </c>
    </row>
    <row r="175" spans="1:77" s="1976" customFormat="1" ht="62" x14ac:dyDescent="0.35">
      <c r="A175" s="1372" t="s">
        <v>3040</v>
      </c>
      <c r="B175" s="1372" t="s">
        <v>258</v>
      </c>
      <c r="C175" s="1637">
        <v>1</v>
      </c>
      <c r="D175" s="2055" t="str">
        <f>'[9]5.6.4'!$A$2</f>
        <v>5.6.4</v>
      </c>
      <c r="E175" s="1372" t="s">
        <v>201</v>
      </c>
      <c r="F175" s="1638">
        <v>36</v>
      </c>
      <c r="G175" s="1638">
        <v>36</v>
      </c>
      <c r="H175" s="1638">
        <v>36</v>
      </c>
      <c r="I175" s="1638">
        <v>36</v>
      </c>
      <c r="J175" s="1372" t="str">
        <f>+'[9]5.6.4'!$B$29</f>
        <v>RS-SHL-AINS-V07-180101</v>
      </c>
      <c r="K175" s="1372" t="str">
        <f t="shared" si="108"/>
        <v>Nicor Gas PY7-PY10 Adjustable Goals Template_2017-06-30, Tab 5.6.4</v>
      </c>
      <c r="L175" s="1639">
        <v>28.058276596263045</v>
      </c>
      <c r="M175" s="1639">
        <v>28.058276596263045</v>
      </c>
      <c r="N175" s="1639">
        <v>28.058276596263045</v>
      </c>
      <c r="O175" s="1639">
        <v>28.058276596263045</v>
      </c>
      <c r="P175" s="1637">
        <v>1.05</v>
      </c>
      <c r="Q175" s="1637">
        <v>1.05</v>
      </c>
      <c r="R175" s="1637">
        <v>1.05</v>
      </c>
      <c r="S175" s="1637">
        <v>1.05</v>
      </c>
      <c r="T175" s="1640">
        <f t="shared" si="109"/>
        <v>1060.6028553387432</v>
      </c>
      <c r="U175" s="1640">
        <f t="shared" si="110"/>
        <v>1060.6028553387432</v>
      </c>
      <c r="V175" s="1640">
        <f t="shared" si="111"/>
        <v>1060.6028553387432</v>
      </c>
      <c r="W175" s="1640">
        <f t="shared" si="112"/>
        <v>1060.6028553387432</v>
      </c>
      <c r="X175" s="1640">
        <f t="shared" si="113"/>
        <v>4242.4114213549728</v>
      </c>
      <c r="Y175" s="1372" t="str">
        <f t="shared" si="136"/>
        <v>RS-SHL-AINS-V07-180101</v>
      </c>
      <c r="Z175" s="1372" t="str">
        <f t="shared" si="133"/>
        <v>Nicor Gas PY7-PY10 Adjustable Goals Template_2017-06-30, Tab 5.6.4</v>
      </c>
      <c r="AA175" s="2024">
        <f t="shared" si="134"/>
        <v>28.058276596263045</v>
      </c>
      <c r="AB175" s="2028"/>
      <c r="AC175" s="1840">
        <f t="shared" si="114"/>
        <v>1060.6028553387432</v>
      </c>
      <c r="AD175" s="1840">
        <f t="shared" si="115"/>
        <v>0</v>
      </c>
      <c r="AE175" s="1372" t="s">
        <v>2806</v>
      </c>
      <c r="AF175" s="1372" t="s">
        <v>3399</v>
      </c>
      <c r="AG175" s="1981">
        <v>33.692490769899045</v>
      </c>
      <c r="AH175" s="1372" t="s">
        <v>3446</v>
      </c>
      <c r="AI175" s="1640">
        <f t="shared" si="116"/>
        <v>1273.576151102184</v>
      </c>
      <c r="AJ175" s="1638">
        <f t="shared" si="117"/>
        <v>212.97329576344077</v>
      </c>
      <c r="AK175" s="1372" t="s">
        <v>2806</v>
      </c>
      <c r="AL175" s="1372" t="s">
        <v>3399</v>
      </c>
      <c r="AM175" s="1981">
        <v>33.692490769899045</v>
      </c>
      <c r="AN175" s="1372" t="str">
        <f t="shared" si="135"/>
        <v>Refer TRM V.7 Updates</v>
      </c>
      <c r="AO175" s="1640">
        <f t="shared" si="118"/>
        <v>1273.576151102184</v>
      </c>
      <c r="AP175" s="1638">
        <f t="shared" si="119"/>
        <v>212.97329576344077</v>
      </c>
      <c r="AQ175" s="1372" t="s">
        <v>2806</v>
      </c>
      <c r="AR175" s="1372" t="s">
        <v>3399</v>
      </c>
      <c r="AS175" s="1981">
        <v>33.692490769899045</v>
      </c>
      <c r="AT175" s="1372" t="str">
        <f t="shared" si="137"/>
        <v>Refer TRM V.7 Updates</v>
      </c>
      <c r="AU175" s="1640">
        <f t="shared" si="120"/>
        <v>1273.576151102184</v>
      </c>
      <c r="AV175" s="1638">
        <f t="shared" si="121"/>
        <v>212.97329576344077</v>
      </c>
      <c r="AW175" s="2044">
        <f t="shared" si="122"/>
        <v>1060.6028553387432</v>
      </c>
      <c r="AX175" s="2044">
        <f t="shared" si="123"/>
        <v>1273.576151102184</v>
      </c>
      <c r="AY175" s="2044">
        <f t="shared" si="124"/>
        <v>1273.576151102184</v>
      </c>
      <c r="AZ175" s="2044">
        <f t="shared" si="125"/>
        <v>1273.576151102184</v>
      </c>
      <c r="BA175" s="2045">
        <f t="shared" si="126"/>
        <v>4881.3313086452945</v>
      </c>
      <c r="BB175" s="2045" t="str">
        <f>'[9]5.6.4'!$A$2</f>
        <v>5.6.4</v>
      </c>
      <c r="BC175" s="2045" t="str">
        <f>'[9]5.6.4'!$A$2</f>
        <v>5.6.4</v>
      </c>
      <c r="BD175" s="2121">
        <v>1</v>
      </c>
      <c r="BE175" s="2051">
        <v>25</v>
      </c>
      <c r="BF175" s="2051">
        <v>25</v>
      </c>
      <c r="BG175" s="2051">
        <v>25</v>
      </c>
      <c r="BH175" s="2051">
        <v>25</v>
      </c>
      <c r="BI175" s="2045">
        <f t="shared" si="104"/>
        <v>26515.071383468581</v>
      </c>
      <c r="BJ175" s="2045">
        <f t="shared" si="105"/>
        <v>26515.071383468581</v>
      </c>
      <c r="BK175" s="2045">
        <f t="shared" si="106"/>
        <v>26515.071383468581</v>
      </c>
      <c r="BL175" s="2045">
        <f t="shared" si="107"/>
        <v>26515.071383468581</v>
      </c>
      <c r="BM175" s="2045">
        <f t="shared" si="127"/>
        <v>106060.28553387432</v>
      </c>
      <c r="BN175" s="2047">
        <v>25</v>
      </c>
      <c r="BO175" s="2050">
        <v>20</v>
      </c>
      <c r="BP175" s="2050">
        <v>20</v>
      </c>
      <c r="BQ175" s="2050">
        <v>20</v>
      </c>
      <c r="BR175" s="2048">
        <f t="shared" si="128"/>
        <v>26515.071383468581</v>
      </c>
      <c r="BS175" s="2048">
        <f t="shared" si="129"/>
        <v>25471.523022043679</v>
      </c>
      <c r="BT175" s="2048">
        <f t="shared" si="130"/>
        <v>25471.523022043679</v>
      </c>
      <c r="BU175" s="2048">
        <f t="shared" si="131"/>
        <v>25471.523022043679</v>
      </c>
      <c r="BV175" s="1840">
        <f t="shared" si="132"/>
        <v>102929.64044959961</v>
      </c>
      <c r="BW175" s="2064" t="e">
        <f>INT(#REF!)=INT(BA175)</f>
        <v>#REF!</v>
      </c>
      <c r="BX175" s="2064">
        <v>168</v>
      </c>
      <c r="BY175" s="2064" t="s">
        <v>512</v>
      </c>
    </row>
    <row r="176" spans="1:77" s="1976" customFormat="1" ht="62" x14ac:dyDescent="0.35">
      <c r="A176" s="1372" t="s">
        <v>3040</v>
      </c>
      <c r="B176" s="1372" t="s">
        <v>248</v>
      </c>
      <c r="C176" s="1637">
        <v>0</v>
      </c>
      <c r="D176" s="2053" t="str">
        <f>'[9]5.3.4'!$A$2</f>
        <v>5.3.4</v>
      </c>
      <c r="E176" s="1372" t="s">
        <v>201</v>
      </c>
      <c r="F176" s="1638">
        <v>421</v>
      </c>
      <c r="G176" s="1638">
        <v>421</v>
      </c>
      <c r="H176" s="1638">
        <v>421</v>
      </c>
      <c r="I176" s="1638">
        <v>421</v>
      </c>
      <c r="J176" s="1372" t="str">
        <f>+'[9]5.3.4'!$B$30</f>
        <v>S-HVC-DINS-V06-160601</v>
      </c>
      <c r="K176" s="1372" t="str">
        <f t="shared" si="108"/>
        <v>Nicor Gas PY7-PY10 Adjustable Goals Template_2017-06-30, Tab 5.3.4</v>
      </c>
      <c r="L176" s="1639">
        <v>181.00609989316254</v>
      </c>
      <c r="M176" s="1639">
        <v>181.00609989316254</v>
      </c>
      <c r="N176" s="1639">
        <v>181.00609989316254</v>
      </c>
      <c r="O176" s="1639">
        <v>181.00609989316254</v>
      </c>
      <c r="P176" s="1637">
        <v>1.05</v>
      </c>
      <c r="Q176" s="1637">
        <v>1.05</v>
      </c>
      <c r="R176" s="1637">
        <v>1.05</v>
      </c>
      <c r="S176" s="1637">
        <v>1.05</v>
      </c>
      <c r="T176" s="1640">
        <f t="shared" si="109"/>
        <v>80013.746457772504</v>
      </c>
      <c r="U176" s="1640">
        <f t="shared" si="110"/>
        <v>80013.746457772504</v>
      </c>
      <c r="V176" s="1640">
        <f t="shared" si="111"/>
        <v>80013.746457772504</v>
      </c>
      <c r="W176" s="1640">
        <f t="shared" si="112"/>
        <v>80013.746457772504</v>
      </c>
      <c r="X176" s="1640">
        <f t="shared" si="113"/>
        <v>320054.98583109002</v>
      </c>
      <c r="Y176" s="1372" t="str">
        <f t="shared" si="136"/>
        <v>S-HVC-DINS-V06-160601</v>
      </c>
      <c r="Z176" s="1372" t="str">
        <f t="shared" si="133"/>
        <v>Nicor Gas PY7-PY10 Adjustable Goals Template_2017-06-30, Tab 5.3.4</v>
      </c>
      <c r="AA176" s="1840">
        <f t="shared" si="134"/>
        <v>181.00609989316254</v>
      </c>
      <c r="AB176" s="2028"/>
      <c r="AC176" s="1840">
        <f t="shared" si="114"/>
        <v>80013.746457772504</v>
      </c>
      <c r="AD176" s="1840">
        <f t="shared" si="115"/>
        <v>0</v>
      </c>
      <c r="AE176" s="1372" t="s">
        <v>3010</v>
      </c>
      <c r="AF176" s="1372" t="s">
        <v>3400</v>
      </c>
      <c r="AG176" s="1639">
        <v>181.00609989316254</v>
      </c>
      <c r="AH176" s="1372" t="s">
        <v>3445</v>
      </c>
      <c r="AI176" s="1640">
        <f t="shared" si="116"/>
        <v>80013.746457772504</v>
      </c>
      <c r="AJ176" s="1638">
        <f t="shared" si="117"/>
        <v>0</v>
      </c>
      <c r="AK176" s="1372" t="s">
        <v>3010</v>
      </c>
      <c r="AL176" s="1372" t="s">
        <v>3400</v>
      </c>
      <c r="AM176" s="1639">
        <v>181.00609989316254</v>
      </c>
      <c r="AN176" s="1372" t="str">
        <f t="shared" si="135"/>
        <v>No change</v>
      </c>
      <c r="AO176" s="1640">
        <f t="shared" si="118"/>
        <v>80013.746457772504</v>
      </c>
      <c r="AP176" s="1638">
        <f t="shared" si="119"/>
        <v>0</v>
      </c>
      <c r="AQ176" s="1372" t="s">
        <v>3010</v>
      </c>
      <c r="AR176" s="1372" t="s">
        <v>3400</v>
      </c>
      <c r="AS176" s="1639">
        <v>181.00609989316254</v>
      </c>
      <c r="AT176" s="1372" t="str">
        <f>$AH176</f>
        <v>No change</v>
      </c>
      <c r="AU176" s="1640">
        <f t="shared" si="120"/>
        <v>80013.746457772504</v>
      </c>
      <c r="AV176" s="1638">
        <f t="shared" si="121"/>
        <v>0</v>
      </c>
      <c r="AW176" s="2044">
        <f t="shared" si="122"/>
        <v>80013.746457772504</v>
      </c>
      <c r="AX176" s="2044">
        <f t="shared" si="123"/>
        <v>80013.746457772504</v>
      </c>
      <c r="AY176" s="2044">
        <f t="shared" si="124"/>
        <v>80013.746457772504</v>
      </c>
      <c r="AZ176" s="2044">
        <f t="shared" si="125"/>
        <v>80013.746457772504</v>
      </c>
      <c r="BA176" s="2045">
        <f t="shared" si="126"/>
        <v>320054.98583109002</v>
      </c>
      <c r="BB176" s="2045" t="str">
        <f>'[9]5.3.4'!$A$2</f>
        <v>5.3.4</v>
      </c>
      <c r="BC176" s="2045" t="str">
        <f>'[9]5.3.4'!$A$2</f>
        <v>5.3.4</v>
      </c>
      <c r="BD176" s="2045">
        <v>0</v>
      </c>
      <c r="BE176" s="2051">
        <v>20</v>
      </c>
      <c r="BF176" s="2051">
        <v>20</v>
      </c>
      <c r="BG176" s="2051">
        <v>20</v>
      </c>
      <c r="BH176" s="2051">
        <v>20</v>
      </c>
      <c r="BI176" s="2045">
        <f t="shared" si="104"/>
        <v>1600274.9291554501</v>
      </c>
      <c r="BJ176" s="2045">
        <f t="shared" si="105"/>
        <v>1600274.9291554501</v>
      </c>
      <c r="BK176" s="2045">
        <f t="shared" si="106"/>
        <v>1600274.9291554501</v>
      </c>
      <c r="BL176" s="2045">
        <f t="shared" si="107"/>
        <v>1600274.9291554501</v>
      </c>
      <c r="BM176" s="2045">
        <f t="shared" si="127"/>
        <v>6401099.7166218003</v>
      </c>
      <c r="BN176" s="2047">
        <v>20</v>
      </c>
      <c r="BO176" s="2047">
        <v>20</v>
      </c>
      <c r="BP176" s="2047">
        <v>20</v>
      </c>
      <c r="BQ176" s="2047">
        <v>20</v>
      </c>
      <c r="BR176" s="2048">
        <f t="shared" si="128"/>
        <v>1600274.9291554501</v>
      </c>
      <c r="BS176" s="2048">
        <f t="shared" si="129"/>
        <v>1600274.9291554501</v>
      </c>
      <c r="BT176" s="2048">
        <f t="shared" si="130"/>
        <v>1600274.9291554501</v>
      </c>
      <c r="BU176" s="2048">
        <f t="shared" si="131"/>
        <v>1600274.9291554501</v>
      </c>
      <c r="BV176" s="1840">
        <f t="shared" si="132"/>
        <v>6401099.7166218003</v>
      </c>
      <c r="BW176" s="2064" t="e">
        <f>INT(#REF!)=INT(BA176)</f>
        <v>#REF!</v>
      </c>
      <c r="BX176" s="2064">
        <v>169</v>
      </c>
      <c r="BY176" s="2064" t="s">
        <v>512</v>
      </c>
    </row>
    <row r="177" spans="1:77" s="1976" customFormat="1" ht="62" x14ac:dyDescent="0.35">
      <c r="A177" s="1372" t="s">
        <v>3040</v>
      </c>
      <c r="B177" s="1372" t="s">
        <v>259</v>
      </c>
      <c r="C177" s="1637">
        <v>0</v>
      </c>
      <c r="D177" s="2056" t="str">
        <f>'[9]5.6.4'!$A$2</f>
        <v>5.6.4</v>
      </c>
      <c r="E177" s="1843" t="s">
        <v>201</v>
      </c>
      <c r="F177" s="1638">
        <v>26</v>
      </c>
      <c r="G177" s="1638">
        <v>26</v>
      </c>
      <c r="H177" s="1638">
        <v>26</v>
      </c>
      <c r="I177" s="1638">
        <v>26</v>
      </c>
      <c r="J177" s="1372" t="str">
        <f>+'[9]5.6.4'!$B$29</f>
        <v>RS-SHL-AINS-V07-180101</v>
      </c>
      <c r="K177" s="1372" t="str">
        <f t="shared" si="108"/>
        <v>Nicor Gas PY7-PY10 Adjustable Goals Template_2017-06-30, Tab 5.6.4</v>
      </c>
      <c r="L177" s="1639">
        <v>177.0940497558943</v>
      </c>
      <c r="M177" s="1639">
        <v>177.0940497558943</v>
      </c>
      <c r="N177" s="1639">
        <v>177.0940497558943</v>
      </c>
      <c r="O177" s="1639">
        <v>177.0940497558943</v>
      </c>
      <c r="P177" s="1637">
        <v>1.05</v>
      </c>
      <c r="Q177" s="1637">
        <v>1.05</v>
      </c>
      <c r="R177" s="1637">
        <v>1.05</v>
      </c>
      <c r="S177" s="1637">
        <v>1.05</v>
      </c>
      <c r="T177" s="1640">
        <f t="shared" si="109"/>
        <v>4834.6675583359147</v>
      </c>
      <c r="U177" s="1640">
        <f t="shared" si="110"/>
        <v>4834.6675583359147</v>
      </c>
      <c r="V177" s="1640">
        <f t="shared" si="111"/>
        <v>4834.6675583359147</v>
      </c>
      <c r="W177" s="1640">
        <f t="shared" si="112"/>
        <v>4834.6675583359147</v>
      </c>
      <c r="X177" s="1640">
        <f t="shared" si="113"/>
        <v>19338.670233343659</v>
      </c>
      <c r="Y177" s="1372" t="str">
        <f t="shared" si="136"/>
        <v>RS-SHL-AINS-V07-180101</v>
      </c>
      <c r="Z177" s="1372" t="str">
        <f t="shared" si="133"/>
        <v>Nicor Gas PY7-PY10 Adjustable Goals Template_2017-06-30, Tab 5.6.4</v>
      </c>
      <c r="AA177" s="2024">
        <f t="shared" si="134"/>
        <v>177.0940497558943</v>
      </c>
      <c r="AB177" s="2028"/>
      <c r="AC177" s="1840">
        <f t="shared" si="114"/>
        <v>4834.6675583359147</v>
      </c>
      <c r="AD177" s="1840">
        <f t="shared" si="115"/>
        <v>0</v>
      </c>
      <c r="AE177" s="1372" t="s">
        <v>2806</v>
      </c>
      <c r="AF177" s="1372" t="s">
        <v>3399</v>
      </c>
      <c r="AG177" s="1981">
        <f>M177</f>
        <v>177.0940497558943</v>
      </c>
      <c r="AH177" s="1372" t="s">
        <v>3446</v>
      </c>
      <c r="AI177" s="1640">
        <f t="shared" si="116"/>
        <v>4834.6675583359147</v>
      </c>
      <c r="AJ177" s="1638">
        <f t="shared" si="117"/>
        <v>0</v>
      </c>
      <c r="AK177" s="1372" t="s">
        <v>2806</v>
      </c>
      <c r="AL177" s="1372" t="s">
        <v>3399</v>
      </c>
      <c r="AM177" s="1981">
        <f>N177</f>
        <v>177.0940497558943</v>
      </c>
      <c r="AN177" s="1372" t="str">
        <f t="shared" si="135"/>
        <v>Refer TRM V.7 Updates</v>
      </c>
      <c r="AO177" s="1640">
        <f t="shared" si="118"/>
        <v>4834.6675583359147</v>
      </c>
      <c r="AP177" s="1638">
        <f t="shared" si="119"/>
        <v>0</v>
      </c>
      <c r="AQ177" s="1372" t="s">
        <v>2806</v>
      </c>
      <c r="AR177" s="1372" t="s">
        <v>3399</v>
      </c>
      <c r="AS177" s="1981">
        <f>O177</f>
        <v>177.0940497558943</v>
      </c>
      <c r="AT177" s="1372" t="str">
        <f>AH177</f>
        <v>Refer TRM V.7 Updates</v>
      </c>
      <c r="AU177" s="1640">
        <f t="shared" si="120"/>
        <v>4834.6675583359147</v>
      </c>
      <c r="AV177" s="1638">
        <f t="shared" si="121"/>
        <v>0</v>
      </c>
      <c r="AW177" s="2044">
        <f t="shared" si="122"/>
        <v>4834.6675583359147</v>
      </c>
      <c r="AX177" s="2044">
        <f t="shared" si="123"/>
        <v>4834.6675583359147</v>
      </c>
      <c r="AY177" s="2044">
        <f t="shared" si="124"/>
        <v>4834.6675583359147</v>
      </c>
      <c r="AZ177" s="2044">
        <f t="shared" si="125"/>
        <v>4834.6675583359147</v>
      </c>
      <c r="BA177" s="2045">
        <f t="shared" si="126"/>
        <v>19338.670233343659</v>
      </c>
      <c r="BB177" s="2045" t="str">
        <f>'[9]5.6.4'!$A$2</f>
        <v>5.6.4</v>
      </c>
      <c r="BC177" s="2045" t="str">
        <f>'[9]5.6.4'!$A$2</f>
        <v>5.6.4</v>
      </c>
      <c r="BD177" s="2121">
        <v>1</v>
      </c>
      <c r="BE177" s="2051">
        <v>25</v>
      </c>
      <c r="BF177" s="2051">
        <v>25</v>
      </c>
      <c r="BG177" s="2051">
        <v>25</v>
      </c>
      <c r="BH177" s="2051">
        <v>25</v>
      </c>
      <c r="BI177" s="2045">
        <f t="shared" si="104"/>
        <v>120866.68895839786</v>
      </c>
      <c r="BJ177" s="2045">
        <f t="shared" si="105"/>
        <v>120866.68895839786</v>
      </c>
      <c r="BK177" s="2045">
        <f t="shared" si="106"/>
        <v>120866.68895839786</v>
      </c>
      <c r="BL177" s="2045">
        <f t="shared" si="107"/>
        <v>120866.68895839786</v>
      </c>
      <c r="BM177" s="2045">
        <f t="shared" si="127"/>
        <v>483466.75583359145</v>
      </c>
      <c r="BN177" s="2047">
        <v>25</v>
      </c>
      <c r="BO177" s="2050">
        <v>20</v>
      </c>
      <c r="BP177" s="2050">
        <v>20</v>
      </c>
      <c r="BQ177" s="2050">
        <v>20</v>
      </c>
      <c r="BR177" s="2048">
        <f t="shared" si="128"/>
        <v>120866.68895839786</v>
      </c>
      <c r="BS177" s="2048">
        <f t="shared" si="129"/>
        <v>96693.35116671829</v>
      </c>
      <c r="BT177" s="2048">
        <f t="shared" si="130"/>
        <v>96693.35116671829</v>
      </c>
      <c r="BU177" s="2048">
        <f t="shared" si="131"/>
        <v>96693.35116671829</v>
      </c>
      <c r="BV177" s="1840">
        <f t="shared" si="132"/>
        <v>410946.7424585527</v>
      </c>
      <c r="BW177" s="2064" t="e">
        <f>INT(#REF!)=INT(BA177)</f>
        <v>#REF!</v>
      </c>
      <c r="BX177" s="2064">
        <v>170</v>
      </c>
      <c r="BY177" s="2064" t="s">
        <v>512</v>
      </c>
    </row>
    <row r="178" spans="1:77" s="1976" customFormat="1" ht="62" x14ac:dyDescent="0.35">
      <c r="A178" s="1372" t="s">
        <v>3040</v>
      </c>
      <c r="B178" s="1372" t="s">
        <v>261</v>
      </c>
      <c r="C178" s="1637">
        <v>0</v>
      </c>
      <c r="D178" s="2056" t="str">
        <f>'[9]5.6.2'!$A$1</f>
        <v>5.6.2</v>
      </c>
      <c r="E178" s="1843" t="s">
        <v>201</v>
      </c>
      <c r="F178" s="1638">
        <v>47</v>
      </c>
      <c r="G178" s="1638">
        <v>47</v>
      </c>
      <c r="H178" s="1638">
        <v>47</v>
      </c>
      <c r="I178" s="1638">
        <v>47</v>
      </c>
      <c r="J178" s="1372" t="str">
        <f>+'[9]5.6.2'!$B$14</f>
        <v>RS-SHL-BINS-V08-180101</v>
      </c>
      <c r="K178" s="1372" t="str">
        <f t="shared" si="108"/>
        <v>Nicor Gas PY7-PY10 Adjustable Goals Template_2017-06-30, Tab 5.6.2</v>
      </c>
      <c r="L178" s="1639">
        <v>123.99008162266374</v>
      </c>
      <c r="M178" s="1639">
        <v>123.99008162266374</v>
      </c>
      <c r="N178" s="1639">
        <v>123.99008162266374</v>
      </c>
      <c r="O178" s="1639">
        <v>123.99008162266374</v>
      </c>
      <c r="P178" s="1637">
        <v>1.05</v>
      </c>
      <c r="Q178" s="1637">
        <v>1.05</v>
      </c>
      <c r="R178" s="1637">
        <v>1.05</v>
      </c>
      <c r="S178" s="1637">
        <v>1.05</v>
      </c>
      <c r="T178" s="1640">
        <f t="shared" si="109"/>
        <v>6118.9105280784552</v>
      </c>
      <c r="U178" s="1640">
        <f t="shared" si="110"/>
        <v>6118.9105280784552</v>
      </c>
      <c r="V178" s="1640">
        <f t="shared" si="111"/>
        <v>6118.9105280784552</v>
      </c>
      <c r="W178" s="1640">
        <f t="shared" si="112"/>
        <v>6118.9105280784552</v>
      </c>
      <c r="X178" s="1640">
        <f t="shared" si="113"/>
        <v>24475.642112313821</v>
      </c>
      <c r="Y178" s="1372" t="str">
        <f t="shared" si="136"/>
        <v>RS-SHL-BINS-V08-180101</v>
      </c>
      <c r="Z178" s="1372" t="str">
        <f t="shared" si="133"/>
        <v>Nicor Gas PY7-PY10 Adjustable Goals Template_2017-06-30, Tab 5.6.2</v>
      </c>
      <c r="AA178" s="2024">
        <f t="shared" si="134"/>
        <v>123.99008162266374</v>
      </c>
      <c r="AB178" s="2028"/>
      <c r="AC178" s="1840">
        <f t="shared" si="114"/>
        <v>6118.9105280784552</v>
      </c>
      <c r="AD178" s="1840">
        <f t="shared" si="115"/>
        <v>0</v>
      </c>
      <c r="AE178" s="1372" t="s">
        <v>2805</v>
      </c>
      <c r="AF178" s="1372" t="s">
        <v>3401</v>
      </c>
      <c r="AG178" s="1846">
        <f>M178</f>
        <v>123.99008162266374</v>
      </c>
      <c r="AH178" s="1372" t="s">
        <v>3446</v>
      </c>
      <c r="AI178" s="1640">
        <f t="shared" si="116"/>
        <v>6118.9105280784552</v>
      </c>
      <c r="AJ178" s="1638">
        <f t="shared" si="117"/>
        <v>0</v>
      </c>
      <c r="AK178" s="1372" t="s">
        <v>2805</v>
      </c>
      <c r="AL178" s="1372" t="s">
        <v>3401</v>
      </c>
      <c r="AM178" s="1846">
        <f>N178</f>
        <v>123.99008162266374</v>
      </c>
      <c r="AN178" s="1372" t="str">
        <f t="shared" si="135"/>
        <v>Refer TRM V.7 Updates</v>
      </c>
      <c r="AO178" s="1640">
        <f t="shared" si="118"/>
        <v>6118.9105280784552</v>
      </c>
      <c r="AP178" s="1638">
        <f t="shared" si="119"/>
        <v>0</v>
      </c>
      <c r="AQ178" s="1372" t="s">
        <v>2805</v>
      </c>
      <c r="AR178" s="1372" t="s">
        <v>3401</v>
      </c>
      <c r="AS178" s="1846">
        <f>O178</f>
        <v>123.99008162266374</v>
      </c>
      <c r="AT178" s="1372" t="str">
        <f>AH178</f>
        <v>Refer TRM V.7 Updates</v>
      </c>
      <c r="AU178" s="1640">
        <f t="shared" si="120"/>
        <v>6118.9105280784552</v>
      </c>
      <c r="AV178" s="1638">
        <f t="shared" si="121"/>
        <v>0</v>
      </c>
      <c r="AW178" s="2044">
        <f t="shared" si="122"/>
        <v>6118.9105280784552</v>
      </c>
      <c r="AX178" s="2044">
        <f t="shared" si="123"/>
        <v>6118.9105280784552</v>
      </c>
      <c r="AY178" s="2044">
        <f t="shared" si="124"/>
        <v>6118.9105280784552</v>
      </c>
      <c r="AZ178" s="2044">
        <f t="shared" si="125"/>
        <v>6118.9105280784552</v>
      </c>
      <c r="BA178" s="2045">
        <f t="shared" si="126"/>
        <v>24475.642112313821</v>
      </c>
      <c r="BB178" s="2045" t="str">
        <f>'[9]5.6.2'!$A$1</f>
        <v>5.6.2</v>
      </c>
      <c r="BC178" s="2045" t="str">
        <f>'[9]5.6.2'!$A$1</f>
        <v>5.6.2</v>
      </c>
      <c r="BD178" s="2121">
        <v>1</v>
      </c>
      <c r="BE178" s="2051">
        <v>25</v>
      </c>
      <c r="BF178" s="2051">
        <v>25</v>
      </c>
      <c r="BG178" s="2051">
        <v>25</v>
      </c>
      <c r="BH178" s="2051">
        <v>25</v>
      </c>
      <c r="BI178" s="2045">
        <f t="shared" si="104"/>
        <v>152972.76320196138</v>
      </c>
      <c r="BJ178" s="2045">
        <f t="shared" si="105"/>
        <v>152972.76320196138</v>
      </c>
      <c r="BK178" s="2045">
        <f t="shared" si="106"/>
        <v>152972.76320196138</v>
      </c>
      <c r="BL178" s="2045">
        <f t="shared" si="107"/>
        <v>152972.76320196138</v>
      </c>
      <c r="BM178" s="2045">
        <f t="shared" si="127"/>
        <v>611891.05280784552</v>
      </c>
      <c r="BN178" s="2047">
        <v>25</v>
      </c>
      <c r="BO178" s="2050">
        <v>20</v>
      </c>
      <c r="BP178" s="2050">
        <v>20</v>
      </c>
      <c r="BQ178" s="2050">
        <v>20</v>
      </c>
      <c r="BR178" s="2048">
        <f t="shared" si="128"/>
        <v>152972.76320196138</v>
      </c>
      <c r="BS178" s="2048">
        <f t="shared" si="129"/>
        <v>122378.21056156911</v>
      </c>
      <c r="BT178" s="2048">
        <f t="shared" si="130"/>
        <v>122378.21056156911</v>
      </c>
      <c r="BU178" s="2048">
        <f t="shared" si="131"/>
        <v>122378.21056156911</v>
      </c>
      <c r="BV178" s="1840">
        <f t="shared" si="132"/>
        <v>520107.39488666866</v>
      </c>
      <c r="BW178" s="2064" t="e">
        <f>INT(#REF!)=INT(BA178)</f>
        <v>#REF!</v>
      </c>
      <c r="BX178" s="2064">
        <v>171</v>
      </c>
      <c r="BY178" s="2064" t="s">
        <v>512</v>
      </c>
    </row>
    <row r="179" spans="1:77" s="1976" customFormat="1" ht="18" customHeight="1" x14ac:dyDescent="0.35">
      <c r="A179" s="1372" t="s">
        <v>3040</v>
      </c>
      <c r="B179" s="1372" t="s">
        <v>281</v>
      </c>
      <c r="C179" s="1637">
        <v>0</v>
      </c>
      <c r="D179" s="1372" t="s">
        <v>295</v>
      </c>
      <c r="E179" s="1372" t="s">
        <v>163</v>
      </c>
      <c r="F179" s="1638">
        <v>137</v>
      </c>
      <c r="G179" s="1638">
        <v>137</v>
      </c>
      <c r="H179" s="1638">
        <v>137</v>
      </c>
      <c r="I179" s="1638">
        <v>137</v>
      </c>
      <c r="J179" s="1372" t="s">
        <v>295</v>
      </c>
      <c r="K179" s="1372" t="str">
        <f t="shared" si="108"/>
        <v/>
      </c>
      <c r="L179" s="1639">
        <v>0</v>
      </c>
      <c r="M179" s="1639">
        <v>0</v>
      </c>
      <c r="N179" s="1639">
        <v>0</v>
      </c>
      <c r="O179" s="1639">
        <v>0</v>
      </c>
      <c r="P179" s="1637">
        <v>1.05</v>
      </c>
      <c r="Q179" s="1637">
        <v>1.05</v>
      </c>
      <c r="R179" s="1637">
        <v>1.05</v>
      </c>
      <c r="S179" s="1637">
        <v>1.05</v>
      </c>
      <c r="T179" s="1640">
        <f t="shared" si="109"/>
        <v>0</v>
      </c>
      <c r="U179" s="1640">
        <f t="shared" si="110"/>
        <v>0</v>
      </c>
      <c r="V179" s="1640">
        <f t="shared" si="111"/>
        <v>0</v>
      </c>
      <c r="W179" s="1640">
        <f t="shared" si="112"/>
        <v>0</v>
      </c>
      <c r="X179" s="1640">
        <f t="shared" si="113"/>
        <v>0</v>
      </c>
      <c r="Y179" s="1829"/>
      <c r="Z179" s="1372" t="str">
        <f t="shared" si="133"/>
        <v/>
      </c>
      <c r="AA179" s="1840">
        <f t="shared" si="134"/>
        <v>0</v>
      </c>
      <c r="AB179" s="2028"/>
      <c r="AC179" s="1840">
        <f t="shared" si="114"/>
        <v>0</v>
      </c>
      <c r="AD179" s="1840">
        <f t="shared" si="115"/>
        <v>0</v>
      </c>
      <c r="AE179" s="1829"/>
      <c r="AF179" s="1829" t="s">
        <v>3361</v>
      </c>
      <c r="AG179" s="1830">
        <v>0</v>
      </c>
      <c r="AH179" s="1829"/>
      <c r="AI179" s="1640">
        <f t="shared" si="116"/>
        <v>0</v>
      </c>
      <c r="AJ179" s="1638">
        <f t="shared" si="117"/>
        <v>0</v>
      </c>
      <c r="AK179" s="1829"/>
      <c r="AL179" s="1829" t="s">
        <v>3361</v>
      </c>
      <c r="AM179" s="1830">
        <v>0</v>
      </c>
      <c r="AN179" s="1829"/>
      <c r="AO179" s="1640">
        <f t="shared" si="118"/>
        <v>0</v>
      </c>
      <c r="AP179" s="1638">
        <f t="shared" si="119"/>
        <v>0</v>
      </c>
      <c r="AQ179" s="1829"/>
      <c r="AR179" s="1829" t="s">
        <v>3361</v>
      </c>
      <c r="AS179" s="1830">
        <v>0</v>
      </c>
      <c r="AT179" s="1829"/>
      <c r="AU179" s="1640">
        <f t="shared" si="120"/>
        <v>0</v>
      </c>
      <c r="AV179" s="1638">
        <f t="shared" si="121"/>
        <v>0</v>
      </c>
      <c r="AW179" s="2044">
        <f t="shared" si="122"/>
        <v>0</v>
      </c>
      <c r="AX179" s="2044">
        <f t="shared" si="123"/>
        <v>0</v>
      </c>
      <c r="AY179" s="2044">
        <f t="shared" si="124"/>
        <v>0</v>
      </c>
      <c r="AZ179" s="2044">
        <f t="shared" si="125"/>
        <v>0</v>
      </c>
      <c r="BA179" s="2045">
        <f t="shared" si="126"/>
        <v>0</v>
      </c>
      <c r="BB179" s="2049"/>
      <c r="BC179" s="2049"/>
      <c r="BD179" s="2045">
        <v>0</v>
      </c>
      <c r="BE179" s="2051">
        <v>1</v>
      </c>
      <c r="BF179" s="2051">
        <v>1</v>
      </c>
      <c r="BG179" s="2051">
        <v>1</v>
      </c>
      <c r="BH179" s="2051">
        <v>1</v>
      </c>
      <c r="BI179" s="2045">
        <f t="shared" si="104"/>
        <v>0</v>
      </c>
      <c r="BJ179" s="2045">
        <f t="shared" si="105"/>
        <v>0</v>
      </c>
      <c r="BK179" s="2045">
        <f t="shared" si="106"/>
        <v>0</v>
      </c>
      <c r="BL179" s="2045">
        <f t="shared" si="107"/>
        <v>0</v>
      </c>
      <c r="BM179" s="2045">
        <f t="shared" si="127"/>
        <v>0</v>
      </c>
      <c r="BN179" s="2047">
        <v>1</v>
      </c>
      <c r="BO179" s="2047">
        <v>1</v>
      </c>
      <c r="BP179" s="2047">
        <v>1</v>
      </c>
      <c r="BQ179" s="2047">
        <v>1</v>
      </c>
      <c r="BR179" s="2048">
        <f t="shared" si="128"/>
        <v>0</v>
      </c>
      <c r="BS179" s="2048">
        <f t="shared" si="129"/>
        <v>0</v>
      </c>
      <c r="BT179" s="2048">
        <f t="shared" si="130"/>
        <v>0</v>
      </c>
      <c r="BU179" s="2048">
        <f t="shared" si="131"/>
        <v>0</v>
      </c>
      <c r="BV179" s="1840">
        <f t="shared" si="132"/>
        <v>0</v>
      </c>
      <c r="BW179" s="2064" t="e">
        <f>INT(#REF!)=INT(BA179)</f>
        <v>#REF!</v>
      </c>
      <c r="BX179" s="2064">
        <v>172</v>
      </c>
      <c r="BY179" s="2064" t="s">
        <v>295</v>
      </c>
    </row>
    <row r="180" spans="1:77" s="1976" customFormat="1" ht="18" customHeight="1" x14ac:dyDescent="0.35">
      <c r="A180" s="1372" t="s">
        <v>3040</v>
      </c>
      <c r="B180" s="1372" t="s">
        <v>292</v>
      </c>
      <c r="C180" s="1637">
        <v>0</v>
      </c>
      <c r="D180" s="1372" t="s">
        <v>3516</v>
      </c>
      <c r="E180" s="1843" t="s">
        <v>201</v>
      </c>
      <c r="F180" s="1845">
        <v>82</v>
      </c>
      <c r="G180" s="1845">
        <v>82</v>
      </c>
      <c r="H180" s="1845">
        <v>82</v>
      </c>
      <c r="I180" s="1845">
        <v>82</v>
      </c>
      <c r="J180" s="1843" t="s">
        <v>295</v>
      </c>
      <c r="K180" s="1843" t="str">
        <f t="shared" si="108"/>
        <v>Nicor Gas PY7-PY10 Adjustable Goals Template_2017-06-30, Tab Customized TRM</v>
      </c>
      <c r="L180" s="1846">
        <v>426.59582799049196</v>
      </c>
      <c r="M180" s="1846">
        <v>426.59582799049196</v>
      </c>
      <c r="N180" s="1846">
        <v>426.59582799049196</v>
      </c>
      <c r="O180" s="1846">
        <v>426.59582799049196</v>
      </c>
      <c r="P180" s="1844">
        <v>1.05</v>
      </c>
      <c r="Q180" s="1844">
        <v>1.05</v>
      </c>
      <c r="R180" s="1844">
        <v>1.05</v>
      </c>
      <c r="S180" s="1844">
        <v>1.05</v>
      </c>
      <c r="T180" s="1847">
        <f t="shared" si="109"/>
        <v>36729.900789981359</v>
      </c>
      <c r="U180" s="1847">
        <f t="shared" si="110"/>
        <v>36729.900789981359</v>
      </c>
      <c r="V180" s="1847">
        <f t="shared" si="111"/>
        <v>36729.900789981359</v>
      </c>
      <c r="W180" s="1847">
        <f t="shared" si="112"/>
        <v>36729.900789981359</v>
      </c>
      <c r="X180" s="1847">
        <f t="shared" si="113"/>
        <v>146919.60315992543</v>
      </c>
      <c r="Y180" s="1843"/>
      <c r="Z180" s="1843" t="str">
        <f t="shared" si="133"/>
        <v>Nicor Gas PY7-PY10 Adjustable Goals Template_2017-06-30, Tab Customized TRM</v>
      </c>
      <c r="AA180" s="1848">
        <f t="shared" si="134"/>
        <v>426.59582799049196</v>
      </c>
      <c r="AB180" s="1848"/>
      <c r="AC180" s="1848">
        <f t="shared" si="114"/>
        <v>36729.900789981359</v>
      </c>
      <c r="AD180" s="1848">
        <f t="shared" si="115"/>
        <v>0</v>
      </c>
      <c r="AE180" s="1843"/>
      <c r="AF180" s="1843" t="s">
        <v>3361</v>
      </c>
      <c r="AG180" s="1846">
        <v>426.59582799049196</v>
      </c>
      <c r="AH180" s="1843"/>
      <c r="AI180" s="1847">
        <f t="shared" si="116"/>
        <v>36729.900789981359</v>
      </c>
      <c r="AJ180" s="1845">
        <f t="shared" si="117"/>
        <v>0</v>
      </c>
      <c r="AK180" s="1843"/>
      <c r="AL180" s="1843" t="s">
        <v>3361</v>
      </c>
      <c r="AM180" s="1846">
        <v>426.59582799049196</v>
      </c>
      <c r="AN180" s="1843"/>
      <c r="AO180" s="1847">
        <f t="shared" si="118"/>
        <v>36729.900789981359</v>
      </c>
      <c r="AP180" s="1845">
        <f t="shared" si="119"/>
        <v>0</v>
      </c>
      <c r="AQ180" s="1843"/>
      <c r="AR180" s="1843" t="s">
        <v>3361</v>
      </c>
      <c r="AS180" s="1846">
        <v>426.59582799049196</v>
      </c>
      <c r="AT180" s="1843"/>
      <c r="AU180" s="1847">
        <f t="shared" si="120"/>
        <v>36729.900789981359</v>
      </c>
      <c r="AV180" s="1845">
        <f t="shared" si="121"/>
        <v>0</v>
      </c>
      <c r="AW180" s="2123">
        <f t="shared" si="122"/>
        <v>36729.900789981359</v>
      </c>
      <c r="AX180" s="2123">
        <f t="shared" si="123"/>
        <v>36729.900789981359</v>
      </c>
      <c r="AY180" s="2123">
        <f t="shared" si="124"/>
        <v>36729.900789981359</v>
      </c>
      <c r="AZ180" s="2123">
        <f t="shared" si="125"/>
        <v>36729.900789981359</v>
      </c>
      <c r="BA180" s="2051">
        <f t="shared" si="126"/>
        <v>146919.60315992543</v>
      </c>
      <c r="BB180" s="2051"/>
      <c r="BC180" s="2051"/>
      <c r="BD180" s="2045">
        <v>0</v>
      </c>
      <c r="BE180" s="2051">
        <v>22.449219794514978</v>
      </c>
      <c r="BF180" s="2051">
        <v>22.449219794514978</v>
      </c>
      <c r="BG180" s="2051">
        <v>22.449219794514978</v>
      </c>
      <c r="BH180" s="2051">
        <v>22.449219794514978</v>
      </c>
      <c r="BI180" s="2045">
        <f t="shared" si="104"/>
        <v>824557.61586502078</v>
      </c>
      <c r="BJ180" s="2045">
        <f t="shared" si="105"/>
        <v>824557.61586502078</v>
      </c>
      <c r="BK180" s="2045">
        <f t="shared" si="106"/>
        <v>824557.61586502078</v>
      </c>
      <c r="BL180" s="2045">
        <f t="shared" si="107"/>
        <v>824557.61586502078</v>
      </c>
      <c r="BM180" s="2045">
        <f t="shared" si="127"/>
        <v>3298230.4634600831</v>
      </c>
      <c r="BN180" s="2047">
        <v>22.449219794514978</v>
      </c>
      <c r="BO180" s="2047">
        <v>22.449219794514978</v>
      </c>
      <c r="BP180" s="2047">
        <v>22.449219794514978</v>
      </c>
      <c r="BQ180" s="2047">
        <v>22.449219794514978</v>
      </c>
      <c r="BR180" s="2048">
        <f t="shared" si="128"/>
        <v>824557.61586502078</v>
      </c>
      <c r="BS180" s="2048">
        <f t="shared" si="129"/>
        <v>824557.61586502078</v>
      </c>
      <c r="BT180" s="2048">
        <f t="shared" si="130"/>
        <v>824557.61586502078</v>
      </c>
      <c r="BU180" s="2048">
        <f t="shared" si="131"/>
        <v>824557.61586502078</v>
      </c>
      <c r="BV180" s="1840">
        <f t="shared" si="132"/>
        <v>3298230.4634600831</v>
      </c>
      <c r="BW180" s="2064" t="e">
        <f>INT(#REF!)=INT(BA180)</f>
        <v>#REF!</v>
      </c>
      <c r="BX180" s="2064">
        <v>173</v>
      </c>
      <c r="BY180" s="2064" t="s">
        <v>3485</v>
      </c>
    </row>
    <row r="181" spans="1:77" s="1976" customFormat="1" ht="62" x14ac:dyDescent="0.35">
      <c r="A181" s="1372" t="s">
        <v>3041</v>
      </c>
      <c r="B181" s="1372" t="s">
        <v>260</v>
      </c>
      <c r="C181" s="1637">
        <v>1</v>
      </c>
      <c r="D181" s="2055" t="str">
        <f>'[9]5.6.1'!$A$2</f>
        <v>5.6.1</v>
      </c>
      <c r="E181" s="1372" t="s">
        <v>201</v>
      </c>
      <c r="F181" s="1638">
        <v>3750</v>
      </c>
      <c r="G181" s="1638">
        <v>3750</v>
      </c>
      <c r="H181" s="1638">
        <v>3750</v>
      </c>
      <c r="I181" s="1638">
        <v>3750</v>
      </c>
      <c r="J181" s="1372" t="str">
        <f>+'[9]5.6.1'!$B$24</f>
        <v>RS-SHL-AIRS-V06-180101</v>
      </c>
      <c r="K181" s="1372" t="str">
        <f t="shared" si="108"/>
        <v>Nicor Gas PY7-PY10 Adjustable Goals Template_2017-06-30, Tab 5.6.1</v>
      </c>
      <c r="L181" s="1639">
        <v>83.921658638743438</v>
      </c>
      <c r="M181" s="1639">
        <v>83.921658638743438</v>
      </c>
      <c r="N181" s="1639">
        <v>83.921658638743438</v>
      </c>
      <c r="O181" s="1639">
        <v>83.921658638743438</v>
      </c>
      <c r="P181" s="1637">
        <v>1</v>
      </c>
      <c r="Q181" s="1637">
        <v>1</v>
      </c>
      <c r="R181" s="1637">
        <v>1</v>
      </c>
      <c r="S181" s="1637">
        <v>1</v>
      </c>
      <c r="T181" s="1640">
        <f t="shared" si="109"/>
        <v>314706.21989528788</v>
      </c>
      <c r="U181" s="1640">
        <f t="shared" si="110"/>
        <v>314706.21989528788</v>
      </c>
      <c r="V181" s="1640">
        <f t="shared" si="111"/>
        <v>314706.21989528788</v>
      </c>
      <c r="W181" s="1640">
        <f t="shared" si="112"/>
        <v>314706.21989528788</v>
      </c>
      <c r="X181" s="1640">
        <f t="shared" si="113"/>
        <v>1258824.8795811515</v>
      </c>
      <c r="Y181" s="1372" t="str">
        <f t="shared" ref="Y181:Y190" si="138">J181</f>
        <v>RS-SHL-AIRS-V06-180101</v>
      </c>
      <c r="Z181" s="1372" t="str">
        <f t="shared" si="133"/>
        <v>Nicor Gas PY7-PY10 Adjustable Goals Template_2017-06-30, Tab 5.6.1</v>
      </c>
      <c r="AA181" s="2024">
        <f t="shared" si="134"/>
        <v>83.921658638743438</v>
      </c>
      <c r="AB181" s="2028"/>
      <c r="AC181" s="1840">
        <f t="shared" si="114"/>
        <v>314706.21989528788</v>
      </c>
      <c r="AD181" s="1840">
        <f t="shared" si="115"/>
        <v>0</v>
      </c>
      <c r="AE181" s="1372" t="s">
        <v>2804</v>
      </c>
      <c r="AF181" s="1372" t="s">
        <v>3398</v>
      </c>
      <c r="AG181" s="1988">
        <v>60.423594219895271</v>
      </c>
      <c r="AH181" s="1372" t="s">
        <v>3446</v>
      </c>
      <c r="AI181" s="1640">
        <f t="shared" si="116"/>
        <v>226588.47832460728</v>
      </c>
      <c r="AJ181" s="1638">
        <f t="shared" si="117"/>
        <v>-88117.741570680606</v>
      </c>
      <c r="AK181" s="1372" t="s">
        <v>2804</v>
      </c>
      <c r="AL181" s="1372" t="s">
        <v>3398</v>
      </c>
      <c r="AM181" s="1988">
        <v>60.423594219895271</v>
      </c>
      <c r="AN181" s="1372" t="str">
        <f t="shared" ref="AN181:AN190" si="139">$AH181</f>
        <v>Refer TRM V.7 Updates</v>
      </c>
      <c r="AO181" s="1640">
        <f t="shared" si="118"/>
        <v>226588.47832460728</v>
      </c>
      <c r="AP181" s="1638">
        <f t="shared" si="119"/>
        <v>-88117.741570680606</v>
      </c>
      <c r="AQ181" s="1372" t="s">
        <v>2804</v>
      </c>
      <c r="AR181" s="1372" t="s">
        <v>3398</v>
      </c>
      <c r="AS181" s="1988">
        <v>60.423594219895271</v>
      </c>
      <c r="AT181" s="1372" t="str">
        <f>AH181</f>
        <v>Refer TRM V.7 Updates</v>
      </c>
      <c r="AU181" s="1640">
        <f t="shared" si="120"/>
        <v>226588.47832460728</v>
      </c>
      <c r="AV181" s="1638">
        <f t="shared" si="121"/>
        <v>-88117.741570680606</v>
      </c>
      <c r="AW181" s="2044">
        <f t="shared" si="122"/>
        <v>314706.21989528788</v>
      </c>
      <c r="AX181" s="2044">
        <f t="shared" si="123"/>
        <v>226588.47832460728</v>
      </c>
      <c r="AY181" s="2044">
        <f t="shared" si="124"/>
        <v>226588.47832460728</v>
      </c>
      <c r="AZ181" s="2044">
        <f t="shared" si="125"/>
        <v>226588.47832460728</v>
      </c>
      <c r="BA181" s="2045">
        <f t="shared" si="126"/>
        <v>994471.65486910962</v>
      </c>
      <c r="BB181" s="2045" t="str">
        <f>'[9]5.6.1'!$A$2</f>
        <v>5.6.1</v>
      </c>
      <c r="BC181" s="2045" t="str">
        <f>'[9]5.6.1'!$A$2</f>
        <v>5.6.1</v>
      </c>
      <c r="BD181" s="2121">
        <v>1</v>
      </c>
      <c r="BE181" s="2051">
        <v>15</v>
      </c>
      <c r="BF181" s="2051">
        <v>15</v>
      </c>
      <c r="BG181" s="2051">
        <v>15</v>
      </c>
      <c r="BH181" s="2051">
        <v>15</v>
      </c>
      <c r="BI181" s="2045">
        <f t="shared" si="104"/>
        <v>4720593.2984293178</v>
      </c>
      <c r="BJ181" s="2045">
        <f t="shared" si="105"/>
        <v>4720593.2984293178</v>
      </c>
      <c r="BK181" s="2045">
        <f t="shared" si="106"/>
        <v>4720593.2984293178</v>
      </c>
      <c r="BL181" s="2045">
        <f t="shared" si="107"/>
        <v>4720593.2984293178</v>
      </c>
      <c r="BM181" s="2045">
        <f t="shared" si="127"/>
        <v>18882373.193717271</v>
      </c>
      <c r="BN181" s="2047">
        <v>15</v>
      </c>
      <c r="BO181" s="2050">
        <v>20</v>
      </c>
      <c r="BP181" s="2050">
        <v>20</v>
      </c>
      <c r="BQ181" s="2050">
        <v>20</v>
      </c>
      <c r="BR181" s="2048">
        <f t="shared" si="128"/>
        <v>4720593.2984293178</v>
      </c>
      <c r="BS181" s="2048">
        <f t="shared" si="129"/>
        <v>4531769.5664921459</v>
      </c>
      <c r="BT181" s="2048">
        <f t="shared" si="130"/>
        <v>4531769.5664921459</v>
      </c>
      <c r="BU181" s="2048">
        <f t="shared" si="131"/>
        <v>4531769.5664921459</v>
      </c>
      <c r="BV181" s="1840">
        <f t="shared" si="132"/>
        <v>18315901.997905754</v>
      </c>
      <c r="BW181" s="2064" t="e">
        <f>INT(#REF!)=INT(BA181)</f>
        <v>#REF!</v>
      </c>
      <c r="BX181" s="2064">
        <v>174</v>
      </c>
      <c r="BY181" s="2064" t="s">
        <v>512</v>
      </c>
    </row>
    <row r="182" spans="1:77" s="1976" customFormat="1" ht="62" x14ac:dyDescent="0.35">
      <c r="A182" s="1372" t="s">
        <v>3041</v>
      </c>
      <c r="B182" s="1372" t="s">
        <v>256</v>
      </c>
      <c r="C182" s="1637">
        <v>1</v>
      </c>
      <c r="D182" s="2055" t="str">
        <f>'[9]5.6.4'!$A$2</f>
        <v>5.6.4</v>
      </c>
      <c r="E182" s="1372" t="s">
        <v>201</v>
      </c>
      <c r="F182" s="1638">
        <v>3000</v>
      </c>
      <c r="G182" s="1638">
        <v>3000</v>
      </c>
      <c r="H182" s="1638">
        <v>3000</v>
      </c>
      <c r="I182" s="1638">
        <v>3000</v>
      </c>
      <c r="J182" s="1372" t="str">
        <f>+'[9]5.6.4'!$B$29</f>
        <v>RS-SHL-AINS-V07-180101</v>
      </c>
      <c r="K182" s="1372" t="str">
        <f t="shared" si="108"/>
        <v>Nicor Gas PY7-PY10 Adjustable Goals Template_2017-06-30, Tab 5.6.4</v>
      </c>
      <c r="L182" s="1639">
        <v>90.976771339718724</v>
      </c>
      <c r="M182" s="1639">
        <v>90.976771339718724</v>
      </c>
      <c r="N182" s="1639">
        <v>90.976771339718724</v>
      </c>
      <c r="O182" s="1639">
        <v>90.976771339718724</v>
      </c>
      <c r="P182" s="1637">
        <v>1</v>
      </c>
      <c r="Q182" s="1637">
        <v>1</v>
      </c>
      <c r="R182" s="1637">
        <v>1</v>
      </c>
      <c r="S182" s="1637">
        <v>1</v>
      </c>
      <c r="T182" s="1640">
        <f t="shared" si="109"/>
        <v>272930.31401915615</v>
      </c>
      <c r="U182" s="1640">
        <f t="shared" si="110"/>
        <v>272930.31401915615</v>
      </c>
      <c r="V182" s="1640">
        <f t="shared" si="111"/>
        <v>272930.31401915615</v>
      </c>
      <c r="W182" s="1640">
        <f t="shared" si="112"/>
        <v>272930.31401915615</v>
      </c>
      <c r="X182" s="1640">
        <f t="shared" si="113"/>
        <v>1091721.2560766246</v>
      </c>
      <c r="Y182" s="1372" t="str">
        <f t="shared" si="138"/>
        <v>RS-SHL-AINS-V07-180101</v>
      </c>
      <c r="Z182" s="1372" t="str">
        <f t="shared" si="133"/>
        <v>Nicor Gas PY7-PY10 Adjustable Goals Template_2017-06-30, Tab 5.6.4</v>
      </c>
      <c r="AA182" s="2024">
        <f t="shared" si="134"/>
        <v>90.976771339718724</v>
      </c>
      <c r="AB182" s="2028"/>
      <c r="AC182" s="1840">
        <f t="shared" si="114"/>
        <v>272930.31401915615</v>
      </c>
      <c r="AD182" s="1840">
        <f t="shared" si="115"/>
        <v>0</v>
      </c>
      <c r="AE182" s="1372" t="s">
        <v>2806</v>
      </c>
      <c r="AF182" s="1372" t="s">
        <v>3399</v>
      </c>
      <c r="AG182" s="1981">
        <v>109.24527093181956</v>
      </c>
      <c r="AH182" s="1372" t="s">
        <v>3446</v>
      </c>
      <c r="AI182" s="1640">
        <f t="shared" si="116"/>
        <v>327735.81279545871</v>
      </c>
      <c r="AJ182" s="1638">
        <f t="shared" si="117"/>
        <v>54805.498776302557</v>
      </c>
      <c r="AK182" s="1372" t="s">
        <v>2806</v>
      </c>
      <c r="AL182" s="1372" t="s">
        <v>3399</v>
      </c>
      <c r="AM182" s="1981">
        <v>109.24527093181956</v>
      </c>
      <c r="AN182" s="1372" t="str">
        <f t="shared" si="139"/>
        <v>Refer TRM V.7 Updates</v>
      </c>
      <c r="AO182" s="1640">
        <f t="shared" si="118"/>
        <v>327735.81279545871</v>
      </c>
      <c r="AP182" s="1638">
        <f t="shared" si="119"/>
        <v>54805.498776302557</v>
      </c>
      <c r="AQ182" s="1372" t="s">
        <v>2806</v>
      </c>
      <c r="AR182" s="1372" t="s">
        <v>3399</v>
      </c>
      <c r="AS182" s="1981">
        <v>109.24527093181956</v>
      </c>
      <c r="AT182" s="1372" t="str">
        <f>AH182</f>
        <v>Refer TRM V.7 Updates</v>
      </c>
      <c r="AU182" s="1640">
        <f t="shared" si="120"/>
        <v>327735.81279545871</v>
      </c>
      <c r="AV182" s="1638">
        <f t="shared" si="121"/>
        <v>54805.498776302557</v>
      </c>
      <c r="AW182" s="2044">
        <f t="shared" si="122"/>
        <v>272930.31401915615</v>
      </c>
      <c r="AX182" s="2044">
        <f t="shared" si="123"/>
        <v>327735.81279545871</v>
      </c>
      <c r="AY182" s="2044">
        <f t="shared" si="124"/>
        <v>327735.81279545871</v>
      </c>
      <c r="AZ182" s="2044">
        <f t="shared" si="125"/>
        <v>327735.81279545871</v>
      </c>
      <c r="BA182" s="2045">
        <f t="shared" si="126"/>
        <v>1256137.7524055322</v>
      </c>
      <c r="BB182" s="2045" t="str">
        <f>'[9]5.6.4'!$A$2</f>
        <v>5.6.4</v>
      </c>
      <c r="BC182" s="2045" t="str">
        <f>'[9]5.6.4'!$A$2</f>
        <v>5.6.4</v>
      </c>
      <c r="BD182" s="2121">
        <v>1</v>
      </c>
      <c r="BE182" s="2051">
        <v>25</v>
      </c>
      <c r="BF182" s="2051">
        <v>25</v>
      </c>
      <c r="BG182" s="2051">
        <v>25</v>
      </c>
      <c r="BH182" s="2051">
        <v>25</v>
      </c>
      <c r="BI182" s="2045">
        <f t="shared" si="104"/>
        <v>6823257.8504789043</v>
      </c>
      <c r="BJ182" s="2045">
        <f t="shared" si="105"/>
        <v>6823257.8504789043</v>
      </c>
      <c r="BK182" s="2045">
        <f t="shared" si="106"/>
        <v>6823257.8504789043</v>
      </c>
      <c r="BL182" s="2045">
        <f t="shared" si="107"/>
        <v>6823257.8504789043</v>
      </c>
      <c r="BM182" s="2045">
        <f t="shared" si="127"/>
        <v>27293031.401915617</v>
      </c>
      <c r="BN182" s="2047">
        <v>25</v>
      </c>
      <c r="BO182" s="2050">
        <v>20</v>
      </c>
      <c r="BP182" s="2050">
        <v>20</v>
      </c>
      <c r="BQ182" s="2050">
        <v>20</v>
      </c>
      <c r="BR182" s="2048">
        <f t="shared" si="128"/>
        <v>6823257.8504789043</v>
      </c>
      <c r="BS182" s="2048">
        <f t="shared" si="129"/>
        <v>6554716.2559091747</v>
      </c>
      <c r="BT182" s="2048">
        <f t="shared" si="130"/>
        <v>6554716.2559091747</v>
      </c>
      <c r="BU182" s="2048">
        <f t="shared" si="131"/>
        <v>6554716.2559091747</v>
      </c>
      <c r="BV182" s="1840">
        <f t="shared" si="132"/>
        <v>26487406.618206427</v>
      </c>
      <c r="BW182" s="2064" t="e">
        <f>INT(#REF!)=INT(BA182)</f>
        <v>#REF!</v>
      </c>
      <c r="BX182" s="2064">
        <v>175</v>
      </c>
      <c r="BY182" s="2064" t="s">
        <v>512</v>
      </c>
    </row>
    <row r="183" spans="1:77" s="1976" customFormat="1" ht="62" x14ac:dyDescent="0.35">
      <c r="A183" s="1372" t="s">
        <v>3041</v>
      </c>
      <c r="B183" s="1372" t="s">
        <v>257</v>
      </c>
      <c r="C183" s="1637">
        <v>1</v>
      </c>
      <c r="D183" s="2055" t="str">
        <f>'[9]5.6.4'!$A$2</f>
        <v>5.6.4</v>
      </c>
      <c r="E183" s="1372" t="s">
        <v>201</v>
      </c>
      <c r="F183" s="1638">
        <v>250</v>
      </c>
      <c r="G183" s="1638">
        <v>250</v>
      </c>
      <c r="H183" s="1638">
        <v>250</v>
      </c>
      <c r="I183" s="1638">
        <v>250</v>
      </c>
      <c r="J183" s="1372" t="str">
        <f>+'[9]5.6.4'!$B$29</f>
        <v>RS-SHL-AINS-V07-180101</v>
      </c>
      <c r="K183" s="1372" t="str">
        <f t="shared" si="108"/>
        <v>Nicor Gas PY7-PY10 Adjustable Goals Template_2017-06-30, Tab 5.6.4</v>
      </c>
      <c r="L183" s="1639">
        <v>97.768054132986222</v>
      </c>
      <c r="M183" s="1639">
        <v>97.768054132986222</v>
      </c>
      <c r="N183" s="1639">
        <v>97.768054132986222</v>
      </c>
      <c r="O183" s="1639">
        <v>97.768054132986222</v>
      </c>
      <c r="P183" s="1637">
        <v>1</v>
      </c>
      <c r="Q183" s="1637">
        <v>1</v>
      </c>
      <c r="R183" s="1637">
        <v>1</v>
      </c>
      <c r="S183" s="1637">
        <v>1</v>
      </c>
      <c r="T183" s="1640">
        <f t="shared" si="109"/>
        <v>24442.013533246554</v>
      </c>
      <c r="U183" s="1640">
        <f t="shared" si="110"/>
        <v>24442.013533246554</v>
      </c>
      <c r="V183" s="1640">
        <f t="shared" si="111"/>
        <v>24442.013533246554</v>
      </c>
      <c r="W183" s="1640">
        <f t="shared" si="112"/>
        <v>24442.013533246554</v>
      </c>
      <c r="X183" s="1640">
        <f t="shared" si="113"/>
        <v>97768.054132986217</v>
      </c>
      <c r="Y183" s="1372" t="str">
        <f t="shared" si="138"/>
        <v>RS-SHL-AINS-V07-180101</v>
      </c>
      <c r="Z183" s="1372" t="str">
        <f t="shared" si="133"/>
        <v>Nicor Gas PY7-PY10 Adjustable Goals Template_2017-06-30, Tab 5.6.4</v>
      </c>
      <c r="AA183" s="2024">
        <f t="shared" si="134"/>
        <v>97.768054132986222</v>
      </c>
      <c r="AB183" s="2028"/>
      <c r="AC183" s="1840">
        <f t="shared" si="114"/>
        <v>24442.013533246554</v>
      </c>
      <c r="AD183" s="1840">
        <f t="shared" si="115"/>
        <v>0</v>
      </c>
      <c r="AE183" s="1372" t="s">
        <v>2806</v>
      </c>
      <c r="AF183" s="1372" t="s">
        <v>3399</v>
      </c>
      <c r="AG183" s="1981">
        <v>117.40027047510635</v>
      </c>
      <c r="AH183" s="1372" t="s">
        <v>3446</v>
      </c>
      <c r="AI183" s="1640">
        <f t="shared" si="116"/>
        <v>29350.067618776589</v>
      </c>
      <c r="AJ183" s="1638">
        <f t="shared" si="117"/>
        <v>4908.0540855300351</v>
      </c>
      <c r="AK183" s="1372" t="s">
        <v>2806</v>
      </c>
      <c r="AL183" s="1372" t="s">
        <v>3399</v>
      </c>
      <c r="AM183" s="1981">
        <v>117.40027047510635</v>
      </c>
      <c r="AN183" s="1372" t="str">
        <f t="shared" si="139"/>
        <v>Refer TRM V.7 Updates</v>
      </c>
      <c r="AO183" s="1640">
        <f t="shared" si="118"/>
        <v>29350.067618776589</v>
      </c>
      <c r="AP183" s="1638">
        <f t="shared" si="119"/>
        <v>4908.0540855300351</v>
      </c>
      <c r="AQ183" s="1372" t="s">
        <v>2806</v>
      </c>
      <c r="AR183" s="1372" t="s">
        <v>3399</v>
      </c>
      <c r="AS183" s="1981">
        <v>117.40027047510635</v>
      </c>
      <c r="AT183" s="1372" t="str">
        <f>AH183</f>
        <v>Refer TRM V.7 Updates</v>
      </c>
      <c r="AU183" s="1640">
        <f t="shared" si="120"/>
        <v>29350.067618776589</v>
      </c>
      <c r="AV183" s="1638">
        <f t="shared" si="121"/>
        <v>4908.0540855300351</v>
      </c>
      <c r="AW183" s="2044">
        <f t="shared" si="122"/>
        <v>24442.013533246554</v>
      </c>
      <c r="AX183" s="2044">
        <f t="shared" si="123"/>
        <v>29350.067618776589</v>
      </c>
      <c r="AY183" s="2044">
        <f t="shared" si="124"/>
        <v>29350.067618776589</v>
      </c>
      <c r="AZ183" s="2044">
        <f t="shared" si="125"/>
        <v>29350.067618776589</v>
      </c>
      <c r="BA183" s="2045">
        <f t="shared" si="126"/>
        <v>112492.21638957632</v>
      </c>
      <c r="BB183" s="2045" t="str">
        <f>'[9]5.6.4'!$A$2</f>
        <v>5.6.4</v>
      </c>
      <c r="BC183" s="2045" t="str">
        <f>'[9]5.6.4'!$A$2</f>
        <v>5.6.4</v>
      </c>
      <c r="BD183" s="2121">
        <v>1</v>
      </c>
      <c r="BE183" s="2051">
        <v>25</v>
      </c>
      <c r="BF183" s="2051">
        <v>25</v>
      </c>
      <c r="BG183" s="2051">
        <v>25</v>
      </c>
      <c r="BH183" s="2051">
        <v>25</v>
      </c>
      <c r="BI183" s="2045">
        <f t="shared" si="104"/>
        <v>611050.33833116386</v>
      </c>
      <c r="BJ183" s="2045">
        <f t="shared" si="105"/>
        <v>611050.33833116386</v>
      </c>
      <c r="BK183" s="2045">
        <f t="shared" si="106"/>
        <v>611050.33833116386</v>
      </c>
      <c r="BL183" s="2045">
        <f t="shared" si="107"/>
        <v>611050.33833116386</v>
      </c>
      <c r="BM183" s="2045">
        <f t="shared" si="127"/>
        <v>2444201.3533246554</v>
      </c>
      <c r="BN183" s="2047">
        <v>25</v>
      </c>
      <c r="BO183" s="2050">
        <v>20</v>
      </c>
      <c r="BP183" s="2050">
        <v>20</v>
      </c>
      <c r="BQ183" s="2050">
        <v>20</v>
      </c>
      <c r="BR183" s="2048">
        <f t="shared" si="128"/>
        <v>611050.33833116386</v>
      </c>
      <c r="BS183" s="2048">
        <f t="shared" si="129"/>
        <v>587001.3523755318</v>
      </c>
      <c r="BT183" s="2048">
        <f t="shared" si="130"/>
        <v>587001.3523755318</v>
      </c>
      <c r="BU183" s="2048">
        <f t="shared" si="131"/>
        <v>587001.3523755318</v>
      </c>
      <c r="BV183" s="1840">
        <f t="shared" si="132"/>
        <v>2372054.3954577595</v>
      </c>
      <c r="BW183" s="2064" t="e">
        <f>INT(#REF!)=INT(BA183)</f>
        <v>#REF!</v>
      </c>
      <c r="BX183" s="2064">
        <v>176</v>
      </c>
      <c r="BY183" s="2064" t="s">
        <v>512</v>
      </c>
    </row>
    <row r="184" spans="1:77" s="1976" customFormat="1" ht="62" x14ac:dyDescent="0.35">
      <c r="A184" s="1372" t="s">
        <v>3041</v>
      </c>
      <c r="B184" s="1372" t="s">
        <v>258</v>
      </c>
      <c r="C184" s="1637">
        <v>1</v>
      </c>
      <c r="D184" s="2055" t="str">
        <f>'[9]5.6.4'!$A$2</f>
        <v>5.6.4</v>
      </c>
      <c r="E184" s="1372" t="s">
        <v>201</v>
      </c>
      <c r="F184" s="1638">
        <v>500</v>
      </c>
      <c r="G184" s="1638">
        <v>500</v>
      </c>
      <c r="H184" s="1638">
        <v>500</v>
      </c>
      <c r="I184" s="1638">
        <v>500</v>
      </c>
      <c r="J184" s="1372" t="str">
        <f>+'[9]5.6.4'!$B$29</f>
        <v>RS-SHL-AINS-V07-180101</v>
      </c>
      <c r="K184" s="1372" t="str">
        <f t="shared" si="108"/>
        <v>Nicor Gas PY7-PY10 Adjustable Goals Template_2017-06-30, Tab 5.6.4</v>
      </c>
      <c r="L184" s="1639">
        <v>28.058276596263042</v>
      </c>
      <c r="M184" s="1639">
        <v>28.058276596263042</v>
      </c>
      <c r="N184" s="1639">
        <v>28.058276596263042</v>
      </c>
      <c r="O184" s="1639">
        <v>28.058276596263042</v>
      </c>
      <c r="P184" s="1637">
        <v>1</v>
      </c>
      <c r="Q184" s="1637">
        <v>1</v>
      </c>
      <c r="R184" s="1637">
        <v>1</v>
      </c>
      <c r="S184" s="1637">
        <v>1</v>
      </c>
      <c r="T184" s="1640">
        <f t="shared" si="109"/>
        <v>14029.13829813152</v>
      </c>
      <c r="U184" s="1640">
        <f t="shared" si="110"/>
        <v>14029.13829813152</v>
      </c>
      <c r="V184" s="1640">
        <f t="shared" si="111"/>
        <v>14029.13829813152</v>
      </c>
      <c r="W184" s="1640">
        <f t="shared" si="112"/>
        <v>14029.13829813152</v>
      </c>
      <c r="X184" s="1640">
        <f t="shared" si="113"/>
        <v>56116.55319252608</v>
      </c>
      <c r="Y184" s="1372" t="str">
        <f t="shared" si="138"/>
        <v>RS-SHL-AINS-V07-180101</v>
      </c>
      <c r="Z184" s="1372" t="str">
        <f t="shared" si="133"/>
        <v>Nicor Gas PY7-PY10 Adjustable Goals Template_2017-06-30, Tab 5.6.4</v>
      </c>
      <c r="AA184" s="2024">
        <f t="shared" si="134"/>
        <v>28.058276596263042</v>
      </c>
      <c r="AB184" s="2028"/>
      <c r="AC184" s="1840">
        <f t="shared" si="114"/>
        <v>14029.13829813152</v>
      </c>
      <c r="AD184" s="1840">
        <f t="shared" si="115"/>
        <v>0</v>
      </c>
      <c r="AE184" s="1372" t="s">
        <v>2806</v>
      </c>
      <c r="AF184" s="1372" t="s">
        <v>3399</v>
      </c>
      <c r="AG184" s="1981">
        <v>33.692490769899045</v>
      </c>
      <c r="AH184" s="1372" t="s">
        <v>3446</v>
      </c>
      <c r="AI184" s="1640">
        <f t="shared" si="116"/>
        <v>16846.245384949521</v>
      </c>
      <c r="AJ184" s="1638">
        <f t="shared" si="117"/>
        <v>2817.1070868180013</v>
      </c>
      <c r="AK184" s="1372" t="s">
        <v>2806</v>
      </c>
      <c r="AL184" s="1372" t="s">
        <v>3399</v>
      </c>
      <c r="AM184" s="1981">
        <v>33.692490769899045</v>
      </c>
      <c r="AN184" s="1372" t="str">
        <f t="shared" si="139"/>
        <v>Refer TRM V.7 Updates</v>
      </c>
      <c r="AO184" s="1640">
        <f t="shared" si="118"/>
        <v>16846.245384949521</v>
      </c>
      <c r="AP184" s="1638">
        <f t="shared" si="119"/>
        <v>2817.1070868180013</v>
      </c>
      <c r="AQ184" s="1372" t="s">
        <v>2806</v>
      </c>
      <c r="AR184" s="1372" t="s">
        <v>3399</v>
      </c>
      <c r="AS184" s="1981">
        <v>33.692490769899045</v>
      </c>
      <c r="AT184" s="1372" t="str">
        <f>AH184</f>
        <v>Refer TRM V.7 Updates</v>
      </c>
      <c r="AU184" s="1640">
        <f t="shared" si="120"/>
        <v>16846.245384949521</v>
      </c>
      <c r="AV184" s="1638">
        <f t="shared" si="121"/>
        <v>2817.1070868180013</v>
      </c>
      <c r="AW184" s="2044">
        <f t="shared" si="122"/>
        <v>14029.13829813152</v>
      </c>
      <c r="AX184" s="2044">
        <f t="shared" si="123"/>
        <v>16846.245384949521</v>
      </c>
      <c r="AY184" s="2044">
        <f t="shared" si="124"/>
        <v>16846.245384949521</v>
      </c>
      <c r="AZ184" s="2044">
        <f t="shared" si="125"/>
        <v>16846.245384949521</v>
      </c>
      <c r="BA184" s="2045">
        <f t="shared" si="126"/>
        <v>64567.874452980082</v>
      </c>
      <c r="BB184" s="2045" t="str">
        <f>'[9]5.6.4'!$A$2</f>
        <v>5.6.4</v>
      </c>
      <c r="BC184" s="2045" t="str">
        <f>'[9]5.6.4'!$A$2</f>
        <v>5.6.4</v>
      </c>
      <c r="BD184" s="2121">
        <v>1</v>
      </c>
      <c r="BE184" s="2051">
        <v>25</v>
      </c>
      <c r="BF184" s="2051">
        <v>25</v>
      </c>
      <c r="BG184" s="2051">
        <v>25</v>
      </c>
      <c r="BH184" s="2051">
        <v>25</v>
      </c>
      <c r="BI184" s="2045">
        <f t="shared" si="104"/>
        <v>350728.45745328802</v>
      </c>
      <c r="BJ184" s="2045">
        <f t="shared" si="105"/>
        <v>350728.45745328802</v>
      </c>
      <c r="BK184" s="2045">
        <f t="shared" si="106"/>
        <v>350728.45745328802</v>
      </c>
      <c r="BL184" s="2045">
        <f t="shared" si="107"/>
        <v>350728.45745328802</v>
      </c>
      <c r="BM184" s="2045">
        <f t="shared" si="127"/>
        <v>1402913.8298131521</v>
      </c>
      <c r="BN184" s="2047">
        <v>25</v>
      </c>
      <c r="BO184" s="2050">
        <v>20</v>
      </c>
      <c r="BP184" s="2050">
        <v>20</v>
      </c>
      <c r="BQ184" s="2050">
        <v>20</v>
      </c>
      <c r="BR184" s="2048">
        <f t="shared" si="128"/>
        <v>350728.45745328802</v>
      </c>
      <c r="BS184" s="2048">
        <f t="shared" si="129"/>
        <v>336924.90769899043</v>
      </c>
      <c r="BT184" s="2048">
        <f t="shared" si="130"/>
        <v>336924.90769899043</v>
      </c>
      <c r="BU184" s="2048">
        <f t="shared" si="131"/>
        <v>336924.90769899043</v>
      </c>
      <c r="BV184" s="1840">
        <f t="shared" si="132"/>
        <v>1361503.1805502593</v>
      </c>
      <c r="BW184" s="2064" t="e">
        <f>INT(#REF!)=INT(BA184)</f>
        <v>#REF!</v>
      </c>
      <c r="BX184" s="2064">
        <v>177</v>
      </c>
      <c r="BY184" s="2064" t="s">
        <v>512</v>
      </c>
    </row>
    <row r="185" spans="1:77" s="1976" customFormat="1" ht="62" x14ac:dyDescent="0.35">
      <c r="A185" s="1372" t="s">
        <v>3041</v>
      </c>
      <c r="B185" s="1372" t="s">
        <v>3038</v>
      </c>
      <c r="C185" s="1637">
        <v>0</v>
      </c>
      <c r="D185" s="2053" t="str">
        <f>'[9]5.3.16'!$A$2</f>
        <v>5.3.16</v>
      </c>
      <c r="E185" s="1372" t="s">
        <v>163</v>
      </c>
      <c r="F185" s="1638">
        <v>2700</v>
      </c>
      <c r="G185" s="1638">
        <v>2700</v>
      </c>
      <c r="H185" s="1638">
        <v>2700</v>
      </c>
      <c r="I185" s="1638">
        <v>2700</v>
      </c>
      <c r="J185" s="1372" t="str">
        <f>+'[9]5.3.16'!$B$16</f>
        <v>RS-HVC-ADTH-V02-180101</v>
      </c>
      <c r="K185" s="1372" t="str">
        <f t="shared" si="108"/>
        <v>Nicor Gas PY7-PY10 Adjustable Goals Template_2017-06-30, Tab 5.3.16</v>
      </c>
      <c r="L185" s="1639">
        <v>74.347799999999992</v>
      </c>
      <c r="M185" s="1639">
        <v>74.347799999999992</v>
      </c>
      <c r="N185" s="1639">
        <v>74.347799999999992</v>
      </c>
      <c r="O185" s="1639">
        <v>74.347799999999992</v>
      </c>
      <c r="P185" s="1637">
        <v>1</v>
      </c>
      <c r="Q185" s="1637">
        <v>1</v>
      </c>
      <c r="R185" s="1637">
        <v>1</v>
      </c>
      <c r="S185" s="1637">
        <v>1</v>
      </c>
      <c r="T185" s="1640">
        <f t="shared" si="109"/>
        <v>200739.05999999997</v>
      </c>
      <c r="U185" s="1640">
        <f t="shared" si="110"/>
        <v>200739.05999999997</v>
      </c>
      <c r="V185" s="1640">
        <f t="shared" si="111"/>
        <v>200739.05999999997</v>
      </c>
      <c r="W185" s="1640">
        <f t="shared" si="112"/>
        <v>200739.05999999997</v>
      </c>
      <c r="X185" s="1640">
        <f t="shared" si="113"/>
        <v>802956.23999999987</v>
      </c>
      <c r="Y185" s="1372" t="str">
        <f t="shared" si="138"/>
        <v>RS-HVC-ADTH-V02-180101</v>
      </c>
      <c r="Z185" s="1372" t="str">
        <f t="shared" si="133"/>
        <v>Nicor Gas PY7-PY10 Adjustable Goals Template_2017-06-30, Tab 5.3.16</v>
      </c>
      <c r="AA185" s="2024">
        <f t="shared" si="134"/>
        <v>74.347799999999992</v>
      </c>
      <c r="AB185" s="2028"/>
      <c r="AC185" s="1840">
        <f t="shared" si="114"/>
        <v>200739.05999999997</v>
      </c>
      <c r="AD185" s="1840">
        <f t="shared" si="115"/>
        <v>0</v>
      </c>
      <c r="AE185" s="1372" t="s">
        <v>2803</v>
      </c>
      <c r="AF185" s="1372" t="s">
        <v>3392</v>
      </c>
      <c r="AG185" s="1639">
        <v>74.347799999999992</v>
      </c>
      <c r="AH185" s="1372" t="s">
        <v>3445</v>
      </c>
      <c r="AI185" s="1640">
        <f t="shared" si="116"/>
        <v>200739.05999999997</v>
      </c>
      <c r="AJ185" s="1638">
        <f t="shared" si="117"/>
        <v>0</v>
      </c>
      <c r="AK185" s="1372" t="s">
        <v>2803</v>
      </c>
      <c r="AL185" s="1372" t="s">
        <v>3392</v>
      </c>
      <c r="AM185" s="1639">
        <v>74.347799999999992</v>
      </c>
      <c r="AN185" s="1372" t="str">
        <f t="shared" si="139"/>
        <v>No change</v>
      </c>
      <c r="AO185" s="1640">
        <f t="shared" si="118"/>
        <v>200739.05999999997</v>
      </c>
      <c r="AP185" s="1638">
        <f t="shared" si="119"/>
        <v>0</v>
      </c>
      <c r="AQ185" s="1372" t="s">
        <v>2803</v>
      </c>
      <c r="AR185" s="1372" t="s">
        <v>3392</v>
      </c>
      <c r="AS185" s="1639">
        <v>74.347799999999992</v>
      </c>
      <c r="AT185" s="1372" t="str">
        <f>$AH185</f>
        <v>No change</v>
      </c>
      <c r="AU185" s="1640">
        <f t="shared" si="120"/>
        <v>200739.05999999997</v>
      </c>
      <c r="AV185" s="1638">
        <f t="shared" si="121"/>
        <v>0</v>
      </c>
      <c r="AW185" s="2044">
        <f t="shared" si="122"/>
        <v>200739.05999999997</v>
      </c>
      <c r="AX185" s="2044">
        <f t="shared" si="123"/>
        <v>200739.05999999997</v>
      </c>
      <c r="AY185" s="2044">
        <f t="shared" si="124"/>
        <v>200739.05999999997</v>
      </c>
      <c r="AZ185" s="2044">
        <f t="shared" si="125"/>
        <v>200739.05999999997</v>
      </c>
      <c r="BA185" s="2045">
        <f t="shared" si="126"/>
        <v>802956.23999999987</v>
      </c>
      <c r="BB185" s="2045" t="str">
        <f>'[9]5.3.16'!$A$2</f>
        <v>5.3.16</v>
      </c>
      <c r="BC185" s="2045" t="str">
        <f>'[9]5.3.16'!$A$2</f>
        <v>5.3.16</v>
      </c>
      <c r="BD185" s="2121">
        <v>1</v>
      </c>
      <c r="BE185" s="2051">
        <v>10</v>
      </c>
      <c r="BF185" s="2051">
        <v>10</v>
      </c>
      <c r="BG185" s="2051">
        <v>10</v>
      </c>
      <c r="BH185" s="2051">
        <v>10</v>
      </c>
      <c r="BI185" s="2045">
        <f t="shared" si="104"/>
        <v>2007390.5999999996</v>
      </c>
      <c r="BJ185" s="2045">
        <f t="shared" si="105"/>
        <v>2007390.5999999996</v>
      </c>
      <c r="BK185" s="2045">
        <f t="shared" si="106"/>
        <v>2007390.5999999996</v>
      </c>
      <c r="BL185" s="2045">
        <f t="shared" si="107"/>
        <v>2007390.5999999996</v>
      </c>
      <c r="BM185" s="2045">
        <f t="shared" si="127"/>
        <v>8029562.3999999985</v>
      </c>
      <c r="BN185" s="2047">
        <v>10</v>
      </c>
      <c r="BO185" s="2050">
        <v>11</v>
      </c>
      <c r="BP185" s="2050">
        <v>11</v>
      </c>
      <c r="BQ185" s="2050">
        <v>11</v>
      </c>
      <c r="BR185" s="2048">
        <f t="shared" si="128"/>
        <v>2007390.5999999996</v>
      </c>
      <c r="BS185" s="2048">
        <f t="shared" si="129"/>
        <v>2208129.6599999997</v>
      </c>
      <c r="BT185" s="2048">
        <f t="shared" si="130"/>
        <v>2208129.6599999997</v>
      </c>
      <c r="BU185" s="2048">
        <f t="shared" si="131"/>
        <v>2208129.6599999997</v>
      </c>
      <c r="BV185" s="1840">
        <f t="shared" si="132"/>
        <v>8631779.5800000001</v>
      </c>
      <c r="BW185" s="2064" t="e">
        <f>INT(#REF!)=INT(BA185)</f>
        <v>#REF!</v>
      </c>
      <c r="BX185" s="2064">
        <v>178</v>
      </c>
      <c r="BY185" s="2064" t="s">
        <v>512</v>
      </c>
    </row>
    <row r="186" spans="1:77" s="1976" customFormat="1" ht="62" x14ac:dyDescent="0.35">
      <c r="A186" s="1372" t="s">
        <v>3041</v>
      </c>
      <c r="B186" s="1372" t="s">
        <v>259</v>
      </c>
      <c r="C186" s="1637">
        <v>0</v>
      </c>
      <c r="D186" s="2056" t="str">
        <f>'[9]5.6.4'!$A$2</f>
        <v>5.6.4</v>
      </c>
      <c r="E186" s="1843" t="s">
        <v>201</v>
      </c>
      <c r="F186" s="1638">
        <v>213</v>
      </c>
      <c r="G186" s="1638">
        <v>213</v>
      </c>
      <c r="H186" s="1638">
        <v>213</v>
      </c>
      <c r="I186" s="1638">
        <v>213</v>
      </c>
      <c r="J186" s="1372" t="str">
        <f>+'[9]5.6.4'!$B$29</f>
        <v>RS-SHL-AINS-V07-180101</v>
      </c>
      <c r="K186" s="1372" t="str">
        <f t="shared" si="108"/>
        <v>Nicor Gas PY7-PY10 Adjustable Goals Template_2017-06-30, Tab 5.6.4</v>
      </c>
      <c r="L186" s="1639">
        <v>177.0940497558943</v>
      </c>
      <c r="M186" s="1639">
        <v>177.0940497558943</v>
      </c>
      <c r="N186" s="1639">
        <v>177.0940497558943</v>
      </c>
      <c r="O186" s="1639">
        <v>177.0940497558943</v>
      </c>
      <c r="P186" s="1637">
        <v>1</v>
      </c>
      <c r="Q186" s="1637">
        <v>1</v>
      </c>
      <c r="R186" s="1637">
        <v>1</v>
      </c>
      <c r="S186" s="1637">
        <v>1</v>
      </c>
      <c r="T186" s="1640">
        <f t="shared" si="109"/>
        <v>37721.032598005484</v>
      </c>
      <c r="U186" s="1640">
        <f t="shared" si="110"/>
        <v>37721.032598005484</v>
      </c>
      <c r="V186" s="1640">
        <f t="shared" si="111"/>
        <v>37721.032598005484</v>
      </c>
      <c r="W186" s="1640">
        <f t="shared" si="112"/>
        <v>37721.032598005484</v>
      </c>
      <c r="X186" s="1640">
        <f t="shared" si="113"/>
        <v>150884.13039202194</v>
      </c>
      <c r="Y186" s="1372" t="str">
        <f t="shared" si="138"/>
        <v>RS-SHL-AINS-V07-180101</v>
      </c>
      <c r="Z186" s="1372" t="str">
        <f t="shared" si="133"/>
        <v>Nicor Gas PY7-PY10 Adjustable Goals Template_2017-06-30, Tab 5.6.4</v>
      </c>
      <c r="AA186" s="2024">
        <f t="shared" si="134"/>
        <v>177.0940497558943</v>
      </c>
      <c r="AB186" s="2028"/>
      <c r="AC186" s="1840">
        <f t="shared" si="114"/>
        <v>37721.032598005484</v>
      </c>
      <c r="AD186" s="1840">
        <f t="shared" si="115"/>
        <v>0</v>
      </c>
      <c r="AE186" s="1372" t="s">
        <v>2806</v>
      </c>
      <c r="AF186" s="1372" t="s">
        <v>3399</v>
      </c>
      <c r="AG186" s="1981">
        <f>M186</f>
        <v>177.0940497558943</v>
      </c>
      <c r="AH186" s="1372" t="s">
        <v>3446</v>
      </c>
      <c r="AI186" s="1640">
        <f t="shared" si="116"/>
        <v>37721.032598005484</v>
      </c>
      <c r="AJ186" s="1638">
        <f t="shared" si="117"/>
        <v>0</v>
      </c>
      <c r="AK186" s="1372" t="s">
        <v>2806</v>
      </c>
      <c r="AL186" s="1372" t="s">
        <v>3399</v>
      </c>
      <c r="AM186" s="1981">
        <f>N186</f>
        <v>177.0940497558943</v>
      </c>
      <c r="AN186" s="1372" t="str">
        <f t="shared" si="139"/>
        <v>Refer TRM V.7 Updates</v>
      </c>
      <c r="AO186" s="1640">
        <f t="shared" si="118"/>
        <v>37721.032598005484</v>
      </c>
      <c r="AP186" s="1638">
        <f t="shared" si="119"/>
        <v>0</v>
      </c>
      <c r="AQ186" s="1372" t="s">
        <v>2806</v>
      </c>
      <c r="AR186" s="1372" t="s">
        <v>3399</v>
      </c>
      <c r="AS186" s="1981">
        <f>O186</f>
        <v>177.0940497558943</v>
      </c>
      <c r="AT186" s="1372" t="str">
        <f>AH186</f>
        <v>Refer TRM V.7 Updates</v>
      </c>
      <c r="AU186" s="1640">
        <f t="shared" si="120"/>
        <v>37721.032598005484</v>
      </c>
      <c r="AV186" s="1638">
        <f t="shared" si="121"/>
        <v>0</v>
      </c>
      <c r="AW186" s="2044">
        <f t="shared" si="122"/>
        <v>37721.032598005484</v>
      </c>
      <c r="AX186" s="2044">
        <f t="shared" si="123"/>
        <v>37721.032598005484</v>
      </c>
      <c r="AY186" s="2044">
        <f t="shared" si="124"/>
        <v>37721.032598005484</v>
      </c>
      <c r="AZ186" s="2044">
        <f t="shared" si="125"/>
        <v>37721.032598005484</v>
      </c>
      <c r="BA186" s="2045">
        <f t="shared" si="126"/>
        <v>150884.13039202194</v>
      </c>
      <c r="BB186" s="2045" t="str">
        <f>'[9]5.6.4'!$A$2</f>
        <v>5.6.4</v>
      </c>
      <c r="BC186" s="2045" t="str">
        <f>'[9]5.6.4'!$A$2</f>
        <v>5.6.4</v>
      </c>
      <c r="BD186" s="2121">
        <v>1</v>
      </c>
      <c r="BE186" s="2051">
        <v>25</v>
      </c>
      <c r="BF186" s="2051">
        <v>25</v>
      </c>
      <c r="BG186" s="2051">
        <v>25</v>
      </c>
      <c r="BH186" s="2051">
        <v>25</v>
      </c>
      <c r="BI186" s="2045">
        <f t="shared" si="104"/>
        <v>943025.81495013705</v>
      </c>
      <c r="BJ186" s="2045">
        <f t="shared" si="105"/>
        <v>943025.81495013705</v>
      </c>
      <c r="BK186" s="2045">
        <f t="shared" si="106"/>
        <v>943025.81495013705</v>
      </c>
      <c r="BL186" s="2045">
        <f t="shared" si="107"/>
        <v>943025.81495013705</v>
      </c>
      <c r="BM186" s="2045">
        <f t="shared" si="127"/>
        <v>3772103.2598005482</v>
      </c>
      <c r="BN186" s="2047">
        <v>25</v>
      </c>
      <c r="BO186" s="2050">
        <v>20</v>
      </c>
      <c r="BP186" s="2050">
        <v>20</v>
      </c>
      <c r="BQ186" s="2050">
        <v>20</v>
      </c>
      <c r="BR186" s="2048">
        <f t="shared" si="128"/>
        <v>943025.81495013705</v>
      </c>
      <c r="BS186" s="2048">
        <f t="shared" si="129"/>
        <v>754420.65196010971</v>
      </c>
      <c r="BT186" s="2048">
        <f t="shared" si="130"/>
        <v>754420.65196010971</v>
      </c>
      <c r="BU186" s="2048">
        <f t="shared" si="131"/>
        <v>754420.65196010971</v>
      </c>
      <c r="BV186" s="1840">
        <f t="shared" si="132"/>
        <v>3206287.7708304664</v>
      </c>
      <c r="BW186" s="2064" t="e">
        <f>INT(#REF!)=INT(BA186)</f>
        <v>#REF!</v>
      </c>
      <c r="BX186" s="2064">
        <v>179</v>
      </c>
      <c r="BY186" s="2064" t="s">
        <v>512</v>
      </c>
    </row>
    <row r="187" spans="1:77" s="1976" customFormat="1" ht="62" x14ac:dyDescent="0.35">
      <c r="A187" s="1372" t="s">
        <v>3041</v>
      </c>
      <c r="B187" s="1372" t="s">
        <v>261</v>
      </c>
      <c r="C187" s="1637">
        <v>0</v>
      </c>
      <c r="D187" s="2056" t="str">
        <f>'[9]5.6.2'!$A$1</f>
        <v>5.6.2</v>
      </c>
      <c r="E187" s="1372" t="s">
        <v>201</v>
      </c>
      <c r="F187" s="1638">
        <v>210</v>
      </c>
      <c r="G187" s="1638">
        <v>210</v>
      </c>
      <c r="H187" s="1638">
        <v>210</v>
      </c>
      <c r="I187" s="1638">
        <v>210</v>
      </c>
      <c r="J187" s="1372" t="str">
        <f>+'[9]5.6.2'!$B$14</f>
        <v>RS-SHL-BINS-V08-180101</v>
      </c>
      <c r="K187" s="1372" t="str">
        <f t="shared" si="108"/>
        <v>Nicor Gas PY7-PY10 Adjustable Goals Template_2017-06-30, Tab 5.6.2</v>
      </c>
      <c r="L187" s="1639">
        <v>123.99008162266372</v>
      </c>
      <c r="M187" s="1639">
        <v>123.99008162266372</v>
      </c>
      <c r="N187" s="1639">
        <v>123.99008162266372</v>
      </c>
      <c r="O187" s="1639">
        <v>123.99008162266372</v>
      </c>
      <c r="P187" s="1637">
        <v>1</v>
      </c>
      <c r="Q187" s="1637">
        <v>1</v>
      </c>
      <c r="R187" s="1637">
        <v>1</v>
      </c>
      <c r="S187" s="1637">
        <v>1</v>
      </c>
      <c r="T187" s="1640">
        <f t="shared" si="109"/>
        <v>26037.917140759382</v>
      </c>
      <c r="U187" s="1640">
        <f t="shared" si="110"/>
        <v>26037.917140759382</v>
      </c>
      <c r="V187" s="1640">
        <f t="shared" si="111"/>
        <v>26037.917140759382</v>
      </c>
      <c r="W187" s="1640">
        <f t="shared" si="112"/>
        <v>26037.917140759382</v>
      </c>
      <c r="X187" s="1640">
        <f t="shared" si="113"/>
        <v>104151.66856303753</v>
      </c>
      <c r="Y187" s="1372" t="str">
        <f t="shared" si="138"/>
        <v>RS-SHL-BINS-V08-180101</v>
      </c>
      <c r="Z187" s="1372" t="str">
        <f t="shared" si="133"/>
        <v>Nicor Gas PY7-PY10 Adjustable Goals Template_2017-06-30, Tab 5.6.2</v>
      </c>
      <c r="AA187" s="2024">
        <f t="shared" si="134"/>
        <v>123.99008162266372</v>
      </c>
      <c r="AB187" s="2028"/>
      <c r="AC187" s="1840">
        <f t="shared" si="114"/>
        <v>26037.917140759382</v>
      </c>
      <c r="AD187" s="1840">
        <f t="shared" si="115"/>
        <v>0</v>
      </c>
      <c r="AE187" s="1372" t="s">
        <v>2805</v>
      </c>
      <c r="AF187" s="1372" t="s">
        <v>3401</v>
      </c>
      <c r="AG187" s="1846">
        <f>M187</f>
        <v>123.99008162266372</v>
      </c>
      <c r="AH187" s="1372" t="s">
        <v>3446</v>
      </c>
      <c r="AI187" s="1640">
        <f t="shared" si="116"/>
        <v>26037.917140759382</v>
      </c>
      <c r="AJ187" s="1638">
        <f t="shared" si="117"/>
        <v>0</v>
      </c>
      <c r="AK187" s="1372" t="s">
        <v>2805</v>
      </c>
      <c r="AL187" s="1372" t="s">
        <v>3401</v>
      </c>
      <c r="AM187" s="1846">
        <f>N187</f>
        <v>123.99008162266372</v>
      </c>
      <c r="AN187" s="1372" t="str">
        <f t="shared" si="139"/>
        <v>Refer TRM V.7 Updates</v>
      </c>
      <c r="AO187" s="1640">
        <f t="shared" si="118"/>
        <v>26037.917140759382</v>
      </c>
      <c r="AP187" s="1638">
        <f t="shared" si="119"/>
        <v>0</v>
      </c>
      <c r="AQ187" s="1372" t="s">
        <v>2805</v>
      </c>
      <c r="AR187" s="1372" t="s">
        <v>3401</v>
      </c>
      <c r="AS187" s="1846">
        <f>O187</f>
        <v>123.99008162266372</v>
      </c>
      <c r="AT187" s="1372" t="str">
        <f>AH187</f>
        <v>Refer TRM V.7 Updates</v>
      </c>
      <c r="AU187" s="1640">
        <f t="shared" si="120"/>
        <v>26037.917140759382</v>
      </c>
      <c r="AV187" s="1638">
        <f t="shared" si="121"/>
        <v>0</v>
      </c>
      <c r="AW187" s="2044">
        <f t="shared" si="122"/>
        <v>26037.917140759382</v>
      </c>
      <c r="AX187" s="2044">
        <f t="shared" si="123"/>
        <v>26037.917140759382</v>
      </c>
      <c r="AY187" s="2044">
        <f t="shared" si="124"/>
        <v>26037.917140759382</v>
      </c>
      <c r="AZ187" s="2044">
        <f t="shared" si="125"/>
        <v>26037.917140759382</v>
      </c>
      <c r="BA187" s="2045">
        <f t="shared" si="126"/>
        <v>104151.66856303753</v>
      </c>
      <c r="BB187" s="2045" t="str">
        <f>'[9]5.6.2'!$A$1</f>
        <v>5.6.2</v>
      </c>
      <c r="BC187" s="2045" t="str">
        <f>'[9]5.6.2'!$A$1</f>
        <v>5.6.2</v>
      </c>
      <c r="BD187" s="2121">
        <v>1</v>
      </c>
      <c r="BE187" s="2051">
        <v>25</v>
      </c>
      <c r="BF187" s="2051">
        <v>25</v>
      </c>
      <c r="BG187" s="2051">
        <v>25</v>
      </c>
      <c r="BH187" s="2051">
        <v>25</v>
      </c>
      <c r="BI187" s="2045">
        <f t="shared" si="104"/>
        <v>650947.92851898458</v>
      </c>
      <c r="BJ187" s="2045">
        <f t="shared" si="105"/>
        <v>650947.92851898458</v>
      </c>
      <c r="BK187" s="2045">
        <f t="shared" si="106"/>
        <v>650947.92851898458</v>
      </c>
      <c r="BL187" s="2045">
        <f t="shared" si="107"/>
        <v>650947.92851898458</v>
      </c>
      <c r="BM187" s="2045">
        <f t="shared" si="127"/>
        <v>2603791.7140759383</v>
      </c>
      <c r="BN187" s="2047">
        <v>25</v>
      </c>
      <c r="BO187" s="2050">
        <v>20</v>
      </c>
      <c r="BP187" s="2050">
        <v>20</v>
      </c>
      <c r="BQ187" s="2050">
        <v>20</v>
      </c>
      <c r="BR187" s="2048">
        <f t="shared" si="128"/>
        <v>650947.92851898458</v>
      </c>
      <c r="BS187" s="2048">
        <f t="shared" si="129"/>
        <v>520758.34281518764</v>
      </c>
      <c r="BT187" s="2048">
        <f t="shared" si="130"/>
        <v>520758.34281518764</v>
      </c>
      <c r="BU187" s="2048">
        <f t="shared" si="131"/>
        <v>520758.34281518764</v>
      </c>
      <c r="BV187" s="1840">
        <f t="shared" si="132"/>
        <v>2213222.9569645477</v>
      </c>
      <c r="BW187" s="2064" t="e">
        <f>INT(#REF!)=INT(BA187)</f>
        <v>#REF!</v>
      </c>
      <c r="BX187" s="2064">
        <v>180</v>
      </c>
      <c r="BY187" s="2064" t="s">
        <v>512</v>
      </c>
    </row>
    <row r="188" spans="1:77" s="1976" customFormat="1" ht="62" x14ac:dyDescent="0.35">
      <c r="A188" s="1372" t="s">
        <v>3041</v>
      </c>
      <c r="B188" s="1372" t="s">
        <v>3042</v>
      </c>
      <c r="C188" s="1637">
        <v>0</v>
      </c>
      <c r="D188" s="2056" t="str">
        <f>+'[9]5.6.3'!$A$1</f>
        <v>5.6.3</v>
      </c>
      <c r="E188" s="1372" t="s">
        <v>201</v>
      </c>
      <c r="F188" s="1638">
        <v>250</v>
      </c>
      <c r="G188" s="1638">
        <v>250</v>
      </c>
      <c r="H188" s="1638">
        <v>250</v>
      </c>
      <c r="I188" s="1638">
        <v>250</v>
      </c>
      <c r="J188" s="1372" t="str">
        <f>+'[9]5.6.3'!$B$14</f>
        <v>RS-SHL-FINS-V08-180101</v>
      </c>
      <c r="K188" s="1372" t="str">
        <f t="shared" si="108"/>
        <v>Nicor Gas PY7-PY10 Adjustable Goals Template_2017-06-30, Tab 5.6.3</v>
      </c>
      <c r="L188" s="1639">
        <v>60.443659206910091</v>
      </c>
      <c r="M188" s="1639">
        <v>60.443659206910091</v>
      </c>
      <c r="N188" s="1639">
        <v>60.443659206910091</v>
      </c>
      <c r="O188" s="1639">
        <v>60.443659206910091</v>
      </c>
      <c r="P188" s="1637">
        <v>1</v>
      </c>
      <c r="Q188" s="1637">
        <v>1</v>
      </c>
      <c r="R188" s="1637">
        <v>1</v>
      </c>
      <c r="S188" s="1637">
        <v>1</v>
      </c>
      <c r="T188" s="1640">
        <f t="shared" si="109"/>
        <v>15110.914801727522</v>
      </c>
      <c r="U188" s="1640">
        <f t="shared" si="110"/>
        <v>15110.914801727522</v>
      </c>
      <c r="V188" s="1640">
        <f t="shared" si="111"/>
        <v>15110.914801727522</v>
      </c>
      <c r="W188" s="1640">
        <f t="shared" si="112"/>
        <v>15110.914801727522</v>
      </c>
      <c r="X188" s="1640">
        <f t="shared" si="113"/>
        <v>60443.659206910088</v>
      </c>
      <c r="Y188" s="1372" t="str">
        <f t="shared" si="138"/>
        <v>RS-SHL-FINS-V08-180101</v>
      </c>
      <c r="Z188" s="1372" t="str">
        <f t="shared" si="133"/>
        <v>Nicor Gas PY7-PY10 Adjustable Goals Template_2017-06-30, Tab 5.6.3</v>
      </c>
      <c r="AA188" s="2024">
        <f t="shared" si="134"/>
        <v>60.443659206910091</v>
      </c>
      <c r="AB188" s="2028"/>
      <c r="AC188" s="1840">
        <f t="shared" si="114"/>
        <v>15110.914801727522</v>
      </c>
      <c r="AD188" s="1840">
        <f t="shared" si="115"/>
        <v>0</v>
      </c>
      <c r="AE188" s="1372" t="s">
        <v>3057</v>
      </c>
      <c r="AF188" s="1372" t="s">
        <v>3402</v>
      </c>
      <c r="AG188" s="1639">
        <v>60.443659206910091</v>
      </c>
      <c r="AH188" s="1372" t="s">
        <v>3445</v>
      </c>
      <c r="AI188" s="1640">
        <f t="shared" si="116"/>
        <v>15110.914801727522</v>
      </c>
      <c r="AJ188" s="1638">
        <f t="shared" si="117"/>
        <v>0</v>
      </c>
      <c r="AK188" s="1372" t="s">
        <v>3057</v>
      </c>
      <c r="AL188" s="1372" t="s">
        <v>3402</v>
      </c>
      <c r="AM188" s="1639">
        <v>60.443659206910091</v>
      </c>
      <c r="AN188" s="1372" t="str">
        <f t="shared" si="139"/>
        <v>No change</v>
      </c>
      <c r="AO188" s="1640">
        <f t="shared" si="118"/>
        <v>15110.914801727522</v>
      </c>
      <c r="AP188" s="1638">
        <f t="shared" si="119"/>
        <v>0</v>
      </c>
      <c r="AQ188" s="1372" t="s">
        <v>3057</v>
      </c>
      <c r="AR188" s="1372" t="s">
        <v>3402</v>
      </c>
      <c r="AS188" s="1639">
        <v>60.443659206910091</v>
      </c>
      <c r="AT188" s="1372" t="str">
        <f>$AH188</f>
        <v>No change</v>
      </c>
      <c r="AU188" s="1640">
        <f t="shared" si="120"/>
        <v>15110.914801727522</v>
      </c>
      <c r="AV188" s="1638">
        <f t="shared" si="121"/>
        <v>0</v>
      </c>
      <c r="AW188" s="2044">
        <f t="shared" si="122"/>
        <v>15110.914801727522</v>
      </c>
      <c r="AX188" s="2044">
        <f t="shared" si="123"/>
        <v>15110.914801727522</v>
      </c>
      <c r="AY188" s="2044">
        <f t="shared" si="124"/>
        <v>15110.914801727522</v>
      </c>
      <c r="AZ188" s="2044">
        <f t="shared" si="125"/>
        <v>15110.914801727522</v>
      </c>
      <c r="BA188" s="2045">
        <f t="shared" si="126"/>
        <v>60443.659206910088</v>
      </c>
      <c r="BB188" s="2045" t="str">
        <f>+'[9]5.6.3'!$A$1</f>
        <v>5.6.3</v>
      </c>
      <c r="BC188" s="2045" t="str">
        <f>+'[9]5.6.3'!$A$1</f>
        <v>5.6.3</v>
      </c>
      <c r="BD188" s="2121">
        <v>1</v>
      </c>
      <c r="BE188" s="2051">
        <v>25</v>
      </c>
      <c r="BF188" s="2051">
        <v>25</v>
      </c>
      <c r="BG188" s="2051">
        <v>25</v>
      </c>
      <c r="BH188" s="2051">
        <v>25</v>
      </c>
      <c r="BI188" s="2045">
        <f t="shared" si="104"/>
        <v>377772.87004318804</v>
      </c>
      <c r="BJ188" s="2045">
        <f t="shared" si="105"/>
        <v>377772.87004318804</v>
      </c>
      <c r="BK188" s="2045">
        <f t="shared" si="106"/>
        <v>377772.87004318804</v>
      </c>
      <c r="BL188" s="2045">
        <f t="shared" si="107"/>
        <v>377772.87004318804</v>
      </c>
      <c r="BM188" s="2045">
        <f t="shared" si="127"/>
        <v>1511091.4801727522</v>
      </c>
      <c r="BN188" s="2047">
        <v>25</v>
      </c>
      <c r="BO188" s="2050">
        <v>20</v>
      </c>
      <c r="BP188" s="2050">
        <v>20</v>
      </c>
      <c r="BQ188" s="2050">
        <v>20</v>
      </c>
      <c r="BR188" s="2048">
        <f t="shared" si="128"/>
        <v>377772.87004318804</v>
      </c>
      <c r="BS188" s="2048">
        <f t="shared" si="129"/>
        <v>302218.29603455041</v>
      </c>
      <c r="BT188" s="2048">
        <f t="shared" si="130"/>
        <v>302218.29603455041</v>
      </c>
      <c r="BU188" s="2048">
        <f t="shared" si="131"/>
        <v>302218.29603455041</v>
      </c>
      <c r="BV188" s="1840">
        <f t="shared" si="132"/>
        <v>1284427.7581468392</v>
      </c>
      <c r="BW188" s="2064" t="e">
        <f>INT(#REF!)=INT(BA188)</f>
        <v>#REF!</v>
      </c>
      <c r="BX188" s="2064">
        <v>181</v>
      </c>
      <c r="BY188" s="2064" t="s">
        <v>512</v>
      </c>
    </row>
    <row r="189" spans="1:77" s="1976" customFormat="1" ht="62" x14ac:dyDescent="0.35">
      <c r="A189" s="1372" t="s">
        <v>3041</v>
      </c>
      <c r="B189" s="1372" t="s">
        <v>174</v>
      </c>
      <c r="C189" s="1637">
        <v>0</v>
      </c>
      <c r="D189" s="2053" t="str">
        <f>+'[9]4.4.10'!$A$1</f>
        <v>4.4.10</v>
      </c>
      <c r="E189" s="1372" t="s">
        <v>163</v>
      </c>
      <c r="F189" s="1638">
        <v>37</v>
      </c>
      <c r="G189" s="1638">
        <v>37</v>
      </c>
      <c r="H189" s="1638">
        <v>37</v>
      </c>
      <c r="I189" s="1638">
        <v>37</v>
      </c>
      <c r="J189" s="1372" t="str">
        <f>+'[9]4.4.10'!$B$22</f>
        <v>CI-HVC-BOIL-V05-150601</v>
      </c>
      <c r="K189" s="1372" t="str">
        <f t="shared" si="108"/>
        <v>Nicor Gas PY7-PY10 Adjustable Goals Template_2017-06-30, Tab 4.4.10</v>
      </c>
      <c r="L189" s="1639">
        <v>2983.5581061693006</v>
      </c>
      <c r="M189" s="1639">
        <v>2983.5581061693006</v>
      </c>
      <c r="N189" s="1639">
        <v>2983.5581061693006</v>
      </c>
      <c r="O189" s="1639">
        <v>2983.5581061693006</v>
      </c>
      <c r="P189" s="1637">
        <v>1</v>
      </c>
      <c r="Q189" s="1637">
        <v>1</v>
      </c>
      <c r="R189" s="1637">
        <v>1</v>
      </c>
      <c r="S189" s="1637">
        <v>1</v>
      </c>
      <c r="T189" s="1640">
        <f t="shared" si="109"/>
        <v>110391.64992826412</v>
      </c>
      <c r="U189" s="1640">
        <f t="shared" si="110"/>
        <v>110391.64992826412</v>
      </c>
      <c r="V189" s="1640">
        <f t="shared" si="111"/>
        <v>110391.64992826412</v>
      </c>
      <c r="W189" s="1640">
        <f t="shared" si="112"/>
        <v>110391.64992826412</v>
      </c>
      <c r="X189" s="1640">
        <f t="shared" si="113"/>
        <v>441566.59971305646</v>
      </c>
      <c r="Y189" s="1372" t="str">
        <f t="shared" si="138"/>
        <v>CI-HVC-BOIL-V05-150601</v>
      </c>
      <c r="Z189" s="1372" t="str">
        <f t="shared" si="133"/>
        <v>Nicor Gas PY7-PY10 Adjustable Goals Template_2017-06-30, Tab 4.4.10</v>
      </c>
      <c r="AA189" s="1840">
        <f t="shared" si="134"/>
        <v>2983.5581061693006</v>
      </c>
      <c r="AB189" s="2028"/>
      <c r="AC189" s="1840">
        <f t="shared" si="114"/>
        <v>110391.64992826412</v>
      </c>
      <c r="AD189" s="1840">
        <f t="shared" si="115"/>
        <v>0</v>
      </c>
      <c r="AE189" s="1372" t="s">
        <v>198</v>
      </c>
      <c r="AF189" s="1372" t="s">
        <v>3359</v>
      </c>
      <c r="AG189" s="1639">
        <v>2983.5581061693006</v>
      </c>
      <c r="AH189" s="1372" t="s">
        <v>3445</v>
      </c>
      <c r="AI189" s="1640">
        <f t="shared" si="116"/>
        <v>110391.64992826412</v>
      </c>
      <c r="AJ189" s="1638">
        <f t="shared" si="117"/>
        <v>0</v>
      </c>
      <c r="AK189" s="1372" t="s">
        <v>198</v>
      </c>
      <c r="AL189" s="1372" t="s">
        <v>3359</v>
      </c>
      <c r="AM189" s="1639">
        <v>2983.5581061693006</v>
      </c>
      <c r="AN189" s="1372" t="str">
        <f t="shared" si="139"/>
        <v>No change</v>
      </c>
      <c r="AO189" s="1640">
        <f t="shared" si="118"/>
        <v>110391.64992826412</v>
      </c>
      <c r="AP189" s="1638">
        <f t="shared" si="119"/>
        <v>0</v>
      </c>
      <c r="AQ189" s="1372" t="s">
        <v>198</v>
      </c>
      <c r="AR189" s="1372" t="s">
        <v>3359</v>
      </c>
      <c r="AS189" s="1639">
        <v>2983.5581061693006</v>
      </c>
      <c r="AT189" s="1372" t="str">
        <f>$AH189</f>
        <v>No change</v>
      </c>
      <c r="AU189" s="1640">
        <f t="shared" si="120"/>
        <v>110391.64992826412</v>
      </c>
      <c r="AV189" s="1638">
        <f t="shared" si="121"/>
        <v>0</v>
      </c>
      <c r="AW189" s="2044">
        <f t="shared" si="122"/>
        <v>110391.64992826412</v>
      </c>
      <c r="AX189" s="2044">
        <f t="shared" si="123"/>
        <v>110391.64992826412</v>
      </c>
      <c r="AY189" s="2044">
        <f t="shared" si="124"/>
        <v>110391.64992826412</v>
      </c>
      <c r="AZ189" s="2044">
        <f t="shared" si="125"/>
        <v>110391.64992826412</v>
      </c>
      <c r="BA189" s="2045">
        <f t="shared" si="126"/>
        <v>441566.59971305646</v>
      </c>
      <c r="BB189" s="2045" t="str">
        <f>+'[9]4.4.10'!$A$1</f>
        <v>4.4.10</v>
      </c>
      <c r="BC189" s="2045" t="str">
        <f>+'[9]4.4.10'!$A$1</f>
        <v>4.4.10</v>
      </c>
      <c r="BD189" s="2045">
        <v>0</v>
      </c>
      <c r="BE189" s="2051">
        <v>20</v>
      </c>
      <c r="BF189" s="2051">
        <v>20</v>
      </c>
      <c r="BG189" s="2051">
        <v>20</v>
      </c>
      <c r="BH189" s="2051">
        <v>20</v>
      </c>
      <c r="BI189" s="2045">
        <f t="shared" si="104"/>
        <v>2207832.9985652822</v>
      </c>
      <c r="BJ189" s="2045">
        <f t="shared" si="105"/>
        <v>2207832.9985652822</v>
      </c>
      <c r="BK189" s="2045">
        <f t="shared" si="106"/>
        <v>2207832.9985652822</v>
      </c>
      <c r="BL189" s="2045">
        <f t="shared" si="107"/>
        <v>2207832.9985652822</v>
      </c>
      <c r="BM189" s="2045">
        <f t="shared" si="127"/>
        <v>8831331.9942611288</v>
      </c>
      <c r="BN189" s="2047">
        <v>20</v>
      </c>
      <c r="BO189" s="2047">
        <v>20</v>
      </c>
      <c r="BP189" s="2047">
        <v>20</v>
      </c>
      <c r="BQ189" s="2047">
        <v>20</v>
      </c>
      <c r="BR189" s="2048">
        <f t="shared" si="128"/>
        <v>2207832.9985652822</v>
      </c>
      <c r="BS189" s="2048">
        <f t="shared" si="129"/>
        <v>2207832.9985652822</v>
      </c>
      <c r="BT189" s="2048">
        <f t="shared" si="130"/>
        <v>2207832.9985652822</v>
      </c>
      <c r="BU189" s="2048">
        <f t="shared" si="131"/>
        <v>2207832.9985652822</v>
      </c>
      <c r="BV189" s="1840">
        <f t="shared" si="132"/>
        <v>8831331.9942611288</v>
      </c>
      <c r="BW189" s="2064" t="e">
        <f>INT(#REF!)=INT(BA189)</f>
        <v>#REF!</v>
      </c>
      <c r="BX189" s="2064">
        <v>182</v>
      </c>
      <c r="BY189" s="2064" t="s">
        <v>512</v>
      </c>
    </row>
    <row r="190" spans="1:77" s="1976" customFormat="1" ht="62" x14ac:dyDescent="0.35">
      <c r="A190" s="1372" t="s">
        <v>3041</v>
      </c>
      <c r="B190" s="1372" t="s">
        <v>250</v>
      </c>
      <c r="C190" s="1637">
        <v>1</v>
      </c>
      <c r="D190" s="2055" t="str">
        <f>'[9]5.3.7'!$A$2</f>
        <v>5.3.7</v>
      </c>
      <c r="E190" s="1372" t="s">
        <v>163</v>
      </c>
      <c r="F190" s="1638">
        <v>381</v>
      </c>
      <c r="G190" s="1638">
        <v>381</v>
      </c>
      <c r="H190" s="1638">
        <v>381</v>
      </c>
      <c r="I190" s="1638">
        <v>381</v>
      </c>
      <c r="J190" s="1372" t="str">
        <f>+'[9]5.3.7'!$B$16</f>
        <v>RS-HVC-GHEF-V07-180101</v>
      </c>
      <c r="K190" s="1372" t="str">
        <f t="shared" si="108"/>
        <v>Nicor Gas PY7-PY10 Adjustable Goals Template_2017-06-30, Tab 5.3.7</v>
      </c>
      <c r="L190" s="1639">
        <v>175.86032388663946</v>
      </c>
      <c r="M190" s="1639">
        <v>175.86032388663946</v>
      </c>
      <c r="N190" s="1639">
        <v>175.86032388663946</v>
      </c>
      <c r="O190" s="1639">
        <v>175.86032388663946</v>
      </c>
      <c r="P190" s="1637">
        <v>1</v>
      </c>
      <c r="Q190" s="1637">
        <v>1</v>
      </c>
      <c r="R190" s="1637">
        <v>1</v>
      </c>
      <c r="S190" s="1637">
        <v>1</v>
      </c>
      <c r="T190" s="1640">
        <f t="shared" si="109"/>
        <v>67002.78340080964</v>
      </c>
      <c r="U190" s="1640">
        <f t="shared" si="110"/>
        <v>67002.78340080964</v>
      </c>
      <c r="V190" s="1640">
        <f t="shared" si="111"/>
        <v>67002.78340080964</v>
      </c>
      <c r="W190" s="1640">
        <f t="shared" si="112"/>
        <v>67002.78340080964</v>
      </c>
      <c r="X190" s="1640">
        <f t="shared" si="113"/>
        <v>268011.13360323856</v>
      </c>
      <c r="Y190" s="1372" t="str">
        <f t="shared" si="138"/>
        <v>RS-HVC-GHEF-V07-180101</v>
      </c>
      <c r="Z190" s="1372" t="str">
        <f t="shared" si="133"/>
        <v>Nicor Gas PY7-PY10 Adjustable Goals Template_2017-06-30, Tab 5.3.7</v>
      </c>
      <c r="AA190" s="2024">
        <f t="shared" si="134"/>
        <v>175.86032388663946</v>
      </c>
      <c r="AB190" s="2028"/>
      <c r="AC190" s="1840">
        <f t="shared" si="114"/>
        <v>67002.78340080964</v>
      </c>
      <c r="AD190" s="1840">
        <f t="shared" si="115"/>
        <v>0</v>
      </c>
      <c r="AE190" s="1372" t="s">
        <v>2798</v>
      </c>
      <c r="AF190" s="1372" t="s">
        <v>3389</v>
      </c>
      <c r="AG190" s="1981">
        <v>163.85733974358956</v>
      </c>
      <c r="AH190" s="1372" t="s">
        <v>3446</v>
      </c>
      <c r="AI190" s="1640">
        <f t="shared" si="116"/>
        <v>62429.646442307625</v>
      </c>
      <c r="AJ190" s="1638">
        <f t="shared" si="117"/>
        <v>-4573.1369585020147</v>
      </c>
      <c r="AK190" s="1372" t="s">
        <v>2798</v>
      </c>
      <c r="AL190" s="1372" t="s">
        <v>3389</v>
      </c>
      <c r="AM190" s="1981">
        <v>163.85733974358956</v>
      </c>
      <c r="AN190" s="1372" t="str">
        <f t="shared" si="139"/>
        <v>Refer TRM V.7 Updates</v>
      </c>
      <c r="AO190" s="1640">
        <f t="shared" si="118"/>
        <v>62429.646442307625</v>
      </c>
      <c r="AP190" s="1638">
        <f t="shared" si="119"/>
        <v>-4573.1369585020147</v>
      </c>
      <c r="AQ190" s="1372" t="s">
        <v>2798</v>
      </c>
      <c r="AR190" s="1372" t="s">
        <v>3389</v>
      </c>
      <c r="AS190" s="1981">
        <v>163.85733974358956</v>
      </c>
      <c r="AT190" s="1372" t="str">
        <f>AH190</f>
        <v>Refer TRM V.7 Updates</v>
      </c>
      <c r="AU190" s="1640">
        <f t="shared" si="120"/>
        <v>62429.646442307625</v>
      </c>
      <c r="AV190" s="1638">
        <f t="shared" si="121"/>
        <v>-4573.1369585020147</v>
      </c>
      <c r="AW190" s="2044">
        <f t="shared" si="122"/>
        <v>67002.78340080964</v>
      </c>
      <c r="AX190" s="2044">
        <f t="shared" si="123"/>
        <v>62429.646442307625</v>
      </c>
      <c r="AY190" s="2044">
        <f t="shared" si="124"/>
        <v>62429.646442307625</v>
      </c>
      <c r="AZ190" s="2044">
        <f t="shared" si="125"/>
        <v>62429.646442307625</v>
      </c>
      <c r="BA190" s="2045">
        <f t="shared" si="126"/>
        <v>254291.7227277325</v>
      </c>
      <c r="BB190" s="2045" t="str">
        <f>'[9]5.3.7'!$A$2</f>
        <v>5.3.7</v>
      </c>
      <c r="BC190" s="2045" t="str">
        <f>'[9]5.3.7'!$A$2</f>
        <v>5.3.7</v>
      </c>
      <c r="BD190" s="2045">
        <v>0</v>
      </c>
      <c r="BE190" s="2051">
        <v>20</v>
      </c>
      <c r="BF190" s="2051">
        <v>20</v>
      </c>
      <c r="BG190" s="2051">
        <v>20</v>
      </c>
      <c r="BH190" s="2051">
        <v>20</v>
      </c>
      <c r="BI190" s="2045">
        <f t="shared" si="104"/>
        <v>1340055.6680161927</v>
      </c>
      <c r="BJ190" s="2045">
        <f t="shared" si="105"/>
        <v>1340055.6680161927</v>
      </c>
      <c r="BK190" s="2045">
        <f t="shared" si="106"/>
        <v>1340055.6680161927</v>
      </c>
      <c r="BL190" s="2045">
        <f t="shared" si="107"/>
        <v>1340055.6680161927</v>
      </c>
      <c r="BM190" s="2045">
        <f t="shared" si="127"/>
        <v>5360222.6720647709</v>
      </c>
      <c r="BN190" s="2047">
        <v>20</v>
      </c>
      <c r="BO190" s="2047">
        <v>20</v>
      </c>
      <c r="BP190" s="2047">
        <v>20</v>
      </c>
      <c r="BQ190" s="2047">
        <v>20</v>
      </c>
      <c r="BR190" s="2048">
        <f t="shared" si="128"/>
        <v>1340055.6680161927</v>
      </c>
      <c r="BS190" s="2048">
        <f t="shared" si="129"/>
        <v>1248592.9288461525</v>
      </c>
      <c r="BT190" s="2048">
        <f t="shared" si="130"/>
        <v>1248592.9288461525</v>
      </c>
      <c r="BU190" s="2048">
        <f t="shared" si="131"/>
        <v>1248592.9288461525</v>
      </c>
      <c r="BV190" s="1840">
        <f t="shared" si="132"/>
        <v>5085834.45455465</v>
      </c>
      <c r="BW190" s="2064" t="e">
        <f>INT(#REF!)=INT(BA190)</f>
        <v>#REF!</v>
      </c>
      <c r="BX190" s="2064">
        <v>183</v>
      </c>
      <c r="BY190" s="2064" t="s">
        <v>512</v>
      </c>
    </row>
    <row r="191" spans="1:77" s="1976" customFormat="1" ht="18" customHeight="1" x14ac:dyDescent="0.35">
      <c r="A191" s="1372" t="s">
        <v>3041</v>
      </c>
      <c r="B191" s="1372" t="s">
        <v>283</v>
      </c>
      <c r="C191" s="1637">
        <v>0</v>
      </c>
      <c r="D191" s="1372" t="s">
        <v>295</v>
      </c>
      <c r="E191" s="1372" t="s">
        <v>163</v>
      </c>
      <c r="F191" s="1638">
        <v>2250</v>
      </c>
      <c r="G191" s="1638">
        <v>2250</v>
      </c>
      <c r="H191" s="1638">
        <v>2250</v>
      </c>
      <c r="I191" s="1638">
        <v>2250</v>
      </c>
      <c r="J191" s="1372" t="s">
        <v>295</v>
      </c>
      <c r="K191" s="1372" t="str">
        <f t="shared" si="108"/>
        <v/>
      </c>
      <c r="L191" s="1639">
        <v>0</v>
      </c>
      <c r="M191" s="1639">
        <v>0</v>
      </c>
      <c r="N191" s="1639">
        <v>0</v>
      </c>
      <c r="O191" s="1639">
        <v>0</v>
      </c>
      <c r="P191" s="1637">
        <v>1</v>
      </c>
      <c r="Q191" s="1637">
        <v>1</v>
      </c>
      <c r="R191" s="1637">
        <v>1</v>
      </c>
      <c r="S191" s="1637">
        <v>1</v>
      </c>
      <c r="T191" s="1640">
        <f t="shared" si="109"/>
        <v>0</v>
      </c>
      <c r="U191" s="1640">
        <f t="shared" si="110"/>
        <v>0</v>
      </c>
      <c r="V191" s="1640">
        <f t="shared" si="111"/>
        <v>0</v>
      </c>
      <c r="W191" s="1640">
        <f t="shared" si="112"/>
        <v>0</v>
      </c>
      <c r="X191" s="1640">
        <f t="shared" si="113"/>
        <v>0</v>
      </c>
      <c r="Y191" s="1829"/>
      <c r="Z191" s="1372" t="str">
        <f t="shared" si="133"/>
        <v/>
      </c>
      <c r="AA191" s="1840">
        <f t="shared" si="134"/>
        <v>0</v>
      </c>
      <c r="AB191" s="2028"/>
      <c r="AC191" s="1840">
        <f t="shared" si="114"/>
        <v>0</v>
      </c>
      <c r="AD191" s="1840">
        <f t="shared" si="115"/>
        <v>0</v>
      </c>
      <c r="AE191" s="1829"/>
      <c r="AF191" s="1829" t="s">
        <v>3361</v>
      </c>
      <c r="AG191" s="1830">
        <v>0</v>
      </c>
      <c r="AH191" s="1829"/>
      <c r="AI191" s="1640">
        <f t="shared" si="116"/>
        <v>0</v>
      </c>
      <c r="AJ191" s="1638">
        <f t="shared" si="117"/>
        <v>0</v>
      </c>
      <c r="AK191" s="1829"/>
      <c r="AL191" s="1829" t="s">
        <v>3361</v>
      </c>
      <c r="AM191" s="1830">
        <v>0</v>
      </c>
      <c r="AN191" s="1829"/>
      <c r="AO191" s="1640">
        <f t="shared" si="118"/>
        <v>0</v>
      </c>
      <c r="AP191" s="1638">
        <f t="shared" si="119"/>
        <v>0</v>
      </c>
      <c r="AQ191" s="1829"/>
      <c r="AR191" s="1829" t="s">
        <v>3361</v>
      </c>
      <c r="AS191" s="1830">
        <v>0</v>
      </c>
      <c r="AT191" s="1829"/>
      <c r="AU191" s="1640">
        <f t="shared" si="120"/>
        <v>0</v>
      </c>
      <c r="AV191" s="1638">
        <f t="shared" si="121"/>
        <v>0</v>
      </c>
      <c r="AW191" s="2044">
        <f t="shared" si="122"/>
        <v>0</v>
      </c>
      <c r="AX191" s="2044">
        <f t="shared" si="123"/>
        <v>0</v>
      </c>
      <c r="AY191" s="2044">
        <f t="shared" si="124"/>
        <v>0</v>
      </c>
      <c r="AZ191" s="2044">
        <f t="shared" si="125"/>
        <v>0</v>
      </c>
      <c r="BA191" s="2045">
        <f t="shared" si="126"/>
        <v>0</v>
      </c>
      <c r="BB191" s="2049"/>
      <c r="BC191" s="2049"/>
      <c r="BD191" s="2045">
        <v>0</v>
      </c>
      <c r="BE191" s="2051">
        <v>0</v>
      </c>
      <c r="BF191" s="2051">
        <v>0</v>
      </c>
      <c r="BG191" s="2051">
        <v>0</v>
      </c>
      <c r="BH191" s="2051">
        <v>0</v>
      </c>
      <c r="BI191" s="2045">
        <f t="shared" si="104"/>
        <v>0</v>
      </c>
      <c r="BJ191" s="2045">
        <f t="shared" si="105"/>
        <v>0</v>
      </c>
      <c r="BK191" s="2045">
        <f t="shared" si="106"/>
        <v>0</v>
      </c>
      <c r="BL191" s="2045">
        <f t="shared" si="107"/>
        <v>0</v>
      </c>
      <c r="BM191" s="2045">
        <f t="shared" si="127"/>
        <v>0</v>
      </c>
      <c r="BN191" s="2047">
        <v>0</v>
      </c>
      <c r="BO191" s="2047">
        <v>0</v>
      </c>
      <c r="BP191" s="2047">
        <v>0</v>
      </c>
      <c r="BQ191" s="2047">
        <v>0</v>
      </c>
      <c r="BR191" s="2048">
        <f t="shared" si="128"/>
        <v>0</v>
      </c>
      <c r="BS191" s="2048">
        <f t="shared" si="129"/>
        <v>0</v>
      </c>
      <c r="BT191" s="2048">
        <f t="shared" si="130"/>
        <v>0</v>
      </c>
      <c r="BU191" s="2048">
        <f t="shared" si="131"/>
        <v>0</v>
      </c>
      <c r="BV191" s="1840">
        <f t="shared" si="132"/>
        <v>0</v>
      </c>
      <c r="BW191" s="2064" t="e">
        <f>INT(#REF!)=INT(BA191)</f>
        <v>#REF!</v>
      </c>
      <c r="BX191" s="2064">
        <v>184</v>
      </c>
      <c r="BY191" s="2064" t="s">
        <v>295</v>
      </c>
    </row>
    <row r="192" spans="1:77" s="1976" customFormat="1" ht="62" x14ac:dyDescent="0.35">
      <c r="A192" s="1372" t="s">
        <v>3041</v>
      </c>
      <c r="B192" s="1372" t="s">
        <v>237</v>
      </c>
      <c r="C192" s="1637">
        <v>1</v>
      </c>
      <c r="D192" s="2055" t="str">
        <f>'[9]5.4.4'!$A$1</f>
        <v>5.4.4</v>
      </c>
      <c r="E192" s="1372" t="s">
        <v>201</v>
      </c>
      <c r="F192" s="1638">
        <v>22</v>
      </c>
      <c r="G192" s="1638">
        <v>22</v>
      </c>
      <c r="H192" s="1638">
        <v>22</v>
      </c>
      <c r="I192" s="1638">
        <v>22</v>
      </c>
      <c r="J192" s="1372" t="str">
        <f>+'[9]5.4.4'!$B$17</f>
        <v>RS-HWE-LFFA-V06-180101</v>
      </c>
      <c r="K192" s="1372" t="str">
        <f t="shared" si="108"/>
        <v>Nicor Gas PY7-PY10 Adjustable Goals Template_2017-06-30, Tab 5.4.4</v>
      </c>
      <c r="L192" s="1639">
        <v>1.2497046281999995</v>
      </c>
      <c r="M192" s="1639">
        <v>1.2497046281999995</v>
      </c>
      <c r="N192" s="1639">
        <v>1.2497046281999995</v>
      </c>
      <c r="O192" s="1639">
        <v>1.2497046281999995</v>
      </c>
      <c r="P192" s="1637">
        <v>1</v>
      </c>
      <c r="Q192" s="1637">
        <v>1</v>
      </c>
      <c r="R192" s="1637">
        <v>1</v>
      </c>
      <c r="S192" s="1637">
        <v>1</v>
      </c>
      <c r="T192" s="1640">
        <f t="shared" si="109"/>
        <v>27.493501820399988</v>
      </c>
      <c r="U192" s="1640">
        <f t="shared" si="110"/>
        <v>27.493501820399988</v>
      </c>
      <c r="V192" s="1640">
        <f t="shared" si="111"/>
        <v>27.493501820399988</v>
      </c>
      <c r="W192" s="1640">
        <f t="shared" si="112"/>
        <v>27.493501820399988</v>
      </c>
      <c r="X192" s="1640">
        <f t="shared" si="113"/>
        <v>109.97400728159995</v>
      </c>
      <c r="Y192" s="1372" t="str">
        <f t="shared" ref="Y192:Y197" si="140">J192</f>
        <v>RS-HWE-LFFA-V06-180101</v>
      </c>
      <c r="Z192" s="1372" t="str">
        <f t="shared" si="133"/>
        <v>Nicor Gas PY7-PY10 Adjustable Goals Template_2017-06-30, Tab 5.4.4</v>
      </c>
      <c r="AA192" s="2024">
        <f t="shared" si="134"/>
        <v>1.2497046281999995</v>
      </c>
      <c r="AB192" s="2028"/>
      <c r="AC192" s="1840">
        <f t="shared" si="114"/>
        <v>27.493501820399988</v>
      </c>
      <c r="AD192" s="1840">
        <f t="shared" si="115"/>
        <v>0</v>
      </c>
      <c r="AE192" s="1372" t="s">
        <v>2799</v>
      </c>
      <c r="AF192" s="1372" t="s">
        <v>3393</v>
      </c>
      <c r="AG192" s="1981">
        <v>1.6385016236400001</v>
      </c>
      <c r="AH192" s="1372" t="s">
        <v>3446</v>
      </c>
      <c r="AI192" s="1640">
        <f t="shared" si="116"/>
        <v>36.047035720080004</v>
      </c>
      <c r="AJ192" s="1638">
        <f t="shared" si="117"/>
        <v>8.5535338996800157</v>
      </c>
      <c r="AK192" s="1372" t="s">
        <v>2799</v>
      </c>
      <c r="AL192" s="1372" t="s">
        <v>3393</v>
      </c>
      <c r="AM192" s="1981">
        <v>1.6385016236400001</v>
      </c>
      <c r="AN192" s="1372" t="str">
        <f t="shared" ref="AN192:AN197" si="141">$AH192</f>
        <v>Refer TRM V.7 Updates</v>
      </c>
      <c r="AO192" s="1640">
        <f t="shared" si="118"/>
        <v>36.047035720080004</v>
      </c>
      <c r="AP192" s="1638">
        <f t="shared" si="119"/>
        <v>8.5535338996800157</v>
      </c>
      <c r="AQ192" s="1372" t="s">
        <v>2799</v>
      </c>
      <c r="AR192" s="1372" t="s">
        <v>3393</v>
      </c>
      <c r="AS192" s="1981">
        <v>1.6385016236400001</v>
      </c>
      <c r="AT192" s="1372" t="str">
        <f t="shared" ref="AT192:AT197" si="142">AH192</f>
        <v>Refer TRM V.7 Updates</v>
      </c>
      <c r="AU192" s="1640">
        <f t="shared" si="120"/>
        <v>36.047035720080004</v>
      </c>
      <c r="AV192" s="1638">
        <f t="shared" si="121"/>
        <v>8.5535338996800157</v>
      </c>
      <c r="AW192" s="2044">
        <f t="shared" si="122"/>
        <v>27.493501820399988</v>
      </c>
      <c r="AX192" s="2044">
        <f t="shared" si="123"/>
        <v>36.047035720080004</v>
      </c>
      <c r="AY192" s="2044">
        <f t="shared" si="124"/>
        <v>36.047035720080004</v>
      </c>
      <c r="AZ192" s="2044">
        <f t="shared" si="125"/>
        <v>36.047035720080004</v>
      </c>
      <c r="BA192" s="2045">
        <f t="shared" si="126"/>
        <v>135.63460898064</v>
      </c>
      <c r="BB192" s="2045" t="str">
        <f>'[9]5.4.4'!$A$1</f>
        <v>5.4.4</v>
      </c>
      <c r="BC192" s="2045" t="str">
        <f>'[9]5.4.4'!$A$1</f>
        <v>5.4.4</v>
      </c>
      <c r="BD192" s="2121">
        <v>1</v>
      </c>
      <c r="BE192" s="2051">
        <v>9</v>
      </c>
      <c r="BF192" s="2051">
        <v>9</v>
      </c>
      <c r="BG192" s="2051">
        <v>9</v>
      </c>
      <c r="BH192" s="2051">
        <v>9</v>
      </c>
      <c r="BI192" s="2045">
        <f t="shared" si="104"/>
        <v>247.44151638359989</v>
      </c>
      <c r="BJ192" s="2045">
        <f t="shared" si="105"/>
        <v>247.44151638359989</v>
      </c>
      <c r="BK192" s="2045">
        <f t="shared" si="106"/>
        <v>247.44151638359989</v>
      </c>
      <c r="BL192" s="2045">
        <f t="shared" si="107"/>
        <v>247.44151638359989</v>
      </c>
      <c r="BM192" s="2045">
        <f t="shared" si="127"/>
        <v>989.76606553439956</v>
      </c>
      <c r="BN192" s="2047">
        <v>9</v>
      </c>
      <c r="BO192" s="2050">
        <v>10</v>
      </c>
      <c r="BP192" s="2050">
        <v>10</v>
      </c>
      <c r="BQ192" s="2050">
        <v>10</v>
      </c>
      <c r="BR192" s="2048">
        <f t="shared" si="128"/>
        <v>247.44151638359989</v>
      </c>
      <c r="BS192" s="2048">
        <f t="shared" si="129"/>
        <v>360.47035720080004</v>
      </c>
      <c r="BT192" s="2048">
        <f t="shared" si="130"/>
        <v>360.47035720080004</v>
      </c>
      <c r="BU192" s="2048">
        <f t="shared" si="131"/>
        <v>360.47035720080004</v>
      </c>
      <c r="BV192" s="1840">
        <f t="shared" si="132"/>
        <v>1328.8525879859999</v>
      </c>
      <c r="BW192" s="2064" t="e">
        <f>INT(#REF!)=INT(BA192)</f>
        <v>#REF!</v>
      </c>
      <c r="BX192" s="2064">
        <v>185</v>
      </c>
      <c r="BY192" s="2064" t="s">
        <v>512</v>
      </c>
    </row>
    <row r="193" spans="1:77" s="1976" customFormat="1" ht="62" x14ac:dyDescent="0.35">
      <c r="A193" s="1372" t="s">
        <v>3041</v>
      </c>
      <c r="B193" s="1372" t="s">
        <v>239</v>
      </c>
      <c r="C193" s="1637">
        <v>1</v>
      </c>
      <c r="D193" s="2055" t="str">
        <f>'[9]5.4.4'!$A$1</f>
        <v>5.4.4</v>
      </c>
      <c r="E193" s="1372" t="s">
        <v>201</v>
      </c>
      <c r="F193" s="1638">
        <v>22</v>
      </c>
      <c r="G193" s="1638">
        <v>22</v>
      </c>
      <c r="H193" s="1638">
        <v>22</v>
      </c>
      <c r="I193" s="1638">
        <v>22</v>
      </c>
      <c r="J193" s="1372" t="str">
        <f>+'[9]5.4.4'!$B$17</f>
        <v>RS-HWE-LFFA-V06-180101</v>
      </c>
      <c r="K193" s="1372" t="str">
        <f t="shared" si="108"/>
        <v>Nicor Gas PY7-PY10 Adjustable Goals Template_2017-06-30, Tab 5.4.4</v>
      </c>
      <c r="L193" s="1639">
        <v>5.1307702070625005</v>
      </c>
      <c r="M193" s="1639">
        <v>5.1307702070625005</v>
      </c>
      <c r="N193" s="1639">
        <v>5.1307702070625005</v>
      </c>
      <c r="O193" s="1639">
        <v>5.1307702070625005</v>
      </c>
      <c r="P193" s="1637">
        <v>1</v>
      </c>
      <c r="Q193" s="1637">
        <v>1</v>
      </c>
      <c r="R193" s="1637">
        <v>1</v>
      </c>
      <c r="S193" s="1637">
        <v>1</v>
      </c>
      <c r="T193" s="1640">
        <f t="shared" si="109"/>
        <v>112.87694455537502</v>
      </c>
      <c r="U193" s="1640">
        <f t="shared" si="110"/>
        <v>112.87694455537502</v>
      </c>
      <c r="V193" s="1640">
        <f t="shared" si="111"/>
        <v>112.87694455537502</v>
      </c>
      <c r="W193" s="1640">
        <f t="shared" si="112"/>
        <v>112.87694455537502</v>
      </c>
      <c r="X193" s="1640">
        <f t="shared" si="113"/>
        <v>451.50777822150008</v>
      </c>
      <c r="Y193" s="1372" t="str">
        <f t="shared" si="140"/>
        <v>RS-HWE-LFFA-V06-180101</v>
      </c>
      <c r="Z193" s="1372" t="str">
        <f t="shared" si="133"/>
        <v>Nicor Gas PY7-PY10 Adjustable Goals Template_2017-06-30, Tab 5.4.4</v>
      </c>
      <c r="AA193" s="2024">
        <f t="shared" si="134"/>
        <v>5.1307702070625005</v>
      </c>
      <c r="AB193" s="2028"/>
      <c r="AC193" s="1840">
        <f t="shared" si="114"/>
        <v>112.87694455537502</v>
      </c>
      <c r="AD193" s="1840">
        <f t="shared" si="115"/>
        <v>0</v>
      </c>
      <c r="AE193" s="1372" t="s">
        <v>2799</v>
      </c>
      <c r="AF193" s="1372" t="s">
        <v>3393</v>
      </c>
      <c r="AG193" s="1981">
        <v>7.8671809841625002</v>
      </c>
      <c r="AH193" s="1372" t="s">
        <v>3446</v>
      </c>
      <c r="AI193" s="1640">
        <f t="shared" si="116"/>
        <v>173.07798165157502</v>
      </c>
      <c r="AJ193" s="1638">
        <f t="shared" si="117"/>
        <v>60.201037096199997</v>
      </c>
      <c r="AK193" s="1372" t="s">
        <v>2799</v>
      </c>
      <c r="AL193" s="1372" t="s">
        <v>3393</v>
      </c>
      <c r="AM193" s="1981">
        <v>7.8671809841625002</v>
      </c>
      <c r="AN193" s="1372" t="str">
        <f t="shared" si="141"/>
        <v>Refer TRM V.7 Updates</v>
      </c>
      <c r="AO193" s="1640">
        <f t="shared" si="118"/>
        <v>173.07798165157502</v>
      </c>
      <c r="AP193" s="1638">
        <f t="shared" si="119"/>
        <v>60.201037096199997</v>
      </c>
      <c r="AQ193" s="1372" t="s">
        <v>2799</v>
      </c>
      <c r="AR193" s="1372" t="s">
        <v>3393</v>
      </c>
      <c r="AS193" s="1981">
        <v>7.8671809841625002</v>
      </c>
      <c r="AT193" s="1372" t="str">
        <f t="shared" si="142"/>
        <v>Refer TRM V.7 Updates</v>
      </c>
      <c r="AU193" s="1640">
        <f t="shared" si="120"/>
        <v>173.07798165157502</v>
      </c>
      <c r="AV193" s="1638">
        <f t="shared" si="121"/>
        <v>60.201037096199997</v>
      </c>
      <c r="AW193" s="2044">
        <f t="shared" si="122"/>
        <v>112.87694455537502</v>
      </c>
      <c r="AX193" s="2044">
        <f t="shared" si="123"/>
        <v>173.07798165157502</v>
      </c>
      <c r="AY193" s="2044">
        <f t="shared" si="124"/>
        <v>173.07798165157502</v>
      </c>
      <c r="AZ193" s="2044">
        <f t="shared" si="125"/>
        <v>173.07798165157502</v>
      </c>
      <c r="BA193" s="2045">
        <f t="shared" si="126"/>
        <v>632.11088951010004</v>
      </c>
      <c r="BB193" s="2045" t="str">
        <f>'[9]5.4.4'!$A$1</f>
        <v>5.4.4</v>
      </c>
      <c r="BC193" s="2045" t="str">
        <f>'[9]5.4.4'!$A$1</f>
        <v>5.4.4</v>
      </c>
      <c r="BD193" s="2121">
        <v>1</v>
      </c>
      <c r="BE193" s="2051">
        <v>9</v>
      </c>
      <c r="BF193" s="2051">
        <v>9</v>
      </c>
      <c r="BG193" s="2051">
        <v>9</v>
      </c>
      <c r="BH193" s="2051">
        <v>9</v>
      </c>
      <c r="BI193" s="2045">
        <f t="shared" si="104"/>
        <v>1015.8925009983752</v>
      </c>
      <c r="BJ193" s="2045">
        <f t="shared" si="105"/>
        <v>1015.8925009983752</v>
      </c>
      <c r="BK193" s="2045">
        <f t="shared" si="106"/>
        <v>1015.8925009983752</v>
      </c>
      <c r="BL193" s="2045">
        <f t="shared" si="107"/>
        <v>1015.8925009983752</v>
      </c>
      <c r="BM193" s="2045">
        <f t="shared" si="127"/>
        <v>4063.5700039935009</v>
      </c>
      <c r="BN193" s="2047">
        <v>9</v>
      </c>
      <c r="BO193" s="2050">
        <v>10</v>
      </c>
      <c r="BP193" s="2050">
        <v>10</v>
      </c>
      <c r="BQ193" s="2050">
        <v>10</v>
      </c>
      <c r="BR193" s="2048">
        <f t="shared" si="128"/>
        <v>1015.8925009983752</v>
      </c>
      <c r="BS193" s="2048">
        <f t="shared" si="129"/>
        <v>1730.7798165157501</v>
      </c>
      <c r="BT193" s="2048">
        <f t="shared" si="130"/>
        <v>1730.7798165157501</v>
      </c>
      <c r="BU193" s="2048">
        <f t="shared" si="131"/>
        <v>1730.7798165157501</v>
      </c>
      <c r="BV193" s="1840">
        <f t="shared" si="132"/>
        <v>6208.2319505456253</v>
      </c>
      <c r="BW193" s="2064" t="e">
        <f>INT(#REF!)=INT(BA193)</f>
        <v>#REF!</v>
      </c>
      <c r="BX193" s="2064">
        <v>186</v>
      </c>
      <c r="BY193" s="2064" t="s">
        <v>512</v>
      </c>
    </row>
    <row r="194" spans="1:77" s="1976" customFormat="1" ht="62" x14ac:dyDescent="0.35">
      <c r="A194" s="1372" t="s">
        <v>3041</v>
      </c>
      <c r="B194" s="1372" t="s">
        <v>236</v>
      </c>
      <c r="C194" s="1637">
        <v>1</v>
      </c>
      <c r="D194" s="2055" t="str">
        <f>'[9]5.4.4'!$A$1</f>
        <v>5.4.4</v>
      </c>
      <c r="E194" s="1372" t="s">
        <v>201</v>
      </c>
      <c r="F194" s="1638">
        <v>2250</v>
      </c>
      <c r="G194" s="1638">
        <v>2250</v>
      </c>
      <c r="H194" s="1638">
        <v>2250</v>
      </c>
      <c r="I194" s="1638">
        <v>2250</v>
      </c>
      <c r="J194" s="1372" t="str">
        <f>+'[9]5.4.4'!$B$17</f>
        <v>RS-HWE-LFFA-V06-180101</v>
      </c>
      <c r="K194" s="1372" t="str">
        <f t="shared" si="108"/>
        <v>Nicor Gas PY7-PY10 Adjustable Goals Template_2017-06-30, Tab 5.4.4</v>
      </c>
      <c r="L194" s="1639">
        <v>1.2497046281999995</v>
      </c>
      <c r="M194" s="1639">
        <v>1.2497046281999995</v>
      </c>
      <c r="N194" s="1639">
        <v>1.2497046281999995</v>
      </c>
      <c r="O194" s="1639">
        <v>1.2497046281999995</v>
      </c>
      <c r="P194" s="1637">
        <v>1</v>
      </c>
      <c r="Q194" s="1637">
        <v>1</v>
      </c>
      <c r="R194" s="1637">
        <v>1</v>
      </c>
      <c r="S194" s="1637">
        <v>1</v>
      </c>
      <c r="T194" s="1640">
        <f t="shared" si="109"/>
        <v>2811.8354134499987</v>
      </c>
      <c r="U194" s="1640">
        <f t="shared" si="110"/>
        <v>2811.8354134499987</v>
      </c>
      <c r="V194" s="1640">
        <f t="shared" si="111"/>
        <v>2811.8354134499987</v>
      </c>
      <c r="W194" s="1640">
        <f t="shared" si="112"/>
        <v>2811.8354134499987</v>
      </c>
      <c r="X194" s="1640">
        <f t="shared" si="113"/>
        <v>11247.341653799995</v>
      </c>
      <c r="Y194" s="1372" t="str">
        <f t="shared" si="140"/>
        <v>RS-HWE-LFFA-V06-180101</v>
      </c>
      <c r="Z194" s="1372" t="str">
        <f t="shared" si="133"/>
        <v>Nicor Gas PY7-PY10 Adjustable Goals Template_2017-06-30, Tab 5.4.4</v>
      </c>
      <c r="AA194" s="2024">
        <f t="shared" si="134"/>
        <v>1.2497046281999995</v>
      </c>
      <c r="AB194" s="2028"/>
      <c r="AC194" s="1840">
        <f t="shared" si="114"/>
        <v>2811.8354134499987</v>
      </c>
      <c r="AD194" s="1840">
        <f t="shared" si="115"/>
        <v>0</v>
      </c>
      <c r="AE194" s="1372" t="s">
        <v>2799</v>
      </c>
      <c r="AF194" s="1372" t="s">
        <v>3393</v>
      </c>
      <c r="AG194" s="1981">
        <v>1.6385016236400001</v>
      </c>
      <c r="AH194" s="1372" t="s">
        <v>3446</v>
      </c>
      <c r="AI194" s="1640">
        <f t="shared" si="116"/>
        <v>3686.62865319</v>
      </c>
      <c r="AJ194" s="1638">
        <f t="shared" si="117"/>
        <v>874.79323974000135</v>
      </c>
      <c r="AK194" s="1372" t="s">
        <v>2799</v>
      </c>
      <c r="AL194" s="1372" t="s">
        <v>3393</v>
      </c>
      <c r="AM194" s="1981">
        <v>1.6385016236400001</v>
      </c>
      <c r="AN194" s="1372" t="str">
        <f t="shared" si="141"/>
        <v>Refer TRM V.7 Updates</v>
      </c>
      <c r="AO194" s="1640">
        <f t="shared" si="118"/>
        <v>3686.62865319</v>
      </c>
      <c r="AP194" s="1638">
        <f t="shared" si="119"/>
        <v>874.79323974000135</v>
      </c>
      <c r="AQ194" s="1372" t="s">
        <v>2799</v>
      </c>
      <c r="AR194" s="1372" t="s">
        <v>3393</v>
      </c>
      <c r="AS194" s="1981">
        <v>1.6385016236400001</v>
      </c>
      <c r="AT194" s="1372" t="str">
        <f t="shared" si="142"/>
        <v>Refer TRM V.7 Updates</v>
      </c>
      <c r="AU194" s="1640">
        <f t="shared" si="120"/>
        <v>3686.62865319</v>
      </c>
      <c r="AV194" s="1638">
        <f t="shared" si="121"/>
        <v>874.79323974000135</v>
      </c>
      <c r="AW194" s="2044">
        <f t="shared" si="122"/>
        <v>2811.8354134499987</v>
      </c>
      <c r="AX194" s="2044">
        <f t="shared" si="123"/>
        <v>3686.62865319</v>
      </c>
      <c r="AY194" s="2044">
        <f t="shared" si="124"/>
        <v>3686.62865319</v>
      </c>
      <c r="AZ194" s="2044">
        <f t="shared" si="125"/>
        <v>3686.62865319</v>
      </c>
      <c r="BA194" s="2045">
        <f t="shared" si="126"/>
        <v>13871.72137302</v>
      </c>
      <c r="BB194" s="2045" t="str">
        <f>'[9]5.4.4'!$A$1</f>
        <v>5.4.4</v>
      </c>
      <c r="BC194" s="2045" t="str">
        <f>'[9]5.4.4'!$A$1</f>
        <v>5.4.4</v>
      </c>
      <c r="BD194" s="2121">
        <v>1</v>
      </c>
      <c r="BE194" s="2051">
        <v>9</v>
      </c>
      <c r="BF194" s="2051">
        <v>9</v>
      </c>
      <c r="BG194" s="2051">
        <v>9</v>
      </c>
      <c r="BH194" s="2051">
        <v>9</v>
      </c>
      <c r="BI194" s="2045">
        <f t="shared" si="104"/>
        <v>25306.518721049986</v>
      </c>
      <c r="BJ194" s="2045">
        <f t="shared" si="105"/>
        <v>25306.518721049986</v>
      </c>
      <c r="BK194" s="2045">
        <f t="shared" si="106"/>
        <v>25306.518721049986</v>
      </c>
      <c r="BL194" s="2045">
        <f t="shared" si="107"/>
        <v>25306.518721049986</v>
      </c>
      <c r="BM194" s="2045">
        <f t="shared" si="127"/>
        <v>101226.07488419994</v>
      </c>
      <c r="BN194" s="2047">
        <v>9</v>
      </c>
      <c r="BO194" s="2050">
        <v>10</v>
      </c>
      <c r="BP194" s="2050">
        <v>10</v>
      </c>
      <c r="BQ194" s="2050">
        <v>10</v>
      </c>
      <c r="BR194" s="2048">
        <f t="shared" si="128"/>
        <v>25306.518721049986</v>
      </c>
      <c r="BS194" s="2048">
        <f t="shared" si="129"/>
        <v>36866.286531899997</v>
      </c>
      <c r="BT194" s="2048">
        <f t="shared" si="130"/>
        <v>36866.286531899997</v>
      </c>
      <c r="BU194" s="2048">
        <f t="shared" si="131"/>
        <v>36866.286531899997</v>
      </c>
      <c r="BV194" s="1840">
        <f t="shared" si="132"/>
        <v>135905.37831674999</v>
      </c>
      <c r="BW194" s="2064" t="e">
        <f>INT(#REF!)=INT(BA194)</f>
        <v>#REF!</v>
      </c>
      <c r="BX194" s="2064">
        <v>187</v>
      </c>
      <c r="BY194" s="2064" t="s">
        <v>512</v>
      </c>
    </row>
    <row r="195" spans="1:77" s="1976" customFormat="1" ht="61.5" customHeight="1" x14ac:dyDescent="0.35">
      <c r="A195" s="1372" t="s">
        <v>3041</v>
      </c>
      <c r="B195" s="1372" t="s">
        <v>238</v>
      </c>
      <c r="C195" s="1637">
        <v>1</v>
      </c>
      <c r="D195" s="2055" t="str">
        <f>'[9]5.4.4'!$A$1</f>
        <v>5.4.4</v>
      </c>
      <c r="E195" s="1372" t="s">
        <v>201</v>
      </c>
      <c r="F195" s="1638">
        <v>2250</v>
      </c>
      <c r="G195" s="1638">
        <v>2250</v>
      </c>
      <c r="H195" s="1638">
        <v>2250</v>
      </c>
      <c r="I195" s="1638">
        <v>2250</v>
      </c>
      <c r="J195" s="1372" t="str">
        <f>+'[9]5.4.4'!$B$17</f>
        <v>RS-HWE-LFFA-V06-180101</v>
      </c>
      <c r="K195" s="1372" t="str">
        <f t="shared" si="108"/>
        <v>Nicor Gas PY7-PY10 Adjustable Goals Template_2017-06-30, Tab 5.4.4</v>
      </c>
      <c r="L195" s="1639">
        <v>5.1307702070625005</v>
      </c>
      <c r="M195" s="1639">
        <v>5.1307702070625005</v>
      </c>
      <c r="N195" s="1639">
        <v>5.1307702070625005</v>
      </c>
      <c r="O195" s="1639">
        <v>5.1307702070625005</v>
      </c>
      <c r="P195" s="1637">
        <v>1</v>
      </c>
      <c r="Q195" s="1637">
        <v>1</v>
      </c>
      <c r="R195" s="1637">
        <v>1</v>
      </c>
      <c r="S195" s="1637">
        <v>1</v>
      </c>
      <c r="T195" s="1640">
        <f t="shared" si="109"/>
        <v>11544.232965890626</v>
      </c>
      <c r="U195" s="1640">
        <f t="shared" si="110"/>
        <v>11544.232965890626</v>
      </c>
      <c r="V195" s="1640">
        <f t="shared" si="111"/>
        <v>11544.232965890626</v>
      </c>
      <c r="W195" s="1640">
        <f t="shared" si="112"/>
        <v>11544.232965890626</v>
      </c>
      <c r="X195" s="1640">
        <f t="shared" si="113"/>
        <v>46176.931863562502</v>
      </c>
      <c r="Y195" s="1372" t="str">
        <f t="shared" si="140"/>
        <v>RS-HWE-LFFA-V06-180101</v>
      </c>
      <c r="Z195" s="1372" t="str">
        <f t="shared" si="133"/>
        <v>Nicor Gas PY7-PY10 Adjustable Goals Template_2017-06-30, Tab 5.4.4</v>
      </c>
      <c r="AA195" s="2024">
        <f t="shared" si="134"/>
        <v>5.1307702070625005</v>
      </c>
      <c r="AB195" s="2028"/>
      <c r="AC195" s="1840">
        <f t="shared" si="114"/>
        <v>11544.232965890626</v>
      </c>
      <c r="AD195" s="1840">
        <f t="shared" si="115"/>
        <v>0</v>
      </c>
      <c r="AE195" s="1372" t="s">
        <v>2799</v>
      </c>
      <c r="AF195" s="1372" t="s">
        <v>3393</v>
      </c>
      <c r="AG195" s="1981">
        <v>7.8671809841625002</v>
      </c>
      <c r="AH195" s="1372" t="s">
        <v>3446</v>
      </c>
      <c r="AI195" s="1640">
        <f t="shared" si="116"/>
        <v>17701.157214365627</v>
      </c>
      <c r="AJ195" s="1638">
        <f t="shared" si="117"/>
        <v>6156.9242484750011</v>
      </c>
      <c r="AK195" s="1372" t="s">
        <v>2799</v>
      </c>
      <c r="AL195" s="1372" t="s">
        <v>3393</v>
      </c>
      <c r="AM195" s="1981">
        <v>7.8671809841625002</v>
      </c>
      <c r="AN195" s="1372" t="str">
        <f t="shared" si="141"/>
        <v>Refer TRM V.7 Updates</v>
      </c>
      <c r="AO195" s="1640">
        <f t="shared" si="118"/>
        <v>17701.157214365627</v>
      </c>
      <c r="AP195" s="1638">
        <f t="shared" si="119"/>
        <v>6156.9242484750011</v>
      </c>
      <c r="AQ195" s="1372" t="s">
        <v>2799</v>
      </c>
      <c r="AR195" s="1372" t="s">
        <v>3393</v>
      </c>
      <c r="AS195" s="1981">
        <v>7.8671809841625002</v>
      </c>
      <c r="AT195" s="1372" t="str">
        <f t="shared" si="142"/>
        <v>Refer TRM V.7 Updates</v>
      </c>
      <c r="AU195" s="1640">
        <f t="shared" si="120"/>
        <v>17701.157214365627</v>
      </c>
      <c r="AV195" s="1638">
        <f t="shared" si="121"/>
        <v>6156.9242484750011</v>
      </c>
      <c r="AW195" s="2044">
        <f t="shared" si="122"/>
        <v>11544.232965890626</v>
      </c>
      <c r="AX195" s="2044">
        <f t="shared" si="123"/>
        <v>17701.157214365627</v>
      </c>
      <c r="AY195" s="2044">
        <f t="shared" si="124"/>
        <v>17701.157214365627</v>
      </c>
      <c r="AZ195" s="2044">
        <f t="shared" si="125"/>
        <v>17701.157214365627</v>
      </c>
      <c r="BA195" s="2045">
        <f t="shared" si="126"/>
        <v>64647.704608987508</v>
      </c>
      <c r="BB195" s="2045" t="str">
        <f>'[9]5.4.4'!$A$1</f>
        <v>5.4.4</v>
      </c>
      <c r="BC195" s="2045" t="str">
        <f>'[9]5.4.4'!$A$1</f>
        <v>5.4.4</v>
      </c>
      <c r="BD195" s="2121">
        <v>1</v>
      </c>
      <c r="BE195" s="2051">
        <v>9</v>
      </c>
      <c r="BF195" s="2051">
        <v>9</v>
      </c>
      <c r="BG195" s="2051">
        <v>9</v>
      </c>
      <c r="BH195" s="2051">
        <v>9</v>
      </c>
      <c r="BI195" s="2045">
        <f t="shared" si="104"/>
        <v>103898.09669301563</v>
      </c>
      <c r="BJ195" s="2045">
        <f t="shared" si="105"/>
        <v>103898.09669301563</v>
      </c>
      <c r="BK195" s="2045">
        <f t="shared" si="106"/>
        <v>103898.09669301563</v>
      </c>
      <c r="BL195" s="2045">
        <f t="shared" si="107"/>
        <v>103898.09669301563</v>
      </c>
      <c r="BM195" s="2045">
        <f t="shared" si="127"/>
        <v>415592.38677206251</v>
      </c>
      <c r="BN195" s="2047">
        <v>9</v>
      </c>
      <c r="BO195" s="2050">
        <v>10</v>
      </c>
      <c r="BP195" s="2050">
        <v>10</v>
      </c>
      <c r="BQ195" s="2050">
        <v>10</v>
      </c>
      <c r="BR195" s="2048">
        <f t="shared" si="128"/>
        <v>103898.09669301563</v>
      </c>
      <c r="BS195" s="2048">
        <f t="shared" si="129"/>
        <v>177011.57214365626</v>
      </c>
      <c r="BT195" s="2048">
        <f t="shared" si="130"/>
        <v>177011.57214365626</v>
      </c>
      <c r="BU195" s="2048">
        <f t="shared" si="131"/>
        <v>177011.57214365626</v>
      </c>
      <c r="BV195" s="1840">
        <f t="shared" si="132"/>
        <v>634932.81312398438</v>
      </c>
      <c r="BW195" s="2064" t="e">
        <f>INT(#REF!)=INT(BA195)</f>
        <v>#REF!</v>
      </c>
      <c r="BX195" s="2064">
        <v>188</v>
      </c>
      <c r="BY195" s="2064" t="s">
        <v>512</v>
      </c>
    </row>
    <row r="196" spans="1:77" s="1976" customFormat="1" ht="61.5" customHeight="1" x14ac:dyDescent="0.35">
      <c r="A196" s="1372" t="s">
        <v>3041</v>
      </c>
      <c r="B196" s="1372" t="s">
        <v>243</v>
      </c>
      <c r="C196" s="1637">
        <v>1</v>
      </c>
      <c r="D196" s="2055" t="str">
        <f>'[9]5.4.5'!$A$2</f>
        <v>5.4.5</v>
      </c>
      <c r="E196" s="1372" t="s">
        <v>201</v>
      </c>
      <c r="F196" s="1638">
        <v>22</v>
      </c>
      <c r="G196" s="1638">
        <v>22</v>
      </c>
      <c r="H196" s="1638">
        <v>22</v>
      </c>
      <c r="I196" s="1638">
        <v>22</v>
      </c>
      <c r="J196" s="1372" t="str">
        <f>+'[9]5.4.5'!$B$16</f>
        <v>RS-HWE-LFSH-V05-180101</v>
      </c>
      <c r="K196" s="1372" t="str">
        <f t="shared" si="108"/>
        <v>Nicor Gas PY7-PY10 Adjustable Goals Template_2017-06-30, Tab 5.4.5</v>
      </c>
      <c r="L196" s="1639">
        <v>17.89328345805</v>
      </c>
      <c r="M196" s="1639">
        <v>17.89328345805</v>
      </c>
      <c r="N196" s="1639">
        <v>17.89328345805</v>
      </c>
      <c r="O196" s="1639">
        <v>17.89328345805</v>
      </c>
      <c r="P196" s="1637">
        <v>1</v>
      </c>
      <c r="Q196" s="1637">
        <v>1</v>
      </c>
      <c r="R196" s="1637">
        <v>1</v>
      </c>
      <c r="S196" s="1637">
        <v>1</v>
      </c>
      <c r="T196" s="1640">
        <f t="shared" si="109"/>
        <v>393.65223607709999</v>
      </c>
      <c r="U196" s="1640">
        <f t="shared" si="110"/>
        <v>393.65223607709999</v>
      </c>
      <c r="V196" s="1640">
        <f t="shared" si="111"/>
        <v>393.65223607709999</v>
      </c>
      <c r="W196" s="1640">
        <f t="shared" si="112"/>
        <v>393.65223607709999</v>
      </c>
      <c r="X196" s="1640">
        <f t="shared" si="113"/>
        <v>1574.6089443083999</v>
      </c>
      <c r="Y196" s="1372" t="str">
        <f t="shared" si="140"/>
        <v>RS-HWE-LFSH-V05-180101</v>
      </c>
      <c r="Z196" s="1372" t="str">
        <f t="shared" si="133"/>
        <v>Nicor Gas PY7-PY10 Adjustable Goals Template_2017-06-30, Tab 5.4.5</v>
      </c>
      <c r="AA196" s="2024">
        <f t="shared" si="134"/>
        <v>17.89328345805</v>
      </c>
      <c r="AB196" s="2028"/>
      <c r="AC196" s="1840">
        <f t="shared" si="114"/>
        <v>393.65223607709999</v>
      </c>
      <c r="AD196" s="1840">
        <f t="shared" si="115"/>
        <v>0</v>
      </c>
      <c r="AE196" s="1372" t="s">
        <v>2800</v>
      </c>
      <c r="AF196" s="1372" t="s">
        <v>3394</v>
      </c>
      <c r="AG196" s="1981">
        <v>11.317119452100005</v>
      </c>
      <c r="AH196" s="1372" t="s">
        <v>3446</v>
      </c>
      <c r="AI196" s="1640">
        <f t="shared" si="116"/>
        <v>248.97662794620013</v>
      </c>
      <c r="AJ196" s="1638">
        <f t="shared" si="117"/>
        <v>-144.67560813089986</v>
      </c>
      <c r="AK196" s="1372" t="s">
        <v>2800</v>
      </c>
      <c r="AL196" s="1372" t="s">
        <v>3394</v>
      </c>
      <c r="AM196" s="1981">
        <v>11.317119452100005</v>
      </c>
      <c r="AN196" s="1372" t="str">
        <f t="shared" si="141"/>
        <v>Refer TRM V.7 Updates</v>
      </c>
      <c r="AO196" s="1640">
        <f t="shared" si="118"/>
        <v>248.97662794620013</v>
      </c>
      <c r="AP196" s="1638">
        <f t="shared" si="119"/>
        <v>-144.67560813089986</v>
      </c>
      <c r="AQ196" s="1372" t="s">
        <v>2800</v>
      </c>
      <c r="AR196" s="1372" t="s">
        <v>3394</v>
      </c>
      <c r="AS196" s="1981">
        <v>11.317119452100005</v>
      </c>
      <c r="AT196" s="1372" t="str">
        <f t="shared" si="142"/>
        <v>Refer TRM V.7 Updates</v>
      </c>
      <c r="AU196" s="1640">
        <f t="shared" si="120"/>
        <v>248.97662794620013</v>
      </c>
      <c r="AV196" s="1638">
        <f t="shared" si="121"/>
        <v>-144.67560813089986</v>
      </c>
      <c r="AW196" s="2044">
        <f t="shared" si="122"/>
        <v>393.65223607709999</v>
      </c>
      <c r="AX196" s="2044">
        <f t="shared" si="123"/>
        <v>248.97662794620013</v>
      </c>
      <c r="AY196" s="2044">
        <f t="shared" si="124"/>
        <v>248.97662794620013</v>
      </c>
      <c r="AZ196" s="2044">
        <f t="shared" si="125"/>
        <v>248.97662794620013</v>
      </c>
      <c r="BA196" s="2045">
        <f t="shared" si="126"/>
        <v>1140.5821199157003</v>
      </c>
      <c r="BB196" s="2045" t="str">
        <f>'[9]5.4.5'!$A$2</f>
        <v>5.4.5</v>
      </c>
      <c r="BC196" s="2045" t="str">
        <f>'[9]5.4.5'!$A$2</f>
        <v>5.4.5</v>
      </c>
      <c r="BD196" s="2045">
        <v>0</v>
      </c>
      <c r="BE196" s="2051">
        <v>10</v>
      </c>
      <c r="BF196" s="2051">
        <v>10</v>
      </c>
      <c r="BG196" s="2051">
        <v>10</v>
      </c>
      <c r="BH196" s="2051">
        <v>10</v>
      </c>
      <c r="BI196" s="2045">
        <f t="shared" si="104"/>
        <v>3936.522360771</v>
      </c>
      <c r="BJ196" s="2045">
        <f t="shared" si="105"/>
        <v>3936.522360771</v>
      </c>
      <c r="BK196" s="2045">
        <f t="shared" si="106"/>
        <v>3936.522360771</v>
      </c>
      <c r="BL196" s="2045">
        <f t="shared" si="107"/>
        <v>3936.522360771</v>
      </c>
      <c r="BM196" s="2045">
        <f t="shared" si="127"/>
        <v>15746.089443084</v>
      </c>
      <c r="BN196" s="2047">
        <v>10</v>
      </c>
      <c r="BO196" s="2047">
        <v>10</v>
      </c>
      <c r="BP196" s="2047">
        <v>10</v>
      </c>
      <c r="BQ196" s="2047">
        <v>10</v>
      </c>
      <c r="BR196" s="2048">
        <f t="shared" si="128"/>
        <v>3936.522360771</v>
      </c>
      <c r="BS196" s="2048">
        <f t="shared" si="129"/>
        <v>2489.7662794620014</v>
      </c>
      <c r="BT196" s="2048">
        <f t="shared" si="130"/>
        <v>2489.7662794620014</v>
      </c>
      <c r="BU196" s="2048">
        <f t="shared" si="131"/>
        <v>2489.7662794620014</v>
      </c>
      <c r="BV196" s="1840">
        <f t="shared" si="132"/>
        <v>11405.821199157004</v>
      </c>
      <c r="BW196" s="2064" t="e">
        <f>INT(#REF!)=INT(BA196)</f>
        <v>#REF!</v>
      </c>
      <c r="BX196" s="2064">
        <v>189</v>
      </c>
      <c r="BY196" s="2064" t="s">
        <v>512</v>
      </c>
    </row>
    <row r="197" spans="1:77" s="1976" customFormat="1" ht="61.5" customHeight="1" x14ac:dyDescent="0.35">
      <c r="A197" s="1372" t="s">
        <v>3041</v>
      </c>
      <c r="B197" s="1372" t="s">
        <v>242</v>
      </c>
      <c r="C197" s="1637">
        <v>1</v>
      </c>
      <c r="D197" s="2055" t="str">
        <f>'[9]5.4.5'!$A$2</f>
        <v>5.4.5</v>
      </c>
      <c r="E197" s="1372" t="s">
        <v>201</v>
      </c>
      <c r="F197" s="1638">
        <v>2250</v>
      </c>
      <c r="G197" s="1638">
        <v>2250</v>
      </c>
      <c r="H197" s="1638">
        <v>2250</v>
      </c>
      <c r="I197" s="1638">
        <v>2250</v>
      </c>
      <c r="J197" s="1372" t="str">
        <f>+'[9]5.4.5'!$B$16</f>
        <v>RS-HWE-LFSH-V05-180101</v>
      </c>
      <c r="K197" s="1372" t="str">
        <f t="shared" si="108"/>
        <v>Nicor Gas PY7-PY10 Adjustable Goals Template_2017-06-30, Tab 5.4.5</v>
      </c>
      <c r="L197" s="1639">
        <v>17.89328345805</v>
      </c>
      <c r="M197" s="1639">
        <v>17.89328345805</v>
      </c>
      <c r="N197" s="1639">
        <v>17.89328345805</v>
      </c>
      <c r="O197" s="1639">
        <v>17.89328345805</v>
      </c>
      <c r="P197" s="1637">
        <v>1</v>
      </c>
      <c r="Q197" s="1637">
        <v>1</v>
      </c>
      <c r="R197" s="1637">
        <v>1</v>
      </c>
      <c r="S197" s="1637">
        <v>1</v>
      </c>
      <c r="T197" s="1640">
        <f t="shared" si="109"/>
        <v>40259.887780612502</v>
      </c>
      <c r="U197" s="1640">
        <f t="shared" si="110"/>
        <v>40259.887780612502</v>
      </c>
      <c r="V197" s="1640">
        <f t="shared" si="111"/>
        <v>40259.887780612502</v>
      </c>
      <c r="W197" s="1640">
        <f t="shared" si="112"/>
        <v>40259.887780612502</v>
      </c>
      <c r="X197" s="1640">
        <f t="shared" si="113"/>
        <v>161039.55112245001</v>
      </c>
      <c r="Y197" s="1372" t="str">
        <f t="shared" si="140"/>
        <v>RS-HWE-LFSH-V05-180101</v>
      </c>
      <c r="Z197" s="1372" t="str">
        <f t="shared" si="133"/>
        <v>Nicor Gas PY7-PY10 Adjustable Goals Template_2017-06-30, Tab 5.4.5</v>
      </c>
      <c r="AA197" s="2024">
        <f t="shared" si="134"/>
        <v>17.89328345805</v>
      </c>
      <c r="AB197" s="2028"/>
      <c r="AC197" s="1840">
        <f t="shared" si="114"/>
        <v>40259.887780612502</v>
      </c>
      <c r="AD197" s="1840">
        <f t="shared" si="115"/>
        <v>0</v>
      </c>
      <c r="AE197" s="1372" t="s">
        <v>2800</v>
      </c>
      <c r="AF197" s="1372" t="s">
        <v>3394</v>
      </c>
      <c r="AG197" s="1981">
        <v>11.317119452100005</v>
      </c>
      <c r="AH197" s="1372" t="s">
        <v>3446</v>
      </c>
      <c r="AI197" s="1640">
        <f t="shared" si="116"/>
        <v>25463.51876722501</v>
      </c>
      <c r="AJ197" s="1638">
        <f t="shared" si="117"/>
        <v>-14796.369013387492</v>
      </c>
      <c r="AK197" s="1372" t="s">
        <v>2800</v>
      </c>
      <c r="AL197" s="1372" t="s">
        <v>3394</v>
      </c>
      <c r="AM197" s="1981">
        <v>11.317119452100005</v>
      </c>
      <c r="AN197" s="1372" t="str">
        <f t="shared" si="141"/>
        <v>Refer TRM V.7 Updates</v>
      </c>
      <c r="AO197" s="1640">
        <f t="shared" si="118"/>
        <v>25463.51876722501</v>
      </c>
      <c r="AP197" s="1638">
        <f t="shared" si="119"/>
        <v>-14796.369013387492</v>
      </c>
      <c r="AQ197" s="1372" t="s">
        <v>2800</v>
      </c>
      <c r="AR197" s="1372" t="s">
        <v>3394</v>
      </c>
      <c r="AS197" s="1981">
        <v>11.317119452100005</v>
      </c>
      <c r="AT197" s="1372" t="str">
        <f t="shared" si="142"/>
        <v>Refer TRM V.7 Updates</v>
      </c>
      <c r="AU197" s="1640">
        <f t="shared" si="120"/>
        <v>25463.51876722501</v>
      </c>
      <c r="AV197" s="1638">
        <f t="shared" si="121"/>
        <v>-14796.369013387492</v>
      </c>
      <c r="AW197" s="2044">
        <f t="shared" si="122"/>
        <v>40259.887780612502</v>
      </c>
      <c r="AX197" s="2044">
        <f t="shared" si="123"/>
        <v>25463.51876722501</v>
      </c>
      <c r="AY197" s="2044">
        <f t="shared" si="124"/>
        <v>25463.51876722501</v>
      </c>
      <c r="AZ197" s="2044">
        <f t="shared" si="125"/>
        <v>25463.51876722501</v>
      </c>
      <c r="BA197" s="2045">
        <f t="shared" si="126"/>
        <v>116650.44408228752</v>
      </c>
      <c r="BB197" s="2045" t="str">
        <f>'[9]5.4.5'!$A$2</f>
        <v>5.4.5</v>
      </c>
      <c r="BC197" s="2045" t="str">
        <f>'[9]5.4.5'!$A$2</f>
        <v>5.4.5</v>
      </c>
      <c r="BD197" s="2045">
        <v>0</v>
      </c>
      <c r="BE197" s="2051">
        <v>10</v>
      </c>
      <c r="BF197" s="2051">
        <v>10</v>
      </c>
      <c r="BG197" s="2051">
        <v>10</v>
      </c>
      <c r="BH197" s="2051">
        <v>10</v>
      </c>
      <c r="BI197" s="2045">
        <f t="shared" si="104"/>
        <v>402598.87780612503</v>
      </c>
      <c r="BJ197" s="2045">
        <f t="shared" si="105"/>
        <v>402598.87780612503</v>
      </c>
      <c r="BK197" s="2045">
        <f t="shared" si="106"/>
        <v>402598.87780612503</v>
      </c>
      <c r="BL197" s="2045">
        <f t="shared" si="107"/>
        <v>402598.87780612503</v>
      </c>
      <c r="BM197" s="2045">
        <f t="shared" si="127"/>
        <v>1610395.5112245001</v>
      </c>
      <c r="BN197" s="2047">
        <v>10</v>
      </c>
      <c r="BO197" s="2047">
        <v>10</v>
      </c>
      <c r="BP197" s="2047">
        <v>10</v>
      </c>
      <c r="BQ197" s="2047">
        <v>10</v>
      </c>
      <c r="BR197" s="2048">
        <f t="shared" si="128"/>
        <v>402598.87780612503</v>
      </c>
      <c r="BS197" s="2048">
        <f t="shared" si="129"/>
        <v>254635.18767225009</v>
      </c>
      <c r="BT197" s="2048">
        <f t="shared" si="130"/>
        <v>254635.18767225009</v>
      </c>
      <c r="BU197" s="2048">
        <f t="shared" si="131"/>
        <v>254635.18767225009</v>
      </c>
      <c r="BV197" s="1840">
        <f t="shared" si="132"/>
        <v>1166504.4408228754</v>
      </c>
      <c r="BW197" s="2064" t="e">
        <f>INT(#REF!)=INT(BA197)</f>
        <v>#REF!</v>
      </c>
      <c r="BX197" s="2064">
        <v>190</v>
      </c>
      <c r="BY197" s="2064" t="s">
        <v>512</v>
      </c>
    </row>
    <row r="198" spans="1:77" s="1976" customFormat="1" ht="18" customHeight="1" x14ac:dyDescent="0.35">
      <c r="A198" s="1372" t="s">
        <v>3041</v>
      </c>
      <c r="B198" s="1372" t="s">
        <v>284</v>
      </c>
      <c r="C198" s="1637">
        <v>0</v>
      </c>
      <c r="D198" s="1372" t="s">
        <v>295</v>
      </c>
      <c r="E198" s="1372" t="s">
        <v>163</v>
      </c>
      <c r="F198" s="1638">
        <v>75</v>
      </c>
      <c r="G198" s="1638">
        <v>75</v>
      </c>
      <c r="H198" s="1638">
        <v>75</v>
      </c>
      <c r="I198" s="1638">
        <v>75</v>
      </c>
      <c r="J198" s="1372" t="s">
        <v>295</v>
      </c>
      <c r="K198" s="1372" t="str">
        <f t="shared" si="108"/>
        <v/>
      </c>
      <c r="L198" s="1639">
        <v>0</v>
      </c>
      <c r="M198" s="1639">
        <v>0</v>
      </c>
      <c r="N198" s="1639">
        <v>0</v>
      </c>
      <c r="O198" s="1639">
        <v>0</v>
      </c>
      <c r="P198" s="1637">
        <v>1</v>
      </c>
      <c r="Q198" s="1637">
        <v>1</v>
      </c>
      <c r="R198" s="1637">
        <v>1</v>
      </c>
      <c r="S198" s="1637">
        <v>1</v>
      </c>
      <c r="T198" s="1640">
        <f t="shared" si="109"/>
        <v>0</v>
      </c>
      <c r="U198" s="1640">
        <f t="shared" si="110"/>
        <v>0</v>
      </c>
      <c r="V198" s="1640">
        <f t="shared" si="111"/>
        <v>0</v>
      </c>
      <c r="W198" s="1640">
        <f t="shared" si="112"/>
        <v>0</v>
      </c>
      <c r="X198" s="1640">
        <f t="shared" si="113"/>
        <v>0</v>
      </c>
      <c r="Y198" s="1829"/>
      <c r="Z198" s="1372" t="str">
        <f t="shared" si="133"/>
        <v/>
      </c>
      <c r="AA198" s="1840">
        <f t="shared" si="134"/>
        <v>0</v>
      </c>
      <c r="AB198" s="2028"/>
      <c r="AC198" s="1840">
        <f t="shared" si="114"/>
        <v>0</v>
      </c>
      <c r="AD198" s="1840">
        <f t="shared" si="115"/>
        <v>0</v>
      </c>
      <c r="AE198" s="1829"/>
      <c r="AF198" s="1829" t="s">
        <v>3361</v>
      </c>
      <c r="AG198" s="1830">
        <v>0</v>
      </c>
      <c r="AH198" s="1829"/>
      <c r="AI198" s="1640">
        <f t="shared" si="116"/>
        <v>0</v>
      </c>
      <c r="AJ198" s="1638">
        <f t="shared" si="117"/>
        <v>0</v>
      </c>
      <c r="AK198" s="1829"/>
      <c r="AL198" s="1829" t="s">
        <v>3361</v>
      </c>
      <c r="AM198" s="1830">
        <v>0</v>
      </c>
      <c r="AN198" s="1829"/>
      <c r="AO198" s="1640">
        <f t="shared" si="118"/>
        <v>0</v>
      </c>
      <c r="AP198" s="1638">
        <f t="shared" si="119"/>
        <v>0</v>
      </c>
      <c r="AQ198" s="1829"/>
      <c r="AR198" s="1829" t="s">
        <v>3361</v>
      </c>
      <c r="AS198" s="1830">
        <v>0</v>
      </c>
      <c r="AT198" s="1829"/>
      <c r="AU198" s="1640">
        <f t="shared" si="120"/>
        <v>0</v>
      </c>
      <c r="AV198" s="1638">
        <f t="shared" si="121"/>
        <v>0</v>
      </c>
      <c r="AW198" s="2044">
        <f t="shared" si="122"/>
        <v>0</v>
      </c>
      <c r="AX198" s="2044">
        <f t="shared" si="123"/>
        <v>0</v>
      </c>
      <c r="AY198" s="2044">
        <f t="shared" si="124"/>
        <v>0</v>
      </c>
      <c r="AZ198" s="2044">
        <f t="shared" si="125"/>
        <v>0</v>
      </c>
      <c r="BA198" s="2045">
        <f t="shared" si="126"/>
        <v>0</v>
      </c>
      <c r="BB198" s="2049"/>
      <c r="BC198" s="2049"/>
      <c r="BD198" s="2045">
        <v>0</v>
      </c>
      <c r="BE198" s="2051">
        <v>1</v>
      </c>
      <c r="BF198" s="2051">
        <v>1</v>
      </c>
      <c r="BG198" s="2051">
        <v>1</v>
      </c>
      <c r="BH198" s="2051">
        <v>1</v>
      </c>
      <c r="BI198" s="2045">
        <f t="shared" si="104"/>
        <v>0</v>
      </c>
      <c r="BJ198" s="2045">
        <f t="shared" si="105"/>
        <v>0</v>
      </c>
      <c r="BK198" s="2045">
        <f t="shared" si="106"/>
        <v>0</v>
      </c>
      <c r="BL198" s="2045">
        <f t="shared" si="107"/>
        <v>0</v>
      </c>
      <c r="BM198" s="2045">
        <f t="shared" si="127"/>
        <v>0</v>
      </c>
      <c r="BN198" s="2047">
        <v>1</v>
      </c>
      <c r="BO198" s="2047">
        <v>1</v>
      </c>
      <c r="BP198" s="2047">
        <v>1</v>
      </c>
      <c r="BQ198" s="2047">
        <v>1</v>
      </c>
      <c r="BR198" s="2048">
        <f t="shared" si="128"/>
        <v>0</v>
      </c>
      <c r="BS198" s="2048">
        <f t="shared" si="129"/>
        <v>0</v>
      </c>
      <c r="BT198" s="2048">
        <f t="shared" si="130"/>
        <v>0</v>
      </c>
      <c r="BU198" s="2048">
        <f t="shared" si="131"/>
        <v>0</v>
      </c>
      <c r="BV198" s="1840">
        <f t="shared" si="132"/>
        <v>0</v>
      </c>
      <c r="BW198" s="2064" t="e">
        <f>INT(#REF!)=INT(BA198)</f>
        <v>#REF!</v>
      </c>
      <c r="BX198" s="2064">
        <v>191</v>
      </c>
      <c r="BY198" s="2064" t="s">
        <v>295</v>
      </c>
    </row>
    <row r="199" spans="1:77" s="1976" customFormat="1" ht="62" x14ac:dyDescent="0.35">
      <c r="A199" s="1372" t="s">
        <v>3041</v>
      </c>
      <c r="B199" s="1372" t="s">
        <v>207</v>
      </c>
      <c r="C199" s="1637">
        <v>0</v>
      </c>
      <c r="D199" s="2053" t="str">
        <f>+'[9]4.4.14'!$A$1</f>
        <v>4.4.14</v>
      </c>
      <c r="E199" s="1372" t="s">
        <v>202</v>
      </c>
      <c r="F199" s="1638">
        <v>1800</v>
      </c>
      <c r="G199" s="1638">
        <v>1800</v>
      </c>
      <c r="H199" s="1638">
        <v>1800</v>
      </c>
      <c r="I199" s="1638">
        <v>1800</v>
      </c>
      <c r="J199" s="1372" t="str">
        <f>+'[9]4.4.14'!$B$27</f>
        <v>CI-HVC-PINS-V04-160601</v>
      </c>
      <c r="K199" s="1372" t="str">
        <f t="shared" si="108"/>
        <v>Nicor Gas PY7-PY10 Adjustable Goals Template_2017-06-30, Tab 4.4.14</v>
      </c>
      <c r="L199" s="1639">
        <v>1.6846271672771671</v>
      </c>
      <c r="M199" s="1639">
        <v>1.6846271672771671</v>
      </c>
      <c r="N199" s="1639">
        <v>1.6846271672771671</v>
      </c>
      <c r="O199" s="1639">
        <v>1.6846271672771671</v>
      </c>
      <c r="P199" s="1637">
        <v>1</v>
      </c>
      <c r="Q199" s="1637">
        <v>1</v>
      </c>
      <c r="R199" s="1637">
        <v>1</v>
      </c>
      <c r="S199" s="1637">
        <v>1</v>
      </c>
      <c r="T199" s="1640">
        <f t="shared" si="109"/>
        <v>3032.3289010989006</v>
      </c>
      <c r="U199" s="1640">
        <f t="shared" si="110"/>
        <v>3032.3289010989006</v>
      </c>
      <c r="V199" s="1640">
        <f t="shared" si="111"/>
        <v>3032.3289010989006</v>
      </c>
      <c r="W199" s="1640">
        <f t="shared" si="112"/>
        <v>3032.3289010989006</v>
      </c>
      <c r="X199" s="1640">
        <f t="shared" si="113"/>
        <v>12129.315604395602</v>
      </c>
      <c r="Y199" s="1372" t="str">
        <f t="shared" ref="Y199:Y206" si="143">J199</f>
        <v>CI-HVC-PINS-V04-160601</v>
      </c>
      <c r="Z199" s="1372" t="str">
        <f t="shared" si="133"/>
        <v>Nicor Gas PY7-PY10 Adjustable Goals Template_2017-06-30, Tab 4.4.14</v>
      </c>
      <c r="AA199" s="1840">
        <f t="shared" si="134"/>
        <v>1.6846271672771671</v>
      </c>
      <c r="AB199" s="2028"/>
      <c r="AC199" s="1840">
        <f t="shared" si="114"/>
        <v>3032.3289010989006</v>
      </c>
      <c r="AD199" s="1840">
        <f t="shared" si="115"/>
        <v>0</v>
      </c>
      <c r="AE199" s="1372" t="s">
        <v>2577</v>
      </c>
      <c r="AF199" s="1372" t="s">
        <v>3368</v>
      </c>
      <c r="AG199" s="1639">
        <v>1.6846271672771671</v>
      </c>
      <c r="AH199" s="1372" t="s">
        <v>3445</v>
      </c>
      <c r="AI199" s="1640">
        <f t="shared" si="116"/>
        <v>3032.3289010989006</v>
      </c>
      <c r="AJ199" s="1638">
        <f t="shared" si="117"/>
        <v>0</v>
      </c>
      <c r="AK199" s="1372" t="s">
        <v>2577</v>
      </c>
      <c r="AL199" s="1372" t="s">
        <v>3368</v>
      </c>
      <c r="AM199" s="1639">
        <v>1.6846271672771671</v>
      </c>
      <c r="AN199" s="1372" t="str">
        <f t="shared" ref="AN199:AN206" si="144">$AH199</f>
        <v>No change</v>
      </c>
      <c r="AO199" s="1640">
        <f t="shared" si="118"/>
        <v>3032.3289010989006</v>
      </c>
      <c r="AP199" s="1638">
        <f t="shared" si="119"/>
        <v>0</v>
      </c>
      <c r="AQ199" s="1372" t="s">
        <v>2577</v>
      </c>
      <c r="AR199" s="1372" t="s">
        <v>3368</v>
      </c>
      <c r="AS199" s="1639">
        <v>1.6846271672771671</v>
      </c>
      <c r="AT199" s="1372" t="str">
        <f t="shared" ref="AT199:AT206" si="145">$AH199</f>
        <v>No change</v>
      </c>
      <c r="AU199" s="1640">
        <f t="shared" si="120"/>
        <v>3032.3289010989006</v>
      </c>
      <c r="AV199" s="1638">
        <f t="shared" si="121"/>
        <v>0</v>
      </c>
      <c r="AW199" s="2044">
        <f t="shared" si="122"/>
        <v>3032.3289010989006</v>
      </c>
      <c r="AX199" s="2044">
        <f t="shared" si="123"/>
        <v>3032.3289010989006</v>
      </c>
      <c r="AY199" s="2044">
        <f t="shared" si="124"/>
        <v>3032.3289010989006</v>
      </c>
      <c r="AZ199" s="2044">
        <f t="shared" si="125"/>
        <v>3032.3289010989006</v>
      </c>
      <c r="BA199" s="2045">
        <f t="shared" si="126"/>
        <v>12129.315604395602</v>
      </c>
      <c r="BB199" s="2045" t="str">
        <f>+'[9]4.4.14'!$A$1</f>
        <v>4.4.14</v>
      </c>
      <c r="BC199" s="2045" t="str">
        <f>+'[9]4.4.14'!$A$1</f>
        <v>4.4.14</v>
      </c>
      <c r="BD199" s="2045">
        <v>0</v>
      </c>
      <c r="BE199" s="2051">
        <v>15</v>
      </c>
      <c r="BF199" s="2051">
        <v>15</v>
      </c>
      <c r="BG199" s="2051">
        <v>15</v>
      </c>
      <c r="BH199" s="2051">
        <v>15</v>
      </c>
      <c r="BI199" s="2045">
        <f t="shared" si="104"/>
        <v>45484.933516483507</v>
      </c>
      <c r="BJ199" s="2045">
        <f t="shared" si="105"/>
        <v>45484.933516483507</v>
      </c>
      <c r="BK199" s="2045">
        <f t="shared" si="106"/>
        <v>45484.933516483507</v>
      </c>
      <c r="BL199" s="2045">
        <f t="shared" si="107"/>
        <v>45484.933516483507</v>
      </c>
      <c r="BM199" s="2045">
        <f t="shared" si="127"/>
        <v>181939.73406593403</v>
      </c>
      <c r="BN199" s="2047">
        <v>15</v>
      </c>
      <c r="BO199" s="2047">
        <v>15</v>
      </c>
      <c r="BP199" s="2047">
        <v>15</v>
      </c>
      <c r="BQ199" s="2047">
        <v>15</v>
      </c>
      <c r="BR199" s="2048">
        <f t="shared" si="128"/>
        <v>45484.933516483507</v>
      </c>
      <c r="BS199" s="2048">
        <f t="shared" si="129"/>
        <v>45484.933516483507</v>
      </c>
      <c r="BT199" s="2048">
        <f t="shared" si="130"/>
        <v>45484.933516483507</v>
      </c>
      <c r="BU199" s="2048">
        <f t="shared" si="131"/>
        <v>45484.933516483507</v>
      </c>
      <c r="BV199" s="1840">
        <f t="shared" si="132"/>
        <v>181939.73406593403</v>
      </c>
      <c r="BW199" s="2064" t="e">
        <f>INT(#REF!)=INT(BA199)</f>
        <v>#REF!</v>
      </c>
      <c r="BX199" s="2064">
        <v>192</v>
      </c>
      <c r="BY199" s="2064" t="s">
        <v>512</v>
      </c>
    </row>
    <row r="200" spans="1:77" s="1976" customFormat="1" ht="62" x14ac:dyDescent="0.35">
      <c r="A200" s="1372" t="s">
        <v>3041</v>
      </c>
      <c r="B200" s="1372" t="s">
        <v>208</v>
      </c>
      <c r="C200" s="1637">
        <v>0</v>
      </c>
      <c r="D200" s="2053" t="str">
        <f>+'[9]4.4.14'!$A$1</f>
        <v>4.4.14</v>
      </c>
      <c r="E200" s="1372" t="s">
        <v>202</v>
      </c>
      <c r="F200" s="1638">
        <v>3750</v>
      </c>
      <c r="G200" s="1638">
        <v>3750</v>
      </c>
      <c r="H200" s="1638">
        <v>3750</v>
      </c>
      <c r="I200" s="1638">
        <v>3750</v>
      </c>
      <c r="J200" s="1372" t="str">
        <f>+'[9]4.4.14'!$B$27</f>
        <v>CI-HVC-PINS-V04-160601</v>
      </c>
      <c r="K200" s="1372" t="str">
        <f t="shared" si="108"/>
        <v>Nicor Gas PY7-PY10 Adjustable Goals Template_2017-06-30, Tab 4.4.14</v>
      </c>
      <c r="L200" s="1639">
        <v>4.3477888475836428</v>
      </c>
      <c r="M200" s="1639">
        <v>4.3477888475836428</v>
      </c>
      <c r="N200" s="1639">
        <v>4.3477888475836428</v>
      </c>
      <c r="O200" s="1639">
        <v>4.3477888475836428</v>
      </c>
      <c r="P200" s="1637">
        <v>1</v>
      </c>
      <c r="Q200" s="1637">
        <v>1</v>
      </c>
      <c r="R200" s="1637">
        <v>1</v>
      </c>
      <c r="S200" s="1637">
        <v>1</v>
      </c>
      <c r="T200" s="1640">
        <f t="shared" si="109"/>
        <v>16304.208178438661</v>
      </c>
      <c r="U200" s="1640">
        <f t="shared" si="110"/>
        <v>16304.208178438661</v>
      </c>
      <c r="V200" s="1640">
        <f t="shared" si="111"/>
        <v>16304.208178438661</v>
      </c>
      <c r="W200" s="1640">
        <f t="shared" si="112"/>
        <v>16304.208178438661</v>
      </c>
      <c r="X200" s="1640">
        <f t="shared" si="113"/>
        <v>65216.832713754644</v>
      </c>
      <c r="Y200" s="1372" t="str">
        <f t="shared" si="143"/>
        <v>CI-HVC-PINS-V04-160601</v>
      </c>
      <c r="Z200" s="1372" t="str">
        <f t="shared" si="133"/>
        <v>Nicor Gas PY7-PY10 Adjustable Goals Template_2017-06-30, Tab 4.4.14</v>
      </c>
      <c r="AA200" s="1840">
        <f t="shared" si="134"/>
        <v>4.3477888475836428</v>
      </c>
      <c r="AB200" s="2028"/>
      <c r="AC200" s="1840">
        <f t="shared" si="114"/>
        <v>16304.208178438661</v>
      </c>
      <c r="AD200" s="1840">
        <f t="shared" si="115"/>
        <v>0</v>
      </c>
      <c r="AE200" s="1372" t="s">
        <v>2577</v>
      </c>
      <c r="AF200" s="1372" t="s">
        <v>3368</v>
      </c>
      <c r="AG200" s="1639">
        <v>4.3477888475836428</v>
      </c>
      <c r="AH200" s="1372" t="s">
        <v>3445</v>
      </c>
      <c r="AI200" s="1640">
        <f t="shared" si="116"/>
        <v>16304.208178438661</v>
      </c>
      <c r="AJ200" s="1638">
        <f t="shared" si="117"/>
        <v>0</v>
      </c>
      <c r="AK200" s="1372" t="s">
        <v>2577</v>
      </c>
      <c r="AL200" s="1372" t="s">
        <v>3368</v>
      </c>
      <c r="AM200" s="1639">
        <v>4.3477888475836428</v>
      </c>
      <c r="AN200" s="1372" t="str">
        <f t="shared" si="144"/>
        <v>No change</v>
      </c>
      <c r="AO200" s="1640">
        <f t="shared" si="118"/>
        <v>16304.208178438661</v>
      </c>
      <c r="AP200" s="1638">
        <f t="shared" si="119"/>
        <v>0</v>
      </c>
      <c r="AQ200" s="1372" t="s">
        <v>2577</v>
      </c>
      <c r="AR200" s="1372" t="s">
        <v>3368</v>
      </c>
      <c r="AS200" s="1639">
        <v>4.3477888475836428</v>
      </c>
      <c r="AT200" s="1372" t="str">
        <f t="shared" si="145"/>
        <v>No change</v>
      </c>
      <c r="AU200" s="1640">
        <f t="shared" si="120"/>
        <v>16304.208178438661</v>
      </c>
      <c r="AV200" s="1638">
        <f t="shared" si="121"/>
        <v>0</v>
      </c>
      <c r="AW200" s="2044">
        <f t="shared" si="122"/>
        <v>16304.208178438661</v>
      </c>
      <c r="AX200" s="2044">
        <f t="shared" si="123"/>
        <v>16304.208178438661</v>
      </c>
      <c r="AY200" s="2044">
        <f t="shared" si="124"/>
        <v>16304.208178438661</v>
      </c>
      <c r="AZ200" s="2044">
        <f t="shared" si="125"/>
        <v>16304.208178438661</v>
      </c>
      <c r="BA200" s="2045">
        <f t="shared" si="126"/>
        <v>65216.832713754644</v>
      </c>
      <c r="BB200" s="2045" t="str">
        <f>+'[9]4.4.14'!$A$1</f>
        <v>4.4.14</v>
      </c>
      <c r="BC200" s="2045" t="str">
        <f>+'[9]4.4.14'!$A$1</f>
        <v>4.4.14</v>
      </c>
      <c r="BD200" s="2045">
        <v>0</v>
      </c>
      <c r="BE200" s="2051">
        <v>15</v>
      </c>
      <c r="BF200" s="2051">
        <v>15</v>
      </c>
      <c r="BG200" s="2051">
        <v>15</v>
      </c>
      <c r="BH200" s="2051">
        <v>15</v>
      </c>
      <c r="BI200" s="2045">
        <f t="shared" ref="BI200:BI263" si="146">F200*P200*L200*BE200</f>
        <v>244563.12267657992</v>
      </c>
      <c r="BJ200" s="2045">
        <f t="shared" ref="BJ200:BJ263" si="147">G200*Q200*M200*BF200</f>
        <v>244563.12267657992</v>
      </c>
      <c r="BK200" s="2045">
        <f t="shared" ref="BK200:BK263" si="148">H200*R200*N200*BG200</f>
        <v>244563.12267657992</v>
      </c>
      <c r="BL200" s="2045">
        <f t="shared" ref="BL200:BL263" si="149">I200*S200*O200*BH200</f>
        <v>244563.12267657992</v>
      </c>
      <c r="BM200" s="2045">
        <f t="shared" si="127"/>
        <v>978252.49070631969</v>
      </c>
      <c r="BN200" s="2047">
        <v>15</v>
      </c>
      <c r="BO200" s="2047">
        <v>15</v>
      </c>
      <c r="BP200" s="2047">
        <v>15</v>
      </c>
      <c r="BQ200" s="2047">
        <v>15</v>
      </c>
      <c r="BR200" s="2048">
        <f t="shared" si="128"/>
        <v>244563.12267657992</v>
      </c>
      <c r="BS200" s="2048">
        <f t="shared" si="129"/>
        <v>244563.12267657992</v>
      </c>
      <c r="BT200" s="2048">
        <f t="shared" si="130"/>
        <v>244563.12267657992</v>
      </c>
      <c r="BU200" s="2048">
        <f t="shared" si="131"/>
        <v>244563.12267657992</v>
      </c>
      <c r="BV200" s="1840">
        <f t="shared" si="132"/>
        <v>978252.49070631969</v>
      </c>
      <c r="BW200" s="2064" t="e">
        <f>INT(#REF!)=INT(BA200)</f>
        <v>#REF!</v>
      </c>
      <c r="BX200" s="2064">
        <v>193</v>
      </c>
      <c r="BY200" s="2064" t="s">
        <v>512</v>
      </c>
    </row>
    <row r="201" spans="1:77" s="1976" customFormat="1" ht="62" x14ac:dyDescent="0.35">
      <c r="A201" s="1372" t="s">
        <v>3041</v>
      </c>
      <c r="B201" s="1372" t="s">
        <v>210</v>
      </c>
      <c r="C201" s="1637">
        <v>0</v>
      </c>
      <c r="D201" s="2053" t="str">
        <f>+'[9]4.4.14'!$A$1</f>
        <v>4.4.14</v>
      </c>
      <c r="E201" s="1372" t="s">
        <v>202</v>
      </c>
      <c r="F201" s="1638">
        <v>375</v>
      </c>
      <c r="G201" s="1638">
        <v>375</v>
      </c>
      <c r="H201" s="1638">
        <v>375</v>
      </c>
      <c r="I201" s="1638">
        <v>375</v>
      </c>
      <c r="J201" s="1372" t="str">
        <f>+'[9]4.4.14'!$B$27</f>
        <v>CI-HVC-PINS-V04-160601</v>
      </c>
      <c r="K201" s="1372" t="str">
        <f t="shared" si="108"/>
        <v>Nicor Gas PY7-PY10 Adjustable Goals Template_2017-06-30, Tab 4.4.14</v>
      </c>
      <c r="L201" s="1639">
        <v>8.1973935563816607</v>
      </c>
      <c r="M201" s="1639">
        <v>8.1973935563816607</v>
      </c>
      <c r="N201" s="1639">
        <v>8.1973935563816607</v>
      </c>
      <c r="O201" s="1639">
        <v>8.1973935563816607</v>
      </c>
      <c r="P201" s="1637">
        <v>1</v>
      </c>
      <c r="Q201" s="1637">
        <v>1</v>
      </c>
      <c r="R201" s="1637">
        <v>1</v>
      </c>
      <c r="S201" s="1637">
        <v>1</v>
      </c>
      <c r="T201" s="1640">
        <f t="shared" si="109"/>
        <v>3074.0225836431227</v>
      </c>
      <c r="U201" s="1640">
        <f t="shared" si="110"/>
        <v>3074.0225836431227</v>
      </c>
      <c r="V201" s="1640">
        <f t="shared" si="111"/>
        <v>3074.0225836431227</v>
      </c>
      <c r="W201" s="1640">
        <f t="shared" si="112"/>
        <v>3074.0225836431227</v>
      </c>
      <c r="X201" s="1640">
        <f t="shared" si="113"/>
        <v>12296.090334572491</v>
      </c>
      <c r="Y201" s="1372" t="str">
        <f t="shared" si="143"/>
        <v>CI-HVC-PINS-V04-160601</v>
      </c>
      <c r="Z201" s="1372" t="str">
        <f t="shared" si="133"/>
        <v>Nicor Gas PY7-PY10 Adjustable Goals Template_2017-06-30, Tab 4.4.14</v>
      </c>
      <c r="AA201" s="1840">
        <f t="shared" si="134"/>
        <v>8.1973935563816607</v>
      </c>
      <c r="AB201" s="2028"/>
      <c r="AC201" s="1840">
        <f t="shared" si="114"/>
        <v>3074.0225836431227</v>
      </c>
      <c r="AD201" s="1840">
        <f t="shared" si="115"/>
        <v>0</v>
      </c>
      <c r="AE201" s="1372" t="s">
        <v>2577</v>
      </c>
      <c r="AF201" s="1372" t="s">
        <v>3368</v>
      </c>
      <c r="AG201" s="1639">
        <v>8.1973935563816607</v>
      </c>
      <c r="AH201" s="1372" t="s">
        <v>3445</v>
      </c>
      <c r="AI201" s="1640">
        <f t="shared" si="116"/>
        <v>3074.0225836431227</v>
      </c>
      <c r="AJ201" s="1638">
        <f t="shared" si="117"/>
        <v>0</v>
      </c>
      <c r="AK201" s="1372" t="s">
        <v>2577</v>
      </c>
      <c r="AL201" s="1372" t="s">
        <v>3368</v>
      </c>
      <c r="AM201" s="1639">
        <v>8.1973935563816607</v>
      </c>
      <c r="AN201" s="1372" t="str">
        <f t="shared" si="144"/>
        <v>No change</v>
      </c>
      <c r="AO201" s="1640">
        <f t="shared" si="118"/>
        <v>3074.0225836431227</v>
      </c>
      <c r="AP201" s="1638">
        <f t="shared" si="119"/>
        <v>0</v>
      </c>
      <c r="AQ201" s="1372" t="s">
        <v>2577</v>
      </c>
      <c r="AR201" s="1372" t="s">
        <v>3368</v>
      </c>
      <c r="AS201" s="1639">
        <v>8.1973935563816607</v>
      </c>
      <c r="AT201" s="1372" t="str">
        <f t="shared" si="145"/>
        <v>No change</v>
      </c>
      <c r="AU201" s="1640">
        <f t="shared" si="120"/>
        <v>3074.0225836431227</v>
      </c>
      <c r="AV201" s="1638">
        <f t="shared" si="121"/>
        <v>0</v>
      </c>
      <c r="AW201" s="2044">
        <f t="shared" si="122"/>
        <v>3074.0225836431227</v>
      </c>
      <c r="AX201" s="2044">
        <f t="shared" si="123"/>
        <v>3074.0225836431227</v>
      </c>
      <c r="AY201" s="2044">
        <f t="shared" si="124"/>
        <v>3074.0225836431227</v>
      </c>
      <c r="AZ201" s="2044">
        <f t="shared" si="125"/>
        <v>3074.0225836431227</v>
      </c>
      <c r="BA201" s="2045">
        <f t="shared" si="126"/>
        <v>12296.090334572491</v>
      </c>
      <c r="BB201" s="2045" t="str">
        <f>+'[9]4.4.14'!$A$1</f>
        <v>4.4.14</v>
      </c>
      <c r="BC201" s="2045" t="str">
        <f>+'[9]4.4.14'!$A$1</f>
        <v>4.4.14</v>
      </c>
      <c r="BD201" s="2045">
        <v>0</v>
      </c>
      <c r="BE201" s="2051">
        <v>15</v>
      </c>
      <c r="BF201" s="2051">
        <v>15</v>
      </c>
      <c r="BG201" s="2051">
        <v>15</v>
      </c>
      <c r="BH201" s="2051">
        <v>15</v>
      </c>
      <c r="BI201" s="2045">
        <f t="shared" si="146"/>
        <v>46110.338754646844</v>
      </c>
      <c r="BJ201" s="2045">
        <f t="shared" si="147"/>
        <v>46110.338754646844</v>
      </c>
      <c r="BK201" s="2045">
        <f t="shared" si="148"/>
        <v>46110.338754646844</v>
      </c>
      <c r="BL201" s="2045">
        <f t="shared" si="149"/>
        <v>46110.338754646844</v>
      </c>
      <c r="BM201" s="2045">
        <f t="shared" si="127"/>
        <v>184441.35501858738</v>
      </c>
      <c r="BN201" s="2047">
        <v>15</v>
      </c>
      <c r="BO201" s="2047">
        <v>15</v>
      </c>
      <c r="BP201" s="2047">
        <v>15</v>
      </c>
      <c r="BQ201" s="2047">
        <v>15</v>
      </c>
      <c r="BR201" s="2048">
        <f t="shared" si="128"/>
        <v>46110.338754646844</v>
      </c>
      <c r="BS201" s="2048">
        <f t="shared" si="129"/>
        <v>46110.338754646844</v>
      </c>
      <c r="BT201" s="2048">
        <f t="shared" si="130"/>
        <v>46110.338754646844</v>
      </c>
      <c r="BU201" s="2048">
        <f t="shared" si="131"/>
        <v>46110.338754646844</v>
      </c>
      <c r="BV201" s="1840">
        <f t="shared" si="132"/>
        <v>184441.35501858738</v>
      </c>
      <c r="BW201" s="2064" t="e">
        <f>INT(#REF!)=INT(BA201)</f>
        <v>#REF!</v>
      </c>
      <c r="BX201" s="2064">
        <v>194</v>
      </c>
      <c r="BY201" s="2064" t="s">
        <v>512</v>
      </c>
    </row>
    <row r="202" spans="1:77" s="1976" customFormat="1" ht="62" x14ac:dyDescent="0.35">
      <c r="A202" s="1372" t="s">
        <v>3041</v>
      </c>
      <c r="B202" s="1372" t="s">
        <v>211</v>
      </c>
      <c r="C202" s="1637">
        <v>0</v>
      </c>
      <c r="D202" s="2053" t="str">
        <f>+'[9]4.4.14'!$A$1</f>
        <v>4.4.14</v>
      </c>
      <c r="E202" s="1372" t="s">
        <v>202</v>
      </c>
      <c r="F202" s="1638">
        <v>1980</v>
      </c>
      <c r="G202" s="1638">
        <v>1980</v>
      </c>
      <c r="H202" s="1638">
        <v>1980</v>
      </c>
      <c r="I202" s="1638">
        <v>1980</v>
      </c>
      <c r="J202" s="1372" t="str">
        <f>+'[9]4.4.14'!$B$27</f>
        <v>CI-HVC-PINS-V04-160601</v>
      </c>
      <c r="K202" s="1372" t="str">
        <f t="shared" si="108"/>
        <v>Nicor Gas PY7-PY10 Adjustable Goals Template_2017-06-30, Tab 4.4.14</v>
      </c>
      <c r="L202" s="1639">
        <v>2.0533046641791044</v>
      </c>
      <c r="M202" s="1639">
        <v>2.0533046641791044</v>
      </c>
      <c r="N202" s="1639">
        <v>2.0533046641791044</v>
      </c>
      <c r="O202" s="1639">
        <v>2.0533046641791044</v>
      </c>
      <c r="P202" s="1637">
        <v>1</v>
      </c>
      <c r="Q202" s="1637">
        <v>1</v>
      </c>
      <c r="R202" s="1637">
        <v>1</v>
      </c>
      <c r="S202" s="1637">
        <v>1</v>
      </c>
      <c r="T202" s="1640">
        <f t="shared" si="109"/>
        <v>4065.5432350746269</v>
      </c>
      <c r="U202" s="1640">
        <f t="shared" si="110"/>
        <v>4065.5432350746269</v>
      </c>
      <c r="V202" s="1640">
        <f t="shared" si="111"/>
        <v>4065.5432350746269</v>
      </c>
      <c r="W202" s="1640">
        <f t="shared" si="112"/>
        <v>4065.5432350746269</v>
      </c>
      <c r="X202" s="1640">
        <f t="shared" si="113"/>
        <v>16262.172940298507</v>
      </c>
      <c r="Y202" s="1372" t="str">
        <f t="shared" si="143"/>
        <v>CI-HVC-PINS-V04-160601</v>
      </c>
      <c r="Z202" s="1372" t="str">
        <f t="shared" si="133"/>
        <v>Nicor Gas PY7-PY10 Adjustable Goals Template_2017-06-30, Tab 4.4.14</v>
      </c>
      <c r="AA202" s="1840">
        <f t="shared" si="134"/>
        <v>2.0533046641791044</v>
      </c>
      <c r="AB202" s="2028"/>
      <c r="AC202" s="1840">
        <f t="shared" si="114"/>
        <v>4065.5432350746269</v>
      </c>
      <c r="AD202" s="1840">
        <f t="shared" si="115"/>
        <v>0</v>
      </c>
      <c r="AE202" s="1372" t="s">
        <v>2577</v>
      </c>
      <c r="AF202" s="1372" t="s">
        <v>3368</v>
      </c>
      <c r="AG202" s="1639">
        <v>2.0533046641791044</v>
      </c>
      <c r="AH202" s="1372" t="s">
        <v>3445</v>
      </c>
      <c r="AI202" s="1640">
        <f t="shared" si="116"/>
        <v>4065.5432350746269</v>
      </c>
      <c r="AJ202" s="1638">
        <f t="shared" si="117"/>
        <v>0</v>
      </c>
      <c r="AK202" s="1372" t="s">
        <v>2577</v>
      </c>
      <c r="AL202" s="1372" t="s">
        <v>3368</v>
      </c>
      <c r="AM202" s="1639">
        <v>2.0533046641791044</v>
      </c>
      <c r="AN202" s="1372" t="str">
        <f t="shared" si="144"/>
        <v>No change</v>
      </c>
      <c r="AO202" s="1640">
        <f t="shared" si="118"/>
        <v>4065.5432350746269</v>
      </c>
      <c r="AP202" s="1638">
        <f t="shared" si="119"/>
        <v>0</v>
      </c>
      <c r="AQ202" s="1372" t="s">
        <v>2577</v>
      </c>
      <c r="AR202" s="1372" t="s">
        <v>3368</v>
      </c>
      <c r="AS202" s="1639">
        <v>2.0533046641791044</v>
      </c>
      <c r="AT202" s="1372" t="str">
        <f t="shared" si="145"/>
        <v>No change</v>
      </c>
      <c r="AU202" s="1640">
        <f t="shared" si="120"/>
        <v>4065.5432350746269</v>
      </c>
      <c r="AV202" s="1638">
        <f t="shared" si="121"/>
        <v>0</v>
      </c>
      <c r="AW202" s="2044">
        <f t="shared" si="122"/>
        <v>4065.5432350746269</v>
      </c>
      <c r="AX202" s="2044">
        <f t="shared" si="123"/>
        <v>4065.5432350746269</v>
      </c>
      <c r="AY202" s="2044">
        <f t="shared" si="124"/>
        <v>4065.5432350746269</v>
      </c>
      <c r="AZ202" s="2044">
        <f t="shared" si="125"/>
        <v>4065.5432350746269</v>
      </c>
      <c r="BA202" s="2045">
        <f t="shared" si="126"/>
        <v>16262.172940298507</v>
      </c>
      <c r="BB202" s="2045" t="str">
        <f>+'[9]4.4.14'!$A$1</f>
        <v>4.4.14</v>
      </c>
      <c r="BC202" s="2045" t="str">
        <f>+'[9]4.4.14'!$A$1</f>
        <v>4.4.14</v>
      </c>
      <c r="BD202" s="2045">
        <v>0</v>
      </c>
      <c r="BE202" s="2051">
        <v>15</v>
      </c>
      <c r="BF202" s="2051">
        <v>15</v>
      </c>
      <c r="BG202" s="2051">
        <v>15</v>
      </c>
      <c r="BH202" s="2051">
        <v>15</v>
      </c>
      <c r="BI202" s="2045">
        <f t="shared" si="146"/>
        <v>60983.148526119403</v>
      </c>
      <c r="BJ202" s="2045">
        <f t="shared" si="147"/>
        <v>60983.148526119403</v>
      </c>
      <c r="BK202" s="2045">
        <f t="shared" si="148"/>
        <v>60983.148526119403</v>
      </c>
      <c r="BL202" s="2045">
        <f t="shared" si="149"/>
        <v>60983.148526119403</v>
      </c>
      <c r="BM202" s="2045">
        <f t="shared" si="127"/>
        <v>243932.59410447761</v>
      </c>
      <c r="BN202" s="2047">
        <v>15</v>
      </c>
      <c r="BO202" s="2047">
        <v>15</v>
      </c>
      <c r="BP202" s="2047">
        <v>15</v>
      </c>
      <c r="BQ202" s="2047">
        <v>15</v>
      </c>
      <c r="BR202" s="2048">
        <f t="shared" si="128"/>
        <v>60983.148526119403</v>
      </c>
      <c r="BS202" s="2048">
        <f t="shared" si="129"/>
        <v>60983.148526119403</v>
      </c>
      <c r="BT202" s="2048">
        <f t="shared" si="130"/>
        <v>60983.148526119403</v>
      </c>
      <c r="BU202" s="2048">
        <f t="shared" si="131"/>
        <v>60983.148526119403</v>
      </c>
      <c r="BV202" s="1840">
        <f t="shared" si="132"/>
        <v>243932.59410447761</v>
      </c>
      <c r="BW202" s="2064" t="e">
        <f>INT(#REF!)=INT(BA202)</f>
        <v>#REF!</v>
      </c>
      <c r="BX202" s="2064">
        <v>195</v>
      </c>
      <c r="BY202" s="2064" t="s">
        <v>512</v>
      </c>
    </row>
    <row r="203" spans="1:77" s="1976" customFormat="1" ht="62" x14ac:dyDescent="0.35">
      <c r="A203" s="1372" t="s">
        <v>3041</v>
      </c>
      <c r="B203" s="1372" t="s">
        <v>185</v>
      </c>
      <c r="C203" s="1637">
        <v>0</v>
      </c>
      <c r="D203" s="2053" t="str">
        <f>+'[9]4.4.24 '!$A$1</f>
        <v>4.4.24</v>
      </c>
      <c r="E203" s="1372" t="s">
        <v>202</v>
      </c>
      <c r="F203" s="1638">
        <v>765</v>
      </c>
      <c r="G203" s="1638">
        <v>765</v>
      </c>
      <c r="H203" s="1638">
        <v>765</v>
      </c>
      <c r="I203" s="1638">
        <v>765</v>
      </c>
      <c r="J203" s="1372" t="str">
        <f>+'[9]4.4.24 '!$B$14</f>
        <v>CI-HVC-SPIN-V02-160601</v>
      </c>
      <c r="K203" s="1372" t="str">
        <f t="shared" si="108"/>
        <v>Nicor Gas PY7-PY10 Adjustable Goals Template_2017-06-30, Tab 4.4.24</v>
      </c>
      <c r="L203" s="1639">
        <v>0.11928799999999999</v>
      </c>
      <c r="M203" s="1639">
        <v>0.11928799999999999</v>
      </c>
      <c r="N203" s="1639">
        <v>0.11928799999999999</v>
      </c>
      <c r="O203" s="1639">
        <v>0.11928799999999999</v>
      </c>
      <c r="P203" s="1637">
        <v>1</v>
      </c>
      <c r="Q203" s="1637">
        <v>1</v>
      </c>
      <c r="R203" s="1637">
        <v>1</v>
      </c>
      <c r="S203" s="1637">
        <v>1</v>
      </c>
      <c r="T203" s="1640">
        <f t="shared" si="109"/>
        <v>91.255319999999998</v>
      </c>
      <c r="U203" s="1640">
        <f t="shared" si="110"/>
        <v>91.255319999999998</v>
      </c>
      <c r="V203" s="1640">
        <f t="shared" si="111"/>
        <v>91.255319999999998</v>
      </c>
      <c r="W203" s="1640">
        <f t="shared" si="112"/>
        <v>91.255319999999998</v>
      </c>
      <c r="X203" s="1640">
        <f t="shared" si="113"/>
        <v>365.02127999999999</v>
      </c>
      <c r="Y203" s="1372" t="str">
        <f t="shared" si="143"/>
        <v>CI-HVC-SPIN-V02-160601</v>
      </c>
      <c r="Z203" s="1372" t="str">
        <f t="shared" si="133"/>
        <v>Nicor Gas PY7-PY10 Adjustable Goals Template_2017-06-30, Tab 4.4.24</v>
      </c>
      <c r="AA203" s="1840">
        <f t="shared" si="134"/>
        <v>0.11928799999999999</v>
      </c>
      <c r="AB203" s="2028"/>
      <c r="AC203" s="1840">
        <f t="shared" si="114"/>
        <v>91.255319999999998</v>
      </c>
      <c r="AD203" s="1840">
        <f t="shared" si="115"/>
        <v>0</v>
      </c>
      <c r="AE203" s="1372" t="s">
        <v>2568</v>
      </c>
      <c r="AF203" s="1372" t="s">
        <v>3403</v>
      </c>
      <c r="AG203" s="1639">
        <v>0.11928799999999999</v>
      </c>
      <c r="AH203" s="1372" t="s">
        <v>3445</v>
      </c>
      <c r="AI203" s="1640">
        <f t="shared" si="116"/>
        <v>91.255319999999998</v>
      </c>
      <c r="AJ203" s="1638">
        <f t="shared" si="117"/>
        <v>0</v>
      </c>
      <c r="AK203" s="1372" t="s">
        <v>2568</v>
      </c>
      <c r="AL203" s="1372" t="s">
        <v>3403</v>
      </c>
      <c r="AM203" s="1639">
        <v>0.11928799999999999</v>
      </c>
      <c r="AN203" s="1372" t="str">
        <f t="shared" si="144"/>
        <v>No change</v>
      </c>
      <c r="AO203" s="1640">
        <f t="shared" si="118"/>
        <v>91.255319999999998</v>
      </c>
      <c r="AP203" s="1638">
        <f t="shared" si="119"/>
        <v>0</v>
      </c>
      <c r="AQ203" s="1372" t="s">
        <v>2568</v>
      </c>
      <c r="AR203" s="1372" t="s">
        <v>3403</v>
      </c>
      <c r="AS203" s="1639">
        <v>0.11928799999999999</v>
      </c>
      <c r="AT203" s="1372" t="str">
        <f t="shared" si="145"/>
        <v>No change</v>
      </c>
      <c r="AU203" s="1640">
        <f t="shared" si="120"/>
        <v>91.255319999999998</v>
      </c>
      <c r="AV203" s="1638">
        <f t="shared" si="121"/>
        <v>0</v>
      </c>
      <c r="AW203" s="2044">
        <f t="shared" si="122"/>
        <v>91.255319999999998</v>
      </c>
      <c r="AX203" s="2044">
        <f t="shared" si="123"/>
        <v>91.255319999999998</v>
      </c>
      <c r="AY203" s="2044">
        <f t="shared" si="124"/>
        <v>91.255319999999998</v>
      </c>
      <c r="AZ203" s="2044">
        <f t="shared" si="125"/>
        <v>91.255319999999998</v>
      </c>
      <c r="BA203" s="2045">
        <f t="shared" si="126"/>
        <v>365.02127999999999</v>
      </c>
      <c r="BB203" s="2045" t="str">
        <f>+'[9]4.4.24 '!$A$1</f>
        <v>4.4.24</v>
      </c>
      <c r="BC203" s="2045" t="str">
        <f>+'[9]4.4.24 '!$A$1</f>
        <v>4.4.24</v>
      </c>
      <c r="BD203" s="2045">
        <v>0</v>
      </c>
      <c r="BE203" s="2051">
        <v>15</v>
      </c>
      <c r="BF203" s="2051">
        <v>15</v>
      </c>
      <c r="BG203" s="2051">
        <v>15</v>
      </c>
      <c r="BH203" s="2051">
        <v>15</v>
      </c>
      <c r="BI203" s="2045">
        <f t="shared" si="146"/>
        <v>1368.8298</v>
      </c>
      <c r="BJ203" s="2045">
        <f t="shared" si="147"/>
        <v>1368.8298</v>
      </c>
      <c r="BK203" s="2045">
        <f t="shared" si="148"/>
        <v>1368.8298</v>
      </c>
      <c r="BL203" s="2045">
        <f t="shared" si="149"/>
        <v>1368.8298</v>
      </c>
      <c r="BM203" s="2045">
        <f t="shared" si="127"/>
        <v>5475.3191999999999</v>
      </c>
      <c r="BN203" s="2047">
        <v>15</v>
      </c>
      <c r="BO203" s="2047">
        <v>15</v>
      </c>
      <c r="BP203" s="2047">
        <v>15</v>
      </c>
      <c r="BQ203" s="2047">
        <v>15</v>
      </c>
      <c r="BR203" s="2048">
        <f t="shared" si="128"/>
        <v>1368.8298</v>
      </c>
      <c r="BS203" s="2048">
        <f t="shared" si="129"/>
        <v>1368.8298</v>
      </c>
      <c r="BT203" s="2048">
        <f t="shared" si="130"/>
        <v>1368.8298</v>
      </c>
      <c r="BU203" s="2048">
        <f t="shared" si="131"/>
        <v>1368.8298</v>
      </c>
      <c r="BV203" s="1840">
        <f t="shared" si="132"/>
        <v>5475.3191999999999</v>
      </c>
      <c r="BW203" s="2064" t="e">
        <f>INT(#REF!)=INT(BA203)</f>
        <v>#REF!</v>
      </c>
      <c r="BX203" s="2064">
        <v>196</v>
      </c>
      <c r="BY203" s="2064" t="s">
        <v>512</v>
      </c>
    </row>
    <row r="204" spans="1:77" s="1976" customFormat="1" ht="62" x14ac:dyDescent="0.35">
      <c r="A204" s="1372" t="s">
        <v>3041</v>
      </c>
      <c r="B204" s="1372" t="s">
        <v>186</v>
      </c>
      <c r="C204" s="1637">
        <v>0</v>
      </c>
      <c r="D204" s="2053" t="str">
        <f>+'[9]4.4.24 '!$A$1</f>
        <v>4.4.24</v>
      </c>
      <c r="E204" s="1372" t="s">
        <v>202</v>
      </c>
      <c r="F204" s="1638">
        <v>900</v>
      </c>
      <c r="G204" s="1638">
        <v>900</v>
      </c>
      <c r="H204" s="1638">
        <v>900</v>
      </c>
      <c r="I204" s="1638">
        <v>900</v>
      </c>
      <c r="J204" s="1372" t="str">
        <f>+'[9]4.4.24 '!$B$14</f>
        <v>CI-HVC-SPIN-V02-160601</v>
      </c>
      <c r="K204" s="1372" t="str">
        <f t="shared" si="108"/>
        <v>Nicor Gas PY7-PY10 Adjustable Goals Template_2017-06-30, Tab 4.4.24</v>
      </c>
      <c r="L204" s="1639">
        <v>0.14470700000000003</v>
      </c>
      <c r="M204" s="1639">
        <v>0.14470700000000003</v>
      </c>
      <c r="N204" s="1639">
        <v>0.14470700000000003</v>
      </c>
      <c r="O204" s="1639">
        <v>0.14470700000000003</v>
      </c>
      <c r="P204" s="1637">
        <v>1</v>
      </c>
      <c r="Q204" s="1637">
        <v>1</v>
      </c>
      <c r="R204" s="1637">
        <v>1</v>
      </c>
      <c r="S204" s="1637">
        <v>1</v>
      </c>
      <c r="T204" s="1640">
        <f t="shared" si="109"/>
        <v>130.23630000000003</v>
      </c>
      <c r="U204" s="1640">
        <f t="shared" si="110"/>
        <v>130.23630000000003</v>
      </c>
      <c r="V204" s="1640">
        <f t="shared" si="111"/>
        <v>130.23630000000003</v>
      </c>
      <c r="W204" s="1640">
        <f t="shared" si="112"/>
        <v>130.23630000000003</v>
      </c>
      <c r="X204" s="1640">
        <f t="shared" si="113"/>
        <v>520.94520000000011</v>
      </c>
      <c r="Y204" s="1372" t="str">
        <f t="shared" si="143"/>
        <v>CI-HVC-SPIN-V02-160601</v>
      </c>
      <c r="Z204" s="1372" t="str">
        <f t="shared" si="133"/>
        <v>Nicor Gas PY7-PY10 Adjustable Goals Template_2017-06-30, Tab 4.4.24</v>
      </c>
      <c r="AA204" s="1840">
        <f t="shared" si="134"/>
        <v>0.14470700000000003</v>
      </c>
      <c r="AB204" s="2028"/>
      <c r="AC204" s="1840">
        <f t="shared" si="114"/>
        <v>130.23630000000003</v>
      </c>
      <c r="AD204" s="1840">
        <f t="shared" si="115"/>
        <v>0</v>
      </c>
      <c r="AE204" s="1372" t="s">
        <v>2568</v>
      </c>
      <c r="AF204" s="1372" t="s">
        <v>3403</v>
      </c>
      <c r="AG204" s="1639">
        <v>0.14470700000000003</v>
      </c>
      <c r="AH204" s="1372" t="s">
        <v>3445</v>
      </c>
      <c r="AI204" s="1640">
        <f t="shared" si="116"/>
        <v>130.23630000000003</v>
      </c>
      <c r="AJ204" s="1638">
        <f t="shared" si="117"/>
        <v>0</v>
      </c>
      <c r="AK204" s="1372" t="s">
        <v>2568</v>
      </c>
      <c r="AL204" s="1372" t="s">
        <v>3403</v>
      </c>
      <c r="AM204" s="1639">
        <v>0.14470700000000003</v>
      </c>
      <c r="AN204" s="1372" t="str">
        <f t="shared" si="144"/>
        <v>No change</v>
      </c>
      <c r="AO204" s="1640">
        <f t="shared" si="118"/>
        <v>130.23630000000003</v>
      </c>
      <c r="AP204" s="1638">
        <f t="shared" si="119"/>
        <v>0</v>
      </c>
      <c r="AQ204" s="1372" t="s">
        <v>2568</v>
      </c>
      <c r="AR204" s="1372" t="s">
        <v>3403</v>
      </c>
      <c r="AS204" s="1639">
        <v>0.14470700000000003</v>
      </c>
      <c r="AT204" s="1372" t="str">
        <f t="shared" si="145"/>
        <v>No change</v>
      </c>
      <c r="AU204" s="1640">
        <f t="shared" si="120"/>
        <v>130.23630000000003</v>
      </c>
      <c r="AV204" s="1638">
        <f t="shared" si="121"/>
        <v>0</v>
      </c>
      <c r="AW204" s="2044">
        <f t="shared" si="122"/>
        <v>130.23630000000003</v>
      </c>
      <c r="AX204" s="2044">
        <f t="shared" si="123"/>
        <v>130.23630000000003</v>
      </c>
      <c r="AY204" s="2044">
        <f t="shared" si="124"/>
        <v>130.23630000000003</v>
      </c>
      <c r="AZ204" s="2044">
        <f t="shared" si="125"/>
        <v>130.23630000000003</v>
      </c>
      <c r="BA204" s="2045">
        <f t="shared" si="126"/>
        <v>520.94520000000011</v>
      </c>
      <c r="BB204" s="2045" t="str">
        <f>+'[9]4.4.24 '!$A$1</f>
        <v>4.4.24</v>
      </c>
      <c r="BC204" s="2045" t="str">
        <f>+'[9]4.4.24 '!$A$1</f>
        <v>4.4.24</v>
      </c>
      <c r="BD204" s="2045">
        <v>0</v>
      </c>
      <c r="BE204" s="2051">
        <v>15</v>
      </c>
      <c r="BF204" s="2051">
        <v>15</v>
      </c>
      <c r="BG204" s="2051">
        <v>15</v>
      </c>
      <c r="BH204" s="2051">
        <v>15</v>
      </c>
      <c r="BI204" s="2045">
        <f t="shared" si="146"/>
        <v>1953.5445000000004</v>
      </c>
      <c r="BJ204" s="2045">
        <f t="shared" si="147"/>
        <v>1953.5445000000004</v>
      </c>
      <c r="BK204" s="2045">
        <f t="shared" si="148"/>
        <v>1953.5445000000004</v>
      </c>
      <c r="BL204" s="2045">
        <f t="shared" si="149"/>
        <v>1953.5445000000004</v>
      </c>
      <c r="BM204" s="2045">
        <f t="shared" si="127"/>
        <v>7814.1780000000017</v>
      </c>
      <c r="BN204" s="2047">
        <v>15</v>
      </c>
      <c r="BO204" s="2047">
        <v>15</v>
      </c>
      <c r="BP204" s="2047">
        <v>15</v>
      </c>
      <c r="BQ204" s="2047">
        <v>15</v>
      </c>
      <c r="BR204" s="2048">
        <f t="shared" si="128"/>
        <v>1953.5445000000004</v>
      </c>
      <c r="BS204" s="2048">
        <f t="shared" si="129"/>
        <v>1953.5445000000004</v>
      </c>
      <c r="BT204" s="2048">
        <f t="shared" si="130"/>
        <v>1953.5445000000004</v>
      </c>
      <c r="BU204" s="2048">
        <f t="shared" si="131"/>
        <v>1953.5445000000004</v>
      </c>
      <c r="BV204" s="1840">
        <f t="shared" si="132"/>
        <v>7814.1780000000017</v>
      </c>
      <c r="BW204" s="2064" t="e">
        <f>INT(#REF!)=INT(BA204)</f>
        <v>#REF!</v>
      </c>
      <c r="BX204" s="2064">
        <v>197</v>
      </c>
      <c r="BY204" s="2064" t="s">
        <v>512</v>
      </c>
    </row>
    <row r="205" spans="1:77" s="1976" customFormat="1" ht="62" x14ac:dyDescent="0.35">
      <c r="A205" s="1372" t="s">
        <v>3041</v>
      </c>
      <c r="B205" s="1372" t="s">
        <v>187</v>
      </c>
      <c r="C205" s="1637">
        <v>0</v>
      </c>
      <c r="D205" s="2053" t="str">
        <f>+'[9]4.4.24 '!$A$1</f>
        <v>4.4.24</v>
      </c>
      <c r="E205" s="1372" t="s">
        <v>202</v>
      </c>
      <c r="F205" s="1638">
        <v>757</v>
      </c>
      <c r="G205" s="1638">
        <v>757</v>
      </c>
      <c r="H205" s="1638">
        <v>757</v>
      </c>
      <c r="I205" s="1638">
        <v>757</v>
      </c>
      <c r="J205" s="1372" t="str">
        <f>+'[9]4.4.24 '!$B$14</f>
        <v>CI-HVC-SPIN-V02-160601</v>
      </c>
      <c r="K205" s="1372" t="str">
        <f t="shared" si="108"/>
        <v>Nicor Gas PY7-PY10 Adjustable Goals Template_2017-06-30, Tab 4.4.24</v>
      </c>
      <c r="L205" s="1639">
        <v>0.23166</v>
      </c>
      <c r="M205" s="1639">
        <v>0.23166</v>
      </c>
      <c r="N205" s="1639">
        <v>0.23166</v>
      </c>
      <c r="O205" s="1639">
        <v>0.23166</v>
      </c>
      <c r="P205" s="1637">
        <v>1</v>
      </c>
      <c r="Q205" s="1637">
        <v>1</v>
      </c>
      <c r="R205" s="1637">
        <v>1</v>
      </c>
      <c r="S205" s="1637">
        <v>1</v>
      </c>
      <c r="T205" s="1640">
        <f t="shared" si="109"/>
        <v>175.36662000000001</v>
      </c>
      <c r="U205" s="1640">
        <f t="shared" si="110"/>
        <v>175.36662000000001</v>
      </c>
      <c r="V205" s="1640">
        <f t="shared" si="111"/>
        <v>175.36662000000001</v>
      </c>
      <c r="W205" s="1640">
        <f t="shared" si="112"/>
        <v>175.36662000000001</v>
      </c>
      <c r="X205" s="1640">
        <f t="shared" si="113"/>
        <v>701.46648000000005</v>
      </c>
      <c r="Y205" s="1372" t="str">
        <f t="shared" si="143"/>
        <v>CI-HVC-SPIN-V02-160601</v>
      </c>
      <c r="Z205" s="1372" t="str">
        <f t="shared" si="133"/>
        <v>Nicor Gas PY7-PY10 Adjustable Goals Template_2017-06-30, Tab 4.4.24</v>
      </c>
      <c r="AA205" s="1840">
        <f t="shared" si="134"/>
        <v>0.23166</v>
      </c>
      <c r="AB205" s="2028"/>
      <c r="AC205" s="1840">
        <f t="shared" si="114"/>
        <v>175.36662000000001</v>
      </c>
      <c r="AD205" s="1840">
        <f t="shared" si="115"/>
        <v>0</v>
      </c>
      <c r="AE205" s="1372" t="s">
        <v>2568</v>
      </c>
      <c r="AF205" s="1372" t="s">
        <v>3403</v>
      </c>
      <c r="AG205" s="1639">
        <v>0.23166</v>
      </c>
      <c r="AH205" s="1372" t="s">
        <v>3445</v>
      </c>
      <c r="AI205" s="1640">
        <f t="shared" si="116"/>
        <v>175.36662000000001</v>
      </c>
      <c r="AJ205" s="1638">
        <f t="shared" si="117"/>
        <v>0</v>
      </c>
      <c r="AK205" s="1372" t="s">
        <v>2568</v>
      </c>
      <c r="AL205" s="1372" t="s">
        <v>3403</v>
      </c>
      <c r="AM205" s="1639">
        <v>0.23166</v>
      </c>
      <c r="AN205" s="1372" t="str">
        <f t="shared" si="144"/>
        <v>No change</v>
      </c>
      <c r="AO205" s="1640">
        <f t="shared" si="118"/>
        <v>175.36662000000001</v>
      </c>
      <c r="AP205" s="1638">
        <f t="shared" si="119"/>
        <v>0</v>
      </c>
      <c r="AQ205" s="1372" t="s">
        <v>2568</v>
      </c>
      <c r="AR205" s="1372" t="s">
        <v>3403</v>
      </c>
      <c r="AS205" s="1639">
        <v>0.23166</v>
      </c>
      <c r="AT205" s="1372" t="str">
        <f t="shared" si="145"/>
        <v>No change</v>
      </c>
      <c r="AU205" s="1640">
        <f t="shared" si="120"/>
        <v>175.36662000000001</v>
      </c>
      <c r="AV205" s="1638">
        <f t="shared" si="121"/>
        <v>0</v>
      </c>
      <c r="AW205" s="2044">
        <f t="shared" si="122"/>
        <v>175.36662000000001</v>
      </c>
      <c r="AX205" s="2044">
        <f t="shared" si="123"/>
        <v>175.36662000000001</v>
      </c>
      <c r="AY205" s="2044">
        <f t="shared" si="124"/>
        <v>175.36662000000001</v>
      </c>
      <c r="AZ205" s="2044">
        <f t="shared" si="125"/>
        <v>175.36662000000001</v>
      </c>
      <c r="BA205" s="2045">
        <f t="shared" si="126"/>
        <v>701.46648000000005</v>
      </c>
      <c r="BB205" s="2045" t="str">
        <f>+'[9]4.4.24 '!$A$1</f>
        <v>4.4.24</v>
      </c>
      <c r="BC205" s="2045" t="str">
        <f>+'[9]4.4.24 '!$A$1</f>
        <v>4.4.24</v>
      </c>
      <c r="BD205" s="2045">
        <v>0</v>
      </c>
      <c r="BE205" s="2051">
        <v>15</v>
      </c>
      <c r="BF205" s="2051">
        <v>15</v>
      </c>
      <c r="BG205" s="2051">
        <v>15</v>
      </c>
      <c r="BH205" s="2051">
        <v>15</v>
      </c>
      <c r="BI205" s="2045">
        <f t="shared" si="146"/>
        <v>2630.4993000000004</v>
      </c>
      <c r="BJ205" s="2045">
        <f t="shared" si="147"/>
        <v>2630.4993000000004</v>
      </c>
      <c r="BK205" s="2045">
        <f t="shared" si="148"/>
        <v>2630.4993000000004</v>
      </c>
      <c r="BL205" s="2045">
        <f t="shared" si="149"/>
        <v>2630.4993000000004</v>
      </c>
      <c r="BM205" s="2045">
        <f t="shared" si="127"/>
        <v>10521.997200000002</v>
      </c>
      <c r="BN205" s="2047">
        <v>15</v>
      </c>
      <c r="BO205" s="2047">
        <v>15</v>
      </c>
      <c r="BP205" s="2047">
        <v>15</v>
      </c>
      <c r="BQ205" s="2047">
        <v>15</v>
      </c>
      <c r="BR205" s="2048">
        <f t="shared" si="128"/>
        <v>2630.4993000000004</v>
      </c>
      <c r="BS205" s="2048">
        <f t="shared" si="129"/>
        <v>2630.4993000000004</v>
      </c>
      <c r="BT205" s="2048">
        <f t="shared" si="130"/>
        <v>2630.4993000000004</v>
      </c>
      <c r="BU205" s="2048">
        <f t="shared" si="131"/>
        <v>2630.4993000000004</v>
      </c>
      <c r="BV205" s="1840">
        <f t="shared" si="132"/>
        <v>10521.997200000002</v>
      </c>
      <c r="BW205" s="2064" t="e">
        <f>INT(#REF!)=INT(BA205)</f>
        <v>#REF!</v>
      </c>
      <c r="BX205" s="2064">
        <v>198</v>
      </c>
      <c r="BY205" s="2064" t="s">
        <v>512</v>
      </c>
    </row>
    <row r="206" spans="1:77" s="1976" customFormat="1" ht="62" x14ac:dyDescent="0.35">
      <c r="A206" s="1372" t="s">
        <v>3041</v>
      </c>
      <c r="B206" s="1372" t="s">
        <v>188</v>
      </c>
      <c r="C206" s="1637">
        <v>0</v>
      </c>
      <c r="D206" s="2053" t="str">
        <f>+'[9]4.4.24 '!$A$1</f>
        <v>4.4.24</v>
      </c>
      <c r="E206" s="1372" t="s">
        <v>202</v>
      </c>
      <c r="F206" s="1638">
        <v>900</v>
      </c>
      <c r="G206" s="1638">
        <v>900</v>
      </c>
      <c r="H206" s="1638">
        <v>900</v>
      </c>
      <c r="I206" s="1638">
        <v>900</v>
      </c>
      <c r="J206" s="1372" t="str">
        <f>+'[9]4.4.24 '!$B$14</f>
        <v>CI-HVC-SPIN-V02-160601</v>
      </c>
      <c r="K206" s="1372" t="str">
        <f t="shared" si="108"/>
        <v>Nicor Gas PY7-PY10 Adjustable Goals Template_2017-06-30, Tab 4.4.24</v>
      </c>
      <c r="L206" s="1639">
        <v>0.28106999999999999</v>
      </c>
      <c r="M206" s="1639">
        <v>0.28106999999999999</v>
      </c>
      <c r="N206" s="1639">
        <v>0.28106999999999999</v>
      </c>
      <c r="O206" s="1639">
        <v>0.28106999999999999</v>
      </c>
      <c r="P206" s="1637">
        <v>1</v>
      </c>
      <c r="Q206" s="1637">
        <v>1</v>
      </c>
      <c r="R206" s="1637">
        <v>1</v>
      </c>
      <c r="S206" s="1637">
        <v>1</v>
      </c>
      <c r="T206" s="1640">
        <f t="shared" si="109"/>
        <v>252.96299999999999</v>
      </c>
      <c r="U206" s="1640">
        <f t="shared" si="110"/>
        <v>252.96299999999999</v>
      </c>
      <c r="V206" s="1640">
        <f t="shared" si="111"/>
        <v>252.96299999999999</v>
      </c>
      <c r="W206" s="1640">
        <f t="shared" si="112"/>
        <v>252.96299999999999</v>
      </c>
      <c r="X206" s="1640">
        <f t="shared" si="113"/>
        <v>1011.852</v>
      </c>
      <c r="Y206" s="1372" t="str">
        <f t="shared" si="143"/>
        <v>CI-HVC-SPIN-V02-160601</v>
      </c>
      <c r="Z206" s="1372" t="str">
        <f t="shared" si="133"/>
        <v>Nicor Gas PY7-PY10 Adjustable Goals Template_2017-06-30, Tab 4.4.24</v>
      </c>
      <c r="AA206" s="1840">
        <f t="shared" si="134"/>
        <v>0.28106999999999999</v>
      </c>
      <c r="AB206" s="2028"/>
      <c r="AC206" s="1840">
        <f t="shared" si="114"/>
        <v>252.96299999999999</v>
      </c>
      <c r="AD206" s="1840">
        <f t="shared" si="115"/>
        <v>0</v>
      </c>
      <c r="AE206" s="1372" t="s">
        <v>2568</v>
      </c>
      <c r="AF206" s="1372" t="s">
        <v>3403</v>
      </c>
      <c r="AG206" s="1639">
        <v>0.28106999999999999</v>
      </c>
      <c r="AH206" s="1372" t="s">
        <v>3445</v>
      </c>
      <c r="AI206" s="1640">
        <f t="shared" si="116"/>
        <v>252.96299999999999</v>
      </c>
      <c r="AJ206" s="1638">
        <f t="shared" si="117"/>
        <v>0</v>
      </c>
      <c r="AK206" s="1372" t="s">
        <v>2568</v>
      </c>
      <c r="AL206" s="1372" t="s">
        <v>3403</v>
      </c>
      <c r="AM206" s="1639">
        <v>0.28106999999999999</v>
      </c>
      <c r="AN206" s="1372" t="str">
        <f t="shared" si="144"/>
        <v>No change</v>
      </c>
      <c r="AO206" s="1640">
        <f t="shared" si="118"/>
        <v>252.96299999999999</v>
      </c>
      <c r="AP206" s="1638">
        <f t="shared" si="119"/>
        <v>0</v>
      </c>
      <c r="AQ206" s="1372" t="s">
        <v>2568</v>
      </c>
      <c r="AR206" s="1372" t="s">
        <v>3403</v>
      </c>
      <c r="AS206" s="1639">
        <v>0.28106999999999999</v>
      </c>
      <c r="AT206" s="1372" t="str">
        <f t="shared" si="145"/>
        <v>No change</v>
      </c>
      <c r="AU206" s="1640">
        <f t="shared" si="120"/>
        <v>252.96299999999999</v>
      </c>
      <c r="AV206" s="1638">
        <f t="shared" si="121"/>
        <v>0</v>
      </c>
      <c r="AW206" s="2044">
        <f t="shared" si="122"/>
        <v>252.96299999999999</v>
      </c>
      <c r="AX206" s="2044">
        <f t="shared" si="123"/>
        <v>252.96299999999999</v>
      </c>
      <c r="AY206" s="2044">
        <f t="shared" si="124"/>
        <v>252.96299999999999</v>
      </c>
      <c r="AZ206" s="2044">
        <f t="shared" si="125"/>
        <v>252.96299999999999</v>
      </c>
      <c r="BA206" s="2045">
        <f t="shared" si="126"/>
        <v>1011.852</v>
      </c>
      <c r="BB206" s="2045" t="str">
        <f>+'[9]4.4.24 '!$A$1</f>
        <v>4.4.24</v>
      </c>
      <c r="BC206" s="2045" t="str">
        <f>+'[9]4.4.24 '!$A$1</f>
        <v>4.4.24</v>
      </c>
      <c r="BD206" s="2045">
        <v>0</v>
      </c>
      <c r="BE206" s="2051">
        <v>15</v>
      </c>
      <c r="BF206" s="2051">
        <v>15</v>
      </c>
      <c r="BG206" s="2051">
        <v>15</v>
      </c>
      <c r="BH206" s="2051">
        <v>15</v>
      </c>
      <c r="BI206" s="2045">
        <f t="shared" si="146"/>
        <v>3794.4449999999997</v>
      </c>
      <c r="BJ206" s="2045">
        <f t="shared" si="147"/>
        <v>3794.4449999999997</v>
      </c>
      <c r="BK206" s="2045">
        <f t="shared" si="148"/>
        <v>3794.4449999999997</v>
      </c>
      <c r="BL206" s="2045">
        <f t="shared" si="149"/>
        <v>3794.4449999999997</v>
      </c>
      <c r="BM206" s="2045">
        <f t="shared" si="127"/>
        <v>15177.779999999999</v>
      </c>
      <c r="BN206" s="2047">
        <v>15</v>
      </c>
      <c r="BO206" s="2047">
        <v>15</v>
      </c>
      <c r="BP206" s="2047">
        <v>15</v>
      </c>
      <c r="BQ206" s="2047">
        <v>15</v>
      </c>
      <c r="BR206" s="2048">
        <f t="shared" si="128"/>
        <v>3794.4449999999997</v>
      </c>
      <c r="BS206" s="2048">
        <f t="shared" si="129"/>
        <v>3794.4449999999997</v>
      </c>
      <c r="BT206" s="2048">
        <f t="shared" si="130"/>
        <v>3794.4449999999997</v>
      </c>
      <c r="BU206" s="2048">
        <f t="shared" si="131"/>
        <v>3794.4449999999997</v>
      </c>
      <c r="BV206" s="1840">
        <f t="shared" si="132"/>
        <v>15177.779999999999</v>
      </c>
      <c r="BW206" s="2064" t="e">
        <f>INT(#REF!)=INT(BA206)</f>
        <v>#REF!</v>
      </c>
      <c r="BX206" s="2064">
        <v>199</v>
      </c>
      <c r="BY206" s="2064" t="s">
        <v>512</v>
      </c>
    </row>
    <row r="207" spans="1:77" s="1976" customFormat="1" ht="18" customHeight="1" x14ac:dyDescent="0.35">
      <c r="A207" s="1372" t="s">
        <v>3041</v>
      </c>
      <c r="B207" s="1372" t="s">
        <v>266</v>
      </c>
      <c r="C207" s="1637">
        <v>0</v>
      </c>
      <c r="D207" s="1372" t="s">
        <v>3516</v>
      </c>
      <c r="E207" s="1843" t="s">
        <v>202</v>
      </c>
      <c r="F207" s="1845">
        <v>7</v>
      </c>
      <c r="G207" s="1845">
        <v>7</v>
      </c>
      <c r="H207" s="1845">
        <v>7</v>
      </c>
      <c r="I207" s="1845">
        <v>7</v>
      </c>
      <c r="J207" s="1843" t="s">
        <v>295</v>
      </c>
      <c r="K207" s="1843" t="str">
        <f t="shared" si="108"/>
        <v>Nicor Gas PY7-PY10 Adjustable Goals Template_2017-06-30, Tab Customized TRM</v>
      </c>
      <c r="L207" s="1846">
        <v>6.2</v>
      </c>
      <c r="M207" s="1846">
        <v>6.2</v>
      </c>
      <c r="N207" s="1846">
        <v>6.2</v>
      </c>
      <c r="O207" s="1846">
        <v>6.2</v>
      </c>
      <c r="P207" s="1844">
        <v>1</v>
      </c>
      <c r="Q207" s="1844">
        <v>1</v>
      </c>
      <c r="R207" s="1844">
        <v>1</v>
      </c>
      <c r="S207" s="1844">
        <v>1</v>
      </c>
      <c r="T207" s="1847">
        <f t="shared" si="109"/>
        <v>43.4</v>
      </c>
      <c r="U207" s="1847">
        <f t="shared" si="110"/>
        <v>43.4</v>
      </c>
      <c r="V207" s="1847">
        <f t="shared" si="111"/>
        <v>43.4</v>
      </c>
      <c r="W207" s="1847">
        <f t="shared" si="112"/>
        <v>43.4</v>
      </c>
      <c r="X207" s="1847">
        <f t="shared" si="113"/>
        <v>173.6</v>
      </c>
      <c r="Y207" s="1843"/>
      <c r="Z207" s="1843" t="str">
        <f t="shared" si="133"/>
        <v>Nicor Gas PY7-PY10 Adjustable Goals Template_2017-06-30, Tab Customized TRM</v>
      </c>
      <c r="AA207" s="1848">
        <f t="shared" si="134"/>
        <v>6.2</v>
      </c>
      <c r="AB207" s="1848"/>
      <c r="AC207" s="1848">
        <f t="shared" si="114"/>
        <v>43.4</v>
      </c>
      <c r="AD207" s="1848">
        <f t="shared" si="115"/>
        <v>0</v>
      </c>
      <c r="AE207" s="1843"/>
      <c r="AF207" s="1843" t="s">
        <v>3361</v>
      </c>
      <c r="AG207" s="1846">
        <v>6.2</v>
      </c>
      <c r="AH207" s="1843"/>
      <c r="AI207" s="1847">
        <f t="shared" si="116"/>
        <v>43.4</v>
      </c>
      <c r="AJ207" s="1845">
        <f t="shared" si="117"/>
        <v>0</v>
      </c>
      <c r="AK207" s="1843"/>
      <c r="AL207" s="1843" t="s">
        <v>3361</v>
      </c>
      <c r="AM207" s="1846">
        <v>6.2</v>
      </c>
      <c r="AN207" s="1843"/>
      <c r="AO207" s="1847">
        <f t="shared" si="118"/>
        <v>43.4</v>
      </c>
      <c r="AP207" s="1845">
        <f t="shared" si="119"/>
        <v>0</v>
      </c>
      <c r="AQ207" s="1843"/>
      <c r="AR207" s="1843" t="s">
        <v>3361</v>
      </c>
      <c r="AS207" s="1846">
        <v>6.2</v>
      </c>
      <c r="AT207" s="1843"/>
      <c r="AU207" s="1847">
        <f t="shared" si="120"/>
        <v>43.4</v>
      </c>
      <c r="AV207" s="1845">
        <f t="shared" si="121"/>
        <v>0</v>
      </c>
      <c r="AW207" s="2123">
        <f t="shared" si="122"/>
        <v>43.4</v>
      </c>
      <c r="AX207" s="2123">
        <f t="shared" si="123"/>
        <v>43.4</v>
      </c>
      <c r="AY207" s="2123">
        <f t="shared" si="124"/>
        <v>43.4</v>
      </c>
      <c r="AZ207" s="2123">
        <f t="shared" si="125"/>
        <v>43.4</v>
      </c>
      <c r="BA207" s="2051">
        <f t="shared" si="126"/>
        <v>173.6</v>
      </c>
      <c r="BB207" s="2051"/>
      <c r="BC207" s="2051"/>
      <c r="BD207" s="2121">
        <v>1</v>
      </c>
      <c r="BE207" s="2051">
        <v>14</v>
      </c>
      <c r="BF207" s="2051">
        <v>14</v>
      </c>
      <c r="BG207" s="2051">
        <v>14</v>
      </c>
      <c r="BH207" s="2051">
        <v>14</v>
      </c>
      <c r="BI207" s="2045">
        <f t="shared" si="146"/>
        <v>607.6</v>
      </c>
      <c r="BJ207" s="2045">
        <f t="shared" si="147"/>
        <v>607.6</v>
      </c>
      <c r="BK207" s="2045">
        <f t="shared" si="148"/>
        <v>607.6</v>
      </c>
      <c r="BL207" s="2045">
        <f t="shared" si="149"/>
        <v>607.6</v>
      </c>
      <c r="BM207" s="2045">
        <f t="shared" si="127"/>
        <v>2430.4</v>
      </c>
      <c r="BN207" s="2047">
        <v>14</v>
      </c>
      <c r="BO207" s="2050">
        <v>15</v>
      </c>
      <c r="BP207" s="2050">
        <v>15</v>
      </c>
      <c r="BQ207" s="2050">
        <v>15</v>
      </c>
      <c r="BR207" s="2048">
        <f t="shared" si="128"/>
        <v>607.6</v>
      </c>
      <c r="BS207" s="2048">
        <f t="shared" si="129"/>
        <v>651</v>
      </c>
      <c r="BT207" s="2048">
        <f t="shared" si="130"/>
        <v>651</v>
      </c>
      <c r="BU207" s="2048">
        <f t="shared" si="131"/>
        <v>651</v>
      </c>
      <c r="BV207" s="1840">
        <f t="shared" si="132"/>
        <v>2560.6</v>
      </c>
      <c r="BW207" s="2064" t="e">
        <f>INT(#REF!)=INT(BA207)</f>
        <v>#REF!</v>
      </c>
      <c r="BX207" s="2064">
        <v>200</v>
      </c>
      <c r="BY207" s="2064" t="s">
        <v>3485</v>
      </c>
    </row>
    <row r="208" spans="1:77" s="1976" customFormat="1" ht="18" customHeight="1" x14ac:dyDescent="0.35">
      <c r="A208" s="1372" t="s">
        <v>3041</v>
      </c>
      <c r="B208" s="1372" t="s">
        <v>282</v>
      </c>
      <c r="C208" s="1637">
        <v>0</v>
      </c>
      <c r="D208" s="1372" t="s">
        <v>3516</v>
      </c>
      <c r="E208" s="1843" t="s">
        <v>202</v>
      </c>
      <c r="F208" s="1845">
        <v>52</v>
      </c>
      <c r="G208" s="1845">
        <v>52</v>
      </c>
      <c r="H208" s="1845">
        <v>52</v>
      </c>
      <c r="I208" s="1845">
        <v>52</v>
      </c>
      <c r="J208" s="1843" t="s">
        <v>295</v>
      </c>
      <c r="K208" s="1843" t="str">
        <f t="shared" si="108"/>
        <v>Nicor Gas PY7-PY10 Adjustable Goals Template_2017-06-30, Tab Customized TRM</v>
      </c>
      <c r="L208" s="1846">
        <v>5.0698880597014924</v>
      </c>
      <c r="M208" s="1846">
        <v>5.0698880597014924</v>
      </c>
      <c r="N208" s="1846">
        <v>5.0698880597014924</v>
      </c>
      <c r="O208" s="1846">
        <v>5.0698880597014924</v>
      </c>
      <c r="P208" s="1844">
        <v>1</v>
      </c>
      <c r="Q208" s="1844">
        <v>1</v>
      </c>
      <c r="R208" s="1844">
        <v>1</v>
      </c>
      <c r="S208" s="1844">
        <v>1</v>
      </c>
      <c r="T208" s="1847">
        <f t="shared" si="109"/>
        <v>263.6341791044776</v>
      </c>
      <c r="U208" s="1847">
        <f t="shared" si="110"/>
        <v>263.6341791044776</v>
      </c>
      <c r="V208" s="1847">
        <f t="shared" si="111"/>
        <v>263.6341791044776</v>
      </c>
      <c r="W208" s="1847">
        <f t="shared" si="112"/>
        <v>263.6341791044776</v>
      </c>
      <c r="X208" s="1847">
        <f t="shared" si="113"/>
        <v>1054.5367164179104</v>
      </c>
      <c r="Y208" s="1843"/>
      <c r="Z208" s="1843" t="str">
        <f t="shared" si="133"/>
        <v>Nicor Gas PY7-PY10 Adjustable Goals Template_2017-06-30, Tab Customized TRM</v>
      </c>
      <c r="AA208" s="1848">
        <f t="shared" si="134"/>
        <v>5.0698880597014924</v>
      </c>
      <c r="AB208" s="1848"/>
      <c r="AC208" s="1848">
        <f t="shared" si="114"/>
        <v>263.6341791044776</v>
      </c>
      <c r="AD208" s="1848">
        <f t="shared" si="115"/>
        <v>0</v>
      </c>
      <c r="AE208" s="1843"/>
      <c r="AF208" s="1843" t="s">
        <v>3361</v>
      </c>
      <c r="AG208" s="1846">
        <v>5.0698880597014924</v>
      </c>
      <c r="AH208" s="1843"/>
      <c r="AI208" s="1847">
        <f t="shared" si="116"/>
        <v>263.6341791044776</v>
      </c>
      <c r="AJ208" s="1845">
        <f t="shared" si="117"/>
        <v>0</v>
      </c>
      <c r="AK208" s="1843"/>
      <c r="AL208" s="1843" t="s">
        <v>3361</v>
      </c>
      <c r="AM208" s="1846">
        <v>5.0698880597014924</v>
      </c>
      <c r="AN208" s="1843"/>
      <c r="AO208" s="1847">
        <f t="shared" si="118"/>
        <v>263.6341791044776</v>
      </c>
      <c r="AP208" s="1845">
        <f t="shared" si="119"/>
        <v>0</v>
      </c>
      <c r="AQ208" s="1843"/>
      <c r="AR208" s="1843" t="s">
        <v>3361</v>
      </c>
      <c r="AS208" s="1846">
        <v>5.0698880597014924</v>
      </c>
      <c r="AT208" s="1843"/>
      <c r="AU208" s="1847">
        <f t="shared" si="120"/>
        <v>263.6341791044776</v>
      </c>
      <c r="AV208" s="1845">
        <f t="shared" si="121"/>
        <v>0</v>
      </c>
      <c r="AW208" s="2123">
        <f t="shared" si="122"/>
        <v>263.6341791044776</v>
      </c>
      <c r="AX208" s="2123">
        <f t="shared" si="123"/>
        <v>263.6341791044776</v>
      </c>
      <c r="AY208" s="2123">
        <f t="shared" si="124"/>
        <v>263.6341791044776</v>
      </c>
      <c r="AZ208" s="2123">
        <f t="shared" si="125"/>
        <v>263.6341791044776</v>
      </c>
      <c r="BA208" s="2051">
        <f t="shared" si="126"/>
        <v>1054.5367164179104</v>
      </c>
      <c r="BB208" s="2051"/>
      <c r="BC208" s="2051"/>
      <c r="BD208" s="2045">
        <v>0</v>
      </c>
      <c r="BE208" s="2051">
        <v>15</v>
      </c>
      <c r="BF208" s="2051">
        <v>15</v>
      </c>
      <c r="BG208" s="2051">
        <v>15</v>
      </c>
      <c r="BH208" s="2051">
        <v>15</v>
      </c>
      <c r="BI208" s="2045">
        <f t="shared" si="146"/>
        <v>3954.5126865671641</v>
      </c>
      <c r="BJ208" s="2045">
        <f t="shared" si="147"/>
        <v>3954.5126865671641</v>
      </c>
      <c r="BK208" s="2045">
        <f t="shared" si="148"/>
        <v>3954.5126865671641</v>
      </c>
      <c r="BL208" s="2045">
        <f t="shared" si="149"/>
        <v>3954.5126865671641</v>
      </c>
      <c r="BM208" s="2045">
        <f t="shared" si="127"/>
        <v>15818.050746268656</v>
      </c>
      <c r="BN208" s="2047">
        <v>15</v>
      </c>
      <c r="BO208" s="2047">
        <v>15</v>
      </c>
      <c r="BP208" s="2047">
        <v>15</v>
      </c>
      <c r="BQ208" s="2047">
        <v>15</v>
      </c>
      <c r="BR208" s="2048">
        <f t="shared" si="128"/>
        <v>3954.5126865671641</v>
      </c>
      <c r="BS208" s="2048">
        <f t="shared" si="129"/>
        <v>3954.5126865671641</v>
      </c>
      <c r="BT208" s="2048">
        <f t="shared" si="130"/>
        <v>3954.5126865671641</v>
      </c>
      <c r="BU208" s="2048">
        <f t="shared" si="131"/>
        <v>3954.5126865671641</v>
      </c>
      <c r="BV208" s="1840">
        <f t="shared" si="132"/>
        <v>15818.050746268656</v>
      </c>
      <c r="BW208" s="2064" t="e">
        <f>INT(#REF!)=INT(BA208)</f>
        <v>#REF!</v>
      </c>
      <c r="BX208" s="2064">
        <v>201</v>
      </c>
      <c r="BY208" s="2064" t="s">
        <v>3485</v>
      </c>
    </row>
    <row r="209" spans="1:77" s="1976" customFormat="1" ht="18" customHeight="1" x14ac:dyDescent="0.35">
      <c r="A209" s="1372" t="s">
        <v>3041</v>
      </c>
      <c r="B209" s="1372" t="s">
        <v>277</v>
      </c>
      <c r="C209" s="1637">
        <v>0</v>
      </c>
      <c r="D209" s="1372" t="s">
        <v>295</v>
      </c>
      <c r="E209" s="1372" t="s">
        <v>201</v>
      </c>
      <c r="F209" s="1638">
        <v>34</v>
      </c>
      <c r="G209" s="1638">
        <v>34</v>
      </c>
      <c r="H209" s="1638">
        <v>34</v>
      </c>
      <c r="I209" s="1638">
        <v>34</v>
      </c>
      <c r="J209" s="1372" t="s">
        <v>295</v>
      </c>
      <c r="K209" s="1372" t="str">
        <f t="shared" si="108"/>
        <v/>
      </c>
      <c r="L209" s="1639">
        <v>5000</v>
      </c>
      <c r="M209" s="1639">
        <v>5000</v>
      </c>
      <c r="N209" s="1639">
        <v>5000</v>
      </c>
      <c r="O209" s="1639">
        <v>5000</v>
      </c>
      <c r="P209" s="1637">
        <v>1</v>
      </c>
      <c r="Q209" s="1637">
        <v>1</v>
      </c>
      <c r="R209" s="1637">
        <v>1</v>
      </c>
      <c r="S209" s="1637">
        <v>1</v>
      </c>
      <c r="T209" s="1640">
        <f t="shared" si="109"/>
        <v>170000</v>
      </c>
      <c r="U209" s="1640">
        <f t="shared" si="110"/>
        <v>170000</v>
      </c>
      <c r="V209" s="1640">
        <f t="shared" si="111"/>
        <v>170000</v>
      </c>
      <c r="W209" s="1640">
        <f t="shared" si="112"/>
        <v>170000</v>
      </c>
      <c r="X209" s="1640">
        <f t="shared" si="113"/>
        <v>680000</v>
      </c>
      <c r="Y209" s="1829"/>
      <c r="Z209" s="1372" t="str">
        <f t="shared" si="133"/>
        <v/>
      </c>
      <c r="AA209" s="1840">
        <f t="shared" si="134"/>
        <v>5000</v>
      </c>
      <c r="AB209" s="2028"/>
      <c r="AC209" s="1840">
        <f t="shared" si="114"/>
        <v>170000</v>
      </c>
      <c r="AD209" s="1840">
        <f t="shared" si="115"/>
        <v>0</v>
      </c>
      <c r="AE209" s="1829"/>
      <c r="AF209" s="1829" t="s">
        <v>3361</v>
      </c>
      <c r="AG209" s="1830">
        <v>5000</v>
      </c>
      <c r="AH209" s="1829"/>
      <c r="AI209" s="1640">
        <f t="shared" si="116"/>
        <v>170000</v>
      </c>
      <c r="AJ209" s="1638">
        <f t="shared" si="117"/>
        <v>0</v>
      </c>
      <c r="AK209" s="1829"/>
      <c r="AL209" s="1829" t="s">
        <v>3361</v>
      </c>
      <c r="AM209" s="1830">
        <v>5000</v>
      </c>
      <c r="AN209" s="1829"/>
      <c r="AO209" s="1640">
        <f t="shared" si="118"/>
        <v>170000</v>
      </c>
      <c r="AP209" s="1638">
        <f t="shared" si="119"/>
        <v>0</v>
      </c>
      <c r="AQ209" s="1829"/>
      <c r="AR209" s="1829" t="s">
        <v>3361</v>
      </c>
      <c r="AS209" s="1830">
        <v>5000</v>
      </c>
      <c r="AT209" s="1829"/>
      <c r="AU209" s="1640">
        <f t="shared" si="120"/>
        <v>170000</v>
      </c>
      <c r="AV209" s="1638">
        <f t="shared" si="121"/>
        <v>0</v>
      </c>
      <c r="AW209" s="2044">
        <f t="shared" si="122"/>
        <v>170000</v>
      </c>
      <c r="AX209" s="2044">
        <f t="shared" si="123"/>
        <v>170000</v>
      </c>
      <c r="AY209" s="2044">
        <f t="shared" si="124"/>
        <v>170000</v>
      </c>
      <c r="AZ209" s="2044">
        <f t="shared" si="125"/>
        <v>170000</v>
      </c>
      <c r="BA209" s="2045">
        <f t="shared" si="126"/>
        <v>680000</v>
      </c>
      <c r="BB209" s="2049"/>
      <c r="BC209" s="2049"/>
      <c r="BD209" s="2045">
        <v>0</v>
      </c>
      <c r="BE209" s="2051">
        <v>15</v>
      </c>
      <c r="BF209" s="2051">
        <v>15</v>
      </c>
      <c r="BG209" s="2051">
        <v>15</v>
      </c>
      <c r="BH209" s="2051">
        <v>15</v>
      </c>
      <c r="BI209" s="2045">
        <f t="shared" si="146"/>
        <v>2550000</v>
      </c>
      <c r="BJ209" s="2045">
        <f t="shared" si="147"/>
        <v>2550000</v>
      </c>
      <c r="BK209" s="2045">
        <f t="shared" si="148"/>
        <v>2550000</v>
      </c>
      <c r="BL209" s="2045">
        <f t="shared" si="149"/>
        <v>2550000</v>
      </c>
      <c r="BM209" s="2045">
        <f t="shared" si="127"/>
        <v>10200000</v>
      </c>
      <c r="BN209" s="2047">
        <v>15</v>
      </c>
      <c r="BO209" s="2047">
        <v>15</v>
      </c>
      <c r="BP209" s="2047">
        <v>15</v>
      </c>
      <c r="BQ209" s="2047">
        <v>15</v>
      </c>
      <c r="BR209" s="2048">
        <f t="shared" si="128"/>
        <v>2550000</v>
      </c>
      <c r="BS209" s="2048">
        <f t="shared" si="129"/>
        <v>2550000</v>
      </c>
      <c r="BT209" s="2048">
        <f t="shared" si="130"/>
        <v>2550000</v>
      </c>
      <c r="BU209" s="2048">
        <f t="shared" si="131"/>
        <v>2550000</v>
      </c>
      <c r="BV209" s="1840">
        <f t="shared" si="132"/>
        <v>10200000</v>
      </c>
      <c r="BW209" s="2064" t="e">
        <f>INT(#REF!)=INT(BA209)</f>
        <v>#REF!</v>
      </c>
      <c r="BX209" s="2064">
        <v>202</v>
      </c>
      <c r="BY209" s="2064" t="s">
        <v>295</v>
      </c>
    </row>
    <row r="210" spans="1:77" s="1976" customFormat="1" ht="18" customHeight="1" x14ac:dyDescent="0.35">
      <c r="A210" s="1372" t="s">
        <v>3041</v>
      </c>
      <c r="B210" s="1372" t="s">
        <v>278</v>
      </c>
      <c r="C210" s="1637">
        <v>0</v>
      </c>
      <c r="D210" s="1372" t="s">
        <v>295</v>
      </c>
      <c r="E210" s="1372" t="s">
        <v>201</v>
      </c>
      <c r="F210" s="1638">
        <v>33</v>
      </c>
      <c r="G210" s="1638">
        <v>33</v>
      </c>
      <c r="H210" s="1638">
        <v>33</v>
      </c>
      <c r="I210" s="1638">
        <v>33</v>
      </c>
      <c r="J210" s="1372" t="s">
        <v>295</v>
      </c>
      <c r="K210" s="1372" t="str">
        <f t="shared" si="108"/>
        <v/>
      </c>
      <c r="L210" s="1639">
        <v>10000</v>
      </c>
      <c r="M210" s="1639">
        <v>10000</v>
      </c>
      <c r="N210" s="1639">
        <v>10000</v>
      </c>
      <c r="O210" s="1639">
        <v>10000</v>
      </c>
      <c r="P210" s="1637">
        <v>1</v>
      </c>
      <c r="Q210" s="1637">
        <v>1</v>
      </c>
      <c r="R210" s="1637">
        <v>1</v>
      </c>
      <c r="S210" s="1637">
        <v>1</v>
      </c>
      <c r="T210" s="1640">
        <f t="shared" si="109"/>
        <v>330000</v>
      </c>
      <c r="U210" s="1640">
        <f t="shared" si="110"/>
        <v>330000</v>
      </c>
      <c r="V210" s="1640">
        <f t="shared" si="111"/>
        <v>330000</v>
      </c>
      <c r="W210" s="1640">
        <f t="shared" si="112"/>
        <v>330000</v>
      </c>
      <c r="X210" s="1640">
        <f t="shared" si="113"/>
        <v>1320000</v>
      </c>
      <c r="Y210" s="1829"/>
      <c r="Z210" s="1372" t="str">
        <f t="shared" si="133"/>
        <v/>
      </c>
      <c r="AA210" s="1840">
        <f t="shared" si="134"/>
        <v>10000</v>
      </c>
      <c r="AB210" s="2028"/>
      <c r="AC210" s="1840">
        <f t="shared" si="114"/>
        <v>330000</v>
      </c>
      <c r="AD210" s="1840">
        <f t="shared" si="115"/>
        <v>0</v>
      </c>
      <c r="AE210" s="1829"/>
      <c r="AF210" s="1829" t="s">
        <v>3361</v>
      </c>
      <c r="AG210" s="1830">
        <v>10000</v>
      </c>
      <c r="AH210" s="1829"/>
      <c r="AI210" s="1640">
        <f t="shared" si="116"/>
        <v>330000</v>
      </c>
      <c r="AJ210" s="1638">
        <f t="shared" si="117"/>
        <v>0</v>
      </c>
      <c r="AK210" s="1829"/>
      <c r="AL210" s="1829" t="s">
        <v>3361</v>
      </c>
      <c r="AM210" s="1830">
        <v>10000</v>
      </c>
      <c r="AN210" s="1829"/>
      <c r="AO210" s="1640">
        <f t="shared" si="118"/>
        <v>330000</v>
      </c>
      <c r="AP210" s="1638">
        <f t="shared" si="119"/>
        <v>0</v>
      </c>
      <c r="AQ210" s="1829"/>
      <c r="AR210" s="1829" t="s">
        <v>3361</v>
      </c>
      <c r="AS210" s="1830">
        <v>10000</v>
      </c>
      <c r="AT210" s="1829"/>
      <c r="AU210" s="1640">
        <f t="shared" si="120"/>
        <v>330000</v>
      </c>
      <c r="AV210" s="1638">
        <f t="shared" si="121"/>
        <v>0</v>
      </c>
      <c r="AW210" s="2044">
        <f t="shared" si="122"/>
        <v>330000</v>
      </c>
      <c r="AX210" s="2044">
        <f t="shared" si="123"/>
        <v>330000</v>
      </c>
      <c r="AY210" s="2044">
        <f t="shared" si="124"/>
        <v>330000</v>
      </c>
      <c r="AZ210" s="2044">
        <f t="shared" si="125"/>
        <v>330000</v>
      </c>
      <c r="BA210" s="2045">
        <f t="shared" si="126"/>
        <v>1320000</v>
      </c>
      <c r="BB210" s="2049"/>
      <c r="BC210" s="2049"/>
      <c r="BD210" s="2045">
        <v>0</v>
      </c>
      <c r="BE210" s="2051">
        <v>15</v>
      </c>
      <c r="BF210" s="2051">
        <v>15</v>
      </c>
      <c r="BG210" s="2051">
        <v>15</v>
      </c>
      <c r="BH210" s="2051">
        <v>15</v>
      </c>
      <c r="BI210" s="2045">
        <f t="shared" si="146"/>
        <v>4950000</v>
      </c>
      <c r="BJ210" s="2045">
        <f t="shared" si="147"/>
        <v>4950000</v>
      </c>
      <c r="BK210" s="2045">
        <f t="shared" si="148"/>
        <v>4950000</v>
      </c>
      <c r="BL210" s="2045">
        <f t="shared" si="149"/>
        <v>4950000</v>
      </c>
      <c r="BM210" s="2045">
        <f t="shared" si="127"/>
        <v>19800000</v>
      </c>
      <c r="BN210" s="2047">
        <v>15</v>
      </c>
      <c r="BO210" s="2047">
        <v>15</v>
      </c>
      <c r="BP210" s="2047">
        <v>15</v>
      </c>
      <c r="BQ210" s="2047">
        <v>15</v>
      </c>
      <c r="BR210" s="2048">
        <f t="shared" si="128"/>
        <v>4950000</v>
      </c>
      <c r="BS210" s="2048">
        <f t="shared" si="129"/>
        <v>4950000</v>
      </c>
      <c r="BT210" s="2048">
        <f t="shared" si="130"/>
        <v>4950000</v>
      </c>
      <c r="BU210" s="2048">
        <f t="shared" si="131"/>
        <v>4950000</v>
      </c>
      <c r="BV210" s="1840">
        <f t="shared" si="132"/>
        <v>19800000</v>
      </c>
      <c r="BW210" s="2064" t="e">
        <f>INT(#REF!)=INT(BA210)</f>
        <v>#REF!</v>
      </c>
      <c r="BX210" s="2064">
        <v>203</v>
      </c>
      <c r="BY210" s="2064" t="s">
        <v>295</v>
      </c>
    </row>
    <row r="211" spans="1:77" s="1976" customFormat="1" ht="62" x14ac:dyDescent="0.35">
      <c r="A211" s="1372" t="s">
        <v>3041</v>
      </c>
      <c r="B211" s="1372" t="s">
        <v>206</v>
      </c>
      <c r="C211" s="1637">
        <v>1</v>
      </c>
      <c r="D211" s="2055" t="str">
        <f>+'[9]4.3.1'!$A$1</f>
        <v>4.3.1</v>
      </c>
      <c r="E211" s="1372" t="s">
        <v>163</v>
      </c>
      <c r="F211" s="1638">
        <v>180</v>
      </c>
      <c r="G211" s="1638">
        <v>180</v>
      </c>
      <c r="H211" s="1638">
        <v>180</v>
      </c>
      <c r="I211" s="1638">
        <v>180</v>
      </c>
      <c r="J211" s="1372" t="str">
        <f>+'[9]4.3.1'!$B$18</f>
        <v>CI-HWE-STWH-V03-180101</v>
      </c>
      <c r="K211" s="1372" t="str">
        <f t="shared" si="108"/>
        <v>Nicor Gas PY7-PY10 Adjustable Goals Template_2017-06-30, Tab 4.3.1</v>
      </c>
      <c r="L211" s="1639">
        <v>66.706213068181796</v>
      </c>
      <c r="M211" s="1639">
        <v>66.706213068181796</v>
      </c>
      <c r="N211" s="1639">
        <v>66.706213068181796</v>
      </c>
      <c r="O211" s="1639">
        <v>66.706213068181796</v>
      </c>
      <c r="P211" s="1637">
        <v>1</v>
      </c>
      <c r="Q211" s="1637">
        <v>1</v>
      </c>
      <c r="R211" s="1637">
        <v>1</v>
      </c>
      <c r="S211" s="1637">
        <v>1</v>
      </c>
      <c r="T211" s="1640">
        <f t="shared" si="109"/>
        <v>12007.118352272722</v>
      </c>
      <c r="U211" s="1640">
        <f t="shared" si="110"/>
        <v>12007.118352272722</v>
      </c>
      <c r="V211" s="1640">
        <f t="shared" si="111"/>
        <v>12007.118352272722</v>
      </c>
      <c r="W211" s="1640">
        <f t="shared" si="112"/>
        <v>12007.118352272722</v>
      </c>
      <c r="X211" s="1640">
        <f t="shared" si="113"/>
        <v>48028.47340909089</v>
      </c>
      <c r="Y211" s="1372" t="str">
        <f>J211</f>
        <v>CI-HWE-STWH-V03-180101</v>
      </c>
      <c r="Z211" s="1372" t="str">
        <f t="shared" si="133"/>
        <v>Nicor Gas PY7-PY10 Adjustable Goals Template_2017-06-30, Tab 4.3.1</v>
      </c>
      <c r="AA211" s="2024">
        <f t="shared" si="134"/>
        <v>66.706213068181796</v>
      </c>
      <c r="AB211" s="2028"/>
      <c r="AC211" s="1840">
        <f t="shared" si="114"/>
        <v>12007.118352272722</v>
      </c>
      <c r="AD211" s="1840">
        <f t="shared" si="115"/>
        <v>0</v>
      </c>
      <c r="AE211" s="1372" t="s">
        <v>2790</v>
      </c>
      <c r="AF211" s="1372" t="s">
        <v>3360</v>
      </c>
      <c r="AG211" s="1981">
        <v>336.19206214763915</v>
      </c>
      <c r="AH211" s="1372" t="s">
        <v>3446</v>
      </c>
      <c r="AI211" s="1640">
        <f t="shared" si="116"/>
        <v>60514.571186575049</v>
      </c>
      <c r="AJ211" s="1638">
        <f t="shared" si="117"/>
        <v>48507.452834302327</v>
      </c>
      <c r="AK211" s="1372" t="s">
        <v>2790</v>
      </c>
      <c r="AL211" s="1372" t="s">
        <v>3360</v>
      </c>
      <c r="AM211" s="1981">
        <v>336.19206214763915</v>
      </c>
      <c r="AN211" s="1372" t="str">
        <f>$AH211</f>
        <v>Refer TRM V.7 Updates</v>
      </c>
      <c r="AO211" s="1640">
        <f t="shared" si="118"/>
        <v>60514.571186575049</v>
      </c>
      <c r="AP211" s="1638">
        <f t="shared" si="119"/>
        <v>48507.452834302327</v>
      </c>
      <c r="AQ211" s="1372" t="s">
        <v>2790</v>
      </c>
      <c r="AR211" s="1372" t="s">
        <v>3360</v>
      </c>
      <c r="AS211" s="1981">
        <v>336.19206214763915</v>
      </c>
      <c r="AT211" s="1372" t="str">
        <f>AH211</f>
        <v>Refer TRM V.7 Updates</v>
      </c>
      <c r="AU211" s="1640">
        <f t="shared" si="120"/>
        <v>60514.571186575049</v>
      </c>
      <c r="AV211" s="1638">
        <f t="shared" si="121"/>
        <v>48507.452834302327</v>
      </c>
      <c r="AW211" s="2044">
        <f t="shared" si="122"/>
        <v>12007.118352272722</v>
      </c>
      <c r="AX211" s="2044">
        <f t="shared" si="123"/>
        <v>60514.571186575049</v>
      </c>
      <c r="AY211" s="2044">
        <f t="shared" si="124"/>
        <v>60514.571186575049</v>
      </c>
      <c r="AZ211" s="2044">
        <f t="shared" si="125"/>
        <v>60514.571186575049</v>
      </c>
      <c r="BA211" s="2045">
        <f t="shared" si="126"/>
        <v>193550.83191199787</v>
      </c>
      <c r="BB211" s="2045" t="str">
        <f>+'[9]4.3.1'!$A$1</f>
        <v>4.3.1</v>
      </c>
      <c r="BC211" s="2045" t="str">
        <f>+'[9]4.3.1'!$A$1</f>
        <v>4.3.1</v>
      </c>
      <c r="BD211" s="2045">
        <v>0</v>
      </c>
      <c r="BE211" s="2051">
        <v>15</v>
      </c>
      <c r="BF211" s="2051">
        <v>15</v>
      </c>
      <c r="BG211" s="2051">
        <v>15</v>
      </c>
      <c r="BH211" s="2051">
        <v>15</v>
      </c>
      <c r="BI211" s="2045">
        <f t="shared" si="146"/>
        <v>180106.77528409084</v>
      </c>
      <c r="BJ211" s="2045">
        <f t="shared" si="147"/>
        <v>180106.77528409084</v>
      </c>
      <c r="BK211" s="2045">
        <f t="shared" si="148"/>
        <v>180106.77528409084</v>
      </c>
      <c r="BL211" s="2045">
        <f t="shared" si="149"/>
        <v>180106.77528409084</v>
      </c>
      <c r="BM211" s="2045">
        <f t="shared" si="127"/>
        <v>720427.10113636334</v>
      </c>
      <c r="BN211" s="2047">
        <v>15</v>
      </c>
      <c r="BO211" s="2047">
        <v>15</v>
      </c>
      <c r="BP211" s="2047">
        <v>15</v>
      </c>
      <c r="BQ211" s="2047">
        <v>15</v>
      </c>
      <c r="BR211" s="2048">
        <f t="shared" si="128"/>
        <v>180106.77528409084</v>
      </c>
      <c r="BS211" s="2048">
        <f t="shared" si="129"/>
        <v>907718.56779862568</v>
      </c>
      <c r="BT211" s="2048">
        <f t="shared" si="130"/>
        <v>907718.56779862568</v>
      </c>
      <c r="BU211" s="2048">
        <f t="shared" si="131"/>
        <v>907718.56779862568</v>
      </c>
      <c r="BV211" s="1840">
        <f t="shared" si="132"/>
        <v>2903262.478679968</v>
      </c>
      <c r="BW211" s="2064" t="e">
        <f>INT(#REF!)=INT(BA211)</f>
        <v>#REF!</v>
      </c>
      <c r="BX211" s="2064">
        <v>204</v>
      </c>
      <c r="BY211" s="2064" t="s">
        <v>512</v>
      </c>
    </row>
    <row r="212" spans="1:77" s="1976" customFormat="1" ht="62" x14ac:dyDescent="0.35">
      <c r="A212" s="1372" t="s">
        <v>3041</v>
      </c>
      <c r="B212" s="1372" t="s">
        <v>205</v>
      </c>
      <c r="C212" s="1637">
        <v>1</v>
      </c>
      <c r="D212" s="2055" t="str">
        <f>+'[9]4.3.1'!$A$1</f>
        <v>4.3.1</v>
      </c>
      <c r="E212" s="1372" t="s">
        <v>163</v>
      </c>
      <c r="F212" s="1638">
        <v>180</v>
      </c>
      <c r="G212" s="1638">
        <v>180</v>
      </c>
      <c r="H212" s="1638">
        <v>180</v>
      </c>
      <c r="I212" s="1638">
        <v>180</v>
      </c>
      <c r="J212" s="1372" t="str">
        <f>+'[9]4.3.1'!$B$18</f>
        <v>CI-HWE-STWH-V03-180101</v>
      </c>
      <c r="K212" s="1372" t="str">
        <f t="shared" si="108"/>
        <v>Nicor Gas PY7-PY10 Adjustable Goals Template_2017-06-30, Tab 4.3.1</v>
      </c>
      <c r="L212" s="1639">
        <v>29.700231654228862</v>
      </c>
      <c r="M212" s="1639">
        <v>29.700231654228862</v>
      </c>
      <c r="N212" s="1639">
        <v>29.700231654228862</v>
      </c>
      <c r="O212" s="1639">
        <v>29.700231654228862</v>
      </c>
      <c r="P212" s="1637">
        <v>1</v>
      </c>
      <c r="Q212" s="1637">
        <v>1</v>
      </c>
      <c r="R212" s="1637">
        <v>1</v>
      </c>
      <c r="S212" s="1637">
        <v>1</v>
      </c>
      <c r="T212" s="1640">
        <f t="shared" si="109"/>
        <v>5346.0416977611949</v>
      </c>
      <c r="U212" s="1640">
        <f t="shared" si="110"/>
        <v>5346.0416977611949</v>
      </c>
      <c r="V212" s="1640">
        <f t="shared" si="111"/>
        <v>5346.0416977611949</v>
      </c>
      <c r="W212" s="1640">
        <f t="shared" si="112"/>
        <v>5346.0416977611949</v>
      </c>
      <c r="X212" s="1640">
        <f t="shared" si="113"/>
        <v>21384.16679104478</v>
      </c>
      <c r="Y212" s="1372" t="str">
        <f>J212</f>
        <v>CI-HWE-STWH-V03-180101</v>
      </c>
      <c r="Z212" s="1372" t="str">
        <f t="shared" si="133"/>
        <v>Nicor Gas PY7-PY10 Adjustable Goals Template_2017-06-30, Tab 4.3.1</v>
      </c>
      <c r="AA212" s="2024">
        <f t="shared" si="134"/>
        <v>29.700231654228862</v>
      </c>
      <c r="AB212" s="2028"/>
      <c r="AC212" s="1840">
        <f t="shared" si="114"/>
        <v>5346.0416977611949</v>
      </c>
      <c r="AD212" s="1840">
        <f t="shared" si="115"/>
        <v>0</v>
      </c>
      <c r="AE212" s="1372" t="s">
        <v>2790</v>
      </c>
      <c r="AF212" s="1372" t="s">
        <v>3360</v>
      </c>
      <c r="AG212" s="1981">
        <v>48.221166861193801</v>
      </c>
      <c r="AH212" s="1372" t="s">
        <v>3446</v>
      </c>
      <c r="AI212" s="1640">
        <f t="shared" si="116"/>
        <v>8679.8100350148834</v>
      </c>
      <c r="AJ212" s="1638">
        <f t="shared" si="117"/>
        <v>3333.7683372536885</v>
      </c>
      <c r="AK212" s="1372" t="s">
        <v>2790</v>
      </c>
      <c r="AL212" s="1372" t="s">
        <v>3360</v>
      </c>
      <c r="AM212" s="1981">
        <v>48.221166861193801</v>
      </c>
      <c r="AN212" s="1372" t="str">
        <f>$AH212</f>
        <v>Refer TRM V.7 Updates</v>
      </c>
      <c r="AO212" s="1640">
        <f t="shared" si="118"/>
        <v>8679.8100350148834</v>
      </c>
      <c r="AP212" s="1638">
        <f t="shared" si="119"/>
        <v>3333.7683372536885</v>
      </c>
      <c r="AQ212" s="1372" t="s">
        <v>2790</v>
      </c>
      <c r="AR212" s="1372" t="s">
        <v>3360</v>
      </c>
      <c r="AS212" s="1981">
        <v>48.221166861193801</v>
      </c>
      <c r="AT212" s="1372" t="str">
        <f>AH212</f>
        <v>Refer TRM V.7 Updates</v>
      </c>
      <c r="AU212" s="1640">
        <f t="shared" si="120"/>
        <v>8679.8100350148834</v>
      </c>
      <c r="AV212" s="1638">
        <f t="shared" si="121"/>
        <v>3333.7683372536885</v>
      </c>
      <c r="AW212" s="2044">
        <f t="shared" si="122"/>
        <v>5346.0416977611949</v>
      </c>
      <c r="AX212" s="2044">
        <f t="shared" si="123"/>
        <v>8679.8100350148834</v>
      </c>
      <c r="AY212" s="2044">
        <f t="shared" si="124"/>
        <v>8679.8100350148834</v>
      </c>
      <c r="AZ212" s="2044">
        <f t="shared" si="125"/>
        <v>8679.8100350148834</v>
      </c>
      <c r="BA212" s="2045">
        <f t="shared" si="126"/>
        <v>31385.471802805841</v>
      </c>
      <c r="BB212" s="2045" t="str">
        <f>+'[9]4.3.1'!$A$1</f>
        <v>4.3.1</v>
      </c>
      <c r="BC212" s="2045" t="str">
        <f>+'[9]4.3.1'!$A$1</f>
        <v>4.3.1</v>
      </c>
      <c r="BD212" s="2045">
        <v>0</v>
      </c>
      <c r="BE212" s="2051">
        <v>15</v>
      </c>
      <c r="BF212" s="2051">
        <v>15</v>
      </c>
      <c r="BG212" s="2051">
        <v>15</v>
      </c>
      <c r="BH212" s="2051">
        <v>15</v>
      </c>
      <c r="BI212" s="2045">
        <f t="shared" si="146"/>
        <v>80190.625466417929</v>
      </c>
      <c r="BJ212" s="2045">
        <f t="shared" si="147"/>
        <v>80190.625466417929</v>
      </c>
      <c r="BK212" s="2045">
        <f t="shared" si="148"/>
        <v>80190.625466417929</v>
      </c>
      <c r="BL212" s="2045">
        <f t="shared" si="149"/>
        <v>80190.625466417929</v>
      </c>
      <c r="BM212" s="2045">
        <f t="shared" si="127"/>
        <v>320762.50186567171</v>
      </c>
      <c r="BN212" s="2047">
        <v>15</v>
      </c>
      <c r="BO212" s="2047">
        <v>15</v>
      </c>
      <c r="BP212" s="2047">
        <v>15</v>
      </c>
      <c r="BQ212" s="2047">
        <v>15</v>
      </c>
      <c r="BR212" s="2048">
        <f t="shared" si="128"/>
        <v>80190.625466417929</v>
      </c>
      <c r="BS212" s="2048">
        <f t="shared" si="129"/>
        <v>130197.15052522325</v>
      </c>
      <c r="BT212" s="2048">
        <f t="shared" si="130"/>
        <v>130197.15052522325</v>
      </c>
      <c r="BU212" s="2048">
        <f t="shared" si="131"/>
        <v>130197.15052522325</v>
      </c>
      <c r="BV212" s="1840">
        <f t="shared" si="132"/>
        <v>470782.07704208762</v>
      </c>
      <c r="BW212" s="2064" t="e">
        <f>INT(#REF!)=INT(BA212)</f>
        <v>#REF!</v>
      </c>
      <c r="BX212" s="2064">
        <v>205</v>
      </c>
      <c r="BY212" s="2064" t="s">
        <v>512</v>
      </c>
    </row>
    <row r="213" spans="1:77" s="1976" customFormat="1" ht="62" x14ac:dyDescent="0.35">
      <c r="A213" s="1372" t="s">
        <v>3041</v>
      </c>
      <c r="B213" s="1372" t="s">
        <v>3043</v>
      </c>
      <c r="C213" s="1637">
        <v>1</v>
      </c>
      <c r="D213" s="2055" t="str">
        <f>+'[9]5.4.2'!$A$1</f>
        <v>5.4.2</v>
      </c>
      <c r="E213" s="1372" t="s">
        <v>163</v>
      </c>
      <c r="F213" s="1638">
        <v>450</v>
      </c>
      <c r="G213" s="1638">
        <v>450</v>
      </c>
      <c r="H213" s="1638">
        <v>450</v>
      </c>
      <c r="I213" s="1638">
        <v>450</v>
      </c>
      <c r="J213" s="1372" t="str">
        <f>+'[9]5.4.2'!$B$14</f>
        <v>RS-HWE-GWHT-V07-180101</v>
      </c>
      <c r="K213" s="1372" t="str">
        <f t="shared" si="108"/>
        <v>Nicor Gas PY7-PY10 Adjustable Goals Template_2017-06-30, Tab 5.4.2</v>
      </c>
      <c r="L213" s="1639">
        <v>36.597619159414634</v>
      </c>
      <c r="M213" s="1639">
        <v>36.597619159414634</v>
      </c>
      <c r="N213" s="1639">
        <v>36.597619159414634</v>
      </c>
      <c r="O213" s="1639">
        <v>36.597619159414634</v>
      </c>
      <c r="P213" s="1637">
        <v>1</v>
      </c>
      <c r="Q213" s="1637">
        <v>1</v>
      </c>
      <c r="R213" s="1637">
        <v>1</v>
      </c>
      <c r="S213" s="1637">
        <v>1</v>
      </c>
      <c r="T213" s="1640">
        <f t="shared" si="109"/>
        <v>16468.928621736584</v>
      </c>
      <c r="U213" s="1640">
        <f t="shared" si="110"/>
        <v>16468.928621736584</v>
      </c>
      <c r="V213" s="1640">
        <f t="shared" si="111"/>
        <v>16468.928621736584</v>
      </c>
      <c r="W213" s="1640">
        <f t="shared" si="112"/>
        <v>16468.928621736584</v>
      </c>
      <c r="X213" s="1640">
        <f t="shared" si="113"/>
        <v>65875.714486946337</v>
      </c>
      <c r="Y213" s="1372" t="str">
        <f>J213</f>
        <v>RS-HWE-GWHT-V07-180101</v>
      </c>
      <c r="Z213" s="1372" t="str">
        <f t="shared" si="133"/>
        <v>Nicor Gas PY7-PY10 Adjustable Goals Template_2017-06-30, Tab 5.4.2</v>
      </c>
      <c r="AA213" s="2024">
        <f t="shared" si="134"/>
        <v>36.597619159414634</v>
      </c>
      <c r="AB213" s="2028"/>
      <c r="AC213" s="1840">
        <f t="shared" si="114"/>
        <v>16468.928621736584</v>
      </c>
      <c r="AD213" s="1840">
        <f t="shared" si="115"/>
        <v>0</v>
      </c>
      <c r="AE213" s="1372" t="s">
        <v>3058</v>
      </c>
      <c r="AF213" s="1372" t="s">
        <v>3404</v>
      </c>
      <c r="AG213" s="1981">
        <v>15.645447674402901</v>
      </c>
      <c r="AH213" s="1372" t="s">
        <v>3446</v>
      </c>
      <c r="AI213" s="1640">
        <f t="shared" si="116"/>
        <v>7040.4514534813052</v>
      </c>
      <c r="AJ213" s="1638">
        <f t="shared" si="117"/>
        <v>-9428.4771682552782</v>
      </c>
      <c r="AK213" s="1372" t="s">
        <v>3058</v>
      </c>
      <c r="AL213" s="1372" t="s">
        <v>3404</v>
      </c>
      <c r="AM213" s="1981">
        <v>15.645447674402901</v>
      </c>
      <c r="AN213" s="1372" t="str">
        <f>$AH213</f>
        <v>Refer TRM V.7 Updates</v>
      </c>
      <c r="AO213" s="1640">
        <f t="shared" si="118"/>
        <v>7040.4514534813052</v>
      </c>
      <c r="AP213" s="1638">
        <f t="shared" si="119"/>
        <v>-9428.4771682552782</v>
      </c>
      <c r="AQ213" s="1372" t="s">
        <v>3058</v>
      </c>
      <c r="AR213" s="1372" t="s">
        <v>3404</v>
      </c>
      <c r="AS213" s="1981">
        <v>15.645447674402901</v>
      </c>
      <c r="AT213" s="1372" t="str">
        <f>AH213</f>
        <v>Refer TRM V.7 Updates</v>
      </c>
      <c r="AU213" s="1640">
        <f t="shared" si="120"/>
        <v>7040.4514534813052</v>
      </c>
      <c r="AV213" s="1638">
        <f t="shared" si="121"/>
        <v>-9428.4771682552782</v>
      </c>
      <c r="AW213" s="2044">
        <f t="shared" si="122"/>
        <v>16468.928621736584</v>
      </c>
      <c r="AX213" s="2044">
        <f t="shared" si="123"/>
        <v>7040.4514534813052</v>
      </c>
      <c r="AY213" s="2044">
        <f t="shared" si="124"/>
        <v>7040.4514534813052</v>
      </c>
      <c r="AZ213" s="2044">
        <f t="shared" si="125"/>
        <v>7040.4514534813052</v>
      </c>
      <c r="BA213" s="2045">
        <f t="shared" si="126"/>
        <v>37590.282982180499</v>
      </c>
      <c r="BB213" s="2045" t="str">
        <f>+'[9]5.4.2'!$A$1</f>
        <v>5.4.2</v>
      </c>
      <c r="BC213" s="2045" t="str">
        <f>+'[9]5.4.2'!$A$1</f>
        <v>5.4.2</v>
      </c>
      <c r="BD213" s="2045">
        <v>0</v>
      </c>
      <c r="BE213" s="2051">
        <v>13</v>
      </c>
      <c r="BF213" s="2051">
        <v>13</v>
      </c>
      <c r="BG213" s="2051">
        <v>13</v>
      </c>
      <c r="BH213" s="2051">
        <v>13</v>
      </c>
      <c r="BI213" s="2045">
        <f t="shared" si="146"/>
        <v>214096.07208257559</v>
      </c>
      <c r="BJ213" s="2045">
        <f t="shared" si="147"/>
        <v>214096.07208257559</v>
      </c>
      <c r="BK213" s="2045">
        <f t="shared" si="148"/>
        <v>214096.07208257559</v>
      </c>
      <c r="BL213" s="2045">
        <f t="shared" si="149"/>
        <v>214096.07208257559</v>
      </c>
      <c r="BM213" s="2045">
        <f t="shared" si="127"/>
        <v>856384.28833030234</v>
      </c>
      <c r="BN213" s="2047">
        <v>13</v>
      </c>
      <c r="BO213" s="2047">
        <v>13</v>
      </c>
      <c r="BP213" s="2047">
        <v>13</v>
      </c>
      <c r="BQ213" s="2047">
        <v>13</v>
      </c>
      <c r="BR213" s="2048">
        <f t="shared" si="128"/>
        <v>214096.07208257559</v>
      </c>
      <c r="BS213" s="2048">
        <f t="shared" si="129"/>
        <v>91525.868895256965</v>
      </c>
      <c r="BT213" s="2048">
        <f t="shared" si="130"/>
        <v>91525.868895256965</v>
      </c>
      <c r="BU213" s="2048">
        <f t="shared" si="131"/>
        <v>91525.868895256965</v>
      </c>
      <c r="BV213" s="1840">
        <f t="shared" si="132"/>
        <v>488673.67876834644</v>
      </c>
      <c r="BW213" s="2064" t="e">
        <f>INT(#REF!)=INT(BA213)</f>
        <v>#REF!</v>
      </c>
      <c r="BX213" s="2064">
        <v>206</v>
      </c>
      <c r="BY213" s="2064" t="s">
        <v>512</v>
      </c>
    </row>
    <row r="214" spans="1:77" s="1976" customFormat="1" ht="62" x14ac:dyDescent="0.35">
      <c r="A214" s="1372" t="s">
        <v>3041</v>
      </c>
      <c r="B214" s="1372" t="s">
        <v>248</v>
      </c>
      <c r="C214" s="1637">
        <v>0</v>
      </c>
      <c r="D214" s="2053" t="str">
        <f>'[9]5.3.4'!$A$2</f>
        <v>5.3.4</v>
      </c>
      <c r="E214" s="1372" t="s">
        <v>201</v>
      </c>
      <c r="F214" s="1638">
        <v>375</v>
      </c>
      <c r="G214" s="1638">
        <v>375</v>
      </c>
      <c r="H214" s="1638">
        <v>375</v>
      </c>
      <c r="I214" s="1638">
        <v>375</v>
      </c>
      <c r="J214" s="1372" t="str">
        <f>+'[9]5.3.4'!$B$30</f>
        <v>S-HVC-DINS-V06-160601</v>
      </c>
      <c r="K214" s="1372" t="str">
        <f t="shared" si="108"/>
        <v>Nicor Gas PY7-PY10 Adjustable Goals Template_2017-06-30, Tab 5.3.4</v>
      </c>
      <c r="L214" s="1639">
        <v>181.00609989316254</v>
      </c>
      <c r="M214" s="1639">
        <v>181.00609989316254</v>
      </c>
      <c r="N214" s="1639">
        <v>181.00609989316254</v>
      </c>
      <c r="O214" s="1639">
        <v>181.00609989316254</v>
      </c>
      <c r="P214" s="1637">
        <v>1</v>
      </c>
      <c r="Q214" s="1637">
        <v>1</v>
      </c>
      <c r="R214" s="1637">
        <v>1</v>
      </c>
      <c r="S214" s="1637">
        <v>1</v>
      </c>
      <c r="T214" s="1640">
        <f t="shared" si="109"/>
        <v>67877.287459935949</v>
      </c>
      <c r="U214" s="1640">
        <f t="shared" si="110"/>
        <v>67877.287459935949</v>
      </c>
      <c r="V214" s="1640">
        <f t="shared" si="111"/>
        <v>67877.287459935949</v>
      </c>
      <c r="W214" s="1640">
        <f t="shared" si="112"/>
        <v>67877.287459935949</v>
      </c>
      <c r="X214" s="1640">
        <f t="shared" si="113"/>
        <v>271509.1498397438</v>
      </c>
      <c r="Y214" s="1372" t="str">
        <f>J214</f>
        <v>S-HVC-DINS-V06-160601</v>
      </c>
      <c r="Z214" s="1372" t="str">
        <f t="shared" si="133"/>
        <v>Nicor Gas PY7-PY10 Adjustable Goals Template_2017-06-30, Tab 5.3.4</v>
      </c>
      <c r="AA214" s="1840">
        <f t="shared" si="134"/>
        <v>181.00609989316254</v>
      </c>
      <c r="AB214" s="2028"/>
      <c r="AC214" s="1840">
        <f t="shared" si="114"/>
        <v>67877.287459935949</v>
      </c>
      <c r="AD214" s="1840">
        <f t="shared" si="115"/>
        <v>0</v>
      </c>
      <c r="AE214" s="1372" t="s">
        <v>3010</v>
      </c>
      <c r="AF214" s="1372" t="s">
        <v>3400</v>
      </c>
      <c r="AG214" s="1639">
        <v>181.00609989316254</v>
      </c>
      <c r="AH214" s="1372" t="s">
        <v>3445</v>
      </c>
      <c r="AI214" s="1640">
        <f t="shared" si="116"/>
        <v>67877.287459935949</v>
      </c>
      <c r="AJ214" s="1638">
        <f t="shared" si="117"/>
        <v>0</v>
      </c>
      <c r="AK214" s="1372" t="s">
        <v>3010</v>
      </c>
      <c r="AL214" s="1372" t="s">
        <v>3400</v>
      </c>
      <c r="AM214" s="1639">
        <v>181.00609989316254</v>
      </c>
      <c r="AN214" s="1372" t="str">
        <f>$AH214</f>
        <v>No change</v>
      </c>
      <c r="AO214" s="1640">
        <f t="shared" si="118"/>
        <v>67877.287459935949</v>
      </c>
      <c r="AP214" s="1638">
        <f t="shared" si="119"/>
        <v>0</v>
      </c>
      <c r="AQ214" s="1372" t="s">
        <v>3010</v>
      </c>
      <c r="AR214" s="1372" t="s">
        <v>3400</v>
      </c>
      <c r="AS214" s="1639">
        <v>181.00609989316254</v>
      </c>
      <c r="AT214" s="1372" t="str">
        <f>$AH214</f>
        <v>No change</v>
      </c>
      <c r="AU214" s="1640">
        <f t="shared" si="120"/>
        <v>67877.287459935949</v>
      </c>
      <c r="AV214" s="1638">
        <f t="shared" si="121"/>
        <v>0</v>
      </c>
      <c r="AW214" s="2044">
        <f t="shared" si="122"/>
        <v>67877.287459935949</v>
      </c>
      <c r="AX214" s="2044">
        <f t="shared" si="123"/>
        <v>67877.287459935949</v>
      </c>
      <c r="AY214" s="2044">
        <f t="shared" si="124"/>
        <v>67877.287459935949</v>
      </c>
      <c r="AZ214" s="2044">
        <f t="shared" si="125"/>
        <v>67877.287459935949</v>
      </c>
      <c r="BA214" s="2045">
        <f t="shared" si="126"/>
        <v>271509.1498397438</v>
      </c>
      <c r="BB214" s="2045" t="str">
        <f>'[9]5.3.4'!$A$2</f>
        <v>5.3.4</v>
      </c>
      <c r="BC214" s="2045" t="str">
        <f>'[9]5.3.4'!$A$2</f>
        <v>5.3.4</v>
      </c>
      <c r="BD214" s="2045">
        <v>0</v>
      </c>
      <c r="BE214" s="2051">
        <v>20</v>
      </c>
      <c r="BF214" s="2051">
        <v>20</v>
      </c>
      <c r="BG214" s="2051">
        <v>20</v>
      </c>
      <c r="BH214" s="2051">
        <v>20</v>
      </c>
      <c r="BI214" s="2045">
        <f t="shared" si="146"/>
        <v>1357545.7491987189</v>
      </c>
      <c r="BJ214" s="2045">
        <f t="shared" si="147"/>
        <v>1357545.7491987189</v>
      </c>
      <c r="BK214" s="2045">
        <f t="shared" si="148"/>
        <v>1357545.7491987189</v>
      </c>
      <c r="BL214" s="2045">
        <f t="shared" si="149"/>
        <v>1357545.7491987189</v>
      </c>
      <c r="BM214" s="2045">
        <f t="shared" si="127"/>
        <v>5430182.9967948757</v>
      </c>
      <c r="BN214" s="2047">
        <v>20</v>
      </c>
      <c r="BO214" s="2047">
        <v>20</v>
      </c>
      <c r="BP214" s="2047">
        <v>20</v>
      </c>
      <c r="BQ214" s="2047">
        <v>20</v>
      </c>
      <c r="BR214" s="2048">
        <f t="shared" si="128"/>
        <v>1357545.7491987189</v>
      </c>
      <c r="BS214" s="2048">
        <f t="shared" si="129"/>
        <v>1357545.7491987189</v>
      </c>
      <c r="BT214" s="2048">
        <f t="shared" si="130"/>
        <v>1357545.7491987189</v>
      </c>
      <c r="BU214" s="2048">
        <f t="shared" si="131"/>
        <v>1357545.7491987189</v>
      </c>
      <c r="BV214" s="1840">
        <f t="shared" si="132"/>
        <v>5430182.9967948757</v>
      </c>
      <c r="BW214" s="2064" t="e">
        <f>INT(#REF!)=INT(BA214)</f>
        <v>#REF!</v>
      </c>
      <c r="BX214" s="2064">
        <v>207</v>
      </c>
      <c r="BY214" s="2064" t="s">
        <v>512</v>
      </c>
    </row>
    <row r="215" spans="1:77" s="1976" customFormat="1" ht="18" customHeight="1" x14ac:dyDescent="0.35">
      <c r="A215" s="1372" t="s">
        <v>3041</v>
      </c>
      <c r="B215" s="1372" t="s">
        <v>3024</v>
      </c>
      <c r="C215" s="1637">
        <v>0</v>
      </c>
      <c r="D215" s="1372" t="s">
        <v>295</v>
      </c>
      <c r="E215" s="1372" t="s">
        <v>294</v>
      </c>
      <c r="F215" s="1638">
        <v>301425</v>
      </c>
      <c r="G215" s="1638">
        <v>301425</v>
      </c>
      <c r="H215" s="1638">
        <v>301425</v>
      </c>
      <c r="I215" s="1638">
        <v>301425</v>
      </c>
      <c r="J215" s="1372" t="s">
        <v>295</v>
      </c>
      <c r="K215" s="1372" t="str">
        <f t="shared" ref="K215:K278" si="150">IF(D215&lt;&gt;"Custom",CONCATENATE($H$1,", ",$I$1," ",D215),"")</f>
        <v/>
      </c>
      <c r="L215" s="1639">
        <v>0.16277800826984984</v>
      </c>
      <c r="M215" s="1639">
        <v>0.16277800826984984</v>
      </c>
      <c r="N215" s="1639">
        <v>0.16277800826984984</v>
      </c>
      <c r="O215" s="1639">
        <v>0.16277800826984984</v>
      </c>
      <c r="P215" s="1637">
        <v>1</v>
      </c>
      <c r="Q215" s="1637">
        <v>1</v>
      </c>
      <c r="R215" s="1637">
        <v>1</v>
      </c>
      <c r="S215" s="1637">
        <v>1</v>
      </c>
      <c r="T215" s="1640">
        <f t="shared" ref="T215:T278" si="151">+F215*L215*P215</f>
        <v>49065.361142739486</v>
      </c>
      <c r="U215" s="1640">
        <f t="shared" ref="U215:U278" si="152">+G215*M215*Q215</f>
        <v>49065.361142739486</v>
      </c>
      <c r="V215" s="1640">
        <f t="shared" ref="V215:V278" si="153">+H215*N215*R215</f>
        <v>49065.361142739486</v>
      </c>
      <c r="W215" s="1640">
        <f t="shared" ref="W215:W278" si="154">+I215*O215*S215</f>
        <v>49065.361142739486</v>
      </c>
      <c r="X215" s="1640">
        <f t="shared" ref="X215:X278" si="155">+SUM(T215:W215)</f>
        <v>196261.44457095794</v>
      </c>
      <c r="Y215" s="1829"/>
      <c r="Z215" s="1372" t="str">
        <f t="shared" si="133"/>
        <v/>
      </c>
      <c r="AA215" s="1840">
        <f t="shared" si="134"/>
        <v>0.16277800826984984</v>
      </c>
      <c r="AB215" s="2028"/>
      <c r="AC215" s="1840">
        <f t="shared" ref="AC215:AC278" si="156">F215*AA215*P215</f>
        <v>49065.361142739486</v>
      </c>
      <c r="AD215" s="1840">
        <f t="shared" ref="AD215:AD278" si="157">AC215-T215</f>
        <v>0</v>
      </c>
      <c r="AE215" s="1829"/>
      <c r="AF215" s="1829" t="s">
        <v>3361</v>
      </c>
      <c r="AG215" s="1830">
        <v>0.16277800826984984</v>
      </c>
      <c r="AH215" s="1829"/>
      <c r="AI215" s="1640">
        <f t="shared" ref="AI215:AI278" si="158">G215*AG215*Q215</f>
        <v>49065.361142739486</v>
      </c>
      <c r="AJ215" s="1638">
        <f t="shared" ref="AJ215:AJ278" si="159">AI215-U215</f>
        <v>0</v>
      </c>
      <c r="AK215" s="1829"/>
      <c r="AL215" s="1829" t="s">
        <v>3361</v>
      </c>
      <c r="AM215" s="1830">
        <v>0.16277800826984984</v>
      </c>
      <c r="AN215" s="1829"/>
      <c r="AO215" s="1640">
        <f t="shared" ref="AO215:AO278" si="160">H215*AM215*R215</f>
        <v>49065.361142739486</v>
      </c>
      <c r="AP215" s="1638">
        <f t="shared" ref="AP215:AP278" si="161">AO215-V215</f>
        <v>0</v>
      </c>
      <c r="AQ215" s="1829"/>
      <c r="AR215" s="1829" t="s">
        <v>3361</v>
      </c>
      <c r="AS215" s="1830">
        <v>0.16277800826984984</v>
      </c>
      <c r="AT215" s="1829"/>
      <c r="AU215" s="1640">
        <f t="shared" ref="AU215:AU278" si="162">I215*AS215*S215</f>
        <v>49065.361142739486</v>
      </c>
      <c r="AV215" s="1638">
        <f t="shared" ref="AV215:AV278" si="163">AU215-W215</f>
        <v>0</v>
      </c>
      <c r="AW215" s="2044">
        <f t="shared" ref="AW215:AW278" si="164">IF($C215=1,AC215,T215)</f>
        <v>49065.361142739486</v>
      </c>
      <c r="AX215" s="2044">
        <f t="shared" ref="AX215:AX278" si="165">IF($C215=1,AI215,U215)</f>
        <v>49065.361142739486</v>
      </c>
      <c r="AY215" s="2044">
        <f t="shared" ref="AY215:AY278" si="166">IF($C215=1,AO215,V215)</f>
        <v>49065.361142739486</v>
      </c>
      <c r="AZ215" s="2044">
        <f t="shared" ref="AZ215:AZ278" si="167">IF($C215=1,AU215,W215)</f>
        <v>49065.361142739486</v>
      </c>
      <c r="BA215" s="2045">
        <f t="shared" ref="BA215:BA278" si="168">SUM(AW215:AZ215)</f>
        <v>196261.44457095794</v>
      </c>
      <c r="BB215" s="2049"/>
      <c r="BC215" s="2049"/>
      <c r="BD215" s="2045">
        <v>0</v>
      </c>
      <c r="BE215" s="2051">
        <v>25</v>
      </c>
      <c r="BF215" s="2051">
        <v>25</v>
      </c>
      <c r="BG215" s="2051">
        <v>25</v>
      </c>
      <c r="BH215" s="2051">
        <v>25</v>
      </c>
      <c r="BI215" s="2045">
        <f t="shared" si="146"/>
        <v>1226634.0285684871</v>
      </c>
      <c r="BJ215" s="2045">
        <f t="shared" si="147"/>
        <v>1226634.0285684871</v>
      </c>
      <c r="BK215" s="2045">
        <f t="shared" si="148"/>
        <v>1226634.0285684871</v>
      </c>
      <c r="BL215" s="2045">
        <f t="shared" si="149"/>
        <v>1226634.0285684871</v>
      </c>
      <c r="BM215" s="2045">
        <f t="shared" ref="BM215:BM278" si="169">SUM(BI215:BL215)</f>
        <v>4906536.1142739486</v>
      </c>
      <c r="BN215" s="2047">
        <v>25</v>
      </c>
      <c r="BO215" s="2047">
        <v>25</v>
      </c>
      <c r="BP215" s="2047">
        <v>25</v>
      </c>
      <c r="BQ215" s="2047">
        <v>25</v>
      </c>
      <c r="BR215" s="2048">
        <f t="shared" ref="BR215:BR278" si="170">F215*P215*AA215*BN215</f>
        <v>1226634.0285684871</v>
      </c>
      <c r="BS215" s="2048">
        <f t="shared" ref="BS215:BS278" si="171">G215*Q215*AG215*BO215</f>
        <v>1226634.0285684871</v>
      </c>
      <c r="BT215" s="2048">
        <f t="shared" ref="BT215:BT278" si="172">H215*R215*AM215*BP215</f>
        <v>1226634.0285684871</v>
      </c>
      <c r="BU215" s="2048">
        <f t="shared" ref="BU215:BU278" si="173">I215*S215*AS215*BQ215</f>
        <v>1226634.0285684871</v>
      </c>
      <c r="BV215" s="1840">
        <f t="shared" ref="BV215:BV278" si="174">SUM(BR215:BU215)</f>
        <v>4906536.1142739486</v>
      </c>
      <c r="BW215" s="2064" t="e">
        <f>INT(#REF!)=INT(BA215)</f>
        <v>#REF!</v>
      </c>
      <c r="BX215" s="2064">
        <v>208</v>
      </c>
      <c r="BY215" s="2064" t="s">
        <v>295</v>
      </c>
    </row>
    <row r="216" spans="1:77" s="1976" customFormat="1" ht="18" customHeight="1" x14ac:dyDescent="0.35">
      <c r="A216" s="1372" t="s">
        <v>681</v>
      </c>
      <c r="B216" s="1372" t="s">
        <v>266</v>
      </c>
      <c r="C216" s="1637">
        <v>0</v>
      </c>
      <c r="D216" s="1372" t="s">
        <v>3516</v>
      </c>
      <c r="E216" s="1843" t="s">
        <v>202</v>
      </c>
      <c r="F216" s="1845">
        <v>60</v>
      </c>
      <c r="G216" s="1845">
        <v>60</v>
      </c>
      <c r="H216" s="1845">
        <v>60</v>
      </c>
      <c r="I216" s="1845">
        <v>60</v>
      </c>
      <c r="J216" s="1843" t="s">
        <v>295</v>
      </c>
      <c r="K216" s="1843" t="str">
        <f t="shared" si="150"/>
        <v>Nicor Gas PY7-PY10 Adjustable Goals Template_2017-06-30, Tab Customized TRM</v>
      </c>
      <c r="L216" s="1846">
        <v>6.2000000000000011</v>
      </c>
      <c r="M216" s="1846">
        <v>6.2000000000000011</v>
      </c>
      <c r="N216" s="1846">
        <v>6.2000000000000011</v>
      </c>
      <c r="O216" s="1846">
        <v>6.2000000000000011</v>
      </c>
      <c r="P216" s="1844">
        <v>0.95</v>
      </c>
      <c r="Q216" s="1844">
        <v>0.95</v>
      </c>
      <c r="R216" s="1844">
        <v>0.95</v>
      </c>
      <c r="S216" s="1844">
        <v>0.95</v>
      </c>
      <c r="T216" s="1847">
        <f t="shared" si="151"/>
        <v>353.40000000000003</v>
      </c>
      <c r="U216" s="1847">
        <f t="shared" si="152"/>
        <v>353.40000000000003</v>
      </c>
      <c r="V216" s="1847">
        <f t="shared" si="153"/>
        <v>353.40000000000003</v>
      </c>
      <c r="W216" s="1847">
        <f t="shared" si="154"/>
        <v>353.40000000000003</v>
      </c>
      <c r="X216" s="1847">
        <f t="shared" si="155"/>
        <v>1413.6000000000001</v>
      </c>
      <c r="Y216" s="1843"/>
      <c r="Z216" s="1843" t="str">
        <f t="shared" si="133"/>
        <v>Nicor Gas PY7-PY10 Adjustable Goals Template_2017-06-30, Tab Customized TRM</v>
      </c>
      <c r="AA216" s="1848">
        <f t="shared" si="134"/>
        <v>6.2000000000000011</v>
      </c>
      <c r="AB216" s="1848"/>
      <c r="AC216" s="1848">
        <f t="shared" si="156"/>
        <v>353.40000000000003</v>
      </c>
      <c r="AD216" s="1848">
        <f t="shared" si="157"/>
        <v>0</v>
      </c>
      <c r="AE216" s="1843"/>
      <c r="AF216" s="1843" t="s">
        <v>3361</v>
      </c>
      <c r="AG216" s="1846">
        <v>6.2000000000000011</v>
      </c>
      <c r="AH216" s="1843"/>
      <c r="AI216" s="1847">
        <f t="shared" si="158"/>
        <v>353.40000000000003</v>
      </c>
      <c r="AJ216" s="1845">
        <f t="shared" si="159"/>
        <v>0</v>
      </c>
      <c r="AK216" s="1843"/>
      <c r="AL216" s="1843" t="s">
        <v>3361</v>
      </c>
      <c r="AM216" s="1846">
        <v>6.2000000000000011</v>
      </c>
      <c r="AN216" s="1843"/>
      <c r="AO216" s="1847">
        <f t="shared" si="160"/>
        <v>353.40000000000003</v>
      </c>
      <c r="AP216" s="1845">
        <f t="shared" si="161"/>
        <v>0</v>
      </c>
      <c r="AQ216" s="1843"/>
      <c r="AR216" s="1843" t="s">
        <v>3361</v>
      </c>
      <c r="AS216" s="1846">
        <v>6.2000000000000011</v>
      </c>
      <c r="AT216" s="1843"/>
      <c r="AU216" s="1847">
        <f t="shared" si="162"/>
        <v>353.40000000000003</v>
      </c>
      <c r="AV216" s="1845">
        <f t="shared" si="163"/>
        <v>0</v>
      </c>
      <c r="AW216" s="2123">
        <f t="shared" si="164"/>
        <v>353.40000000000003</v>
      </c>
      <c r="AX216" s="2123">
        <f t="shared" si="165"/>
        <v>353.40000000000003</v>
      </c>
      <c r="AY216" s="2123">
        <f t="shared" si="166"/>
        <v>353.40000000000003</v>
      </c>
      <c r="AZ216" s="2123">
        <f t="shared" si="167"/>
        <v>353.40000000000003</v>
      </c>
      <c r="BA216" s="2051">
        <f t="shared" si="168"/>
        <v>1413.6000000000001</v>
      </c>
      <c r="BB216" s="2051"/>
      <c r="BC216" s="2051"/>
      <c r="BD216" s="2121">
        <v>1</v>
      </c>
      <c r="BE216" s="2051">
        <v>14</v>
      </c>
      <c r="BF216" s="2051">
        <v>14</v>
      </c>
      <c r="BG216" s="2051">
        <v>14</v>
      </c>
      <c r="BH216" s="2051">
        <v>14</v>
      </c>
      <c r="BI216" s="2045">
        <f t="shared" si="146"/>
        <v>4947.6000000000004</v>
      </c>
      <c r="BJ216" s="2045">
        <f t="shared" si="147"/>
        <v>4947.6000000000004</v>
      </c>
      <c r="BK216" s="2045">
        <f t="shared" si="148"/>
        <v>4947.6000000000004</v>
      </c>
      <c r="BL216" s="2045">
        <f t="shared" si="149"/>
        <v>4947.6000000000004</v>
      </c>
      <c r="BM216" s="2045">
        <f t="shared" si="169"/>
        <v>19790.400000000001</v>
      </c>
      <c r="BN216" s="2047">
        <v>14</v>
      </c>
      <c r="BO216" s="2050">
        <v>15</v>
      </c>
      <c r="BP216" s="2050">
        <v>15</v>
      </c>
      <c r="BQ216" s="2050">
        <v>15</v>
      </c>
      <c r="BR216" s="2048">
        <f t="shared" si="170"/>
        <v>4947.6000000000004</v>
      </c>
      <c r="BS216" s="2048">
        <f t="shared" si="171"/>
        <v>5301.0000000000009</v>
      </c>
      <c r="BT216" s="2048">
        <f t="shared" si="172"/>
        <v>5301.0000000000009</v>
      </c>
      <c r="BU216" s="2048">
        <f t="shared" si="173"/>
        <v>5301.0000000000009</v>
      </c>
      <c r="BV216" s="1840">
        <f t="shared" si="174"/>
        <v>20850.600000000002</v>
      </c>
      <c r="BW216" s="2064" t="e">
        <f>INT(#REF!)=INT(BA216)</f>
        <v>#REF!</v>
      </c>
      <c r="BX216" s="2064">
        <v>209</v>
      </c>
      <c r="BY216" s="2064" t="s">
        <v>3485</v>
      </c>
    </row>
    <row r="217" spans="1:77" s="1976" customFormat="1" ht="18" customHeight="1" x14ac:dyDescent="0.35">
      <c r="A217" s="1372" t="s">
        <v>681</v>
      </c>
      <c r="B217" s="1372" t="s">
        <v>282</v>
      </c>
      <c r="C217" s="1637">
        <v>0</v>
      </c>
      <c r="D217" s="1372" t="s">
        <v>3516</v>
      </c>
      <c r="E217" s="1843" t="s">
        <v>202</v>
      </c>
      <c r="F217" s="1845">
        <v>41</v>
      </c>
      <c r="G217" s="1845">
        <v>41</v>
      </c>
      <c r="H217" s="1845">
        <v>41</v>
      </c>
      <c r="I217" s="1845">
        <v>41</v>
      </c>
      <c r="J217" s="1843" t="s">
        <v>295</v>
      </c>
      <c r="K217" s="1843" t="str">
        <f t="shared" si="150"/>
        <v>Nicor Gas PY7-PY10 Adjustable Goals Template_2017-06-30, Tab Customized TRM</v>
      </c>
      <c r="L217" s="1846">
        <v>5.0698880597014924</v>
      </c>
      <c r="M217" s="1846">
        <v>5.0698880597014924</v>
      </c>
      <c r="N217" s="1846">
        <v>5.0698880597014924</v>
      </c>
      <c r="O217" s="1846">
        <v>5.0698880597014924</v>
      </c>
      <c r="P217" s="1844">
        <v>0.95</v>
      </c>
      <c r="Q217" s="1844">
        <v>0.95</v>
      </c>
      <c r="R217" s="1844">
        <v>0.95</v>
      </c>
      <c r="S217" s="1844">
        <v>0.95</v>
      </c>
      <c r="T217" s="1847">
        <f t="shared" si="151"/>
        <v>197.47213992537311</v>
      </c>
      <c r="U217" s="1847">
        <f t="shared" si="152"/>
        <v>197.47213992537311</v>
      </c>
      <c r="V217" s="1847">
        <f t="shared" si="153"/>
        <v>197.47213992537311</v>
      </c>
      <c r="W217" s="1847">
        <f t="shared" si="154"/>
        <v>197.47213992537311</v>
      </c>
      <c r="X217" s="1847">
        <f t="shared" si="155"/>
        <v>789.88855970149245</v>
      </c>
      <c r="Y217" s="1843"/>
      <c r="Z217" s="1843" t="str">
        <f t="shared" si="133"/>
        <v>Nicor Gas PY7-PY10 Adjustable Goals Template_2017-06-30, Tab Customized TRM</v>
      </c>
      <c r="AA217" s="1848">
        <f t="shared" si="134"/>
        <v>5.0698880597014924</v>
      </c>
      <c r="AB217" s="1848"/>
      <c r="AC217" s="1848">
        <f t="shared" si="156"/>
        <v>197.47213992537311</v>
      </c>
      <c r="AD217" s="1848">
        <f t="shared" si="157"/>
        <v>0</v>
      </c>
      <c r="AE217" s="1843"/>
      <c r="AF217" s="1843" t="s">
        <v>3361</v>
      </c>
      <c r="AG217" s="1846">
        <v>5.0698880597014924</v>
      </c>
      <c r="AH217" s="1843"/>
      <c r="AI217" s="1847">
        <f t="shared" si="158"/>
        <v>197.47213992537311</v>
      </c>
      <c r="AJ217" s="1845">
        <f t="shared" si="159"/>
        <v>0</v>
      </c>
      <c r="AK217" s="1843"/>
      <c r="AL217" s="1843" t="s">
        <v>3361</v>
      </c>
      <c r="AM217" s="1846">
        <v>5.0698880597014924</v>
      </c>
      <c r="AN217" s="1843"/>
      <c r="AO217" s="1847">
        <f t="shared" si="160"/>
        <v>197.47213992537311</v>
      </c>
      <c r="AP217" s="1845">
        <f t="shared" si="161"/>
        <v>0</v>
      </c>
      <c r="AQ217" s="1843"/>
      <c r="AR217" s="1843" t="s">
        <v>3361</v>
      </c>
      <c r="AS217" s="1846">
        <v>5.0698880597014924</v>
      </c>
      <c r="AT217" s="1843"/>
      <c r="AU217" s="1847">
        <f t="shared" si="162"/>
        <v>197.47213992537311</v>
      </c>
      <c r="AV217" s="1845">
        <f t="shared" si="163"/>
        <v>0</v>
      </c>
      <c r="AW217" s="2123">
        <f t="shared" si="164"/>
        <v>197.47213992537311</v>
      </c>
      <c r="AX217" s="2123">
        <f t="shared" si="165"/>
        <v>197.47213992537311</v>
      </c>
      <c r="AY217" s="2123">
        <f t="shared" si="166"/>
        <v>197.47213992537311</v>
      </c>
      <c r="AZ217" s="2123">
        <f t="shared" si="167"/>
        <v>197.47213992537311</v>
      </c>
      <c r="BA217" s="2051">
        <f t="shared" si="168"/>
        <v>789.88855970149245</v>
      </c>
      <c r="BB217" s="2051"/>
      <c r="BC217" s="2051"/>
      <c r="BD217" s="2045">
        <v>0</v>
      </c>
      <c r="BE217" s="2051">
        <v>15</v>
      </c>
      <c r="BF217" s="2051">
        <v>15</v>
      </c>
      <c r="BG217" s="2051">
        <v>15</v>
      </c>
      <c r="BH217" s="2051">
        <v>15</v>
      </c>
      <c r="BI217" s="2045">
        <f t="shared" si="146"/>
        <v>2962.0820988805967</v>
      </c>
      <c r="BJ217" s="2045">
        <f t="shared" si="147"/>
        <v>2962.0820988805967</v>
      </c>
      <c r="BK217" s="2045">
        <f t="shared" si="148"/>
        <v>2962.0820988805967</v>
      </c>
      <c r="BL217" s="2045">
        <f t="shared" si="149"/>
        <v>2962.0820988805967</v>
      </c>
      <c r="BM217" s="2045">
        <f t="shared" si="169"/>
        <v>11848.328395522387</v>
      </c>
      <c r="BN217" s="2047">
        <v>15</v>
      </c>
      <c r="BO217" s="2047">
        <v>15</v>
      </c>
      <c r="BP217" s="2047">
        <v>15</v>
      </c>
      <c r="BQ217" s="2047">
        <v>15</v>
      </c>
      <c r="BR217" s="2048">
        <f t="shared" si="170"/>
        <v>2962.0820988805967</v>
      </c>
      <c r="BS217" s="2048">
        <f t="shared" si="171"/>
        <v>2962.0820988805967</v>
      </c>
      <c r="BT217" s="2048">
        <f t="shared" si="172"/>
        <v>2962.0820988805967</v>
      </c>
      <c r="BU217" s="2048">
        <f t="shared" si="173"/>
        <v>2962.0820988805967</v>
      </c>
      <c r="BV217" s="1840">
        <f t="shared" si="174"/>
        <v>11848.328395522387</v>
      </c>
      <c r="BW217" s="2064" t="e">
        <f>INT(#REF!)=INT(BA217)</f>
        <v>#REF!</v>
      </c>
      <c r="BX217" s="2064">
        <v>210</v>
      </c>
      <c r="BY217" s="2064" t="s">
        <v>3485</v>
      </c>
    </row>
    <row r="218" spans="1:77" s="1976" customFormat="1" ht="62" x14ac:dyDescent="0.35">
      <c r="A218" s="1372" t="s">
        <v>681</v>
      </c>
      <c r="B218" s="1372" t="s">
        <v>236</v>
      </c>
      <c r="C218" s="1637">
        <v>1</v>
      </c>
      <c r="D218" s="2055" t="str">
        <f>'[9]5.4.4'!$A$1</f>
        <v>5.4.4</v>
      </c>
      <c r="E218" s="1372" t="s">
        <v>201</v>
      </c>
      <c r="F218" s="1638">
        <v>3069</v>
      </c>
      <c r="G218" s="1638">
        <v>3069</v>
      </c>
      <c r="H218" s="1638">
        <v>3069</v>
      </c>
      <c r="I218" s="1638">
        <v>3069</v>
      </c>
      <c r="J218" s="1372" t="str">
        <f>+'[9]5.4.4'!$B$17</f>
        <v>RS-HWE-LFFA-V06-180101</v>
      </c>
      <c r="K218" s="1372" t="str">
        <f t="shared" si="150"/>
        <v>Nicor Gas PY7-PY10 Adjustable Goals Template_2017-06-30, Tab 5.4.4</v>
      </c>
      <c r="L218" s="1639">
        <v>1.2497046281999995</v>
      </c>
      <c r="M218" s="1639">
        <v>1.2497046281999995</v>
      </c>
      <c r="N218" s="1639">
        <v>1.2497046281999995</v>
      </c>
      <c r="O218" s="1639">
        <v>1.2497046281999995</v>
      </c>
      <c r="P218" s="1637">
        <v>0.95</v>
      </c>
      <c r="Q218" s="1637">
        <v>0.95</v>
      </c>
      <c r="R218" s="1637">
        <v>0.95</v>
      </c>
      <c r="S218" s="1637">
        <v>0.95</v>
      </c>
      <c r="T218" s="1640">
        <f t="shared" si="151"/>
        <v>3643.5763287485083</v>
      </c>
      <c r="U218" s="1640">
        <f t="shared" si="152"/>
        <v>3643.5763287485083</v>
      </c>
      <c r="V218" s="1640">
        <f t="shared" si="153"/>
        <v>3643.5763287485083</v>
      </c>
      <c r="W218" s="1640">
        <f t="shared" si="154"/>
        <v>3643.5763287485083</v>
      </c>
      <c r="X218" s="1640">
        <f t="shared" si="155"/>
        <v>14574.305314994033</v>
      </c>
      <c r="Y218" s="1372" t="str">
        <f t="shared" ref="Y218:Y230" si="175">J218</f>
        <v>RS-HWE-LFFA-V06-180101</v>
      </c>
      <c r="Z218" s="1372" t="str">
        <f t="shared" si="133"/>
        <v>Nicor Gas PY7-PY10 Adjustable Goals Template_2017-06-30, Tab 5.4.4</v>
      </c>
      <c r="AA218" s="2024">
        <f t="shared" si="134"/>
        <v>1.2497046281999995</v>
      </c>
      <c r="AB218" s="2028"/>
      <c r="AC218" s="1840">
        <f t="shared" si="156"/>
        <v>3643.5763287485083</v>
      </c>
      <c r="AD218" s="1840">
        <f t="shared" si="157"/>
        <v>0</v>
      </c>
      <c r="AE218" s="1372" t="s">
        <v>2799</v>
      </c>
      <c r="AF218" s="1372" t="s">
        <v>3393</v>
      </c>
      <c r="AG218" s="1981">
        <v>1.6385016236400001</v>
      </c>
      <c r="AH218" s="1372" t="s">
        <v>3446</v>
      </c>
      <c r="AI218" s="1640">
        <f t="shared" si="158"/>
        <v>4777.1334088036019</v>
      </c>
      <c r="AJ218" s="1638">
        <f t="shared" si="159"/>
        <v>1133.5570800550936</v>
      </c>
      <c r="AK218" s="1372" t="s">
        <v>2799</v>
      </c>
      <c r="AL218" s="1372" t="s">
        <v>3393</v>
      </c>
      <c r="AM218" s="1981">
        <v>1.6385016236400001</v>
      </c>
      <c r="AN218" s="1372" t="str">
        <f t="shared" ref="AN218:AN230" si="176">$AH218</f>
        <v>Refer TRM V.7 Updates</v>
      </c>
      <c r="AO218" s="1640">
        <f t="shared" si="160"/>
        <v>4777.1334088036019</v>
      </c>
      <c r="AP218" s="1638">
        <f t="shared" si="161"/>
        <v>1133.5570800550936</v>
      </c>
      <c r="AQ218" s="1372" t="s">
        <v>2799</v>
      </c>
      <c r="AR218" s="1372" t="s">
        <v>3393</v>
      </c>
      <c r="AS218" s="1981">
        <v>1.6385016236400001</v>
      </c>
      <c r="AT218" s="1372" t="str">
        <f t="shared" ref="AT218:AT225" si="177">AH218</f>
        <v>Refer TRM V.7 Updates</v>
      </c>
      <c r="AU218" s="1640">
        <f t="shared" si="162"/>
        <v>4777.1334088036019</v>
      </c>
      <c r="AV218" s="1638">
        <f t="shared" si="163"/>
        <v>1133.5570800550936</v>
      </c>
      <c r="AW218" s="2044">
        <f t="shared" si="164"/>
        <v>3643.5763287485083</v>
      </c>
      <c r="AX218" s="2044">
        <f t="shared" si="165"/>
        <v>4777.1334088036019</v>
      </c>
      <c r="AY218" s="2044">
        <f t="shared" si="166"/>
        <v>4777.1334088036019</v>
      </c>
      <c r="AZ218" s="2044">
        <f t="shared" si="167"/>
        <v>4777.1334088036019</v>
      </c>
      <c r="BA218" s="2045">
        <f t="shared" si="168"/>
        <v>17974.976555159315</v>
      </c>
      <c r="BB218" s="2045" t="str">
        <f>'[9]5.4.4'!$A$1</f>
        <v>5.4.4</v>
      </c>
      <c r="BC218" s="2045" t="str">
        <f>'[9]5.4.4'!$A$1</f>
        <v>5.4.4</v>
      </c>
      <c r="BD218" s="2121">
        <v>1</v>
      </c>
      <c r="BE218" s="2051">
        <v>9</v>
      </c>
      <c r="BF218" s="2051">
        <v>9</v>
      </c>
      <c r="BG218" s="2051">
        <v>9</v>
      </c>
      <c r="BH218" s="2051">
        <v>9</v>
      </c>
      <c r="BI218" s="2045">
        <f t="shared" si="146"/>
        <v>32792.186958736573</v>
      </c>
      <c r="BJ218" s="2045">
        <f t="shared" si="147"/>
        <v>32792.186958736573</v>
      </c>
      <c r="BK218" s="2045">
        <f t="shared" si="148"/>
        <v>32792.186958736573</v>
      </c>
      <c r="BL218" s="2045">
        <f t="shared" si="149"/>
        <v>32792.186958736573</v>
      </c>
      <c r="BM218" s="2045">
        <f t="shared" si="169"/>
        <v>131168.74783494629</v>
      </c>
      <c r="BN218" s="2047">
        <v>9</v>
      </c>
      <c r="BO218" s="2050">
        <v>10</v>
      </c>
      <c r="BP218" s="2050">
        <v>10</v>
      </c>
      <c r="BQ218" s="2050">
        <v>10</v>
      </c>
      <c r="BR218" s="2048">
        <f t="shared" si="170"/>
        <v>32792.186958736573</v>
      </c>
      <c r="BS218" s="2048">
        <f t="shared" si="171"/>
        <v>47771.334088036019</v>
      </c>
      <c r="BT218" s="2048">
        <f t="shared" si="172"/>
        <v>47771.334088036019</v>
      </c>
      <c r="BU218" s="2048">
        <f t="shared" si="173"/>
        <v>47771.334088036019</v>
      </c>
      <c r="BV218" s="1840">
        <f t="shared" si="174"/>
        <v>176106.18922284464</v>
      </c>
      <c r="BW218" s="2064" t="e">
        <f>INT(#REF!)=INT(BA218)</f>
        <v>#REF!</v>
      </c>
      <c r="BX218" s="2064">
        <v>211</v>
      </c>
      <c r="BY218" s="2064" t="s">
        <v>512</v>
      </c>
    </row>
    <row r="219" spans="1:77" s="1976" customFormat="1" ht="62" x14ac:dyDescent="0.35">
      <c r="A219" s="1372" t="s">
        <v>681</v>
      </c>
      <c r="B219" s="1372" t="s">
        <v>237</v>
      </c>
      <c r="C219" s="1637">
        <v>1</v>
      </c>
      <c r="D219" s="2055" t="str">
        <f>'[9]5.4.4'!$A$1</f>
        <v>5.4.4</v>
      </c>
      <c r="E219" s="1372" t="s">
        <v>201</v>
      </c>
      <c r="F219" s="1638">
        <v>150</v>
      </c>
      <c r="G219" s="1638">
        <v>150</v>
      </c>
      <c r="H219" s="1638">
        <v>150</v>
      </c>
      <c r="I219" s="1638">
        <v>150</v>
      </c>
      <c r="J219" s="1372" t="str">
        <f>+'[9]5.4.4'!$B$17</f>
        <v>RS-HWE-LFFA-V06-180101</v>
      </c>
      <c r="K219" s="1372" t="str">
        <f t="shared" si="150"/>
        <v>Nicor Gas PY7-PY10 Adjustable Goals Template_2017-06-30, Tab 5.4.4</v>
      </c>
      <c r="L219" s="1639">
        <v>1.2497046281999995</v>
      </c>
      <c r="M219" s="1639">
        <v>1.2497046281999995</v>
      </c>
      <c r="N219" s="1639">
        <v>1.2497046281999995</v>
      </c>
      <c r="O219" s="1639">
        <v>1.2497046281999995</v>
      </c>
      <c r="P219" s="1637">
        <v>0.95</v>
      </c>
      <c r="Q219" s="1637">
        <v>0.95</v>
      </c>
      <c r="R219" s="1637">
        <v>0.95</v>
      </c>
      <c r="S219" s="1637">
        <v>0.95</v>
      </c>
      <c r="T219" s="1640">
        <f t="shared" si="151"/>
        <v>178.08290951849992</v>
      </c>
      <c r="U219" s="1640">
        <f t="shared" si="152"/>
        <v>178.08290951849992</v>
      </c>
      <c r="V219" s="1640">
        <f t="shared" si="153"/>
        <v>178.08290951849992</v>
      </c>
      <c r="W219" s="1640">
        <f t="shared" si="154"/>
        <v>178.08290951849992</v>
      </c>
      <c r="X219" s="1640">
        <f t="shared" si="155"/>
        <v>712.33163807399967</v>
      </c>
      <c r="Y219" s="1372" t="str">
        <f t="shared" si="175"/>
        <v>RS-HWE-LFFA-V06-180101</v>
      </c>
      <c r="Z219" s="1372" t="str">
        <f t="shared" si="133"/>
        <v>Nicor Gas PY7-PY10 Adjustable Goals Template_2017-06-30, Tab 5.4.4</v>
      </c>
      <c r="AA219" s="2024">
        <f t="shared" si="134"/>
        <v>1.2497046281999995</v>
      </c>
      <c r="AB219" s="2028"/>
      <c r="AC219" s="1840">
        <f t="shared" si="156"/>
        <v>178.08290951849992</v>
      </c>
      <c r="AD219" s="1840">
        <f t="shared" si="157"/>
        <v>0</v>
      </c>
      <c r="AE219" s="1372" t="s">
        <v>2799</v>
      </c>
      <c r="AF219" s="1372" t="s">
        <v>3393</v>
      </c>
      <c r="AG219" s="1981">
        <v>1.6385016236400001</v>
      </c>
      <c r="AH219" s="1372" t="s">
        <v>3446</v>
      </c>
      <c r="AI219" s="1640">
        <f t="shared" si="158"/>
        <v>233.4864813687</v>
      </c>
      <c r="AJ219" s="1638">
        <f t="shared" si="159"/>
        <v>55.40357185020008</v>
      </c>
      <c r="AK219" s="1372" t="s">
        <v>2799</v>
      </c>
      <c r="AL219" s="1372" t="s">
        <v>3393</v>
      </c>
      <c r="AM219" s="1981">
        <v>1.6385016236400001</v>
      </c>
      <c r="AN219" s="1372" t="str">
        <f t="shared" si="176"/>
        <v>Refer TRM V.7 Updates</v>
      </c>
      <c r="AO219" s="1640">
        <f t="shared" si="160"/>
        <v>233.4864813687</v>
      </c>
      <c r="AP219" s="1638">
        <f t="shared" si="161"/>
        <v>55.40357185020008</v>
      </c>
      <c r="AQ219" s="1372" t="s">
        <v>2799</v>
      </c>
      <c r="AR219" s="1372" t="s">
        <v>3393</v>
      </c>
      <c r="AS219" s="1981">
        <v>1.6385016236400001</v>
      </c>
      <c r="AT219" s="1372" t="str">
        <f t="shared" si="177"/>
        <v>Refer TRM V.7 Updates</v>
      </c>
      <c r="AU219" s="1640">
        <f t="shared" si="162"/>
        <v>233.4864813687</v>
      </c>
      <c r="AV219" s="1638">
        <f t="shared" si="163"/>
        <v>55.40357185020008</v>
      </c>
      <c r="AW219" s="2044">
        <f t="shared" si="164"/>
        <v>178.08290951849992</v>
      </c>
      <c r="AX219" s="2044">
        <f t="shared" si="165"/>
        <v>233.4864813687</v>
      </c>
      <c r="AY219" s="2044">
        <f t="shared" si="166"/>
        <v>233.4864813687</v>
      </c>
      <c r="AZ219" s="2044">
        <f t="shared" si="167"/>
        <v>233.4864813687</v>
      </c>
      <c r="BA219" s="2045">
        <f t="shared" si="168"/>
        <v>878.54235362459985</v>
      </c>
      <c r="BB219" s="2045" t="str">
        <f>'[9]5.4.4'!$A$1</f>
        <v>5.4.4</v>
      </c>
      <c r="BC219" s="2045" t="str">
        <f>'[9]5.4.4'!$A$1</f>
        <v>5.4.4</v>
      </c>
      <c r="BD219" s="2121">
        <v>1</v>
      </c>
      <c r="BE219" s="2051">
        <v>9</v>
      </c>
      <c r="BF219" s="2051">
        <v>9</v>
      </c>
      <c r="BG219" s="2051">
        <v>9</v>
      </c>
      <c r="BH219" s="2051">
        <v>9</v>
      </c>
      <c r="BI219" s="2045">
        <f t="shared" si="146"/>
        <v>1602.7461856664993</v>
      </c>
      <c r="BJ219" s="2045">
        <f t="shared" si="147"/>
        <v>1602.7461856664993</v>
      </c>
      <c r="BK219" s="2045">
        <f t="shared" si="148"/>
        <v>1602.7461856664993</v>
      </c>
      <c r="BL219" s="2045">
        <f t="shared" si="149"/>
        <v>1602.7461856664993</v>
      </c>
      <c r="BM219" s="2045">
        <f t="shared" si="169"/>
        <v>6410.9847426659971</v>
      </c>
      <c r="BN219" s="2047">
        <v>9</v>
      </c>
      <c r="BO219" s="2050">
        <v>10</v>
      </c>
      <c r="BP219" s="2050">
        <v>10</v>
      </c>
      <c r="BQ219" s="2050">
        <v>10</v>
      </c>
      <c r="BR219" s="2048">
        <f t="shared" si="170"/>
        <v>1602.7461856664993</v>
      </c>
      <c r="BS219" s="2048">
        <f t="shared" si="171"/>
        <v>2334.8648136870002</v>
      </c>
      <c r="BT219" s="2048">
        <f t="shared" si="172"/>
        <v>2334.8648136870002</v>
      </c>
      <c r="BU219" s="2048">
        <f t="shared" si="173"/>
        <v>2334.8648136870002</v>
      </c>
      <c r="BV219" s="1840">
        <f t="shared" si="174"/>
        <v>8607.3406267274986</v>
      </c>
      <c r="BW219" s="2064" t="e">
        <f>INT(#REF!)=INT(BA219)</f>
        <v>#REF!</v>
      </c>
      <c r="BX219" s="2064">
        <v>212</v>
      </c>
      <c r="BY219" s="2064" t="s">
        <v>512</v>
      </c>
    </row>
    <row r="220" spans="1:77" s="1976" customFormat="1" ht="62" x14ac:dyDescent="0.35">
      <c r="A220" s="1372" t="s">
        <v>681</v>
      </c>
      <c r="B220" s="1372" t="s">
        <v>238</v>
      </c>
      <c r="C220" s="1637">
        <v>1</v>
      </c>
      <c r="D220" s="2055" t="str">
        <f>'[9]5.4.4'!$A$1</f>
        <v>5.4.4</v>
      </c>
      <c r="E220" s="1372" t="s">
        <v>201</v>
      </c>
      <c r="F220" s="1638">
        <v>3009</v>
      </c>
      <c r="G220" s="1638">
        <v>3009</v>
      </c>
      <c r="H220" s="1638">
        <v>3009</v>
      </c>
      <c r="I220" s="1638">
        <v>3009</v>
      </c>
      <c r="J220" s="1372" t="str">
        <f>+'[9]5.4.4'!$B$17</f>
        <v>RS-HWE-LFFA-V06-180101</v>
      </c>
      <c r="K220" s="1372" t="str">
        <f t="shared" si="150"/>
        <v>Nicor Gas PY7-PY10 Adjustable Goals Template_2017-06-30, Tab 5.4.4</v>
      </c>
      <c r="L220" s="1639">
        <v>5.1307702070625005</v>
      </c>
      <c r="M220" s="1639">
        <v>5.1307702070625005</v>
      </c>
      <c r="N220" s="1639">
        <v>5.1307702070625005</v>
      </c>
      <c r="O220" s="1639">
        <v>5.1307702070625005</v>
      </c>
      <c r="P220" s="1637">
        <v>0.95</v>
      </c>
      <c r="Q220" s="1637">
        <v>0.95</v>
      </c>
      <c r="R220" s="1637">
        <v>0.95</v>
      </c>
      <c r="S220" s="1637">
        <v>0.95</v>
      </c>
      <c r="T220" s="1640">
        <f t="shared" si="151"/>
        <v>14666.563175398509</v>
      </c>
      <c r="U220" s="1640">
        <f t="shared" si="152"/>
        <v>14666.563175398509</v>
      </c>
      <c r="V220" s="1640">
        <f t="shared" si="153"/>
        <v>14666.563175398509</v>
      </c>
      <c r="W220" s="1640">
        <f t="shared" si="154"/>
        <v>14666.563175398509</v>
      </c>
      <c r="X220" s="1640">
        <f t="shared" si="155"/>
        <v>58666.252701594036</v>
      </c>
      <c r="Y220" s="1372" t="str">
        <f t="shared" si="175"/>
        <v>RS-HWE-LFFA-V06-180101</v>
      </c>
      <c r="Z220" s="1372" t="str">
        <f t="shared" si="133"/>
        <v>Nicor Gas PY7-PY10 Adjustable Goals Template_2017-06-30, Tab 5.4.4</v>
      </c>
      <c r="AA220" s="2024">
        <f t="shared" si="134"/>
        <v>5.1307702070625005</v>
      </c>
      <c r="AB220" s="2028"/>
      <c r="AC220" s="1840">
        <f t="shared" si="156"/>
        <v>14666.563175398509</v>
      </c>
      <c r="AD220" s="1840">
        <f t="shared" si="157"/>
        <v>0</v>
      </c>
      <c r="AE220" s="1372" t="s">
        <v>2799</v>
      </c>
      <c r="AF220" s="1372" t="s">
        <v>3393</v>
      </c>
      <c r="AG220" s="1981">
        <v>7.8671809841625002</v>
      </c>
      <c r="AH220" s="1372" t="s">
        <v>3446</v>
      </c>
      <c r="AI220" s="1640">
        <f t="shared" si="158"/>
        <v>22488.730202277715</v>
      </c>
      <c r="AJ220" s="1638">
        <f t="shared" si="159"/>
        <v>7822.1670268792059</v>
      </c>
      <c r="AK220" s="1372" t="s">
        <v>2799</v>
      </c>
      <c r="AL220" s="1372" t="s">
        <v>3393</v>
      </c>
      <c r="AM220" s="1981">
        <v>7.8671809841625002</v>
      </c>
      <c r="AN220" s="1372" t="str">
        <f t="shared" si="176"/>
        <v>Refer TRM V.7 Updates</v>
      </c>
      <c r="AO220" s="1640">
        <f t="shared" si="160"/>
        <v>22488.730202277715</v>
      </c>
      <c r="AP220" s="1638">
        <f t="shared" si="161"/>
        <v>7822.1670268792059</v>
      </c>
      <c r="AQ220" s="1372" t="s">
        <v>2799</v>
      </c>
      <c r="AR220" s="1372" t="s">
        <v>3393</v>
      </c>
      <c r="AS220" s="1981">
        <v>7.8671809841625002</v>
      </c>
      <c r="AT220" s="1372" t="str">
        <f t="shared" si="177"/>
        <v>Refer TRM V.7 Updates</v>
      </c>
      <c r="AU220" s="1640">
        <f t="shared" si="162"/>
        <v>22488.730202277715</v>
      </c>
      <c r="AV220" s="1638">
        <f t="shared" si="163"/>
        <v>7822.1670268792059</v>
      </c>
      <c r="AW220" s="2044">
        <f t="shared" si="164"/>
        <v>14666.563175398509</v>
      </c>
      <c r="AX220" s="2044">
        <f t="shared" si="165"/>
        <v>22488.730202277715</v>
      </c>
      <c r="AY220" s="2044">
        <f t="shared" si="166"/>
        <v>22488.730202277715</v>
      </c>
      <c r="AZ220" s="2044">
        <f t="shared" si="167"/>
        <v>22488.730202277715</v>
      </c>
      <c r="BA220" s="2045">
        <f t="shared" si="168"/>
        <v>82132.753782231652</v>
      </c>
      <c r="BB220" s="2045" t="str">
        <f>'[9]5.4.4'!$A$1</f>
        <v>5.4.4</v>
      </c>
      <c r="BC220" s="2045" t="str">
        <f>'[9]5.4.4'!$A$1</f>
        <v>5.4.4</v>
      </c>
      <c r="BD220" s="2121">
        <v>1</v>
      </c>
      <c r="BE220" s="2051">
        <v>9</v>
      </c>
      <c r="BF220" s="2051">
        <v>9</v>
      </c>
      <c r="BG220" s="2051">
        <v>9</v>
      </c>
      <c r="BH220" s="2051">
        <v>9</v>
      </c>
      <c r="BI220" s="2045">
        <f t="shared" si="146"/>
        <v>131999.06857858659</v>
      </c>
      <c r="BJ220" s="2045">
        <f t="shared" si="147"/>
        <v>131999.06857858659</v>
      </c>
      <c r="BK220" s="2045">
        <f t="shared" si="148"/>
        <v>131999.06857858659</v>
      </c>
      <c r="BL220" s="2045">
        <f t="shared" si="149"/>
        <v>131999.06857858659</v>
      </c>
      <c r="BM220" s="2045">
        <f t="shared" si="169"/>
        <v>527996.27431434637</v>
      </c>
      <c r="BN220" s="2047">
        <v>9</v>
      </c>
      <c r="BO220" s="2050">
        <v>10</v>
      </c>
      <c r="BP220" s="2050">
        <v>10</v>
      </c>
      <c r="BQ220" s="2050">
        <v>10</v>
      </c>
      <c r="BR220" s="2048">
        <f t="shared" si="170"/>
        <v>131999.06857858659</v>
      </c>
      <c r="BS220" s="2048">
        <f t="shared" si="171"/>
        <v>224887.30202277712</v>
      </c>
      <c r="BT220" s="2048">
        <f t="shared" si="172"/>
        <v>224887.30202277712</v>
      </c>
      <c r="BU220" s="2048">
        <f t="shared" si="173"/>
        <v>224887.30202277712</v>
      </c>
      <c r="BV220" s="1840">
        <f t="shared" si="174"/>
        <v>806660.97464691801</v>
      </c>
      <c r="BW220" s="2064" t="e">
        <f>INT(#REF!)=INT(BA220)</f>
        <v>#REF!</v>
      </c>
      <c r="BX220" s="2064">
        <v>213</v>
      </c>
      <c r="BY220" s="2064" t="s">
        <v>512</v>
      </c>
    </row>
    <row r="221" spans="1:77" s="1976" customFormat="1" ht="62" x14ac:dyDescent="0.35">
      <c r="A221" s="1372" t="s">
        <v>681</v>
      </c>
      <c r="B221" s="1372" t="s">
        <v>239</v>
      </c>
      <c r="C221" s="1637">
        <v>1</v>
      </c>
      <c r="D221" s="2055" t="str">
        <f>'[9]5.4.4'!$A$1</f>
        <v>5.4.4</v>
      </c>
      <c r="E221" s="1372" t="s">
        <v>201</v>
      </c>
      <c r="F221" s="1638">
        <v>15</v>
      </c>
      <c r="G221" s="1638">
        <v>15</v>
      </c>
      <c r="H221" s="1638">
        <v>15</v>
      </c>
      <c r="I221" s="1638">
        <v>15</v>
      </c>
      <c r="J221" s="1372" t="str">
        <f>+'[9]5.4.4'!$B$17</f>
        <v>RS-HWE-LFFA-V06-180101</v>
      </c>
      <c r="K221" s="1372" t="str">
        <f t="shared" si="150"/>
        <v>Nicor Gas PY7-PY10 Adjustable Goals Template_2017-06-30, Tab 5.4.4</v>
      </c>
      <c r="L221" s="1639">
        <v>5.1307702070625005</v>
      </c>
      <c r="M221" s="1639">
        <v>5.1307702070625005</v>
      </c>
      <c r="N221" s="1639">
        <v>5.1307702070625005</v>
      </c>
      <c r="O221" s="1639">
        <v>5.1307702070625005</v>
      </c>
      <c r="P221" s="1637">
        <v>0.95</v>
      </c>
      <c r="Q221" s="1637">
        <v>0.95</v>
      </c>
      <c r="R221" s="1637">
        <v>0.95</v>
      </c>
      <c r="S221" s="1637">
        <v>0.95</v>
      </c>
      <c r="T221" s="1640">
        <f t="shared" si="151"/>
        <v>73.113475450640635</v>
      </c>
      <c r="U221" s="1640">
        <f t="shared" si="152"/>
        <v>73.113475450640635</v>
      </c>
      <c r="V221" s="1640">
        <f t="shared" si="153"/>
        <v>73.113475450640635</v>
      </c>
      <c r="W221" s="1640">
        <f t="shared" si="154"/>
        <v>73.113475450640635</v>
      </c>
      <c r="X221" s="1640">
        <f t="shared" si="155"/>
        <v>292.45390180256254</v>
      </c>
      <c r="Y221" s="1372" t="str">
        <f t="shared" si="175"/>
        <v>RS-HWE-LFFA-V06-180101</v>
      </c>
      <c r="Z221" s="1372" t="str">
        <f t="shared" ref="Z221:Z286" si="178">K221</f>
        <v>Nicor Gas PY7-PY10 Adjustable Goals Template_2017-06-30, Tab 5.4.4</v>
      </c>
      <c r="AA221" s="2024">
        <f t="shared" ref="AA221:AA286" si="179">L221</f>
        <v>5.1307702070625005</v>
      </c>
      <c r="AB221" s="2028"/>
      <c r="AC221" s="1840">
        <f t="shared" si="156"/>
        <v>73.113475450640635</v>
      </c>
      <c r="AD221" s="1840">
        <f t="shared" si="157"/>
        <v>0</v>
      </c>
      <c r="AE221" s="1372" t="s">
        <v>2799</v>
      </c>
      <c r="AF221" s="1372" t="s">
        <v>3393</v>
      </c>
      <c r="AG221" s="1981">
        <v>7.8671809841624993</v>
      </c>
      <c r="AH221" s="1372" t="s">
        <v>3446</v>
      </c>
      <c r="AI221" s="1640">
        <f t="shared" si="158"/>
        <v>112.1073290243156</v>
      </c>
      <c r="AJ221" s="1638">
        <f t="shared" si="159"/>
        <v>38.993853573674969</v>
      </c>
      <c r="AK221" s="1372" t="s">
        <v>2799</v>
      </c>
      <c r="AL221" s="1372" t="s">
        <v>3393</v>
      </c>
      <c r="AM221" s="1981">
        <v>7.8671809841624993</v>
      </c>
      <c r="AN221" s="1372" t="str">
        <f t="shared" si="176"/>
        <v>Refer TRM V.7 Updates</v>
      </c>
      <c r="AO221" s="1640">
        <f t="shared" si="160"/>
        <v>112.1073290243156</v>
      </c>
      <c r="AP221" s="1638">
        <f t="shared" si="161"/>
        <v>38.993853573674969</v>
      </c>
      <c r="AQ221" s="1372" t="s">
        <v>2799</v>
      </c>
      <c r="AR221" s="1372" t="s">
        <v>3393</v>
      </c>
      <c r="AS221" s="1981">
        <v>7.8671809841624993</v>
      </c>
      <c r="AT221" s="1372" t="str">
        <f t="shared" si="177"/>
        <v>Refer TRM V.7 Updates</v>
      </c>
      <c r="AU221" s="1640">
        <f t="shared" si="162"/>
        <v>112.1073290243156</v>
      </c>
      <c r="AV221" s="1638">
        <f t="shared" si="163"/>
        <v>38.993853573674969</v>
      </c>
      <c r="AW221" s="2044">
        <f t="shared" si="164"/>
        <v>73.113475450640635</v>
      </c>
      <c r="AX221" s="2044">
        <f t="shared" si="165"/>
        <v>112.1073290243156</v>
      </c>
      <c r="AY221" s="2044">
        <f t="shared" si="166"/>
        <v>112.1073290243156</v>
      </c>
      <c r="AZ221" s="2044">
        <f t="shared" si="167"/>
        <v>112.1073290243156</v>
      </c>
      <c r="BA221" s="2045">
        <f t="shared" si="168"/>
        <v>409.43546252358749</v>
      </c>
      <c r="BB221" s="2045" t="str">
        <f>'[9]5.4.4'!$A$1</f>
        <v>5.4.4</v>
      </c>
      <c r="BC221" s="2045" t="str">
        <f>'[9]5.4.4'!$A$1</f>
        <v>5.4.4</v>
      </c>
      <c r="BD221" s="2121">
        <v>1</v>
      </c>
      <c r="BE221" s="2051">
        <v>9</v>
      </c>
      <c r="BF221" s="2051">
        <v>9</v>
      </c>
      <c r="BG221" s="2051">
        <v>9</v>
      </c>
      <c r="BH221" s="2051">
        <v>9</v>
      </c>
      <c r="BI221" s="2045">
        <f t="shared" si="146"/>
        <v>658.02127905576572</v>
      </c>
      <c r="BJ221" s="2045">
        <f t="shared" si="147"/>
        <v>658.02127905576572</v>
      </c>
      <c r="BK221" s="2045">
        <f t="shared" si="148"/>
        <v>658.02127905576572</v>
      </c>
      <c r="BL221" s="2045">
        <f t="shared" si="149"/>
        <v>658.02127905576572</v>
      </c>
      <c r="BM221" s="2045">
        <f t="shared" si="169"/>
        <v>2632.0851162230629</v>
      </c>
      <c r="BN221" s="2047">
        <v>9</v>
      </c>
      <c r="BO221" s="2050">
        <v>10</v>
      </c>
      <c r="BP221" s="2050">
        <v>10</v>
      </c>
      <c r="BQ221" s="2050">
        <v>10</v>
      </c>
      <c r="BR221" s="2048">
        <f t="shared" si="170"/>
        <v>658.02127905576572</v>
      </c>
      <c r="BS221" s="2048">
        <f t="shared" si="171"/>
        <v>1121.0732902431562</v>
      </c>
      <c r="BT221" s="2048">
        <f t="shared" si="172"/>
        <v>1121.0732902431562</v>
      </c>
      <c r="BU221" s="2048">
        <f t="shared" si="173"/>
        <v>1121.0732902431562</v>
      </c>
      <c r="BV221" s="1840">
        <f t="shared" si="174"/>
        <v>4021.2411497852345</v>
      </c>
      <c r="BW221" s="2064" t="e">
        <f>INT(#REF!)=INT(BA221)</f>
        <v>#REF!</v>
      </c>
      <c r="BX221" s="2064">
        <v>214</v>
      </c>
      <c r="BY221" s="2064" t="s">
        <v>512</v>
      </c>
    </row>
    <row r="222" spans="1:77" s="1976" customFormat="1" ht="62" x14ac:dyDescent="0.35">
      <c r="A222" s="1372" t="s">
        <v>681</v>
      </c>
      <c r="B222" s="1372" t="s">
        <v>242</v>
      </c>
      <c r="C222" s="1637">
        <v>1</v>
      </c>
      <c r="D222" s="2055" t="str">
        <f>'[9]5.4.5'!$A$2</f>
        <v>5.4.5</v>
      </c>
      <c r="E222" s="1372" t="s">
        <v>201</v>
      </c>
      <c r="F222" s="1638">
        <v>1601</v>
      </c>
      <c r="G222" s="1638">
        <v>1601</v>
      </c>
      <c r="H222" s="1638">
        <v>1601</v>
      </c>
      <c r="I222" s="1638">
        <v>1601</v>
      </c>
      <c r="J222" s="1372" t="str">
        <f>+'[9]5.4.5'!$B$16</f>
        <v>RS-HWE-LFSH-V05-180101</v>
      </c>
      <c r="K222" s="1372" t="str">
        <f t="shared" si="150"/>
        <v>Nicor Gas PY7-PY10 Adjustable Goals Template_2017-06-30, Tab 5.4.5</v>
      </c>
      <c r="L222" s="1639">
        <v>17.89328345805</v>
      </c>
      <c r="M222" s="1639">
        <v>17.89328345805</v>
      </c>
      <c r="N222" s="1639">
        <v>17.89328345805</v>
      </c>
      <c r="O222" s="1639">
        <v>17.89328345805</v>
      </c>
      <c r="P222" s="1637">
        <v>0.95</v>
      </c>
      <c r="Q222" s="1637">
        <v>0.95</v>
      </c>
      <c r="R222" s="1637">
        <v>0.95</v>
      </c>
      <c r="S222" s="1637">
        <v>0.95</v>
      </c>
      <c r="T222" s="1640">
        <f t="shared" si="151"/>
        <v>27214.789475521146</v>
      </c>
      <c r="U222" s="1640">
        <f t="shared" si="152"/>
        <v>27214.789475521146</v>
      </c>
      <c r="V222" s="1640">
        <f t="shared" si="153"/>
        <v>27214.789475521146</v>
      </c>
      <c r="W222" s="1640">
        <f t="shared" si="154"/>
        <v>27214.789475521146</v>
      </c>
      <c r="X222" s="1640">
        <f t="shared" si="155"/>
        <v>108859.15790208458</v>
      </c>
      <c r="Y222" s="1372" t="str">
        <f t="shared" si="175"/>
        <v>RS-HWE-LFSH-V05-180101</v>
      </c>
      <c r="Z222" s="1372" t="str">
        <f t="shared" si="178"/>
        <v>Nicor Gas PY7-PY10 Adjustable Goals Template_2017-06-30, Tab 5.4.5</v>
      </c>
      <c r="AA222" s="2024">
        <f t="shared" si="179"/>
        <v>17.89328345805</v>
      </c>
      <c r="AB222" s="2028"/>
      <c r="AC222" s="1840">
        <f t="shared" si="156"/>
        <v>27214.789475521146</v>
      </c>
      <c r="AD222" s="1840">
        <f t="shared" si="157"/>
        <v>0</v>
      </c>
      <c r="AE222" s="1372" t="s">
        <v>2800</v>
      </c>
      <c r="AF222" s="1372" t="s">
        <v>3394</v>
      </c>
      <c r="AG222" s="1981">
        <v>11.317119452100005</v>
      </c>
      <c r="AH222" s="1372" t="s">
        <v>3446</v>
      </c>
      <c r="AI222" s="1640">
        <f t="shared" si="158"/>
        <v>17212.772830671503</v>
      </c>
      <c r="AJ222" s="1638">
        <f t="shared" si="159"/>
        <v>-10002.016644849642</v>
      </c>
      <c r="AK222" s="1372" t="s">
        <v>2800</v>
      </c>
      <c r="AL222" s="1372" t="s">
        <v>3394</v>
      </c>
      <c r="AM222" s="1981">
        <v>11.317119452100005</v>
      </c>
      <c r="AN222" s="1372" t="str">
        <f t="shared" si="176"/>
        <v>Refer TRM V.7 Updates</v>
      </c>
      <c r="AO222" s="1640">
        <f t="shared" si="160"/>
        <v>17212.772830671503</v>
      </c>
      <c r="AP222" s="1638">
        <f t="shared" si="161"/>
        <v>-10002.016644849642</v>
      </c>
      <c r="AQ222" s="1372" t="s">
        <v>2800</v>
      </c>
      <c r="AR222" s="1372" t="s">
        <v>3394</v>
      </c>
      <c r="AS222" s="1981">
        <v>11.317119452100005</v>
      </c>
      <c r="AT222" s="1372" t="str">
        <f t="shared" si="177"/>
        <v>Refer TRM V.7 Updates</v>
      </c>
      <c r="AU222" s="1640">
        <f t="shared" si="162"/>
        <v>17212.772830671503</v>
      </c>
      <c r="AV222" s="1638">
        <f t="shared" si="163"/>
        <v>-10002.016644849642</v>
      </c>
      <c r="AW222" s="2044">
        <f t="shared" si="164"/>
        <v>27214.789475521146</v>
      </c>
      <c r="AX222" s="2044">
        <f t="shared" si="165"/>
        <v>17212.772830671503</v>
      </c>
      <c r="AY222" s="2044">
        <f t="shared" si="166"/>
        <v>17212.772830671503</v>
      </c>
      <c r="AZ222" s="2044">
        <f t="shared" si="167"/>
        <v>17212.772830671503</v>
      </c>
      <c r="BA222" s="2045">
        <f t="shared" si="168"/>
        <v>78853.107967535645</v>
      </c>
      <c r="BB222" s="2045" t="str">
        <f>'[9]5.4.5'!$A$2</f>
        <v>5.4.5</v>
      </c>
      <c r="BC222" s="2045" t="str">
        <f>'[9]5.4.5'!$A$2</f>
        <v>5.4.5</v>
      </c>
      <c r="BD222" s="2045">
        <v>0</v>
      </c>
      <c r="BE222" s="2051">
        <v>10</v>
      </c>
      <c r="BF222" s="2051">
        <v>10</v>
      </c>
      <c r="BG222" s="2051">
        <v>10</v>
      </c>
      <c r="BH222" s="2051">
        <v>10</v>
      </c>
      <c r="BI222" s="2045">
        <f t="shared" si="146"/>
        <v>272147.89475521143</v>
      </c>
      <c r="BJ222" s="2045">
        <f t="shared" si="147"/>
        <v>272147.89475521143</v>
      </c>
      <c r="BK222" s="2045">
        <f t="shared" si="148"/>
        <v>272147.89475521143</v>
      </c>
      <c r="BL222" s="2045">
        <f t="shared" si="149"/>
        <v>272147.89475521143</v>
      </c>
      <c r="BM222" s="2045">
        <f t="shared" si="169"/>
        <v>1088591.5790208457</v>
      </c>
      <c r="BN222" s="2047">
        <v>10</v>
      </c>
      <c r="BO222" s="2047">
        <v>10</v>
      </c>
      <c r="BP222" s="2047">
        <v>10</v>
      </c>
      <c r="BQ222" s="2047">
        <v>10</v>
      </c>
      <c r="BR222" s="2048">
        <f t="shared" si="170"/>
        <v>272147.89475521143</v>
      </c>
      <c r="BS222" s="2048">
        <f t="shared" si="171"/>
        <v>172127.728306715</v>
      </c>
      <c r="BT222" s="2048">
        <f t="shared" si="172"/>
        <v>172127.728306715</v>
      </c>
      <c r="BU222" s="2048">
        <f t="shared" si="173"/>
        <v>172127.728306715</v>
      </c>
      <c r="BV222" s="1840">
        <f t="shared" si="174"/>
        <v>788531.07967535651</v>
      </c>
      <c r="BW222" s="2064" t="e">
        <f>INT(#REF!)=INT(BA222)</f>
        <v>#REF!</v>
      </c>
      <c r="BX222" s="2064">
        <v>215</v>
      </c>
      <c r="BY222" s="2064" t="s">
        <v>512</v>
      </c>
    </row>
    <row r="223" spans="1:77" s="1976" customFormat="1" ht="62" x14ac:dyDescent="0.35">
      <c r="A223" s="1372" t="s">
        <v>681</v>
      </c>
      <c r="B223" s="1372" t="s">
        <v>243</v>
      </c>
      <c r="C223" s="1637">
        <v>1</v>
      </c>
      <c r="D223" s="2055" t="str">
        <f>'[9]5.4.5'!$A$2</f>
        <v>5.4.5</v>
      </c>
      <c r="E223" s="1372" t="s">
        <v>201</v>
      </c>
      <c r="F223" s="1638">
        <v>27</v>
      </c>
      <c r="G223" s="1638">
        <v>27</v>
      </c>
      <c r="H223" s="1638">
        <v>27</v>
      </c>
      <c r="I223" s="1638">
        <v>27</v>
      </c>
      <c r="J223" s="1372" t="str">
        <f>+'[9]5.4.5'!$B$16</f>
        <v>RS-HWE-LFSH-V05-180101</v>
      </c>
      <c r="K223" s="1372" t="str">
        <f t="shared" si="150"/>
        <v>Nicor Gas PY7-PY10 Adjustable Goals Template_2017-06-30, Tab 5.4.5</v>
      </c>
      <c r="L223" s="1639">
        <v>17.89328345805</v>
      </c>
      <c r="M223" s="1639">
        <v>17.89328345805</v>
      </c>
      <c r="N223" s="1639">
        <v>17.89328345805</v>
      </c>
      <c r="O223" s="1639">
        <v>17.89328345805</v>
      </c>
      <c r="P223" s="1637">
        <v>0.95</v>
      </c>
      <c r="Q223" s="1637">
        <v>0.95</v>
      </c>
      <c r="R223" s="1637">
        <v>0.95</v>
      </c>
      <c r="S223" s="1637">
        <v>0.95</v>
      </c>
      <c r="T223" s="1640">
        <f t="shared" si="151"/>
        <v>458.96272069898248</v>
      </c>
      <c r="U223" s="1640">
        <f t="shared" si="152"/>
        <v>458.96272069898248</v>
      </c>
      <c r="V223" s="1640">
        <f t="shared" si="153"/>
        <v>458.96272069898248</v>
      </c>
      <c r="W223" s="1640">
        <f t="shared" si="154"/>
        <v>458.96272069898248</v>
      </c>
      <c r="X223" s="1640">
        <f t="shared" si="155"/>
        <v>1835.8508827959299</v>
      </c>
      <c r="Y223" s="1372" t="str">
        <f t="shared" si="175"/>
        <v>RS-HWE-LFSH-V05-180101</v>
      </c>
      <c r="Z223" s="1372" t="str">
        <f t="shared" si="178"/>
        <v>Nicor Gas PY7-PY10 Adjustable Goals Template_2017-06-30, Tab 5.4.5</v>
      </c>
      <c r="AA223" s="2024">
        <f t="shared" si="179"/>
        <v>17.89328345805</v>
      </c>
      <c r="AB223" s="2028"/>
      <c r="AC223" s="1840">
        <f t="shared" si="156"/>
        <v>458.96272069898248</v>
      </c>
      <c r="AD223" s="1840">
        <f t="shared" si="157"/>
        <v>0</v>
      </c>
      <c r="AE223" s="1372" t="s">
        <v>2800</v>
      </c>
      <c r="AF223" s="1372" t="s">
        <v>3394</v>
      </c>
      <c r="AG223" s="1981">
        <v>11.317119452100005</v>
      </c>
      <c r="AH223" s="1372" t="s">
        <v>3446</v>
      </c>
      <c r="AI223" s="1640">
        <f t="shared" si="158"/>
        <v>290.2841139463651</v>
      </c>
      <c r="AJ223" s="1638">
        <f t="shared" si="159"/>
        <v>-168.67860675261738</v>
      </c>
      <c r="AK223" s="1372" t="s">
        <v>2800</v>
      </c>
      <c r="AL223" s="1372" t="s">
        <v>3394</v>
      </c>
      <c r="AM223" s="1981">
        <v>11.317119452100005</v>
      </c>
      <c r="AN223" s="1372" t="str">
        <f t="shared" si="176"/>
        <v>Refer TRM V.7 Updates</v>
      </c>
      <c r="AO223" s="1640">
        <f t="shared" si="160"/>
        <v>290.2841139463651</v>
      </c>
      <c r="AP223" s="1638">
        <f t="shared" si="161"/>
        <v>-168.67860675261738</v>
      </c>
      <c r="AQ223" s="1372" t="s">
        <v>2800</v>
      </c>
      <c r="AR223" s="1372" t="s">
        <v>3394</v>
      </c>
      <c r="AS223" s="1981">
        <v>11.317119452100005</v>
      </c>
      <c r="AT223" s="1372" t="str">
        <f t="shared" si="177"/>
        <v>Refer TRM V.7 Updates</v>
      </c>
      <c r="AU223" s="1640">
        <f t="shared" si="162"/>
        <v>290.2841139463651</v>
      </c>
      <c r="AV223" s="1638">
        <f t="shared" si="163"/>
        <v>-168.67860675261738</v>
      </c>
      <c r="AW223" s="2044">
        <f t="shared" si="164"/>
        <v>458.96272069898248</v>
      </c>
      <c r="AX223" s="2044">
        <f t="shared" si="165"/>
        <v>290.2841139463651</v>
      </c>
      <c r="AY223" s="2044">
        <f t="shared" si="166"/>
        <v>290.2841139463651</v>
      </c>
      <c r="AZ223" s="2044">
        <f t="shared" si="167"/>
        <v>290.2841139463651</v>
      </c>
      <c r="BA223" s="2045">
        <f t="shared" si="168"/>
        <v>1329.8150625380779</v>
      </c>
      <c r="BB223" s="2045" t="str">
        <f>'[9]5.4.5'!$A$2</f>
        <v>5.4.5</v>
      </c>
      <c r="BC223" s="2045" t="str">
        <f>'[9]5.4.5'!$A$2</f>
        <v>5.4.5</v>
      </c>
      <c r="BD223" s="2045">
        <v>0</v>
      </c>
      <c r="BE223" s="2051">
        <v>10</v>
      </c>
      <c r="BF223" s="2051">
        <v>10</v>
      </c>
      <c r="BG223" s="2051">
        <v>10</v>
      </c>
      <c r="BH223" s="2051">
        <v>10</v>
      </c>
      <c r="BI223" s="2045">
        <f t="shared" si="146"/>
        <v>4589.627206989825</v>
      </c>
      <c r="BJ223" s="2045">
        <f t="shared" si="147"/>
        <v>4589.627206989825</v>
      </c>
      <c r="BK223" s="2045">
        <f t="shared" si="148"/>
        <v>4589.627206989825</v>
      </c>
      <c r="BL223" s="2045">
        <f t="shared" si="149"/>
        <v>4589.627206989825</v>
      </c>
      <c r="BM223" s="2045">
        <f t="shared" si="169"/>
        <v>18358.5088279593</v>
      </c>
      <c r="BN223" s="2047">
        <v>10</v>
      </c>
      <c r="BO223" s="2047">
        <v>10</v>
      </c>
      <c r="BP223" s="2047">
        <v>10</v>
      </c>
      <c r="BQ223" s="2047">
        <v>10</v>
      </c>
      <c r="BR223" s="2048">
        <f t="shared" si="170"/>
        <v>4589.627206989825</v>
      </c>
      <c r="BS223" s="2048">
        <f t="shared" si="171"/>
        <v>2902.841139463651</v>
      </c>
      <c r="BT223" s="2048">
        <f t="shared" si="172"/>
        <v>2902.841139463651</v>
      </c>
      <c r="BU223" s="2048">
        <f t="shared" si="173"/>
        <v>2902.841139463651</v>
      </c>
      <c r="BV223" s="1840">
        <f t="shared" si="174"/>
        <v>13298.150625380778</v>
      </c>
      <c r="BW223" s="2064" t="e">
        <f>INT(#REF!)=INT(BA223)</f>
        <v>#REF!</v>
      </c>
      <c r="BX223" s="2064">
        <v>216</v>
      </c>
      <c r="BY223" s="2064" t="s">
        <v>512</v>
      </c>
    </row>
    <row r="224" spans="1:77" s="1976" customFormat="1" ht="62" x14ac:dyDescent="0.35">
      <c r="A224" s="1372" t="s">
        <v>681</v>
      </c>
      <c r="B224" s="1372" t="s">
        <v>242</v>
      </c>
      <c r="C224" s="1637">
        <v>1</v>
      </c>
      <c r="D224" s="2055" t="str">
        <f>'[9]5.4.5'!$A$2</f>
        <v>5.4.5</v>
      </c>
      <c r="E224" s="1372" t="s">
        <v>201</v>
      </c>
      <c r="F224" s="1638">
        <v>1190</v>
      </c>
      <c r="G224" s="1638">
        <v>1190</v>
      </c>
      <c r="H224" s="1638">
        <v>1190</v>
      </c>
      <c r="I224" s="1638">
        <v>1190</v>
      </c>
      <c r="J224" s="1372" t="str">
        <f>+'[9]5.4.5'!$B$16</f>
        <v>RS-HWE-LFSH-V05-180101</v>
      </c>
      <c r="K224" s="1372" t="str">
        <f t="shared" si="150"/>
        <v>Nicor Gas PY7-PY10 Adjustable Goals Template_2017-06-30, Tab 5.4.5</v>
      </c>
      <c r="L224" s="1639">
        <v>17.89328345805</v>
      </c>
      <c r="M224" s="1639">
        <v>17.89328345805</v>
      </c>
      <c r="N224" s="1639">
        <v>17.89328345805</v>
      </c>
      <c r="O224" s="1639">
        <v>17.89328345805</v>
      </c>
      <c r="P224" s="1637">
        <v>0.95</v>
      </c>
      <c r="Q224" s="1637">
        <v>0.95</v>
      </c>
      <c r="R224" s="1637">
        <v>0.95</v>
      </c>
      <c r="S224" s="1637">
        <v>0.95</v>
      </c>
      <c r="T224" s="1640">
        <f t="shared" si="151"/>
        <v>20228.356949325524</v>
      </c>
      <c r="U224" s="1640">
        <f t="shared" si="152"/>
        <v>20228.356949325524</v>
      </c>
      <c r="V224" s="1640">
        <f t="shared" si="153"/>
        <v>20228.356949325524</v>
      </c>
      <c r="W224" s="1640">
        <f t="shared" si="154"/>
        <v>20228.356949325524</v>
      </c>
      <c r="X224" s="1640">
        <f t="shared" si="155"/>
        <v>80913.427797302094</v>
      </c>
      <c r="Y224" s="1372" t="str">
        <f t="shared" si="175"/>
        <v>RS-HWE-LFSH-V05-180101</v>
      </c>
      <c r="Z224" s="1372" t="str">
        <f t="shared" si="178"/>
        <v>Nicor Gas PY7-PY10 Adjustable Goals Template_2017-06-30, Tab 5.4.5</v>
      </c>
      <c r="AA224" s="2024">
        <f t="shared" si="179"/>
        <v>17.89328345805</v>
      </c>
      <c r="AB224" s="2028"/>
      <c r="AC224" s="1840">
        <f t="shared" si="156"/>
        <v>20228.356949325524</v>
      </c>
      <c r="AD224" s="1840">
        <f t="shared" si="157"/>
        <v>0</v>
      </c>
      <c r="AE224" s="1372" t="s">
        <v>2800</v>
      </c>
      <c r="AF224" s="1372" t="s">
        <v>3394</v>
      </c>
      <c r="AG224" s="1981">
        <v>11.317119452100005</v>
      </c>
      <c r="AH224" s="1372" t="s">
        <v>3446</v>
      </c>
      <c r="AI224" s="1640">
        <f t="shared" si="158"/>
        <v>12794.003540599057</v>
      </c>
      <c r="AJ224" s="1638">
        <f t="shared" si="159"/>
        <v>-7434.353408726467</v>
      </c>
      <c r="AK224" s="1372" t="s">
        <v>2800</v>
      </c>
      <c r="AL224" s="1372" t="s">
        <v>3394</v>
      </c>
      <c r="AM224" s="1981">
        <v>11.317119452100005</v>
      </c>
      <c r="AN224" s="1372" t="str">
        <f t="shared" si="176"/>
        <v>Refer TRM V.7 Updates</v>
      </c>
      <c r="AO224" s="1640">
        <f t="shared" si="160"/>
        <v>12794.003540599057</v>
      </c>
      <c r="AP224" s="1638">
        <f t="shared" si="161"/>
        <v>-7434.353408726467</v>
      </c>
      <c r="AQ224" s="1372" t="s">
        <v>2800</v>
      </c>
      <c r="AR224" s="1372" t="s">
        <v>3394</v>
      </c>
      <c r="AS224" s="1981">
        <v>11.317119452100005</v>
      </c>
      <c r="AT224" s="1372" t="str">
        <f t="shared" si="177"/>
        <v>Refer TRM V.7 Updates</v>
      </c>
      <c r="AU224" s="1640">
        <f t="shared" si="162"/>
        <v>12794.003540599057</v>
      </c>
      <c r="AV224" s="1638">
        <f t="shared" si="163"/>
        <v>-7434.353408726467</v>
      </c>
      <c r="AW224" s="2044">
        <f t="shared" si="164"/>
        <v>20228.356949325524</v>
      </c>
      <c r="AX224" s="2044">
        <f t="shared" si="165"/>
        <v>12794.003540599057</v>
      </c>
      <c r="AY224" s="2044">
        <f t="shared" si="166"/>
        <v>12794.003540599057</v>
      </c>
      <c r="AZ224" s="2044">
        <f t="shared" si="167"/>
        <v>12794.003540599057</v>
      </c>
      <c r="BA224" s="2045">
        <f t="shared" si="168"/>
        <v>58610.367571122697</v>
      </c>
      <c r="BB224" s="2045" t="str">
        <f>'[9]5.4.5'!$A$2</f>
        <v>5.4.5</v>
      </c>
      <c r="BC224" s="2045" t="str">
        <f>'[9]5.4.5'!$A$2</f>
        <v>5.4.5</v>
      </c>
      <c r="BD224" s="2045">
        <v>0</v>
      </c>
      <c r="BE224" s="2051">
        <v>10</v>
      </c>
      <c r="BF224" s="2051">
        <v>10</v>
      </c>
      <c r="BG224" s="2051">
        <v>10</v>
      </c>
      <c r="BH224" s="2051">
        <v>10</v>
      </c>
      <c r="BI224" s="2045">
        <f t="shared" si="146"/>
        <v>202283.56949325523</v>
      </c>
      <c r="BJ224" s="2045">
        <f t="shared" si="147"/>
        <v>202283.56949325523</v>
      </c>
      <c r="BK224" s="2045">
        <f t="shared" si="148"/>
        <v>202283.56949325523</v>
      </c>
      <c r="BL224" s="2045">
        <f t="shared" si="149"/>
        <v>202283.56949325523</v>
      </c>
      <c r="BM224" s="2045">
        <f t="shared" si="169"/>
        <v>809134.27797302091</v>
      </c>
      <c r="BN224" s="2047">
        <v>10</v>
      </c>
      <c r="BO224" s="2047">
        <v>10</v>
      </c>
      <c r="BP224" s="2047">
        <v>10</v>
      </c>
      <c r="BQ224" s="2047">
        <v>10</v>
      </c>
      <c r="BR224" s="2048">
        <f t="shared" si="170"/>
        <v>202283.56949325523</v>
      </c>
      <c r="BS224" s="2048">
        <f t="shared" si="171"/>
        <v>127940.03540599057</v>
      </c>
      <c r="BT224" s="2048">
        <f t="shared" si="172"/>
        <v>127940.03540599057</v>
      </c>
      <c r="BU224" s="2048">
        <f t="shared" si="173"/>
        <v>127940.03540599057</v>
      </c>
      <c r="BV224" s="1840">
        <f t="shared" si="174"/>
        <v>586103.67571122688</v>
      </c>
      <c r="BW224" s="2064" t="e">
        <f>INT(#REF!)=INT(BA224)</f>
        <v>#REF!</v>
      </c>
      <c r="BX224" s="2064">
        <v>217</v>
      </c>
      <c r="BY224" s="2064" t="s">
        <v>512</v>
      </c>
    </row>
    <row r="225" spans="1:77" s="1976" customFormat="1" ht="62" x14ac:dyDescent="0.35">
      <c r="A225" s="1372" t="s">
        <v>681</v>
      </c>
      <c r="B225" s="1372" t="s">
        <v>243</v>
      </c>
      <c r="C225" s="1637">
        <v>1</v>
      </c>
      <c r="D225" s="2055" t="str">
        <f>'[9]5.4.5'!$A$2</f>
        <v>5.4.5</v>
      </c>
      <c r="E225" s="1372" t="s">
        <v>201</v>
      </c>
      <c r="F225" s="1638">
        <v>63</v>
      </c>
      <c r="G225" s="1638">
        <v>63</v>
      </c>
      <c r="H225" s="1638">
        <v>63</v>
      </c>
      <c r="I225" s="1638">
        <v>63</v>
      </c>
      <c r="J225" s="1372" t="str">
        <f>+'[9]5.4.5'!$B$16</f>
        <v>RS-HWE-LFSH-V05-180101</v>
      </c>
      <c r="K225" s="1372" t="str">
        <f t="shared" si="150"/>
        <v>Nicor Gas PY7-PY10 Adjustable Goals Template_2017-06-30, Tab 5.4.5</v>
      </c>
      <c r="L225" s="1639">
        <v>17.89328345805</v>
      </c>
      <c r="M225" s="1639">
        <v>17.89328345805</v>
      </c>
      <c r="N225" s="1639">
        <v>17.89328345805</v>
      </c>
      <c r="O225" s="1639">
        <v>17.89328345805</v>
      </c>
      <c r="P225" s="1637">
        <v>0.95</v>
      </c>
      <c r="Q225" s="1637">
        <v>0.95</v>
      </c>
      <c r="R225" s="1637">
        <v>0.95</v>
      </c>
      <c r="S225" s="1637">
        <v>0.95</v>
      </c>
      <c r="T225" s="1640">
        <f t="shared" si="151"/>
        <v>1070.9130149642924</v>
      </c>
      <c r="U225" s="1640">
        <f t="shared" si="152"/>
        <v>1070.9130149642924</v>
      </c>
      <c r="V225" s="1640">
        <f t="shared" si="153"/>
        <v>1070.9130149642924</v>
      </c>
      <c r="W225" s="1640">
        <f t="shared" si="154"/>
        <v>1070.9130149642924</v>
      </c>
      <c r="X225" s="1640">
        <f t="shared" si="155"/>
        <v>4283.6520598571697</v>
      </c>
      <c r="Y225" s="1372" t="str">
        <f t="shared" si="175"/>
        <v>RS-HWE-LFSH-V05-180101</v>
      </c>
      <c r="Z225" s="1372" t="str">
        <f t="shared" si="178"/>
        <v>Nicor Gas PY7-PY10 Adjustable Goals Template_2017-06-30, Tab 5.4.5</v>
      </c>
      <c r="AA225" s="2024">
        <f t="shared" si="179"/>
        <v>17.89328345805</v>
      </c>
      <c r="AB225" s="2028"/>
      <c r="AC225" s="1840">
        <f t="shared" si="156"/>
        <v>1070.9130149642924</v>
      </c>
      <c r="AD225" s="1840">
        <f t="shared" si="157"/>
        <v>0</v>
      </c>
      <c r="AE225" s="1372" t="s">
        <v>2800</v>
      </c>
      <c r="AF225" s="1372" t="s">
        <v>3394</v>
      </c>
      <c r="AG225" s="1981">
        <v>11.317119452100005</v>
      </c>
      <c r="AH225" s="1372" t="s">
        <v>3446</v>
      </c>
      <c r="AI225" s="1640">
        <f t="shared" si="158"/>
        <v>677.3295992081853</v>
      </c>
      <c r="AJ225" s="1638">
        <f t="shared" si="159"/>
        <v>-393.58341575610712</v>
      </c>
      <c r="AK225" s="1372" t="s">
        <v>2800</v>
      </c>
      <c r="AL225" s="1372" t="s">
        <v>3394</v>
      </c>
      <c r="AM225" s="1981">
        <v>11.317119452100005</v>
      </c>
      <c r="AN225" s="1372" t="str">
        <f t="shared" si="176"/>
        <v>Refer TRM V.7 Updates</v>
      </c>
      <c r="AO225" s="1640">
        <f t="shared" si="160"/>
        <v>677.3295992081853</v>
      </c>
      <c r="AP225" s="1638">
        <f t="shared" si="161"/>
        <v>-393.58341575610712</v>
      </c>
      <c r="AQ225" s="1372" t="s">
        <v>2800</v>
      </c>
      <c r="AR225" s="1372" t="s">
        <v>3394</v>
      </c>
      <c r="AS225" s="1981">
        <v>11.317119452100005</v>
      </c>
      <c r="AT225" s="1372" t="str">
        <f t="shared" si="177"/>
        <v>Refer TRM V.7 Updates</v>
      </c>
      <c r="AU225" s="1640">
        <f t="shared" si="162"/>
        <v>677.3295992081853</v>
      </c>
      <c r="AV225" s="1638">
        <f t="shared" si="163"/>
        <v>-393.58341575610712</v>
      </c>
      <c r="AW225" s="2044">
        <f t="shared" si="164"/>
        <v>1070.9130149642924</v>
      </c>
      <c r="AX225" s="2044">
        <f t="shared" si="165"/>
        <v>677.3295992081853</v>
      </c>
      <c r="AY225" s="2044">
        <f t="shared" si="166"/>
        <v>677.3295992081853</v>
      </c>
      <c r="AZ225" s="2044">
        <f t="shared" si="167"/>
        <v>677.3295992081853</v>
      </c>
      <c r="BA225" s="2045">
        <f t="shared" si="168"/>
        <v>3102.9018125888483</v>
      </c>
      <c r="BB225" s="2045" t="str">
        <f>'[9]5.4.5'!$A$2</f>
        <v>5.4.5</v>
      </c>
      <c r="BC225" s="2045" t="str">
        <f>'[9]5.4.5'!$A$2</f>
        <v>5.4.5</v>
      </c>
      <c r="BD225" s="2045">
        <v>0</v>
      </c>
      <c r="BE225" s="2051">
        <v>10</v>
      </c>
      <c r="BF225" s="2051">
        <v>10</v>
      </c>
      <c r="BG225" s="2051">
        <v>10</v>
      </c>
      <c r="BH225" s="2051">
        <v>10</v>
      </c>
      <c r="BI225" s="2045">
        <f t="shared" si="146"/>
        <v>10709.130149642924</v>
      </c>
      <c r="BJ225" s="2045">
        <f t="shared" si="147"/>
        <v>10709.130149642924</v>
      </c>
      <c r="BK225" s="2045">
        <f t="shared" si="148"/>
        <v>10709.130149642924</v>
      </c>
      <c r="BL225" s="2045">
        <f t="shared" si="149"/>
        <v>10709.130149642924</v>
      </c>
      <c r="BM225" s="2045">
        <f t="shared" si="169"/>
        <v>42836.520598571697</v>
      </c>
      <c r="BN225" s="2047">
        <v>10</v>
      </c>
      <c r="BO225" s="2047">
        <v>10</v>
      </c>
      <c r="BP225" s="2047">
        <v>10</v>
      </c>
      <c r="BQ225" s="2047">
        <v>10</v>
      </c>
      <c r="BR225" s="2048">
        <f t="shared" si="170"/>
        <v>10709.130149642924</v>
      </c>
      <c r="BS225" s="2048">
        <f t="shared" si="171"/>
        <v>6773.295992081853</v>
      </c>
      <c r="BT225" s="2048">
        <f t="shared" si="172"/>
        <v>6773.295992081853</v>
      </c>
      <c r="BU225" s="2048">
        <f t="shared" si="173"/>
        <v>6773.295992081853</v>
      </c>
      <c r="BV225" s="1840">
        <f t="shared" si="174"/>
        <v>31029.018125888484</v>
      </c>
      <c r="BW225" s="2064" t="e">
        <f>INT(#REF!)=INT(BA225)</f>
        <v>#REF!</v>
      </c>
      <c r="BX225" s="2064">
        <v>218</v>
      </c>
      <c r="BY225" s="2064" t="s">
        <v>512</v>
      </c>
    </row>
    <row r="226" spans="1:77" s="1976" customFormat="1" ht="62" x14ac:dyDescent="0.35">
      <c r="A226" s="1372" t="s">
        <v>681</v>
      </c>
      <c r="B226" s="1372" t="s">
        <v>225</v>
      </c>
      <c r="C226" s="1637">
        <v>0</v>
      </c>
      <c r="D226" s="2053" t="str">
        <f>+'[9]4.2.11'!$A$1</f>
        <v>4.2.11</v>
      </c>
      <c r="E226" s="1372" t="s">
        <v>163</v>
      </c>
      <c r="F226" s="1638">
        <v>9</v>
      </c>
      <c r="G226" s="1638">
        <v>9</v>
      </c>
      <c r="H226" s="1638">
        <v>9</v>
      </c>
      <c r="I226" s="1638">
        <v>9</v>
      </c>
      <c r="J226" s="1372" t="str">
        <f>'[9]4.2.11'!$B$17</f>
        <v>CI-FSE-SPRY-V04-180101</v>
      </c>
      <c r="K226" s="1372" t="str">
        <f t="shared" si="150"/>
        <v>Nicor Gas PY7-PY10 Adjustable Goals Template_2017-06-30, Tab 4.2.11</v>
      </c>
      <c r="L226" s="1639">
        <v>174.78655739999996</v>
      </c>
      <c r="M226" s="1639">
        <v>174.78655739999996</v>
      </c>
      <c r="N226" s="1639">
        <v>174.78655739999996</v>
      </c>
      <c r="O226" s="1639">
        <v>174.78655739999996</v>
      </c>
      <c r="P226" s="1637">
        <v>0.95</v>
      </c>
      <c r="Q226" s="1637">
        <v>0.95</v>
      </c>
      <c r="R226" s="1637">
        <v>0.95</v>
      </c>
      <c r="S226" s="1637">
        <v>0.95</v>
      </c>
      <c r="T226" s="1640">
        <f t="shared" si="151"/>
        <v>1494.4250657699997</v>
      </c>
      <c r="U226" s="1640">
        <f t="shared" si="152"/>
        <v>1494.4250657699997</v>
      </c>
      <c r="V226" s="1640">
        <f t="shared" si="153"/>
        <v>1494.4250657699997</v>
      </c>
      <c r="W226" s="1640">
        <f t="shared" si="154"/>
        <v>1494.4250657699997</v>
      </c>
      <c r="X226" s="1640">
        <f t="shared" si="155"/>
        <v>5977.7002630799989</v>
      </c>
      <c r="Y226" s="1372" t="str">
        <f t="shared" si="175"/>
        <v>CI-FSE-SPRY-V04-180101</v>
      </c>
      <c r="Z226" s="1372" t="str">
        <f t="shared" si="178"/>
        <v>Nicor Gas PY7-PY10 Adjustable Goals Template_2017-06-30, Tab 4.2.11</v>
      </c>
      <c r="AA226" s="1840">
        <f t="shared" si="179"/>
        <v>174.78655739999996</v>
      </c>
      <c r="AB226" s="2028"/>
      <c r="AC226" s="1840">
        <f t="shared" si="156"/>
        <v>1494.4250657699997</v>
      </c>
      <c r="AD226" s="1840">
        <f t="shared" si="157"/>
        <v>0</v>
      </c>
      <c r="AE226" s="1372" t="s">
        <v>2783</v>
      </c>
      <c r="AF226" s="1372" t="s">
        <v>3383</v>
      </c>
      <c r="AG226" s="1639">
        <v>174.78655739999996</v>
      </c>
      <c r="AH226" s="1372" t="s">
        <v>3445</v>
      </c>
      <c r="AI226" s="1640">
        <f t="shared" si="158"/>
        <v>1494.4250657699997</v>
      </c>
      <c r="AJ226" s="1638">
        <f t="shared" si="159"/>
        <v>0</v>
      </c>
      <c r="AK226" s="1372" t="s">
        <v>2783</v>
      </c>
      <c r="AL226" s="1372" t="s">
        <v>3383</v>
      </c>
      <c r="AM226" s="1639">
        <v>174.78655739999996</v>
      </c>
      <c r="AN226" s="1372" t="str">
        <f t="shared" si="176"/>
        <v>No change</v>
      </c>
      <c r="AO226" s="1640">
        <f t="shared" si="160"/>
        <v>1494.4250657699997</v>
      </c>
      <c r="AP226" s="1638">
        <f t="shared" si="161"/>
        <v>0</v>
      </c>
      <c r="AQ226" s="1372" t="s">
        <v>2783</v>
      </c>
      <c r="AR226" s="1372" t="s">
        <v>3383</v>
      </c>
      <c r="AS226" s="1639">
        <v>174.78655739999996</v>
      </c>
      <c r="AT226" s="1372" t="str">
        <f>$AH226</f>
        <v>No change</v>
      </c>
      <c r="AU226" s="1640">
        <f t="shared" si="162"/>
        <v>1494.4250657699997</v>
      </c>
      <c r="AV226" s="1638">
        <f t="shared" si="163"/>
        <v>0</v>
      </c>
      <c r="AW226" s="2044">
        <f t="shared" si="164"/>
        <v>1494.4250657699997</v>
      </c>
      <c r="AX226" s="2044">
        <f t="shared" si="165"/>
        <v>1494.4250657699997</v>
      </c>
      <c r="AY226" s="2044">
        <f t="shared" si="166"/>
        <v>1494.4250657699997</v>
      </c>
      <c r="AZ226" s="2044">
        <f t="shared" si="167"/>
        <v>1494.4250657699997</v>
      </c>
      <c r="BA226" s="2045">
        <f t="shared" si="168"/>
        <v>5977.7002630799989</v>
      </c>
      <c r="BB226" s="2045" t="str">
        <f>+'[9]4.2.11'!$A$1</f>
        <v>4.2.11</v>
      </c>
      <c r="BC226" s="2045" t="str">
        <f>+'[9]4.2.11'!$A$1</f>
        <v>4.2.11</v>
      </c>
      <c r="BD226" s="2045">
        <v>0</v>
      </c>
      <c r="BE226" s="2051">
        <v>5</v>
      </c>
      <c r="BF226" s="2051">
        <v>5</v>
      </c>
      <c r="BG226" s="2051">
        <v>5</v>
      </c>
      <c r="BH226" s="2051">
        <v>5</v>
      </c>
      <c r="BI226" s="2045">
        <f t="shared" si="146"/>
        <v>7472.1253288499975</v>
      </c>
      <c r="BJ226" s="2045">
        <f t="shared" si="147"/>
        <v>7472.1253288499975</v>
      </c>
      <c r="BK226" s="2045">
        <f t="shared" si="148"/>
        <v>7472.1253288499975</v>
      </c>
      <c r="BL226" s="2045">
        <f t="shared" si="149"/>
        <v>7472.1253288499975</v>
      </c>
      <c r="BM226" s="2045">
        <f t="shared" si="169"/>
        <v>29888.50131539999</v>
      </c>
      <c r="BN226" s="2047">
        <v>5</v>
      </c>
      <c r="BO226" s="2047">
        <v>5</v>
      </c>
      <c r="BP226" s="2047">
        <v>5</v>
      </c>
      <c r="BQ226" s="2047">
        <v>5</v>
      </c>
      <c r="BR226" s="2048">
        <f t="shared" si="170"/>
        <v>7472.1253288499975</v>
      </c>
      <c r="BS226" s="2048">
        <f t="shared" si="171"/>
        <v>7472.1253288499975</v>
      </c>
      <c r="BT226" s="2048">
        <f t="shared" si="172"/>
        <v>7472.1253288499975</v>
      </c>
      <c r="BU226" s="2048">
        <f t="shared" si="173"/>
        <v>7472.1253288499975</v>
      </c>
      <c r="BV226" s="1840">
        <f t="shared" si="174"/>
        <v>29888.50131539999</v>
      </c>
      <c r="BW226" s="2064" t="e">
        <f>INT(#REF!)=INT(BA226)</f>
        <v>#REF!</v>
      </c>
      <c r="BX226" s="2064">
        <v>219</v>
      </c>
      <c r="BY226" s="2064" t="s">
        <v>512</v>
      </c>
    </row>
    <row r="227" spans="1:77" s="1976" customFormat="1" ht="62" x14ac:dyDescent="0.35">
      <c r="A227" s="1372" t="s">
        <v>681</v>
      </c>
      <c r="B227" s="1372" t="s">
        <v>232</v>
      </c>
      <c r="C227" s="1637">
        <v>0</v>
      </c>
      <c r="D227" s="2053" t="str">
        <f>'[9]5.3.11'!$A$2</f>
        <v>5.3.11</v>
      </c>
      <c r="E227" s="1372" t="s">
        <v>163</v>
      </c>
      <c r="F227" s="1638">
        <v>930</v>
      </c>
      <c r="G227" s="1638">
        <v>930</v>
      </c>
      <c r="H227" s="1638">
        <v>930</v>
      </c>
      <c r="I227" s="1638">
        <v>930</v>
      </c>
      <c r="J227" s="1372" t="str">
        <f>+'[9]5.3.11'!$B$12</f>
        <v>RS-HVC-PROG-V04-180101</v>
      </c>
      <c r="K227" s="1372" t="str">
        <f t="shared" si="150"/>
        <v>Nicor Gas PY7-PY10 Adjustable Goals Template_2017-06-30, Tab 5.3.11</v>
      </c>
      <c r="L227" s="1639">
        <v>40.501500000000007</v>
      </c>
      <c r="M227" s="1639">
        <v>40.501500000000007</v>
      </c>
      <c r="N227" s="1639">
        <v>40.501500000000007</v>
      </c>
      <c r="O227" s="1639">
        <v>40.501500000000007</v>
      </c>
      <c r="P227" s="1637">
        <v>0.94</v>
      </c>
      <c r="Q227" s="1637">
        <v>0.94</v>
      </c>
      <c r="R227" s="1637">
        <v>0.94</v>
      </c>
      <c r="S227" s="1637">
        <v>0.94</v>
      </c>
      <c r="T227" s="1640">
        <f t="shared" si="151"/>
        <v>35406.4113</v>
      </c>
      <c r="U227" s="1640">
        <f t="shared" si="152"/>
        <v>35406.4113</v>
      </c>
      <c r="V227" s="1640">
        <f t="shared" si="153"/>
        <v>35406.4113</v>
      </c>
      <c r="W227" s="1640">
        <f t="shared" si="154"/>
        <v>35406.4113</v>
      </c>
      <c r="X227" s="1640">
        <f t="shared" si="155"/>
        <v>141625.6452</v>
      </c>
      <c r="Y227" s="1372" t="str">
        <f t="shared" si="175"/>
        <v>RS-HVC-PROG-V04-180101</v>
      </c>
      <c r="Z227" s="1372" t="str">
        <f t="shared" si="178"/>
        <v>Nicor Gas PY7-PY10 Adjustable Goals Template_2017-06-30, Tab 5.3.11</v>
      </c>
      <c r="AA227" s="2024">
        <f t="shared" si="179"/>
        <v>40.501500000000007</v>
      </c>
      <c r="AB227" s="2028"/>
      <c r="AC227" s="1840">
        <f t="shared" si="156"/>
        <v>35406.4113</v>
      </c>
      <c r="AD227" s="1840">
        <f t="shared" si="157"/>
        <v>0</v>
      </c>
      <c r="AE227" s="1372" t="s">
        <v>2802</v>
      </c>
      <c r="AF227" s="1372" t="s">
        <v>3397</v>
      </c>
      <c r="AG227" s="1639">
        <v>40.501500000000007</v>
      </c>
      <c r="AH227" s="1372" t="s">
        <v>3445</v>
      </c>
      <c r="AI227" s="1640">
        <f t="shared" si="158"/>
        <v>35406.4113</v>
      </c>
      <c r="AJ227" s="1638">
        <f t="shared" si="159"/>
        <v>0</v>
      </c>
      <c r="AK227" s="1372" t="s">
        <v>2802</v>
      </c>
      <c r="AL227" s="1372" t="s">
        <v>3397</v>
      </c>
      <c r="AM227" s="1639">
        <v>40.501500000000007</v>
      </c>
      <c r="AN227" s="1372" t="str">
        <f t="shared" si="176"/>
        <v>No change</v>
      </c>
      <c r="AO227" s="1640">
        <f t="shared" si="160"/>
        <v>35406.4113</v>
      </c>
      <c r="AP227" s="1638">
        <f t="shared" si="161"/>
        <v>0</v>
      </c>
      <c r="AQ227" s="1372" t="s">
        <v>2802</v>
      </c>
      <c r="AR227" s="1372" t="s">
        <v>3397</v>
      </c>
      <c r="AS227" s="1639">
        <v>40.501500000000007</v>
      </c>
      <c r="AT227" s="1372" t="str">
        <f>$AH227</f>
        <v>No change</v>
      </c>
      <c r="AU227" s="1640">
        <f t="shared" si="162"/>
        <v>35406.4113</v>
      </c>
      <c r="AV227" s="1638">
        <f t="shared" si="163"/>
        <v>0</v>
      </c>
      <c r="AW227" s="2044">
        <f t="shared" si="164"/>
        <v>35406.4113</v>
      </c>
      <c r="AX227" s="2044">
        <f t="shared" si="165"/>
        <v>35406.4113</v>
      </c>
      <c r="AY227" s="2044">
        <f t="shared" si="166"/>
        <v>35406.4113</v>
      </c>
      <c r="AZ227" s="2044">
        <f t="shared" si="167"/>
        <v>35406.4113</v>
      </c>
      <c r="BA227" s="2045">
        <f t="shared" si="168"/>
        <v>141625.6452</v>
      </c>
      <c r="BB227" s="2045" t="str">
        <f>'[9]5.3.11'!$A$2</f>
        <v>5.3.11</v>
      </c>
      <c r="BC227" s="2045" t="str">
        <f>'[9]5.3.11'!$A$2</f>
        <v>5.3.11</v>
      </c>
      <c r="BD227" s="2121">
        <v>1</v>
      </c>
      <c r="BE227" s="2051">
        <v>5</v>
      </c>
      <c r="BF227" s="2051">
        <v>5</v>
      </c>
      <c r="BG227" s="2051">
        <v>5</v>
      </c>
      <c r="BH227" s="2051">
        <v>5</v>
      </c>
      <c r="BI227" s="2045">
        <f t="shared" si="146"/>
        <v>177032.05650000004</v>
      </c>
      <c r="BJ227" s="2045">
        <f t="shared" si="147"/>
        <v>177032.05650000004</v>
      </c>
      <c r="BK227" s="2045">
        <f t="shared" si="148"/>
        <v>177032.05650000004</v>
      </c>
      <c r="BL227" s="2045">
        <f t="shared" si="149"/>
        <v>177032.05650000004</v>
      </c>
      <c r="BM227" s="2045">
        <f t="shared" si="169"/>
        <v>708128.22600000014</v>
      </c>
      <c r="BN227" s="2047">
        <v>5</v>
      </c>
      <c r="BO227" s="2050">
        <v>8</v>
      </c>
      <c r="BP227" s="2050">
        <v>8</v>
      </c>
      <c r="BQ227" s="2050">
        <v>8</v>
      </c>
      <c r="BR227" s="2048">
        <f t="shared" si="170"/>
        <v>177032.05650000004</v>
      </c>
      <c r="BS227" s="2048">
        <f t="shared" si="171"/>
        <v>283251.29040000006</v>
      </c>
      <c r="BT227" s="2048">
        <f t="shared" si="172"/>
        <v>283251.29040000006</v>
      </c>
      <c r="BU227" s="2048">
        <f t="shared" si="173"/>
        <v>283251.29040000006</v>
      </c>
      <c r="BV227" s="1840">
        <f t="shared" si="174"/>
        <v>1026785.9277000002</v>
      </c>
      <c r="BW227" s="2064" t="e">
        <f>INT(#REF!)=INT(BA227)</f>
        <v>#REF!</v>
      </c>
      <c r="BX227" s="2064">
        <v>220</v>
      </c>
      <c r="BY227" s="2064" t="s">
        <v>512</v>
      </c>
    </row>
    <row r="228" spans="1:77" s="1976" customFormat="1" ht="62" x14ac:dyDescent="0.35">
      <c r="A228" s="1372" t="s">
        <v>681</v>
      </c>
      <c r="B228" s="1372" t="s">
        <v>232</v>
      </c>
      <c r="C228" s="1637">
        <v>0</v>
      </c>
      <c r="D228" s="2053" t="str">
        <f>'[9]5.3.11'!$A$2</f>
        <v>5.3.11</v>
      </c>
      <c r="E228" s="1372" t="s">
        <v>163</v>
      </c>
      <c r="F228" s="1638">
        <v>546</v>
      </c>
      <c r="G228" s="1638">
        <v>546</v>
      </c>
      <c r="H228" s="1638">
        <v>546</v>
      </c>
      <c r="I228" s="1638">
        <v>546</v>
      </c>
      <c r="J228" s="1372" t="str">
        <f>+'[9]5.3.11'!$B$12</f>
        <v>RS-HVC-PROG-V04-180101</v>
      </c>
      <c r="K228" s="1372" t="str">
        <f t="shared" si="150"/>
        <v>Nicor Gas PY7-PY10 Adjustable Goals Template_2017-06-30, Tab 5.3.11</v>
      </c>
      <c r="L228" s="1639">
        <v>40.501500000000007</v>
      </c>
      <c r="M228" s="1639">
        <v>40.501500000000007</v>
      </c>
      <c r="N228" s="1639">
        <v>40.501500000000007</v>
      </c>
      <c r="O228" s="1639">
        <v>40.501500000000007</v>
      </c>
      <c r="P228" s="1637">
        <v>0.94</v>
      </c>
      <c r="Q228" s="1637">
        <v>0.94</v>
      </c>
      <c r="R228" s="1637">
        <v>0.94</v>
      </c>
      <c r="S228" s="1637">
        <v>0.94</v>
      </c>
      <c r="T228" s="1640">
        <f t="shared" si="151"/>
        <v>20786.989860000001</v>
      </c>
      <c r="U228" s="1640">
        <f t="shared" si="152"/>
        <v>20786.989860000001</v>
      </c>
      <c r="V228" s="1640">
        <f t="shared" si="153"/>
        <v>20786.989860000001</v>
      </c>
      <c r="W228" s="1640">
        <f t="shared" si="154"/>
        <v>20786.989860000001</v>
      </c>
      <c r="X228" s="1640">
        <f t="shared" si="155"/>
        <v>83147.959440000006</v>
      </c>
      <c r="Y228" s="1372" t="str">
        <f t="shared" si="175"/>
        <v>RS-HVC-PROG-V04-180101</v>
      </c>
      <c r="Z228" s="1372" t="str">
        <f t="shared" si="178"/>
        <v>Nicor Gas PY7-PY10 Adjustable Goals Template_2017-06-30, Tab 5.3.11</v>
      </c>
      <c r="AA228" s="2024">
        <f t="shared" si="179"/>
        <v>40.501500000000007</v>
      </c>
      <c r="AB228" s="2028"/>
      <c r="AC228" s="1840">
        <f t="shared" si="156"/>
        <v>20786.989860000001</v>
      </c>
      <c r="AD228" s="1840">
        <f t="shared" si="157"/>
        <v>0</v>
      </c>
      <c r="AE228" s="1372" t="s">
        <v>2802</v>
      </c>
      <c r="AF228" s="1372" t="s">
        <v>3397</v>
      </c>
      <c r="AG228" s="1639">
        <v>40.501500000000007</v>
      </c>
      <c r="AH228" s="1372" t="s">
        <v>3445</v>
      </c>
      <c r="AI228" s="1640">
        <f t="shared" si="158"/>
        <v>20786.989860000001</v>
      </c>
      <c r="AJ228" s="1638">
        <f t="shared" si="159"/>
        <v>0</v>
      </c>
      <c r="AK228" s="1372" t="s">
        <v>2802</v>
      </c>
      <c r="AL228" s="1372" t="s">
        <v>3397</v>
      </c>
      <c r="AM228" s="1639">
        <v>40.501500000000007</v>
      </c>
      <c r="AN228" s="1372" t="str">
        <f t="shared" si="176"/>
        <v>No change</v>
      </c>
      <c r="AO228" s="1640">
        <f t="shared" si="160"/>
        <v>20786.989860000001</v>
      </c>
      <c r="AP228" s="1638">
        <f t="shared" si="161"/>
        <v>0</v>
      </c>
      <c r="AQ228" s="1372" t="s">
        <v>2802</v>
      </c>
      <c r="AR228" s="1372" t="s">
        <v>3397</v>
      </c>
      <c r="AS228" s="1639">
        <v>40.501500000000007</v>
      </c>
      <c r="AT228" s="1372" t="str">
        <f>$AH228</f>
        <v>No change</v>
      </c>
      <c r="AU228" s="1640">
        <f t="shared" si="162"/>
        <v>20786.989860000001</v>
      </c>
      <c r="AV228" s="1638">
        <f t="shared" si="163"/>
        <v>0</v>
      </c>
      <c r="AW228" s="2044">
        <f t="shared" si="164"/>
        <v>20786.989860000001</v>
      </c>
      <c r="AX228" s="2044">
        <f t="shared" si="165"/>
        <v>20786.989860000001</v>
      </c>
      <c r="AY228" s="2044">
        <f t="shared" si="166"/>
        <v>20786.989860000001</v>
      </c>
      <c r="AZ228" s="2044">
        <f t="shared" si="167"/>
        <v>20786.989860000001</v>
      </c>
      <c r="BA228" s="2045">
        <f t="shared" si="168"/>
        <v>83147.959440000006</v>
      </c>
      <c r="BB228" s="2045" t="str">
        <f>'[9]5.3.11'!$A$2</f>
        <v>5.3.11</v>
      </c>
      <c r="BC228" s="2045" t="str">
        <f>'[9]5.3.11'!$A$2</f>
        <v>5.3.11</v>
      </c>
      <c r="BD228" s="2121">
        <v>1</v>
      </c>
      <c r="BE228" s="2051">
        <v>5</v>
      </c>
      <c r="BF228" s="2051">
        <v>5</v>
      </c>
      <c r="BG228" s="2051">
        <v>5</v>
      </c>
      <c r="BH228" s="2051">
        <v>5</v>
      </c>
      <c r="BI228" s="2045">
        <f t="shared" si="146"/>
        <v>103934.94930000002</v>
      </c>
      <c r="BJ228" s="2045">
        <f t="shared" si="147"/>
        <v>103934.94930000002</v>
      </c>
      <c r="BK228" s="2045">
        <f t="shared" si="148"/>
        <v>103934.94930000002</v>
      </c>
      <c r="BL228" s="2045">
        <f t="shared" si="149"/>
        <v>103934.94930000002</v>
      </c>
      <c r="BM228" s="2045">
        <f t="shared" si="169"/>
        <v>415739.79720000009</v>
      </c>
      <c r="BN228" s="2047">
        <v>5</v>
      </c>
      <c r="BO228" s="2050">
        <v>8</v>
      </c>
      <c r="BP228" s="2050">
        <v>8</v>
      </c>
      <c r="BQ228" s="2050">
        <v>8</v>
      </c>
      <c r="BR228" s="2048">
        <f t="shared" si="170"/>
        <v>103934.94930000002</v>
      </c>
      <c r="BS228" s="2048">
        <f t="shared" si="171"/>
        <v>166295.91888000004</v>
      </c>
      <c r="BT228" s="2048">
        <f t="shared" si="172"/>
        <v>166295.91888000004</v>
      </c>
      <c r="BU228" s="2048">
        <f t="shared" si="173"/>
        <v>166295.91888000004</v>
      </c>
      <c r="BV228" s="1840">
        <f t="shared" si="174"/>
        <v>602822.70594000013</v>
      </c>
      <c r="BW228" s="2064" t="e">
        <f>INT(#REF!)=INT(BA228)</f>
        <v>#REF!</v>
      </c>
      <c r="BX228" s="2064">
        <v>221</v>
      </c>
      <c r="BY228" s="2064" t="s">
        <v>512</v>
      </c>
    </row>
    <row r="229" spans="1:77" s="1976" customFormat="1" ht="62" x14ac:dyDescent="0.35">
      <c r="A229" s="1372" t="s">
        <v>681</v>
      </c>
      <c r="B229" s="1372" t="s">
        <v>233</v>
      </c>
      <c r="C229" s="1637">
        <v>0</v>
      </c>
      <c r="D229" s="2053" t="str">
        <f>'[9]5.3.11'!$A$2</f>
        <v>5.3.11</v>
      </c>
      <c r="E229" s="1372" t="s">
        <v>201</v>
      </c>
      <c r="F229" s="1638">
        <v>15</v>
      </c>
      <c r="G229" s="1638">
        <v>15</v>
      </c>
      <c r="H229" s="1638">
        <v>15</v>
      </c>
      <c r="I229" s="1638">
        <v>15</v>
      </c>
      <c r="J229" s="1372" t="str">
        <f>+'[9]5.3.11'!$B$12</f>
        <v>RS-HVC-PROG-V04-180101</v>
      </c>
      <c r="K229" s="1372" t="str">
        <f t="shared" si="150"/>
        <v>Nicor Gas PY7-PY10 Adjustable Goals Template_2017-06-30, Tab 5.3.11</v>
      </c>
      <c r="L229" s="1639">
        <v>40.5015</v>
      </c>
      <c r="M229" s="1639">
        <v>40.5015</v>
      </c>
      <c r="N229" s="1639">
        <v>40.5015</v>
      </c>
      <c r="O229" s="1639">
        <v>40.5015</v>
      </c>
      <c r="P229" s="1637">
        <v>0.94</v>
      </c>
      <c r="Q229" s="1637">
        <v>0.94</v>
      </c>
      <c r="R229" s="1637">
        <v>0.94</v>
      </c>
      <c r="S229" s="1637">
        <v>0.94</v>
      </c>
      <c r="T229" s="1640">
        <f t="shared" si="151"/>
        <v>571.07114999999999</v>
      </c>
      <c r="U229" s="1640">
        <f t="shared" si="152"/>
        <v>571.07114999999999</v>
      </c>
      <c r="V229" s="1640">
        <f t="shared" si="153"/>
        <v>571.07114999999999</v>
      </c>
      <c r="W229" s="1640">
        <f t="shared" si="154"/>
        <v>571.07114999999999</v>
      </c>
      <c r="X229" s="1640">
        <f t="shared" si="155"/>
        <v>2284.2846</v>
      </c>
      <c r="Y229" s="1372" t="str">
        <f t="shared" si="175"/>
        <v>RS-HVC-PROG-V04-180101</v>
      </c>
      <c r="Z229" s="1372" t="str">
        <f t="shared" si="178"/>
        <v>Nicor Gas PY7-PY10 Adjustable Goals Template_2017-06-30, Tab 5.3.11</v>
      </c>
      <c r="AA229" s="1840">
        <f t="shared" si="179"/>
        <v>40.5015</v>
      </c>
      <c r="AB229" s="2028"/>
      <c r="AC229" s="1840">
        <f t="shared" si="156"/>
        <v>571.07114999999999</v>
      </c>
      <c r="AD229" s="1840">
        <f t="shared" si="157"/>
        <v>0</v>
      </c>
      <c r="AE229" s="1372" t="s">
        <v>2802</v>
      </c>
      <c r="AF229" s="1372" t="s">
        <v>3397</v>
      </c>
      <c r="AG229" s="1639">
        <v>40.5015</v>
      </c>
      <c r="AH229" s="1372" t="s">
        <v>3445</v>
      </c>
      <c r="AI229" s="1640">
        <f t="shared" si="158"/>
        <v>571.07114999999999</v>
      </c>
      <c r="AJ229" s="1638">
        <f t="shared" si="159"/>
        <v>0</v>
      </c>
      <c r="AK229" s="1372" t="s">
        <v>2802</v>
      </c>
      <c r="AL229" s="1372" t="s">
        <v>3397</v>
      </c>
      <c r="AM229" s="1639">
        <v>40.5015</v>
      </c>
      <c r="AN229" s="1372" t="str">
        <f t="shared" si="176"/>
        <v>No change</v>
      </c>
      <c r="AO229" s="1640">
        <f t="shared" si="160"/>
        <v>571.07114999999999</v>
      </c>
      <c r="AP229" s="1638">
        <f t="shared" si="161"/>
        <v>0</v>
      </c>
      <c r="AQ229" s="1372" t="s">
        <v>2802</v>
      </c>
      <c r="AR229" s="1372" t="s">
        <v>3397</v>
      </c>
      <c r="AS229" s="1639">
        <v>40.5015</v>
      </c>
      <c r="AT229" s="1372" t="str">
        <f>$AH229</f>
        <v>No change</v>
      </c>
      <c r="AU229" s="1640">
        <f t="shared" si="162"/>
        <v>571.07114999999999</v>
      </c>
      <c r="AV229" s="1638">
        <f t="shared" si="163"/>
        <v>0</v>
      </c>
      <c r="AW229" s="2044">
        <f t="shared" si="164"/>
        <v>571.07114999999999</v>
      </c>
      <c r="AX229" s="2044">
        <f t="shared" si="165"/>
        <v>571.07114999999999</v>
      </c>
      <c r="AY229" s="2044">
        <f t="shared" si="166"/>
        <v>571.07114999999999</v>
      </c>
      <c r="AZ229" s="2044">
        <f t="shared" si="167"/>
        <v>571.07114999999999</v>
      </c>
      <c r="BA229" s="2045">
        <f t="shared" si="168"/>
        <v>2284.2846</v>
      </c>
      <c r="BB229" s="2045" t="str">
        <f>'[9]5.3.11'!$A$2</f>
        <v>5.3.11</v>
      </c>
      <c r="BC229" s="2045" t="str">
        <f>'[9]5.3.11'!$A$2</f>
        <v>5.3.11</v>
      </c>
      <c r="BD229" s="2045">
        <v>0</v>
      </c>
      <c r="BE229" s="2051">
        <v>2</v>
      </c>
      <c r="BF229" s="2051">
        <v>2</v>
      </c>
      <c r="BG229" s="2051">
        <v>2</v>
      </c>
      <c r="BH229" s="2051">
        <v>2</v>
      </c>
      <c r="BI229" s="2045">
        <f t="shared" si="146"/>
        <v>1142.1423</v>
      </c>
      <c r="BJ229" s="2045">
        <f t="shared" si="147"/>
        <v>1142.1423</v>
      </c>
      <c r="BK229" s="2045">
        <f t="shared" si="148"/>
        <v>1142.1423</v>
      </c>
      <c r="BL229" s="2045">
        <f t="shared" si="149"/>
        <v>1142.1423</v>
      </c>
      <c r="BM229" s="2045">
        <f t="shared" si="169"/>
        <v>4568.5691999999999</v>
      </c>
      <c r="BN229" s="2047">
        <v>2</v>
      </c>
      <c r="BO229" s="2047">
        <v>2</v>
      </c>
      <c r="BP229" s="2047">
        <v>2</v>
      </c>
      <c r="BQ229" s="2047">
        <v>2</v>
      </c>
      <c r="BR229" s="2048">
        <f t="shared" si="170"/>
        <v>1142.1423</v>
      </c>
      <c r="BS229" s="2048">
        <f t="shared" si="171"/>
        <v>1142.1423</v>
      </c>
      <c r="BT229" s="2048">
        <f t="shared" si="172"/>
        <v>1142.1423</v>
      </c>
      <c r="BU229" s="2048">
        <f t="shared" si="173"/>
        <v>1142.1423</v>
      </c>
      <c r="BV229" s="1840">
        <f t="shared" si="174"/>
        <v>4568.5691999999999</v>
      </c>
      <c r="BW229" s="2064" t="e">
        <f>INT(#REF!)=INT(BA229)</f>
        <v>#REF!</v>
      </c>
      <c r="BX229" s="2064">
        <v>222</v>
      </c>
      <c r="BY229" s="2064" t="s">
        <v>512</v>
      </c>
    </row>
    <row r="230" spans="1:77" s="1976" customFormat="1" ht="62" x14ac:dyDescent="0.35">
      <c r="A230" s="1372" t="s">
        <v>681</v>
      </c>
      <c r="B230" s="1372" t="s">
        <v>246</v>
      </c>
      <c r="C230" s="1637">
        <v>0</v>
      </c>
      <c r="D230" s="2053" t="str">
        <f>'[9]5.4.6'!$A$1</f>
        <v>5.4.6</v>
      </c>
      <c r="E230" s="1372" t="s">
        <v>201</v>
      </c>
      <c r="F230" s="1638">
        <v>15</v>
      </c>
      <c r="G230" s="1638">
        <v>15</v>
      </c>
      <c r="H230" s="1638">
        <v>15</v>
      </c>
      <c r="I230" s="1638">
        <v>15</v>
      </c>
      <c r="J230" s="1372" t="str">
        <f>+'[9]5.4.6'!$B$13</f>
        <v>RS-HWE-TMPS-V05-160601</v>
      </c>
      <c r="K230" s="1372" t="str">
        <f t="shared" si="150"/>
        <v>Nicor Gas PY7-PY10 Adjustable Goals Template_2017-06-30, Tab 5.4.6</v>
      </c>
      <c r="L230" s="1639">
        <v>4.0706360194029854</v>
      </c>
      <c r="M230" s="1639">
        <v>4.0706360194029854</v>
      </c>
      <c r="N230" s="1639">
        <v>4.0706360194029854</v>
      </c>
      <c r="O230" s="1639">
        <v>4.0706360194029854</v>
      </c>
      <c r="P230" s="1637">
        <v>0.95</v>
      </c>
      <c r="Q230" s="1637">
        <v>0.95</v>
      </c>
      <c r="R230" s="1637">
        <v>0.95</v>
      </c>
      <c r="S230" s="1637">
        <v>0.95</v>
      </c>
      <c r="T230" s="1640">
        <f t="shared" si="151"/>
        <v>58.006563276492543</v>
      </c>
      <c r="U230" s="1640">
        <f t="shared" si="152"/>
        <v>58.006563276492543</v>
      </c>
      <c r="V230" s="1640">
        <f t="shared" si="153"/>
        <v>58.006563276492543</v>
      </c>
      <c r="W230" s="1640">
        <f t="shared" si="154"/>
        <v>58.006563276492543</v>
      </c>
      <c r="X230" s="1640">
        <f t="shared" si="155"/>
        <v>232.02625310597017</v>
      </c>
      <c r="Y230" s="1372" t="str">
        <f t="shared" si="175"/>
        <v>RS-HWE-TMPS-V05-160601</v>
      </c>
      <c r="Z230" s="1372" t="str">
        <f t="shared" si="178"/>
        <v>Nicor Gas PY7-PY10 Adjustable Goals Template_2017-06-30, Tab 5.4.6</v>
      </c>
      <c r="AA230" s="1840">
        <f t="shared" si="179"/>
        <v>4.0706360194029854</v>
      </c>
      <c r="AB230" s="2028"/>
      <c r="AC230" s="1840">
        <f t="shared" si="156"/>
        <v>58.006563276492543</v>
      </c>
      <c r="AD230" s="1840">
        <f t="shared" si="157"/>
        <v>0</v>
      </c>
      <c r="AE230" s="1372" t="s">
        <v>2801</v>
      </c>
      <c r="AF230" s="1372" t="s">
        <v>3395</v>
      </c>
      <c r="AG230" s="1639">
        <v>4.0706360194029854</v>
      </c>
      <c r="AH230" s="1372" t="s">
        <v>3445</v>
      </c>
      <c r="AI230" s="1640">
        <f t="shared" si="158"/>
        <v>58.006563276492543</v>
      </c>
      <c r="AJ230" s="1638">
        <f t="shared" si="159"/>
        <v>0</v>
      </c>
      <c r="AK230" s="1372" t="s">
        <v>2801</v>
      </c>
      <c r="AL230" s="1372" t="s">
        <v>3395</v>
      </c>
      <c r="AM230" s="1639">
        <v>4.0706360194029854</v>
      </c>
      <c r="AN230" s="1372" t="str">
        <f t="shared" si="176"/>
        <v>No change</v>
      </c>
      <c r="AO230" s="1640">
        <f t="shared" si="160"/>
        <v>58.006563276492543</v>
      </c>
      <c r="AP230" s="1638">
        <f t="shared" si="161"/>
        <v>0</v>
      </c>
      <c r="AQ230" s="1372" t="s">
        <v>2801</v>
      </c>
      <c r="AR230" s="1372" t="s">
        <v>3395</v>
      </c>
      <c r="AS230" s="1639">
        <v>4.0706360194029854</v>
      </c>
      <c r="AT230" s="1372" t="str">
        <f>$AH230</f>
        <v>No change</v>
      </c>
      <c r="AU230" s="1640">
        <f t="shared" si="162"/>
        <v>58.006563276492543</v>
      </c>
      <c r="AV230" s="1638">
        <f t="shared" si="163"/>
        <v>0</v>
      </c>
      <c r="AW230" s="2044">
        <f t="shared" si="164"/>
        <v>58.006563276492543</v>
      </c>
      <c r="AX230" s="2044">
        <f t="shared" si="165"/>
        <v>58.006563276492543</v>
      </c>
      <c r="AY230" s="2044">
        <f t="shared" si="166"/>
        <v>58.006563276492543</v>
      </c>
      <c r="AZ230" s="2044">
        <f t="shared" si="167"/>
        <v>58.006563276492543</v>
      </c>
      <c r="BA230" s="2045">
        <f t="shared" si="168"/>
        <v>232.02625310597017</v>
      </c>
      <c r="BB230" s="2045" t="str">
        <f>'[9]5.4.6'!$A$1</f>
        <v>5.4.6</v>
      </c>
      <c r="BC230" s="2045" t="str">
        <f>'[9]5.4.6'!$A$1</f>
        <v>5.4.6</v>
      </c>
      <c r="BD230" s="2045">
        <v>0</v>
      </c>
      <c r="BE230" s="2051">
        <v>2</v>
      </c>
      <c r="BF230" s="2051">
        <v>2</v>
      </c>
      <c r="BG230" s="2051">
        <v>2</v>
      </c>
      <c r="BH230" s="2051">
        <v>2</v>
      </c>
      <c r="BI230" s="2045">
        <f t="shared" si="146"/>
        <v>116.01312655298509</v>
      </c>
      <c r="BJ230" s="2045">
        <f t="shared" si="147"/>
        <v>116.01312655298509</v>
      </c>
      <c r="BK230" s="2045">
        <f t="shared" si="148"/>
        <v>116.01312655298509</v>
      </c>
      <c r="BL230" s="2045">
        <f t="shared" si="149"/>
        <v>116.01312655298509</v>
      </c>
      <c r="BM230" s="2045">
        <f t="shared" si="169"/>
        <v>464.05250621194034</v>
      </c>
      <c r="BN230" s="2047">
        <v>2</v>
      </c>
      <c r="BO230" s="2047">
        <v>2</v>
      </c>
      <c r="BP230" s="2047">
        <v>2</v>
      </c>
      <c r="BQ230" s="2047">
        <v>2</v>
      </c>
      <c r="BR230" s="2048">
        <f t="shared" si="170"/>
        <v>116.01312655298509</v>
      </c>
      <c r="BS230" s="2048">
        <f t="shared" si="171"/>
        <v>116.01312655298509</v>
      </c>
      <c r="BT230" s="2048">
        <f t="shared" si="172"/>
        <v>116.01312655298509</v>
      </c>
      <c r="BU230" s="2048">
        <f t="shared" si="173"/>
        <v>116.01312655298509</v>
      </c>
      <c r="BV230" s="1840">
        <f t="shared" si="174"/>
        <v>464.05250621194034</v>
      </c>
      <c r="BW230" s="2064" t="e">
        <f>INT(#REF!)=INT(BA230)</f>
        <v>#REF!</v>
      </c>
      <c r="BX230" s="2064">
        <v>223</v>
      </c>
      <c r="BY230" s="2064" t="s">
        <v>512</v>
      </c>
    </row>
    <row r="231" spans="1:77" s="1976" customFormat="1" ht="18" customHeight="1" x14ac:dyDescent="0.35">
      <c r="A231" s="1372" t="s">
        <v>681</v>
      </c>
      <c r="B231" s="1372" t="s">
        <v>283</v>
      </c>
      <c r="C231" s="1637">
        <v>0</v>
      </c>
      <c r="D231" s="1372" t="s">
        <v>295</v>
      </c>
      <c r="E231" s="1372" t="s">
        <v>163</v>
      </c>
      <c r="F231" s="1638">
        <v>3750</v>
      </c>
      <c r="G231" s="1638">
        <v>3750</v>
      </c>
      <c r="H231" s="1638">
        <v>3750</v>
      </c>
      <c r="I231" s="1638">
        <v>3750</v>
      </c>
      <c r="J231" s="1372" t="s">
        <v>295</v>
      </c>
      <c r="K231" s="1372" t="str">
        <f t="shared" si="150"/>
        <v/>
      </c>
      <c r="L231" s="1639">
        <v>0</v>
      </c>
      <c r="M231" s="1639">
        <v>0</v>
      </c>
      <c r="N231" s="1639">
        <v>0</v>
      </c>
      <c r="O231" s="1639">
        <v>0</v>
      </c>
      <c r="P231" s="1637">
        <v>0.95</v>
      </c>
      <c r="Q231" s="1637">
        <v>0.95</v>
      </c>
      <c r="R231" s="1637">
        <v>0.95</v>
      </c>
      <c r="S231" s="1637">
        <v>0.95</v>
      </c>
      <c r="T231" s="1640">
        <f t="shared" si="151"/>
        <v>0</v>
      </c>
      <c r="U231" s="1640">
        <f t="shared" si="152"/>
        <v>0</v>
      </c>
      <c r="V231" s="1640">
        <f t="shared" si="153"/>
        <v>0</v>
      </c>
      <c r="W231" s="1640">
        <f t="shared" si="154"/>
        <v>0</v>
      </c>
      <c r="X231" s="1640">
        <f t="shared" si="155"/>
        <v>0</v>
      </c>
      <c r="Y231" s="1829"/>
      <c r="Z231" s="1372" t="str">
        <f t="shared" si="178"/>
        <v/>
      </c>
      <c r="AA231" s="1840">
        <f t="shared" si="179"/>
        <v>0</v>
      </c>
      <c r="AB231" s="2028"/>
      <c r="AC231" s="1840">
        <f t="shared" si="156"/>
        <v>0</v>
      </c>
      <c r="AD231" s="1840">
        <f t="shared" si="157"/>
        <v>0</v>
      </c>
      <c r="AE231" s="1829"/>
      <c r="AF231" s="1829" t="s">
        <v>3361</v>
      </c>
      <c r="AG231" s="1830">
        <v>0</v>
      </c>
      <c r="AH231" s="1829"/>
      <c r="AI231" s="1640">
        <f t="shared" si="158"/>
        <v>0</v>
      </c>
      <c r="AJ231" s="1638">
        <f t="shared" si="159"/>
        <v>0</v>
      </c>
      <c r="AK231" s="1829"/>
      <c r="AL231" s="1829" t="s">
        <v>3361</v>
      </c>
      <c r="AM231" s="1830">
        <v>0</v>
      </c>
      <c r="AN231" s="1829"/>
      <c r="AO231" s="1640">
        <f t="shared" si="160"/>
        <v>0</v>
      </c>
      <c r="AP231" s="1638">
        <f t="shared" si="161"/>
        <v>0</v>
      </c>
      <c r="AQ231" s="1829"/>
      <c r="AR231" s="1829" t="s">
        <v>3361</v>
      </c>
      <c r="AS231" s="1830">
        <v>0</v>
      </c>
      <c r="AT231" s="1829"/>
      <c r="AU231" s="1640">
        <f t="shared" si="162"/>
        <v>0</v>
      </c>
      <c r="AV231" s="1638">
        <f t="shared" si="163"/>
        <v>0</v>
      </c>
      <c r="AW231" s="2044">
        <f t="shared" si="164"/>
        <v>0</v>
      </c>
      <c r="AX231" s="2044">
        <f t="shared" si="165"/>
        <v>0</v>
      </c>
      <c r="AY231" s="2044">
        <f t="shared" si="166"/>
        <v>0</v>
      </c>
      <c r="AZ231" s="2044">
        <f t="shared" si="167"/>
        <v>0</v>
      </c>
      <c r="BA231" s="2045">
        <f t="shared" si="168"/>
        <v>0</v>
      </c>
      <c r="BB231" s="2049"/>
      <c r="BC231" s="2049"/>
      <c r="BD231" s="2045">
        <v>0</v>
      </c>
      <c r="BE231" s="2051">
        <v>0</v>
      </c>
      <c r="BF231" s="2051">
        <v>0</v>
      </c>
      <c r="BG231" s="2051">
        <v>0</v>
      </c>
      <c r="BH231" s="2051">
        <v>0</v>
      </c>
      <c r="BI231" s="2045">
        <f t="shared" si="146"/>
        <v>0</v>
      </c>
      <c r="BJ231" s="2045">
        <f t="shared" si="147"/>
        <v>0</v>
      </c>
      <c r="BK231" s="2045">
        <f t="shared" si="148"/>
        <v>0</v>
      </c>
      <c r="BL231" s="2045">
        <f t="shared" si="149"/>
        <v>0</v>
      </c>
      <c r="BM231" s="2045">
        <f t="shared" si="169"/>
        <v>0</v>
      </c>
      <c r="BN231" s="2047">
        <v>0</v>
      </c>
      <c r="BO231" s="2047">
        <v>0</v>
      </c>
      <c r="BP231" s="2047">
        <v>0</v>
      </c>
      <c r="BQ231" s="2047">
        <v>0</v>
      </c>
      <c r="BR231" s="2048">
        <f t="shared" si="170"/>
        <v>0</v>
      </c>
      <c r="BS231" s="2048">
        <f t="shared" si="171"/>
        <v>0</v>
      </c>
      <c r="BT231" s="2048">
        <f t="shared" si="172"/>
        <v>0</v>
      </c>
      <c r="BU231" s="2048">
        <f t="shared" si="173"/>
        <v>0</v>
      </c>
      <c r="BV231" s="1840">
        <f t="shared" si="174"/>
        <v>0</v>
      </c>
      <c r="BW231" s="2064" t="e">
        <f>INT(#REF!)=INT(BA231)</f>
        <v>#REF!</v>
      </c>
      <c r="BX231" s="2064">
        <v>224</v>
      </c>
      <c r="BY231" s="2064" t="s">
        <v>295</v>
      </c>
    </row>
    <row r="232" spans="1:77" s="1976" customFormat="1" ht="15.5" x14ac:dyDescent="0.35">
      <c r="A232" s="1372" t="s">
        <v>681</v>
      </c>
      <c r="B232" s="1372" t="s">
        <v>284</v>
      </c>
      <c r="C232" s="1637">
        <v>0</v>
      </c>
      <c r="D232" s="1372" t="s">
        <v>295</v>
      </c>
      <c r="E232" s="1372" t="s">
        <v>163</v>
      </c>
      <c r="F232" s="1638">
        <v>112</v>
      </c>
      <c r="G232" s="1638">
        <v>112</v>
      </c>
      <c r="H232" s="1638">
        <v>112</v>
      </c>
      <c r="I232" s="1638">
        <v>112</v>
      </c>
      <c r="J232" s="1372" t="s">
        <v>295</v>
      </c>
      <c r="K232" s="1372" t="str">
        <f t="shared" si="150"/>
        <v/>
      </c>
      <c r="L232" s="1639">
        <v>0</v>
      </c>
      <c r="M232" s="1639">
        <v>0</v>
      </c>
      <c r="N232" s="1639">
        <v>0</v>
      </c>
      <c r="O232" s="1639">
        <v>0</v>
      </c>
      <c r="P232" s="1637">
        <v>0.95</v>
      </c>
      <c r="Q232" s="1637">
        <v>0.95</v>
      </c>
      <c r="R232" s="1637">
        <v>0.95</v>
      </c>
      <c r="S232" s="1637">
        <v>0.95</v>
      </c>
      <c r="T232" s="1640">
        <f t="shared" si="151"/>
        <v>0</v>
      </c>
      <c r="U232" s="1640">
        <f t="shared" si="152"/>
        <v>0</v>
      </c>
      <c r="V232" s="1640">
        <f t="shared" si="153"/>
        <v>0</v>
      </c>
      <c r="W232" s="1640">
        <f t="shared" si="154"/>
        <v>0</v>
      </c>
      <c r="X232" s="1640">
        <f t="shared" si="155"/>
        <v>0</v>
      </c>
      <c r="Y232" s="1829"/>
      <c r="Z232" s="1372" t="str">
        <f t="shared" si="178"/>
        <v/>
      </c>
      <c r="AA232" s="1840">
        <f t="shared" si="179"/>
        <v>0</v>
      </c>
      <c r="AB232" s="2028"/>
      <c r="AC232" s="1840">
        <f t="shared" si="156"/>
        <v>0</v>
      </c>
      <c r="AD232" s="1840">
        <f t="shared" si="157"/>
        <v>0</v>
      </c>
      <c r="AE232" s="1829"/>
      <c r="AF232" s="1829" t="s">
        <v>3361</v>
      </c>
      <c r="AG232" s="1830">
        <v>0</v>
      </c>
      <c r="AH232" s="1829"/>
      <c r="AI232" s="1640">
        <f t="shared" si="158"/>
        <v>0</v>
      </c>
      <c r="AJ232" s="1638">
        <f t="shared" si="159"/>
        <v>0</v>
      </c>
      <c r="AK232" s="1829"/>
      <c r="AL232" s="1829" t="s">
        <v>3361</v>
      </c>
      <c r="AM232" s="1830">
        <v>0</v>
      </c>
      <c r="AN232" s="1829"/>
      <c r="AO232" s="1640">
        <f t="shared" si="160"/>
        <v>0</v>
      </c>
      <c r="AP232" s="1638">
        <f t="shared" si="161"/>
        <v>0</v>
      </c>
      <c r="AQ232" s="1829"/>
      <c r="AR232" s="1829" t="s">
        <v>3361</v>
      </c>
      <c r="AS232" s="1830">
        <v>0</v>
      </c>
      <c r="AT232" s="1829"/>
      <c r="AU232" s="1640">
        <f t="shared" si="162"/>
        <v>0</v>
      </c>
      <c r="AV232" s="1638">
        <f t="shared" si="163"/>
        <v>0</v>
      </c>
      <c r="AW232" s="2044">
        <f t="shared" si="164"/>
        <v>0</v>
      </c>
      <c r="AX232" s="2044">
        <f t="shared" si="165"/>
        <v>0</v>
      </c>
      <c r="AY232" s="2044">
        <f t="shared" si="166"/>
        <v>0</v>
      </c>
      <c r="AZ232" s="2044">
        <f t="shared" si="167"/>
        <v>0</v>
      </c>
      <c r="BA232" s="2045">
        <f t="shared" si="168"/>
        <v>0</v>
      </c>
      <c r="BB232" s="2049"/>
      <c r="BC232" s="2049"/>
      <c r="BD232" s="2045">
        <v>0</v>
      </c>
      <c r="BE232" s="2051">
        <v>1</v>
      </c>
      <c r="BF232" s="2051">
        <v>1</v>
      </c>
      <c r="BG232" s="2051">
        <v>1</v>
      </c>
      <c r="BH232" s="2051">
        <v>1</v>
      </c>
      <c r="BI232" s="2045">
        <f t="shared" si="146"/>
        <v>0</v>
      </c>
      <c r="BJ232" s="2045">
        <f t="shared" si="147"/>
        <v>0</v>
      </c>
      <c r="BK232" s="2045">
        <f t="shared" si="148"/>
        <v>0</v>
      </c>
      <c r="BL232" s="2045">
        <f t="shared" si="149"/>
        <v>0</v>
      </c>
      <c r="BM232" s="2045">
        <f t="shared" si="169"/>
        <v>0</v>
      </c>
      <c r="BN232" s="2047">
        <v>1</v>
      </c>
      <c r="BO232" s="2047">
        <v>1</v>
      </c>
      <c r="BP232" s="2047">
        <v>1</v>
      </c>
      <c r="BQ232" s="2047">
        <v>1</v>
      </c>
      <c r="BR232" s="2048">
        <f t="shared" si="170"/>
        <v>0</v>
      </c>
      <c r="BS232" s="2048">
        <f t="shared" si="171"/>
        <v>0</v>
      </c>
      <c r="BT232" s="2048">
        <f t="shared" si="172"/>
        <v>0</v>
      </c>
      <c r="BU232" s="2048">
        <f t="shared" si="173"/>
        <v>0</v>
      </c>
      <c r="BV232" s="1840">
        <f t="shared" si="174"/>
        <v>0</v>
      </c>
      <c r="BW232" s="2064" t="e">
        <f>INT(#REF!)=INT(BA232)</f>
        <v>#REF!</v>
      </c>
      <c r="BX232" s="2064">
        <v>225</v>
      </c>
      <c r="BY232" s="2064" t="s">
        <v>295</v>
      </c>
    </row>
    <row r="233" spans="1:77" s="1976" customFormat="1" ht="15.5" x14ac:dyDescent="0.35">
      <c r="A233" s="1372" t="s">
        <v>681</v>
      </c>
      <c r="B233" s="1372" t="s">
        <v>285</v>
      </c>
      <c r="C233" s="1637">
        <v>0</v>
      </c>
      <c r="D233" s="1372" t="s">
        <v>295</v>
      </c>
      <c r="E233" s="1372" t="s">
        <v>163</v>
      </c>
      <c r="F233" s="1638">
        <v>1500</v>
      </c>
      <c r="G233" s="1638">
        <v>1500</v>
      </c>
      <c r="H233" s="1638">
        <v>1500</v>
      </c>
      <c r="I233" s="1638">
        <v>1500</v>
      </c>
      <c r="J233" s="1372" t="s">
        <v>295</v>
      </c>
      <c r="K233" s="1372" t="str">
        <f t="shared" si="150"/>
        <v/>
      </c>
      <c r="L233" s="1639">
        <v>0</v>
      </c>
      <c r="M233" s="1639">
        <v>0</v>
      </c>
      <c r="N233" s="1639">
        <v>0</v>
      </c>
      <c r="O233" s="1639">
        <v>0</v>
      </c>
      <c r="P233" s="1637">
        <v>0.95</v>
      </c>
      <c r="Q233" s="1637">
        <v>0.95</v>
      </c>
      <c r="R233" s="1637">
        <v>0.95</v>
      </c>
      <c r="S233" s="1637">
        <v>0.95</v>
      </c>
      <c r="T233" s="1640">
        <f t="shared" si="151"/>
        <v>0</v>
      </c>
      <c r="U233" s="1640">
        <f t="shared" si="152"/>
        <v>0</v>
      </c>
      <c r="V233" s="1640">
        <f t="shared" si="153"/>
        <v>0</v>
      </c>
      <c r="W233" s="1640">
        <f t="shared" si="154"/>
        <v>0</v>
      </c>
      <c r="X233" s="1640">
        <f t="shared" si="155"/>
        <v>0</v>
      </c>
      <c r="Y233" s="1829"/>
      <c r="Z233" s="1372" t="str">
        <f t="shared" si="178"/>
        <v/>
      </c>
      <c r="AA233" s="1840">
        <f t="shared" si="179"/>
        <v>0</v>
      </c>
      <c r="AB233" s="2028"/>
      <c r="AC233" s="1840">
        <f t="shared" si="156"/>
        <v>0</v>
      </c>
      <c r="AD233" s="1840">
        <f t="shared" si="157"/>
        <v>0</v>
      </c>
      <c r="AE233" s="1829"/>
      <c r="AF233" s="1829" t="s">
        <v>3361</v>
      </c>
      <c r="AG233" s="1830">
        <v>0</v>
      </c>
      <c r="AH233" s="1829"/>
      <c r="AI233" s="1640">
        <f t="shared" si="158"/>
        <v>0</v>
      </c>
      <c r="AJ233" s="1638">
        <f t="shared" si="159"/>
        <v>0</v>
      </c>
      <c r="AK233" s="1829"/>
      <c r="AL233" s="1829" t="s">
        <v>3361</v>
      </c>
      <c r="AM233" s="1830">
        <v>0</v>
      </c>
      <c r="AN233" s="1829"/>
      <c r="AO233" s="1640">
        <f t="shared" si="160"/>
        <v>0</v>
      </c>
      <c r="AP233" s="1638">
        <f t="shared" si="161"/>
        <v>0</v>
      </c>
      <c r="AQ233" s="1829"/>
      <c r="AR233" s="1829" t="s">
        <v>3361</v>
      </c>
      <c r="AS233" s="1830">
        <v>0</v>
      </c>
      <c r="AT233" s="1829"/>
      <c r="AU233" s="1640">
        <f t="shared" si="162"/>
        <v>0</v>
      </c>
      <c r="AV233" s="1638">
        <f t="shared" si="163"/>
        <v>0</v>
      </c>
      <c r="AW233" s="2044">
        <f t="shared" si="164"/>
        <v>0</v>
      </c>
      <c r="AX233" s="2044">
        <f t="shared" si="165"/>
        <v>0</v>
      </c>
      <c r="AY233" s="2044">
        <f t="shared" si="166"/>
        <v>0</v>
      </c>
      <c r="AZ233" s="2044">
        <f t="shared" si="167"/>
        <v>0</v>
      </c>
      <c r="BA233" s="2045">
        <f t="shared" si="168"/>
        <v>0</v>
      </c>
      <c r="BB233" s="2049"/>
      <c r="BC233" s="2049"/>
      <c r="BD233" s="2045">
        <v>0</v>
      </c>
      <c r="BE233" s="2051">
        <v>0</v>
      </c>
      <c r="BF233" s="2051">
        <v>0</v>
      </c>
      <c r="BG233" s="2051">
        <v>0</v>
      </c>
      <c r="BH233" s="2051">
        <v>0</v>
      </c>
      <c r="BI233" s="2045">
        <f t="shared" si="146"/>
        <v>0</v>
      </c>
      <c r="BJ233" s="2045">
        <f t="shared" si="147"/>
        <v>0</v>
      </c>
      <c r="BK233" s="2045">
        <f t="shared" si="148"/>
        <v>0</v>
      </c>
      <c r="BL233" s="2045">
        <f t="shared" si="149"/>
        <v>0</v>
      </c>
      <c r="BM233" s="2045">
        <f t="shared" si="169"/>
        <v>0</v>
      </c>
      <c r="BN233" s="2047">
        <v>0</v>
      </c>
      <c r="BO233" s="2047">
        <v>0</v>
      </c>
      <c r="BP233" s="2047">
        <v>0</v>
      </c>
      <c r="BQ233" s="2047">
        <v>0</v>
      </c>
      <c r="BR233" s="2048">
        <f t="shared" si="170"/>
        <v>0</v>
      </c>
      <c r="BS233" s="2048">
        <f t="shared" si="171"/>
        <v>0</v>
      </c>
      <c r="BT233" s="2048">
        <f t="shared" si="172"/>
        <v>0</v>
      </c>
      <c r="BU233" s="2048">
        <f t="shared" si="173"/>
        <v>0</v>
      </c>
      <c r="BV233" s="1840">
        <f t="shared" si="174"/>
        <v>0</v>
      </c>
      <c r="BW233" s="2064" t="e">
        <f>INT(#REF!)=INT(BA233)</f>
        <v>#REF!</v>
      </c>
      <c r="BX233" s="2064">
        <v>226</v>
      </c>
      <c r="BY233" s="2064" t="s">
        <v>295</v>
      </c>
    </row>
    <row r="234" spans="1:77" s="1976" customFormat="1" ht="15.5" x14ac:dyDescent="0.35">
      <c r="A234" s="1372" t="s">
        <v>681</v>
      </c>
      <c r="B234" s="1372" t="s">
        <v>270</v>
      </c>
      <c r="C234" s="1637">
        <v>0</v>
      </c>
      <c r="D234" s="1372" t="s">
        <v>295</v>
      </c>
      <c r="E234" s="1372" t="s">
        <v>163</v>
      </c>
      <c r="F234" s="1638">
        <v>24</v>
      </c>
      <c r="G234" s="1638">
        <v>24</v>
      </c>
      <c r="H234" s="1638">
        <v>24</v>
      </c>
      <c r="I234" s="1638">
        <v>24</v>
      </c>
      <c r="J234" s="1372" t="s">
        <v>295</v>
      </c>
      <c r="K234" s="1372" t="str">
        <f t="shared" si="150"/>
        <v/>
      </c>
      <c r="L234" s="1639">
        <v>0</v>
      </c>
      <c r="M234" s="1639">
        <v>0</v>
      </c>
      <c r="N234" s="1639">
        <v>0</v>
      </c>
      <c r="O234" s="1639">
        <v>0</v>
      </c>
      <c r="P234" s="1637">
        <v>0.95</v>
      </c>
      <c r="Q234" s="1637">
        <v>0.95</v>
      </c>
      <c r="R234" s="1637">
        <v>0.95</v>
      </c>
      <c r="S234" s="1637">
        <v>0.95</v>
      </c>
      <c r="T234" s="1640">
        <f t="shared" si="151"/>
        <v>0</v>
      </c>
      <c r="U234" s="1640">
        <f t="shared" si="152"/>
        <v>0</v>
      </c>
      <c r="V234" s="1640">
        <f t="shared" si="153"/>
        <v>0</v>
      </c>
      <c r="W234" s="1640">
        <f t="shared" si="154"/>
        <v>0</v>
      </c>
      <c r="X234" s="1640">
        <f t="shared" si="155"/>
        <v>0</v>
      </c>
      <c r="Y234" s="1829"/>
      <c r="Z234" s="1372" t="str">
        <f t="shared" si="178"/>
        <v/>
      </c>
      <c r="AA234" s="1840">
        <f t="shared" si="179"/>
        <v>0</v>
      </c>
      <c r="AB234" s="2028"/>
      <c r="AC234" s="1840">
        <f t="shared" si="156"/>
        <v>0</v>
      </c>
      <c r="AD234" s="1840">
        <f t="shared" si="157"/>
        <v>0</v>
      </c>
      <c r="AE234" s="1829"/>
      <c r="AF234" s="1829" t="s">
        <v>3361</v>
      </c>
      <c r="AG234" s="1830">
        <v>0</v>
      </c>
      <c r="AH234" s="1829"/>
      <c r="AI234" s="1640">
        <f t="shared" si="158"/>
        <v>0</v>
      </c>
      <c r="AJ234" s="1638">
        <f t="shared" si="159"/>
        <v>0</v>
      </c>
      <c r="AK234" s="1829"/>
      <c r="AL234" s="1829" t="s">
        <v>3361</v>
      </c>
      <c r="AM234" s="1830">
        <v>0</v>
      </c>
      <c r="AN234" s="1829"/>
      <c r="AO234" s="1640">
        <f t="shared" si="160"/>
        <v>0</v>
      </c>
      <c r="AP234" s="1638">
        <f t="shared" si="161"/>
        <v>0</v>
      </c>
      <c r="AQ234" s="1829"/>
      <c r="AR234" s="1829" t="s">
        <v>3361</v>
      </c>
      <c r="AS234" s="1830">
        <v>0</v>
      </c>
      <c r="AT234" s="1829"/>
      <c r="AU234" s="1640">
        <f t="shared" si="162"/>
        <v>0</v>
      </c>
      <c r="AV234" s="1638">
        <f t="shared" si="163"/>
        <v>0</v>
      </c>
      <c r="AW234" s="2044">
        <f t="shared" si="164"/>
        <v>0</v>
      </c>
      <c r="AX234" s="2044">
        <f t="shared" si="165"/>
        <v>0</v>
      </c>
      <c r="AY234" s="2044">
        <f t="shared" si="166"/>
        <v>0</v>
      </c>
      <c r="AZ234" s="2044">
        <f t="shared" si="167"/>
        <v>0</v>
      </c>
      <c r="BA234" s="2045">
        <f t="shared" si="168"/>
        <v>0</v>
      </c>
      <c r="BB234" s="2049"/>
      <c r="BC234" s="2049"/>
      <c r="BD234" s="2045">
        <v>0</v>
      </c>
      <c r="BE234" s="2051">
        <v>1</v>
      </c>
      <c r="BF234" s="2051">
        <v>1</v>
      </c>
      <c r="BG234" s="2051">
        <v>1</v>
      </c>
      <c r="BH234" s="2051">
        <v>1</v>
      </c>
      <c r="BI234" s="2045">
        <f t="shared" si="146"/>
        <v>0</v>
      </c>
      <c r="BJ234" s="2045">
        <f t="shared" si="147"/>
        <v>0</v>
      </c>
      <c r="BK234" s="2045">
        <f t="shared" si="148"/>
        <v>0</v>
      </c>
      <c r="BL234" s="2045">
        <f t="shared" si="149"/>
        <v>0</v>
      </c>
      <c r="BM234" s="2045">
        <f t="shared" si="169"/>
        <v>0</v>
      </c>
      <c r="BN234" s="2047">
        <v>1</v>
      </c>
      <c r="BO234" s="2047">
        <v>1</v>
      </c>
      <c r="BP234" s="2047">
        <v>1</v>
      </c>
      <c r="BQ234" s="2047">
        <v>1</v>
      </c>
      <c r="BR234" s="2048">
        <f t="shared" si="170"/>
        <v>0</v>
      </c>
      <c r="BS234" s="2048">
        <f t="shared" si="171"/>
        <v>0</v>
      </c>
      <c r="BT234" s="2048">
        <f t="shared" si="172"/>
        <v>0</v>
      </c>
      <c r="BU234" s="2048">
        <f t="shared" si="173"/>
        <v>0</v>
      </c>
      <c r="BV234" s="1840">
        <f t="shared" si="174"/>
        <v>0</v>
      </c>
      <c r="BW234" s="2064" t="e">
        <f>INT(#REF!)=INT(BA234)</f>
        <v>#REF!</v>
      </c>
      <c r="BX234" s="2064">
        <v>227</v>
      </c>
      <c r="BY234" s="2064" t="s">
        <v>295</v>
      </c>
    </row>
    <row r="235" spans="1:77" s="1976" customFormat="1" ht="62" x14ac:dyDescent="0.35">
      <c r="A235" s="1372" t="s">
        <v>681</v>
      </c>
      <c r="B235" s="1372" t="s">
        <v>167</v>
      </c>
      <c r="C235" s="1637">
        <v>0</v>
      </c>
      <c r="D235" s="2053" t="str">
        <f>+'[9]4.4.4'!$A$1</f>
        <v>4.4.4</v>
      </c>
      <c r="E235" s="1372" t="s">
        <v>201</v>
      </c>
      <c r="F235" s="1638">
        <v>26</v>
      </c>
      <c r="G235" s="1638">
        <v>26</v>
      </c>
      <c r="H235" s="1638">
        <v>26</v>
      </c>
      <c r="I235" s="1638">
        <v>26</v>
      </c>
      <c r="J235" s="1372" t="str">
        <f>+'[9]4.4.4'!$B$11</f>
        <v>CI-HVC-BLRC-V03-150601</v>
      </c>
      <c r="K235" s="1372" t="str">
        <f t="shared" si="150"/>
        <v>Nicor Gas PY7-PY10 Adjustable Goals Template_2017-06-30, Tab 4.4.4</v>
      </c>
      <c r="L235" s="1639">
        <v>488.38399999999996</v>
      </c>
      <c r="M235" s="1639">
        <v>488.38399999999996</v>
      </c>
      <c r="N235" s="1639">
        <v>488.38399999999996</v>
      </c>
      <c r="O235" s="1639">
        <v>488.38399999999996</v>
      </c>
      <c r="P235" s="1637">
        <v>0.94</v>
      </c>
      <c r="Q235" s="1637">
        <v>0.94</v>
      </c>
      <c r="R235" s="1637">
        <v>0.94</v>
      </c>
      <c r="S235" s="1637">
        <v>0.94</v>
      </c>
      <c r="T235" s="1640">
        <f t="shared" si="151"/>
        <v>11936.104959999999</v>
      </c>
      <c r="U235" s="1640">
        <f t="shared" si="152"/>
        <v>11936.104959999999</v>
      </c>
      <c r="V235" s="1640">
        <f t="shared" si="153"/>
        <v>11936.104959999999</v>
      </c>
      <c r="W235" s="1640">
        <f t="shared" si="154"/>
        <v>11936.104959999999</v>
      </c>
      <c r="X235" s="1640">
        <f t="shared" si="155"/>
        <v>47744.419839999995</v>
      </c>
      <c r="Y235" s="1372" t="str">
        <f t="shared" ref="Y235:Y255" si="180">J235</f>
        <v>CI-HVC-BLRC-V03-150601</v>
      </c>
      <c r="Z235" s="1372" t="str">
        <f t="shared" si="178"/>
        <v>Nicor Gas PY7-PY10 Adjustable Goals Template_2017-06-30, Tab 4.4.4</v>
      </c>
      <c r="AA235" s="1840">
        <f t="shared" si="179"/>
        <v>488.38399999999996</v>
      </c>
      <c r="AB235" s="2028"/>
      <c r="AC235" s="1840">
        <f t="shared" si="156"/>
        <v>11936.104959999999</v>
      </c>
      <c r="AD235" s="1840">
        <f t="shared" si="157"/>
        <v>0</v>
      </c>
      <c r="AE235" s="1372" t="s">
        <v>197</v>
      </c>
      <c r="AF235" s="1372" t="s">
        <v>3356</v>
      </c>
      <c r="AG235" s="1639">
        <v>488.38399999999996</v>
      </c>
      <c r="AH235" s="1372" t="s">
        <v>3445</v>
      </c>
      <c r="AI235" s="1640">
        <f t="shared" si="158"/>
        <v>11936.104959999999</v>
      </c>
      <c r="AJ235" s="1638">
        <f t="shared" si="159"/>
        <v>0</v>
      </c>
      <c r="AK235" s="1372" t="s">
        <v>197</v>
      </c>
      <c r="AL235" s="1372" t="s">
        <v>3356</v>
      </c>
      <c r="AM235" s="1639">
        <v>488.38399999999996</v>
      </c>
      <c r="AN235" s="1372" t="str">
        <f t="shared" ref="AN235:AN255" si="181">$AH235</f>
        <v>No change</v>
      </c>
      <c r="AO235" s="1640">
        <f t="shared" si="160"/>
        <v>11936.104959999999</v>
      </c>
      <c r="AP235" s="1638">
        <f t="shared" si="161"/>
        <v>0</v>
      </c>
      <c r="AQ235" s="1372" t="s">
        <v>197</v>
      </c>
      <c r="AR235" s="1372" t="s">
        <v>3356</v>
      </c>
      <c r="AS235" s="1639">
        <v>488.38399999999996</v>
      </c>
      <c r="AT235" s="1372" t="str">
        <f t="shared" ref="AT235:AT248" si="182">$AH235</f>
        <v>No change</v>
      </c>
      <c r="AU235" s="1640">
        <f t="shared" si="162"/>
        <v>11936.104959999999</v>
      </c>
      <c r="AV235" s="1638">
        <f t="shared" si="163"/>
        <v>0</v>
      </c>
      <c r="AW235" s="2044">
        <f t="shared" si="164"/>
        <v>11936.104959999999</v>
      </c>
      <c r="AX235" s="2044">
        <f t="shared" si="165"/>
        <v>11936.104959999999</v>
      </c>
      <c r="AY235" s="2044">
        <f t="shared" si="166"/>
        <v>11936.104959999999</v>
      </c>
      <c r="AZ235" s="2044">
        <f t="shared" si="167"/>
        <v>11936.104959999999</v>
      </c>
      <c r="BA235" s="2045">
        <f t="shared" si="168"/>
        <v>47744.419839999995</v>
      </c>
      <c r="BB235" s="2045" t="str">
        <f>+'[9]4.4.4'!$A$1</f>
        <v>4.4.4</v>
      </c>
      <c r="BC235" s="2045" t="str">
        <f>+'[9]4.4.4'!$A$1</f>
        <v>4.4.4</v>
      </c>
      <c r="BD235" s="2045">
        <v>0</v>
      </c>
      <c r="BE235" s="2051">
        <v>20</v>
      </c>
      <c r="BF235" s="2051">
        <v>20</v>
      </c>
      <c r="BG235" s="2051">
        <v>20</v>
      </c>
      <c r="BH235" s="2051">
        <v>20</v>
      </c>
      <c r="BI235" s="2045">
        <f t="shared" si="146"/>
        <v>238722.09919999997</v>
      </c>
      <c r="BJ235" s="2045">
        <f t="shared" si="147"/>
        <v>238722.09919999997</v>
      </c>
      <c r="BK235" s="2045">
        <f t="shared" si="148"/>
        <v>238722.09919999997</v>
      </c>
      <c r="BL235" s="2045">
        <f t="shared" si="149"/>
        <v>238722.09919999997</v>
      </c>
      <c r="BM235" s="2045">
        <f t="shared" si="169"/>
        <v>954888.39679999987</v>
      </c>
      <c r="BN235" s="2047">
        <v>20</v>
      </c>
      <c r="BO235" s="2047">
        <v>20</v>
      </c>
      <c r="BP235" s="2047">
        <v>20</v>
      </c>
      <c r="BQ235" s="2047">
        <v>20</v>
      </c>
      <c r="BR235" s="2048">
        <f t="shared" si="170"/>
        <v>238722.09919999997</v>
      </c>
      <c r="BS235" s="2048">
        <f t="shared" si="171"/>
        <v>238722.09919999997</v>
      </c>
      <c r="BT235" s="2048">
        <f t="shared" si="172"/>
        <v>238722.09919999997</v>
      </c>
      <c r="BU235" s="2048">
        <f t="shared" si="173"/>
        <v>238722.09919999997</v>
      </c>
      <c r="BV235" s="1840">
        <f t="shared" si="174"/>
        <v>954888.39679999987</v>
      </c>
      <c r="BW235" s="2064" t="e">
        <f>INT(#REF!)=INT(BA235)</f>
        <v>#REF!</v>
      </c>
      <c r="BX235" s="2064">
        <v>228</v>
      </c>
      <c r="BY235" s="2064" t="s">
        <v>512</v>
      </c>
    </row>
    <row r="236" spans="1:77" s="1976" customFormat="1" ht="62" x14ac:dyDescent="0.35">
      <c r="A236" s="1372" t="s">
        <v>681</v>
      </c>
      <c r="B236" s="1372" t="s">
        <v>169</v>
      </c>
      <c r="C236" s="1637">
        <v>0</v>
      </c>
      <c r="D236" s="2053" t="str">
        <f>+'[9]4.4.2'!$A$1</f>
        <v>4.4.2</v>
      </c>
      <c r="E236" s="1372" t="s">
        <v>201</v>
      </c>
      <c r="F236" s="1638">
        <v>101</v>
      </c>
      <c r="G236" s="1638">
        <v>101</v>
      </c>
      <c r="H236" s="1638">
        <v>101</v>
      </c>
      <c r="I236" s="1638">
        <v>101</v>
      </c>
      <c r="J236" s="1372" t="str">
        <f>+'[9]4.4.2'!$B$16</f>
        <v>CI-HVC-BLRT-V06-160601</v>
      </c>
      <c r="K236" s="1372" t="str">
        <f t="shared" si="150"/>
        <v>Nicor Gas PY7-PY10 Adjustable Goals Template_2017-06-30, Tab 4.4.2</v>
      </c>
      <c r="L236" s="1639">
        <v>122.32588235294133</v>
      </c>
      <c r="M236" s="1639">
        <v>122.32588235294133</v>
      </c>
      <c r="N236" s="1639">
        <v>122.32588235294133</v>
      </c>
      <c r="O236" s="1639">
        <v>122.32588235294133</v>
      </c>
      <c r="P236" s="1637">
        <v>0.94</v>
      </c>
      <c r="Q236" s="1637">
        <v>0.94</v>
      </c>
      <c r="R236" s="1637">
        <v>0.94</v>
      </c>
      <c r="S236" s="1637">
        <v>0.94</v>
      </c>
      <c r="T236" s="1640">
        <f t="shared" si="151"/>
        <v>11613.619270588249</v>
      </c>
      <c r="U236" s="1640">
        <f t="shared" si="152"/>
        <v>11613.619270588249</v>
      </c>
      <c r="V236" s="1640">
        <f t="shared" si="153"/>
        <v>11613.619270588249</v>
      </c>
      <c r="W236" s="1640">
        <f t="shared" si="154"/>
        <v>11613.619270588249</v>
      </c>
      <c r="X236" s="1640">
        <f t="shared" si="155"/>
        <v>46454.477082352998</v>
      </c>
      <c r="Y236" s="1372" t="str">
        <f t="shared" si="180"/>
        <v>CI-HVC-BLRT-V06-160601</v>
      </c>
      <c r="Z236" s="1372" t="str">
        <f t="shared" si="178"/>
        <v>Nicor Gas PY7-PY10 Adjustable Goals Template_2017-06-30, Tab 4.4.2</v>
      </c>
      <c r="AA236" s="1840">
        <f t="shared" si="179"/>
        <v>122.32588235294133</v>
      </c>
      <c r="AB236" s="2028"/>
      <c r="AC236" s="1840">
        <f t="shared" si="156"/>
        <v>11613.619270588249</v>
      </c>
      <c r="AD236" s="1840">
        <f t="shared" si="157"/>
        <v>0</v>
      </c>
      <c r="AE236" s="1372" t="s">
        <v>2567</v>
      </c>
      <c r="AF236" s="1372" t="s">
        <v>3357</v>
      </c>
      <c r="AG236" s="1639">
        <v>122.32588235294133</v>
      </c>
      <c r="AH236" s="1372" t="s">
        <v>3445</v>
      </c>
      <c r="AI236" s="1640">
        <f t="shared" si="158"/>
        <v>11613.619270588249</v>
      </c>
      <c r="AJ236" s="1638">
        <f t="shared" si="159"/>
        <v>0</v>
      </c>
      <c r="AK236" s="1372" t="s">
        <v>2567</v>
      </c>
      <c r="AL236" s="1372" t="s">
        <v>3357</v>
      </c>
      <c r="AM236" s="1639">
        <v>122.32588235294133</v>
      </c>
      <c r="AN236" s="1372" t="str">
        <f t="shared" si="181"/>
        <v>No change</v>
      </c>
      <c r="AO236" s="1640">
        <f t="shared" si="160"/>
        <v>11613.619270588249</v>
      </c>
      <c r="AP236" s="1638">
        <f t="shared" si="161"/>
        <v>0</v>
      </c>
      <c r="AQ236" s="1372" t="s">
        <v>2567</v>
      </c>
      <c r="AR236" s="1372" t="s">
        <v>3357</v>
      </c>
      <c r="AS236" s="1639">
        <v>122.32588235294133</v>
      </c>
      <c r="AT236" s="1372" t="str">
        <f t="shared" si="182"/>
        <v>No change</v>
      </c>
      <c r="AU236" s="1640">
        <f t="shared" si="162"/>
        <v>11613.619270588249</v>
      </c>
      <c r="AV236" s="1638">
        <f t="shared" si="163"/>
        <v>0</v>
      </c>
      <c r="AW236" s="2044">
        <f t="shared" si="164"/>
        <v>11613.619270588249</v>
      </c>
      <c r="AX236" s="2044">
        <f t="shared" si="165"/>
        <v>11613.619270588249</v>
      </c>
      <c r="AY236" s="2044">
        <f t="shared" si="166"/>
        <v>11613.619270588249</v>
      </c>
      <c r="AZ236" s="2044">
        <f t="shared" si="167"/>
        <v>11613.619270588249</v>
      </c>
      <c r="BA236" s="2045">
        <f t="shared" si="168"/>
        <v>46454.477082352998</v>
      </c>
      <c r="BB236" s="2045" t="str">
        <f>+'[9]4.4.2'!$A$1</f>
        <v>4.4.2</v>
      </c>
      <c r="BC236" s="2045" t="str">
        <f>+'[9]4.4.2'!$A$1</f>
        <v>4.4.2</v>
      </c>
      <c r="BD236" s="2045">
        <v>0</v>
      </c>
      <c r="BE236" s="2051">
        <v>3</v>
      </c>
      <c r="BF236" s="2051">
        <v>3</v>
      </c>
      <c r="BG236" s="2051">
        <v>3</v>
      </c>
      <c r="BH236" s="2051">
        <v>3</v>
      </c>
      <c r="BI236" s="2045">
        <f t="shared" si="146"/>
        <v>34840.857811764748</v>
      </c>
      <c r="BJ236" s="2045">
        <f t="shared" si="147"/>
        <v>34840.857811764748</v>
      </c>
      <c r="BK236" s="2045">
        <f t="shared" si="148"/>
        <v>34840.857811764748</v>
      </c>
      <c r="BL236" s="2045">
        <f t="shared" si="149"/>
        <v>34840.857811764748</v>
      </c>
      <c r="BM236" s="2045">
        <f t="shared" si="169"/>
        <v>139363.43124705899</v>
      </c>
      <c r="BN236" s="2047">
        <v>3</v>
      </c>
      <c r="BO236" s="2047">
        <v>3</v>
      </c>
      <c r="BP236" s="2047">
        <v>3</v>
      </c>
      <c r="BQ236" s="2047">
        <v>3</v>
      </c>
      <c r="BR236" s="2048">
        <f t="shared" si="170"/>
        <v>34840.857811764748</v>
      </c>
      <c r="BS236" s="2048">
        <f t="shared" si="171"/>
        <v>34840.857811764748</v>
      </c>
      <c r="BT236" s="2048">
        <f t="shared" si="172"/>
        <v>34840.857811764748</v>
      </c>
      <c r="BU236" s="2048">
        <f t="shared" si="173"/>
        <v>34840.857811764748</v>
      </c>
      <c r="BV236" s="1840">
        <f t="shared" si="174"/>
        <v>139363.43124705899</v>
      </c>
      <c r="BW236" s="2064" t="e">
        <f>INT(#REF!)=INT(BA236)</f>
        <v>#REF!</v>
      </c>
      <c r="BX236" s="2064">
        <v>229</v>
      </c>
      <c r="BY236" s="2064" t="s">
        <v>512</v>
      </c>
    </row>
    <row r="237" spans="1:77" s="1976" customFormat="1" ht="61.5" customHeight="1" x14ac:dyDescent="0.35">
      <c r="A237" s="1372" t="s">
        <v>681</v>
      </c>
      <c r="B237" s="1372" t="s">
        <v>207</v>
      </c>
      <c r="C237" s="1637">
        <v>0</v>
      </c>
      <c r="D237" s="2053" t="str">
        <f>+'[9]4.4.14'!$A$1</f>
        <v>4.4.14</v>
      </c>
      <c r="E237" s="1372" t="s">
        <v>202</v>
      </c>
      <c r="F237" s="1638">
        <v>393</v>
      </c>
      <c r="G237" s="1638">
        <v>393</v>
      </c>
      <c r="H237" s="1638">
        <v>393</v>
      </c>
      <c r="I237" s="1638">
        <v>393</v>
      </c>
      <c r="J237" s="1372" t="str">
        <f>+'[9]4.4.14'!$B$27</f>
        <v>CI-HVC-PINS-V04-160601</v>
      </c>
      <c r="K237" s="1372" t="str">
        <f t="shared" si="150"/>
        <v>Nicor Gas PY7-PY10 Adjustable Goals Template_2017-06-30, Tab 4.4.14</v>
      </c>
      <c r="L237" s="1639">
        <v>1.6846271672771673</v>
      </c>
      <c r="M237" s="1639">
        <v>1.6846271672771673</v>
      </c>
      <c r="N237" s="1639">
        <v>1.6846271672771673</v>
      </c>
      <c r="O237" s="1639">
        <v>1.6846271672771673</v>
      </c>
      <c r="P237" s="1637">
        <v>0.95</v>
      </c>
      <c r="Q237" s="1637">
        <v>0.95</v>
      </c>
      <c r="R237" s="1637">
        <v>0.95</v>
      </c>
      <c r="S237" s="1637">
        <v>0.95</v>
      </c>
      <c r="T237" s="1640">
        <f t="shared" si="151"/>
        <v>628.95555290293032</v>
      </c>
      <c r="U237" s="1640">
        <f t="shared" si="152"/>
        <v>628.95555290293032</v>
      </c>
      <c r="V237" s="1640">
        <f t="shared" si="153"/>
        <v>628.95555290293032</v>
      </c>
      <c r="W237" s="1640">
        <f t="shared" si="154"/>
        <v>628.95555290293032</v>
      </c>
      <c r="X237" s="1640">
        <f t="shared" si="155"/>
        <v>2515.8222116117213</v>
      </c>
      <c r="Y237" s="1372" t="str">
        <f t="shared" si="180"/>
        <v>CI-HVC-PINS-V04-160601</v>
      </c>
      <c r="Z237" s="1372" t="str">
        <f t="shared" si="178"/>
        <v>Nicor Gas PY7-PY10 Adjustable Goals Template_2017-06-30, Tab 4.4.14</v>
      </c>
      <c r="AA237" s="1840">
        <f t="shared" si="179"/>
        <v>1.6846271672771673</v>
      </c>
      <c r="AB237" s="2028"/>
      <c r="AC237" s="1840">
        <f t="shared" si="156"/>
        <v>628.95555290293032</v>
      </c>
      <c r="AD237" s="1840">
        <f t="shared" si="157"/>
        <v>0</v>
      </c>
      <c r="AE237" s="1372" t="s">
        <v>2577</v>
      </c>
      <c r="AF237" s="1372" t="s">
        <v>3368</v>
      </c>
      <c r="AG237" s="1639">
        <v>1.6846271672771673</v>
      </c>
      <c r="AH237" s="1372" t="s">
        <v>3445</v>
      </c>
      <c r="AI237" s="1640">
        <f t="shared" si="158"/>
        <v>628.95555290293032</v>
      </c>
      <c r="AJ237" s="1638">
        <f t="shared" si="159"/>
        <v>0</v>
      </c>
      <c r="AK237" s="1372" t="s">
        <v>2577</v>
      </c>
      <c r="AL237" s="1372" t="s">
        <v>3368</v>
      </c>
      <c r="AM237" s="1639">
        <v>1.6846271672771673</v>
      </c>
      <c r="AN237" s="1372" t="str">
        <f t="shared" si="181"/>
        <v>No change</v>
      </c>
      <c r="AO237" s="1640">
        <f t="shared" si="160"/>
        <v>628.95555290293032</v>
      </c>
      <c r="AP237" s="1638">
        <f t="shared" si="161"/>
        <v>0</v>
      </c>
      <c r="AQ237" s="1372" t="s">
        <v>2577</v>
      </c>
      <c r="AR237" s="1372" t="s">
        <v>3368</v>
      </c>
      <c r="AS237" s="1639">
        <v>1.6846271672771673</v>
      </c>
      <c r="AT237" s="1372" t="str">
        <f t="shared" si="182"/>
        <v>No change</v>
      </c>
      <c r="AU237" s="1640">
        <f t="shared" si="162"/>
        <v>628.95555290293032</v>
      </c>
      <c r="AV237" s="1638">
        <f t="shared" si="163"/>
        <v>0</v>
      </c>
      <c r="AW237" s="2044">
        <f t="shared" si="164"/>
        <v>628.95555290293032</v>
      </c>
      <c r="AX237" s="2044">
        <f t="shared" si="165"/>
        <v>628.95555290293032</v>
      </c>
      <c r="AY237" s="2044">
        <f t="shared" si="166"/>
        <v>628.95555290293032</v>
      </c>
      <c r="AZ237" s="2044">
        <f t="shared" si="167"/>
        <v>628.95555290293032</v>
      </c>
      <c r="BA237" s="2045">
        <f t="shared" si="168"/>
        <v>2515.8222116117213</v>
      </c>
      <c r="BB237" s="2045" t="str">
        <f>+'[9]4.4.14'!$A$1</f>
        <v>4.4.14</v>
      </c>
      <c r="BC237" s="2045" t="str">
        <f>+'[9]4.4.14'!$A$1</f>
        <v>4.4.14</v>
      </c>
      <c r="BD237" s="2045">
        <v>0</v>
      </c>
      <c r="BE237" s="2051">
        <v>15</v>
      </c>
      <c r="BF237" s="2051">
        <v>15</v>
      </c>
      <c r="BG237" s="2051">
        <v>15</v>
      </c>
      <c r="BH237" s="2051">
        <v>15</v>
      </c>
      <c r="BI237" s="2045">
        <f t="shared" si="146"/>
        <v>9434.3332935439539</v>
      </c>
      <c r="BJ237" s="2045">
        <f t="shared" si="147"/>
        <v>9434.3332935439539</v>
      </c>
      <c r="BK237" s="2045">
        <f t="shared" si="148"/>
        <v>9434.3332935439539</v>
      </c>
      <c r="BL237" s="2045">
        <f t="shared" si="149"/>
        <v>9434.3332935439539</v>
      </c>
      <c r="BM237" s="2045">
        <f t="shared" si="169"/>
        <v>37737.333174175816</v>
      </c>
      <c r="BN237" s="2047">
        <v>15</v>
      </c>
      <c r="BO237" s="2047">
        <v>15</v>
      </c>
      <c r="BP237" s="2047">
        <v>15</v>
      </c>
      <c r="BQ237" s="2047">
        <v>15</v>
      </c>
      <c r="BR237" s="2048">
        <f t="shared" si="170"/>
        <v>9434.3332935439539</v>
      </c>
      <c r="BS237" s="2048">
        <f t="shared" si="171"/>
        <v>9434.3332935439539</v>
      </c>
      <c r="BT237" s="2048">
        <f t="shared" si="172"/>
        <v>9434.3332935439539</v>
      </c>
      <c r="BU237" s="2048">
        <f t="shared" si="173"/>
        <v>9434.3332935439539</v>
      </c>
      <c r="BV237" s="1840">
        <f t="shared" si="174"/>
        <v>37737.333174175816</v>
      </c>
      <c r="BW237" s="2064" t="e">
        <f>INT(#REF!)=INT(BA237)</f>
        <v>#REF!</v>
      </c>
      <c r="BX237" s="2064">
        <v>230</v>
      </c>
      <c r="BY237" s="2064" t="s">
        <v>512</v>
      </c>
    </row>
    <row r="238" spans="1:77" s="1976" customFormat="1" ht="62" x14ac:dyDescent="0.35">
      <c r="A238" s="1372" t="s">
        <v>681</v>
      </c>
      <c r="B238" s="1372" t="s">
        <v>208</v>
      </c>
      <c r="C238" s="1637">
        <v>0</v>
      </c>
      <c r="D238" s="2053" t="str">
        <f>+'[9]4.4.14'!$A$1</f>
        <v>4.4.14</v>
      </c>
      <c r="E238" s="1372" t="s">
        <v>202</v>
      </c>
      <c r="F238" s="1638">
        <v>630</v>
      </c>
      <c r="G238" s="1638">
        <v>630</v>
      </c>
      <c r="H238" s="1638">
        <v>630</v>
      </c>
      <c r="I238" s="1638">
        <v>630</v>
      </c>
      <c r="J238" s="1372" t="str">
        <f>+'[9]4.4.14'!$B$27</f>
        <v>CI-HVC-PINS-V04-160601</v>
      </c>
      <c r="K238" s="1372" t="str">
        <f t="shared" si="150"/>
        <v>Nicor Gas PY7-PY10 Adjustable Goals Template_2017-06-30, Tab 4.4.14</v>
      </c>
      <c r="L238" s="1639">
        <v>4.3477888475836428</v>
      </c>
      <c r="M238" s="1639">
        <v>4.3477888475836428</v>
      </c>
      <c r="N238" s="1639">
        <v>4.3477888475836428</v>
      </c>
      <c r="O238" s="1639">
        <v>4.3477888475836428</v>
      </c>
      <c r="P238" s="1637">
        <v>0.95</v>
      </c>
      <c r="Q238" s="1637">
        <v>0.95</v>
      </c>
      <c r="R238" s="1637">
        <v>0.95</v>
      </c>
      <c r="S238" s="1637">
        <v>0.95</v>
      </c>
      <c r="T238" s="1640">
        <f t="shared" si="151"/>
        <v>2602.1516252788101</v>
      </c>
      <c r="U238" s="1640">
        <f t="shared" si="152"/>
        <v>2602.1516252788101</v>
      </c>
      <c r="V238" s="1640">
        <f t="shared" si="153"/>
        <v>2602.1516252788101</v>
      </c>
      <c r="W238" s="1640">
        <f t="shared" si="154"/>
        <v>2602.1516252788101</v>
      </c>
      <c r="X238" s="1640">
        <f t="shared" si="155"/>
        <v>10408.60650111524</v>
      </c>
      <c r="Y238" s="1372" t="str">
        <f t="shared" si="180"/>
        <v>CI-HVC-PINS-V04-160601</v>
      </c>
      <c r="Z238" s="1372" t="str">
        <f t="shared" si="178"/>
        <v>Nicor Gas PY7-PY10 Adjustable Goals Template_2017-06-30, Tab 4.4.14</v>
      </c>
      <c r="AA238" s="1840">
        <f t="shared" si="179"/>
        <v>4.3477888475836428</v>
      </c>
      <c r="AB238" s="2028"/>
      <c r="AC238" s="1840">
        <f t="shared" si="156"/>
        <v>2602.1516252788101</v>
      </c>
      <c r="AD238" s="1840">
        <f t="shared" si="157"/>
        <v>0</v>
      </c>
      <c r="AE238" s="1372" t="s">
        <v>2577</v>
      </c>
      <c r="AF238" s="1372" t="s">
        <v>3368</v>
      </c>
      <c r="AG238" s="1639">
        <v>4.3477888475836428</v>
      </c>
      <c r="AH238" s="1372" t="s">
        <v>3445</v>
      </c>
      <c r="AI238" s="1640">
        <f t="shared" si="158"/>
        <v>2602.1516252788101</v>
      </c>
      <c r="AJ238" s="1638">
        <f t="shared" si="159"/>
        <v>0</v>
      </c>
      <c r="AK238" s="1372" t="s">
        <v>2577</v>
      </c>
      <c r="AL238" s="1372" t="s">
        <v>3368</v>
      </c>
      <c r="AM238" s="1639">
        <v>4.3477888475836428</v>
      </c>
      <c r="AN238" s="1372" t="str">
        <f t="shared" si="181"/>
        <v>No change</v>
      </c>
      <c r="AO238" s="1640">
        <f t="shared" si="160"/>
        <v>2602.1516252788101</v>
      </c>
      <c r="AP238" s="1638">
        <f t="shared" si="161"/>
        <v>0</v>
      </c>
      <c r="AQ238" s="1372" t="s">
        <v>2577</v>
      </c>
      <c r="AR238" s="1372" t="s">
        <v>3368</v>
      </c>
      <c r="AS238" s="1639">
        <v>4.3477888475836428</v>
      </c>
      <c r="AT238" s="1372" t="str">
        <f t="shared" si="182"/>
        <v>No change</v>
      </c>
      <c r="AU238" s="1640">
        <f t="shared" si="162"/>
        <v>2602.1516252788101</v>
      </c>
      <c r="AV238" s="1638">
        <f t="shared" si="163"/>
        <v>0</v>
      </c>
      <c r="AW238" s="2044">
        <f t="shared" si="164"/>
        <v>2602.1516252788101</v>
      </c>
      <c r="AX238" s="2044">
        <f t="shared" si="165"/>
        <v>2602.1516252788101</v>
      </c>
      <c r="AY238" s="2044">
        <f t="shared" si="166"/>
        <v>2602.1516252788101</v>
      </c>
      <c r="AZ238" s="2044">
        <f t="shared" si="167"/>
        <v>2602.1516252788101</v>
      </c>
      <c r="BA238" s="2045">
        <f t="shared" si="168"/>
        <v>10408.60650111524</v>
      </c>
      <c r="BB238" s="2045" t="str">
        <f>+'[9]4.4.14'!$A$1</f>
        <v>4.4.14</v>
      </c>
      <c r="BC238" s="2045" t="str">
        <f>+'[9]4.4.14'!$A$1</f>
        <v>4.4.14</v>
      </c>
      <c r="BD238" s="2045">
        <v>0</v>
      </c>
      <c r="BE238" s="2051">
        <v>15</v>
      </c>
      <c r="BF238" s="2051">
        <v>15</v>
      </c>
      <c r="BG238" s="2051">
        <v>15</v>
      </c>
      <c r="BH238" s="2051">
        <v>15</v>
      </c>
      <c r="BI238" s="2045">
        <f t="shared" si="146"/>
        <v>39032.274379182149</v>
      </c>
      <c r="BJ238" s="2045">
        <f t="shared" si="147"/>
        <v>39032.274379182149</v>
      </c>
      <c r="BK238" s="2045">
        <f t="shared" si="148"/>
        <v>39032.274379182149</v>
      </c>
      <c r="BL238" s="2045">
        <f t="shared" si="149"/>
        <v>39032.274379182149</v>
      </c>
      <c r="BM238" s="2045">
        <f t="shared" si="169"/>
        <v>156129.09751672859</v>
      </c>
      <c r="BN238" s="2047">
        <v>15</v>
      </c>
      <c r="BO238" s="2047">
        <v>15</v>
      </c>
      <c r="BP238" s="2047">
        <v>15</v>
      </c>
      <c r="BQ238" s="2047">
        <v>15</v>
      </c>
      <c r="BR238" s="2048">
        <f t="shared" si="170"/>
        <v>39032.274379182149</v>
      </c>
      <c r="BS238" s="2048">
        <f t="shared" si="171"/>
        <v>39032.274379182149</v>
      </c>
      <c r="BT238" s="2048">
        <f t="shared" si="172"/>
        <v>39032.274379182149</v>
      </c>
      <c r="BU238" s="2048">
        <f t="shared" si="173"/>
        <v>39032.274379182149</v>
      </c>
      <c r="BV238" s="1840">
        <f t="shared" si="174"/>
        <v>156129.09751672859</v>
      </c>
      <c r="BW238" s="2064" t="e">
        <f>INT(#REF!)=INT(BA238)</f>
        <v>#REF!</v>
      </c>
      <c r="BX238" s="2064">
        <v>231</v>
      </c>
      <c r="BY238" s="2064" t="s">
        <v>512</v>
      </c>
    </row>
    <row r="239" spans="1:77" s="1976" customFormat="1" ht="62" x14ac:dyDescent="0.35">
      <c r="A239" s="1372" t="s">
        <v>681</v>
      </c>
      <c r="B239" s="1372" t="s">
        <v>210</v>
      </c>
      <c r="C239" s="1637">
        <v>0</v>
      </c>
      <c r="D239" s="2053" t="str">
        <f>+'[9]4.4.14'!$A$1</f>
        <v>4.4.14</v>
      </c>
      <c r="E239" s="1372" t="s">
        <v>202</v>
      </c>
      <c r="F239" s="1638">
        <v>1102</v>
      </c>
      <c r="G239" s="1638">
        <v>1102</v>
      </c>
      <c r="H239" s="1638">
        <v>1102</v>
      </c>
      <c r="I239" s="1638">
        <v>1102</v>
      </c>
      <c r="J239" s="1372" t="str">
        <f>+'[9]4.4.14'!$B$27</f>
        <v>CI-HVC-PINS-V04-160601</v>
      </c>
      <c r="K239" s="1372" t="str">
        <f t="shared" si="150"/>
        <v>Nicor Gas PY7-PY10 Adjustable Goals Template_2017-06-30, Tab 4.4.14</v>
      </c>
      <c r="L239" s="1639">
        <v>8.1973935563816607</v>
      </c>
      <c r="M239" s="1639">
        <v>8.1973935563816607</v>
      </c>
      <c r="N239" s="1639">
        <v>8.1973935563816607</v>
      </c>
      <c r="O239" s="1639">
        <v>8.1973935563816607</v>
      </c>
      <c r="P239" s="1637">
        <v>0.95</v>
      </c>
      <c r="Q239" s="1637">
        <v>0.95</v>
      </c>
      <c r="R239" s="1637">
        <v>0.95</v>
      </c>
      <c r="S239" s="1637">
        <v>0.95</v>
      </c>
      <c r="T239" s="1640">
        <f t="shared" si="151"/>
        <v>8581.8513141759595</v>
      </c>
      <c r="U239" s="1640">
        <f t="shared" si="152"/>
        <v>8581.8513141759595</v>
      </c>
      <c r="V239" s="1640">
        <f t="shared" si="153"/>
        <v>8581.8513141759595</v>
      </c>
      <c r="W239" s="1640">
        <f t="shared" si="154"/>
        <v>8581.8513141759595</v>
      </c>
      <c r="X239" s="1640">
        <f t="shared" si="155"/>
        <v>34327.405256703838</v>
      </c>
      <c r="Y239" s="1372" t="str">
        <f t="shared" si="180"/>
        <v>CI-HVC-PINS-V04-160601</v>
      </c>
      <c r="Z239" s="1372" t="str">
        <f t="shared" si="178"/>
        <v>Nicor Gas PY7-PY10 Adjustable Goals Template_2017-06-30, Tab 4.4.14</v>
      </c>
      <c r="AA239" s="1840">
        <f t="shared" si="179"/>
        <v>8.1973935563816607</v>
      </c>
      <c r="AB239" s="2028"/>
      <c r="AC239" s="1840">
        <f t="shared" si="156"/>
        <v>8581.8513141759595</v>
      </c>
      <c r="AD239" s="1840">
        <f t="shared" si="157"/>
        <v>0</v>
      </c>
      <c r="AE239" s="1372" t="s">
        <v>2577</v>
      </c>
      <c r="AF239" s="1372" t="s">
        <v>3368</v>
      </c>
      <c r="AG239" s="1639">
        <v>8.1973935563816607</v>
      </c>
      <c r="AH239" s="1372" t="s">
        <v>3445</v>
      </c>
      <c r="AI239" s="1640">
        <f t="shared" si="158"/>
        <v>8581.8513141759595</v>
      </c>
      <c r="AJ239" s="1638">
        <f t="shared" si="159"/>
        <v>0</v>
      </c>
      <c r="AK239" s="1372" t="s">
        <v>2577</v>
      </c>
      <c r="AL239" s="1372" t="s">
        <v>3368</v>
      </c>
      <c r="AM239" s="1639">
        <v>8.1973935563816607</v>
      </c>
      <c r="AN239" s="1372" t="str">
        <f t="shared" si="181"/>
        <v>No change</v>
      </c>
      <c r="AO239" s="1640">
        <f t="shared" si="160"/>
        <v>8581.8513141759595</v>
      </c>
      <c r="AP239" s="1638">
        <f t="shared" si="161"/>
        <v>0</v>
      </c>
      <c r="AQ239" s="1372" t="s">
        <v>2577</v>
      </c>
      <c r="AR239" s="1372" t="s">
        <v>3368</v>
      </c>
      <c r="AS239" s="1639">
        <v>8.1973935563816607</v>
      </c>
      <c r="AT239" s="1372" t="str">
        <f t="shared" si="182"/>
        <v>No change</v>
      </c>
      <c r="AU239" s="1640">
        <f t="shared" si="162"/>
        <v>8581.8513141759595</v>
      </c>
      <c r="AV239" s="1638">
        <f t="shared" si="163"/>
        <v>0</v>
      </c>
      <c r="AW239" s="2044">
        <f t="shared" si="164"/>
        <v>8581.8513141759595</v>
      </c>
      <c r="AX239" s="2044">
        <f t="shared" si="165"/>
        <v>8581.8513141759595</v>
      </c>
      <c r="AY239" s="2044">
        <f t="shared" si="166"/>
        <v>8581.8513141759595</v>
      </c>
      <c r="AZ239" s="2044">
        <f t="shared" si="167"/>
        <v>8581.8513141759595</v>
      </c>
      <c r="BA239" s="2045">
        <f t="shared" si="168"/>
        <v>34327.405256703838</v>
      </c>
      <c r="BB239" s="2045" t="str">
        <f>+'[9]4.4.14'!$A$1</f>
        <v>4.4.14</v>
      </c>
      <c r="BC239" s="2045" t="str">
        <f>+'[9]4.4.14'!$A$1</f>
        <v>4.4.14</v>
      </c>
      <c r="BD239" s="2045">
        <v>0</v>
      </c>
      <c r="BE239" s="2051">
        <v>15</v>
      </c>
      <c r="BF239" s="2051">
        <v>15</v>
      </c>
      <c r="BG239" s="2051">
        <v>15</v>
      </c>
      <c r="BH239" s="2051">
        <v>15</v>
      </c>
      <c r="BI239" s="2045">
        <f t="shared" si="146"/>
        <v>128727.76971263939</v>
      </c>
      <c r="BJ239" s="2045">
        <f t="shared" si="147"/>
        <v>128727.76971263939</v>
      </c>
      <c r="BK239" s="2045">
        <f t="shared" si="148"/>
        <v>128727.76971263939</v>
      </c>
      <c r="BL239" s="2045">
        <f t="shared" si="149"/>
        <v>128727.76971263939</v>
      </c>
      <c r="BM239" s="2045">
        <f t="shared" si="169"/>
        <v>514911.07885055756</v>
      </c>
      <c r="BN239" s="2047">
        <v>15</v>
      </c>
      <c r="BO239" s="2047">
        <v>15</v>
      </c>
      <c r="BP239" s="2047">
        <v>15</v>
      </c>
      <c r="BQ239" s="2047">
        <v>15</v>
      </c>
      <c r="BR239" s="2048">
        <f t="shared" si="170"/>
        <v>128727.76971263939</v>
      </c>
      <c r="BS239" s="2048">
        <f t="shared" si="171"/>
        <v>128727.76971263939</v>
      </c>
      <c r="BT239" s="2048">
        <f t="shared" si="172"/>
        <v>128727.76971263939</v>
      </c>
      <c r="BU239" s="2048">
        <f t="shared" si="173"/>
        <v>128727.76971263939</v>
      </c>
      <c r="BV239" s="1840">
        <f t="shared" si="174"/>
        <v>514911.07885055756</v>
      </c>
      <c r="BW239" s="2064" t="e">
        <f>INT(#REF!)=INT(BA239)</f>
        <v>#REF!</v>
      </c>
      <c r="BX239" s="2064">
        <v>232</v>
      </c>
      <c r="BY239" s="2064" t="s">
        <v>512</v>
      </c>
    </row>
    <row r="240" spans="1:77" s="1976" customFormat="1" ht="62" x14ac:dyDescent="0.35">
      <c r="A240" s="1372" t="s">
        <v>681</v>
      </c>
      <c r="B240" s="1372" t="s">
        <v>211</v>
      </c>
      <c r="C240" s="1637">
        <v>0</v>
      </c>
      <c r="D240" s="2053" t="str">
        <f>+'[9]4.4.14'!$A$1</f>
        <v>4.4.14</v>
      </c>
      <c r="E240" s="1372" t="s">
        <v>202</v>
      </c>
      <c r="F240" s="1638">
        <v>2756</v>
      </c>
      <c r="G240" s="1638">
        <v>2756</v>
      </c>
      <c r="H240" s="1638">
        <v>2756</v>
      </c>
      <c r="I240" s="1638">
        <v>2756</v>
      </c>
      <c r="J240" s="1372" t="str">
        <f>+'[9]4.4.14'!$B$27</f>
        <v>CI-HVC-PINS-V04-160601</v>
      </c>
      <c r="K240" s="1372" t="str">
        <f t="shared" si="150"/>
        <v>Nicor Gas PY7-PY10 Adjustable Goals Template_2017-06-30, Tab 4.4.14</v>
      </c>
      <c r="L240" s="1639">
        <v>2.0533046641791044</v>
      </c>
      <c r="M240" s="1639">
        <v>2.0533046641791044</v>
      </c>
      <c r="N240" s="1639">
        <v>2.0533046641791044</v>
      </c>
      <c r="O240" s="1639">
        <v>2.0533046641791044</v>
      </c>
      <c r="P240" s="1637">
        <v>0.95</v>
      </c>
      <c r="Q240" s="1637">
        <v>0.95</v>
      </c>
      <c r="R240" s="1637">
        <v>0.95</v>
      </c>
      <c r="S240" s="1637">
        <v>0.95</v>
      </c>
      <c r="T240" s="1640">
        <f t="shared" si="151"/>
        <v>5375.9622717537304</v>
      </c>
      <c r="U240" s="1640">
        <f t="shared" si="152"/>
        <v>5375.9622717537304</v>
      </c>
      <c r="V240" s="1640">
        <f t="shared" si="153"/>
        <v>5375.9622717537304</v>
      </c>
      <c r="W240" s="1640">
        <f t="shared" si="154"/>
        <v>5375.9622717537304</v>
      </c>
      <c r="X240" s="1640">
        <f t="shared" si="155"/>
        <v>21503.849087014922</v>
      </c>
      <c r="Y240" s="1372" t="str">
        <f t="shared" si="180"/>
        <v>CI-HVC-PINS-V04-160601</v>
      </c>
      <c r="Z240" s="1372" t="str">
        <f t="shared" si="178"/>
        <v>Nicor Gas PY7-PY10 Adjustable Goals Template_2017-06-30, Tab 4.4.14</v>
      </c>
      <c r="AA240" s="1840">
        <f t="shared" si="179"/>
        <v>2.0533046641791044</v>
      </c>
      <c r="AB240" s="2028"/>
      <c r="AC240" s="1840">
        <f t="shared" si="156"/>
        <v>5375.9622717537304</v>
      </c>
      <c r="AD240" s="1840">
        <f t="shared" si="157"/>
        <v>0</v>
      </c>
      <c r="AE240" s="1372" t="s">
        <v>2577</v>
      </c>
      <c r="AF240" s="1372" t="s">
        <v>3368</v>
      </c>
      <c r="AG240" s="1639">
        <v>2.0533046641791044</v>
      </c>
      <c r="AH240" s="1372" t="s">
        <v>3445</v>
      </c>
      <c r="AI240" s="1640">
        <f t="shared" si="158"/>
        <v>5375.9622717537304</v>
      </c>
      <c r="AJ240" s="1638">
        <f t="shared" si="159"/>
        <v>0</v>
      </c>
      <c r="AK240" s="1372" t="s">
        <v>2577</v>
      </c>
      <c r="AL240" s="1372" t="s">
        <v>3368</v>
      </c>
      <c r="AM240" s="1639">
        <v>2.0533046641791044</v>
      </c>
      <c r="AN240" s="1372" t="str">
        <f t="shared" si="181"/>
        <v>No change</v>
      </c>
      <c r="AO240" s="1640">
        <f t="shared" si="160"/>
        <v>5375.9622717537304</v>
      </c>
      <c r="AP240" s="1638">
        <f t="shared" si="161"/>
        <v>0</v>
      </c>
      <c r="AQ240" s="1372" t="s">
        <v>2577</v>
      </c>
      <c r="AR240" s="1372" t="s">
        <v>3368</v>
      </c>
      <c r="AS240" s="1639">
        <v>2.0533046641791044</v>
      </c>
      <c r="AT240" s="1372" t="str">
        <f t="shared" si="182"/>
        <v>No change</v>
      </c>
      <c r="AU240" s="1640">
        <f t="shared" si="162"/>
        <v>5375.9622717537304</v>
      </c>
      <c r="AV240" s="1638">
        <f t="shared" si="163"/>
        <v>0</v>
      </c>
      <c r="AW240" s="2044">
        <f t="shared" si="164"/>
        <v>5375.9622717537304</v>
      </c>
      <c r="AX240" s="2044">
        <f t="shared" si="165"/>
        <v>5375.9622717537304</v>
      </c>
      <c r="AY240" s="2044">
        <f t="shared" si="166"/>
        <v>5375.9622717537304</v>
      </c>
      <c r="AZ240" s="2044">
        <f t="shared" si="167"/>
        <v>5375.9622717537304</v>
      </c>
      <c r="BA240" s="2045">
        <f t="shared" si="168"/>
        <v>21503.849087014922</v>
      </c>
      <c r="BB240" s="2045" t="str">
        <f>+'[9]4.4.14'!$A$1</f>
        <v>4.4.14</v>
      </c>
      <c r="BC240" s="2045" t="str">
        <f>+'[9]4.4.14'!$A$1</f>
        <v>4.4.14</v>
      </c>
      <c r="BD240" s="2045">
        <v>0</v>
      </c>
      <c r="BE240" s="2051">
        <v>15</v>
      </c>
      <c r="BF240" s="2051">
        <v>15</v>
      </c>
      <c r="BG240" s="2051">
        <v>15</v>
      </c>
      <c r="BH240" s="2051">
        <v>15</v>
      </c>
      <c r="BI240" s="2045">
        <f t="shared" si="146"/>
        <v>80639.434076305959</v>
      </c>
      <c r="BJ240" s="2045">
        <f t="shared" si="147"/>
        <v>80639.434076305959</v>
      </c>
      <c r="BK240" s="2045">
        <f t="shared" si="148"/>
        <v>80639.434076305959</v>
      </c>
      <c r="BL240" s="2045">
        <f t="shared" si="149"/>
        <v>80639.434076305959</v>
      </c>
      <c r="BM240" s="2045">
        <f t="shared" si="169"/>
        <v>322557.73630522384</v>
      </c>
      <c r="BN240" s="2047">
        <v>15</v>
      </c>
      <c r="BO240" s="2047">
        <v>15</v>
      </c>
      <c r="BP240" s="2047">
        <v>15</v>
      </c>
      <c r="BQ240" s="2047">
        <v>15</v>
      </c>
      <c r="BR240" s="2048">
        <f t="shared" si="170"/>
        <v>80639.434076305959</v>
      </c>
      <c r="BS240" s="2048">
        <f t="shared" si="171"/>
        <v>80639.434076305959</v>
      </c>
      <c r="BT240" s="2048">
        <f t="shared" si="172"/>
        <v>80639.434076305959</v>
      </c>
      <c r="BU240" s="2048">
        <f t="shared" si="173"/>
        <v>80639.434076305959</v>
      </c>
      <c r="BV240" s="1840">
        <f t="shared" si="174"/>
        <v>322557.73630522384</v>
      </c>
      <c r="BW240" s="2064" t="e">
        <f>INT(#REF!)=INT(BA240)</f>
        <v>#REF!</v>
      </c>
      <c r="BX240" s="2064">
        <v>233</v>
      </c>
      <c r="BY240" s="2064" t="s">
        <v>512</v>
      </c>
    </row>
    <row r="241" spans="1:77" s="1976" customFormat="1" ht="61.5" customHeight="1" x14ac:dyDescent="0.35">
      <c r="A241" s="1372" t="s">
        <v>681</v>
      </c>
      <c r="B241" s="1372" t="s">
        <v>186</v>
      </c>
      <c r="C241" s="1637">
        <v>0</v>
      </c>
      <c r="D241" s="2053" t="str">
        <f>+'[9]4.4.24 '!$A$1</f>
        <v>4.4.24</v>
      </c>
      <c r="E241" s="1372" t="s">
        <v>202</v>
      </c>
      <c r="F241" s="1638">
        <v>84</v>
      </c>
      <c r="G241" s="1638">
        <v>84</v>
      </c>
      <c r="H241" s="1638">
        <v>84</v>
      </c>
      <c r="I241" s="1638">
        <v>84</v>
      </c>
      <c r="J241" s="1372" t="str">
        <f>+'[9]4.4.24 '!$B$14</f>
        <v>CI-HVC-SPIN-V02-160601</v>
      </c>
      <c r="K241" s="1372" t="str">
        <f t="shared" si="150"/>
        <v>Nicor Gas PY7-PY10 Adjustable Goals Template_2017-06-30, Tab 4.4.24</v>
      </c>
      <c r="L241" s="1639">
        <v>0.14470700000000003</v>
      </c>
      <c r="M241" s="1639">
        <v>0.14470700000000003</v>
      </c>
      <c r="N241" s="1639">
        <v>0.14470700000000003</v>
      </c>
      <c r="O241" s="1639">
        <v>0.14470700000000003</v>
      </c>
      <c r="P241" s="1637">
        <v>0.95</v>
      </c>
      <c r="Q241" s="1637">
        <v>0.95</v>
      </c>
      <c r="R241" s="1637">
        <v>0.95</v>
      </c>
      <c r="S241" s="1637">
        <v>0.95</v>
      </c>
      <c r="T241" s="1640">
        <f t="shared" si="151"/>
        <v>11.547618600000002</v>
      </c>
      <c r="U241" s="1640">
        <f t="shared" si="152"/>
        <v>11.547618600000002</v>
      </c>
      <c r="V241" s="1640">
        <f t="shared" si="153"/>
        <v>11.547618600000002</v>
      </c>
      <c r="W241" s="1640">
        <f t="shared" si="154"/>
        <v>11.547618600000002</v>
      </c>
      <c r="X241" s="1640">
        <f t="shared" si="155"/>
        <v>46.190474400000006</v>
      </c>
      <c r="Y241" s="1372" t="str">
        <f t="shared" si="180"/>
        <v>CI-HVC-SPIN-V02-160601</v>
      </c>
      <c r="Z241" s="1372" t="str">
        <f t="shared" si="178"/>
        <v>Nicor Gas PY7-PY10 Adjustable Goals Template_2017-06-30, Tab 4.4.24</v>
      </c>
      <c r="AA241" s="1840">
        <f t="shared" si="179"/>
        <v>0.14470700000000003</v>
      </c>
      <c r="AB241" s="2028"/>
      <c r="AC241" s="1840">
        <f t="shared" si="156"/>
        <v>11.547618600000002</v>
      </c>
      <c r="AD241" s="1840">
        <f t="shared" si="157"/>
        <v>0</v>
      </c>
      <c r="AE241" s="1372" t="s">
        <v>2568</v>
      </c>
      <c r="AF241" s="1372" t="s">
        <v>3403</v>
      </c>
      <c r="AG241" s="1639">
        <v>0.14470700000000003</v>
      </c>
      <c r="AH241" s="1372" t="s">
        <v>3445</v>
      </c>
      <c r="AI241" s="1640">
        <f t="shared" si="158"/>
        <v>11.547618600000002</v>
      </c>
      <c r="AJ241" s="1638">
        <f t="shared" si="159"/>
        <v>0</v>
      </c>
      <c r="AK241" s="1372" t="s">
        <v>2568</v>
      </c>
      <c r="AL241" s="1372" t="s">
        <v>3403</v>
      </c>
      <c r="AM241" s="1639">
        <v>0.14470700000000003</v>
      </c>
      <c r="AN241" s="1372" t="str">
        <f t="shared" si="181"/>
        <v>No change</v>
      </c>
      <c r="AO241" s="1640">
        <f t="shared" si="160"/>
        <v>11.547618600000002</v>
      </c>
      <c r="AP241" s="1638">
        <f t="shared" si="161"/>
        <v>0</v>
      </c>
      <c r="AQ241" s="1372" t="s">
        <v>2568</v>
      </c>
      <c r="AR241" s="1372" t="s">
        <v>3403</v>
      </c>
      <c r="AS241" s="1639">
        <v>0.14470700000000003</v>
      </c>
      <c r="AT241" s="1372" t="str">
        <f t="shared" si="182"/>
        <v>No change</v>
      </c>
      <c r="AU241" s="1640">
        <f t="shared" si="162"/>
        <v>11.547618600000002</v>
      </c>
      <c r="AV241" s="1638">
        <f t="shared" si="163"/>
        <v>0</v>
      </c>
      <c r="AW241" s="2044">
        <f t="shared" si="164"/>
        <v>11.547618600000002</v>
      </c>
      <c r="AX241" s="2044">
        <f t="shared" si="165"/>
        <v>11.547618600000002</v>
      </c>
      <c r="AY241" s="2044">
        <f t="shared" si="166"/>
        <v>11.547618600000002</v>
      </c>
      <c r="AZ241" s="2044">
        <f t="shared" si="167"/>
        <v>11.547618600000002</v>
      </c>
      <c r="BA241" s="2045">
        <f t="shared" si="168"/>
        <v>46.190474400000006</v>
      </c>
      <c r="BB241" s="2045" t="str">
        <f>+'[9]4.4.24 '!$A$1</f>
        <v>4.4.24</v>
      </c>
      <c r="BC241" s="2045" t="str">
        <f>+'[9]4.4.24 '!$A$1</f>
        <v>4.4.24</v>
      </c>
      <c r="BD241" s="2045">
        <v>0</v>
      </c>
      <c r="BE241" s="2051">
        <v>15</v>
      </c>
      <c r="BF241" s="2051">
        <v>15</v>
      </c>
      <c r="BG241" s="2051">
        <v>15</v>
      </c>
      <c r="BH241" s="2051">
        <v>15</v>
      </c>
      <c r="BI241" s="2045">
        <f t="shared" si="146"/>
        <v>173.21427900000003</v>
      </c>
      <c r="BJ241" s="2045">
        <f t="shared" si="147"/>
        <v>173.21427900000003</v>
      </c>
      <c r="BK241" s="2045">
        <f t="shared" si="148"/>
        <v>173.21427900000003</v>
      </c>
      <c r="BL241" s="2045">
        <f t="shared" si="149"/>
        <v>173.21427900000003</v>
      </c>
      <c r="BM241" s="2045">
        <f t="shared" si="169"/>
        <v>692.85711600000013</v>
      </c>
      <c r="BN241" s="2047">
        <v>15</v>
      </c>
      <c r="BO241" s="2047">
        <v>15</v>
      </c>
      <c r="BP241" s="2047">
        <v>15</v>
      </c>
      <c r="BQ241" s="2047">
        <v>15</v>
      </c>
      <c r="BR241" s="2048">
        <f t="shared" si="170"/>
        <v>173.21427900000003</v>
      </c>
      <c r="BS241" s="2048">
        <f t="shared" si="171"/>
        <v>173.21427900000003</v>
      </c>
      <c r="BT241" s="2048">
        <f t="shared" si="172"/>
        <v>173.21427900000003</v>
      </c>
      <c r="BU241" s="2048">
        <f t="shared" si="173"/>
        <v>173.21427900000003</v>
      </c>
      <c r="BV241" s="1840">
        <f t="shared" si="174"/>
        <v>692.85711600000013</v>
      </c>
      <c r="BW241" s="2064" t="e">
        <f>INT(#REF!)=INT(BA241)</f>
        <v>#REF!</v>
      </c>
      <c r="BX241" s="2064">
        <v>234</v>
      </c>
      <c r="BY241" s="2064" t="s">
        <v>512</v>
      </c>
    </row>
    <row r="242" spans="1:77" s="1976" customFormat="1" ht="62" x14ac:dyDescent="0.35">
      <c r="A242" s="1372" t="s">
        <v>681</v>
      </c>
      <c r="B242" s="1372" t="s">
        <v>188</v>
      </c>
      <c r="C242" s="1637">
        <v>0</v>
      </c>
      <c r="D242" s="2053" t="str">
        <f>+'[9]4.4.24 '!$A$1</f>
        <v>4.4.24</v>
      </c>
      <c r="E242" s="1372" t="s">
        <v>202</v>
      </c>
      <c r="F242" s="1638">
        <v>260</v>
      </c>
      <c r="G242" s="1638">
        <v>260</v>
      </c>
      <c r="H242" s="1638">
        <v>260</v>
      </c>
      <c r="I242" s="1638">
        <v>260</v>
      </c>
      <c r="J242" s="1372" t="str">
        <f>+'[9]4.4.24 '!$B$14</f>
        <v>CI-HVC-SPIN-V02-160601</v>
      </c>
      <c r="K242" s="1372" t="str">
        <f t="shared" si="150"/>
        <v>Nicor Gas PY7-PY10 Adjustable Goals Template_2017-06-30, Tab 4.4.24</v>
      </c>
      <c r="L242" s="1639">
        <v>0.28107000000000004</v>
      </c>
      <c r="M242" s="1639">
        <v>0.28107000000000004</v>
      </c>
      <c r="N242" s="1639">
        <v>0.28107000000000004</v>
      </c>
      <c r="O242" s="1639">
        <v>0.28107000000000004</v>
      </c>
      <c r="P242" s="1637">
        <v>0.95</v>
      </c>
      <c r="Q242" s="1637">
        <v>0.95</v>
      </c>
      <c r="R242" s="1637">
        <v>0.95</v>
      </c>
      <c r="S242" s="1637">
        <v>0.95</v>
      </c>
      <c r="T242" s="1640">
        <f t="shared" si="151"/>
        <v>69.424289999999999</v>
      </c>
      <c r="U242" s="1640">
        <f t="shared" si="152"/>
        <v>69.424289999999999</v>
      </c>
      <c r="V242" s="1640">
        <f t="shared" si="153"/>
        <v>69.424289999999999</v>
      </c>
      <c r="W242" s="1640">
        <f t="shared" si="154"/>
        <v>69.424289999999999</v>
      </c>
      <c r="X242" s="1640">
        <f t="shared" si="155"/>
        <v>277.69716</v>
      </c>
      <c r="Y242" s="1372" t="str">
        <f t="shared" si="180"/>
        <v>CI-HVC-SPIN-V02-160601</v>
      </c>
      <c r="Z242" s="1372" t="str">
        <f t="shared" si="178"/>
        <v>Nicor Gas PY7-PY10 Adjustable Goals Template_2017-06-30, Tab 4.4.24</v>
      </c>
      <c r="AA242" s="1840">
        <f t="shared" si="179"/>
        <v>0.28107000000000004</v>
      </c>
      <c r="AB242" s="2028"/>
      <c r="AC242" s="1840">
        <f t="shared" si="156"/>
        <v>69.424289999999999</v>
      </c>
      <c r="AD242" s="1840">
        <f t="shared" si="157"/>
        <v>0</v>
      </c>
      <c r="AE242" s="1372" t="s">
        <v>2568</v>
      </c>
      <c r="AF242" s="1372" t="s">
        <v>3403</v>
      </c>
      <c r="AG242" s="1639">
        <v>0.28107000000000004</v>
      </c>
      <c r="AH242" s="1372" t="s">
        <v>3445</v>
      </c>
      <c r="AI242" s="1640">
        <f t="shared" si="158"/>
        <v>69.424289999999999</v>
      </c>
      <c r="AJ242" s="1638">
        <f t="shared" si="159"/>
        <v>0</v>
      </c>
      <c r="AK242" s="1372" t="s">
        <v>2568</v>
      </c>
      <c r="AL242" s="1372" t="s">
        <v>3403</v>
      </c>
      <c r="AM242" s="1639">
        <v>0.28107000000000004</v>
      </c>
      <c r="AN242" s="1372" t="str">
        <f t="shared" si="181"/>
        <v>No change</v>
      </c>
      <c r="AO242" s="1640">
        <f t="shared" si="160"/>
        <v>69.424289999999999</v>
      </c>
      <c r="AP242" s="1638">
        <f t="shared" si="161"/>
        <v>0</v>
      </c>
      <c r="AQ242" s="1372" t="s">
        <v>2568</v>
      </c>
      <c r="AR242" s="1372" t="s">
        <v>3403</v>
      </c>
      <c r="AS242" s="1639">
        <v>0.28107000000000004</v>
      </c>
      <c r="AT242" s="1372" t="str">
        <f t="shared" si="182"/>
        <v>No change</v>
      </c>
      <c r="AU242" s="1640">
        <f t="shared" si="162"/>
        <v>69.424289999999999</v>
      </c>
      <c r="AV242" s="1638">
        <f t="shared" si="163"/>
        <v>0</v>
      </c>
      <c r="AW242" s="2044">
        <f t="shared" si="164"/>
        <v>69.424289999999999</v>
      </c>
      <c r="AX242" s="2044">
        <f t="shared" si="165"/>
        <v>69.424289999999999</v>
      </c>
      <c r="AY242" s="2044">
        <f t="shared" si="166"/>
        <v>69.424289999999999</v>
      </c>
      <c r="AZ242" s="2044">
        <f t="shared" si="167"/>
        <v>69.424289999999999</v>
      </c>
      <c r="BA242" s="2045">
        <f t="shared" si="168"/>
        <v>277.69716</v>
      </c>
      <c r="BB242" s="2045" t="str">
        <f>+'[9]4.4.24 '!$A$1</f>
        <v>4.4.24</v>
      </c>
      <c r="BC242" s="2045" t="str">
        <f>+'[9]4.4.24 '!$A$1</f>
        <v>4.4.24</v>
      </c>
      <c r="BD242" s="2045">
        <v>0</v>
      </c>
      <c r="BE242" s="2051">
        <v>15</v>
      </c>
      <c r="BF242" s="2051">
        <v>15</v>
      </c>
      <c r="BG242" s="2051">
        <v>15</v>
      </c>
      <c r="BH242" s="2051">
        <v>15</v>
      </c>
      <c r="BI242" s="2045">
        <f t="shared" si="146"/>
        <v>1041.3643500000003</v>
      </c>
      <c r="BJ242" s="2045">
        <f t="shared" si="147"/>
        <v>1041.3643500000003</v>
      </c>
      <c r="BK242" s="2045">
        <f t="shared" si="148"/>
        <v>1041.3643500000003</v>
      </c>
      <c r="BL242" s="2045">
        <f t="shared" si="149"/>
        <v>1041.3643500000003</v>
      </c>
      <c r="BM242" s="2045">
        <f t="shared" si="169"/>
        <v>4165.4574000000011</v>
      </c>
      <c r="BN242" s="2047">
        <v>15</v>
      </c>
      <c r="BO242" s="2047">
        <v>15</v>
      </c>
      <c r="BP242" s="2047">
        <v>15</v>
      </c>
      <c r="BQ242" s="2047">
        <v>15</v>
      </c>
      <c r="BR242" s="2048">
        <f t="shared" si="170"/>
        <v>1041.3643500000003</v>
      </c>
      <c r="BS242" s="2048">
        <f t="shared" si="171"/>
        <v>1041.3643500000003</v>
      </c>
      <c r="BT242" s="2048">
        <f t="shared" si="172"/>
        <v>1041.3643500000003</v>
      </c>
      <c r="BU242" s="2048">
        <f t="shared" si="173"/>
        <v>1041.3643500000003</v>
      </c>
      <c r="BV242" s="1840">
        <f t="shared" si="174"/>
        <v>4165.4574000000011</v>
      </c>
      <c r="BW242" s="2064" t="e">
        <f>INT(#REF!)=INT(BA242)</f>
        <v>#REF!</v>
      </c>
      <c r="BX242" s="2064">
        <v>235</v>
      </c>
      <c r="BY242" s="2064" t="s">
        <v>512</v>
      </c>
    </row>
    <row r="243" spans="1:77" s="1976" customFormat="1" ht="62" x14ac:dyDescent="0.35">
      <c r="A243" s="1372" t="s">
        <v>681</v>
      </c>
      <c r="B243" s="1372" t="s">
        <v>170</v>
      </c>
      <c r="C243" s="1637">
        <v>0</v>
      </c>
      <c r="D243" s="2053" t="str">
        <f>+'[9]4.4.10'!$A$1</f>
        <v>4.4.10</v>
      </c>
      <c r="E243" s="1372" t="s">
        <v>163</v>
      </c>
      <c r="F243" s="1638">
        <v>9</v>
      </c>
      <c r="G243" s="1638">
        <v>9</v>
      </c>
      <c r="H243" s="1638">
        <v>9</v>
      </c>
      <c r="I243" s="1638">
        <v>9</v>
      </c>
      <c r="J243" s="1372" t="str">
        <f>+'[9]4.4.10'!$B$22</f>
        <v>CI-HVC-BOIL-V05-150601</v>
      </c>
      <c r="K243" s="1372" t="str">
        <f t="shared" si="150"/>
        <v>Nicor Gas PY7-PY10 Adjustable Goals Template_2017-06-30, Tab 4.4.10</v>
      </c>
      <c r="L243" s="1639">
        <v>447.53371592539503</v>
      </c>
      <c r="M243" s="1639">
        <v>447.53371592539503</v>
      </c>
      <c r="N243" s="1639">
        <v>447.53371592539503</v>
      </c>
      <c r="O243" s="1639">
        <v>447.53371592539503</v>
      </c>
      <c r="P243" s="1637">
        <v>0.94</v>
      </c>
      <c r="Q243" s="1637">
        <v>0.94</v>
      </c>
      <c r="R243" s="1637">
        <v>0.94</v>
      </c>
      <c r="S243" s="1637">
        <v>0.94</v>
      </c>
      <c r="T243" s="1640">
        <f t="shared" si="151"/>
        <v>3786.1352367288418</v>
      </c>
      <c r="U243" s="1640">
        <f t="shared" si="152"/>
        <v>3786.1352367288418</v>
      </c>
      <c r="V243" s="1640">
        <f t="shared" si="153"/>
        <v>3786.1352367288418</v>
      </c>
      <c r="W243" s="1640">
        <f t="shared" si="154"/>
        <v>3786.1352367288418</v>
      </c>
      <c r="X243" s="1640">
        <f t="shared" si="155"/>
        <v>15144.540946915367</v>
      </c>
      <c r="Y243" s="1372" t="str">
        <f t="shared" si="180"/>
        <v>CI-HVC-BOIL-V05-150601</v>
      </c>
      <c r="Z243" s="1372" t="str">
        <f t="shared" si="178"/>
        <v>Nicor Gas PY7-PY10 Adjustable Goals Template_2017-06-30, Tab 4.4.10</v>
      </c>
      <c r="AA243" s="1840">
        <f t="shared" si="179"/>
        <v>447.53371592539503</v>
      </c>
      <c r="AB243" s="2028"/>
      <c r="AC243" s="1840">
        <f t="shared" si="156"/>
        <v>3786.1352367288418</v>
      </c>
      <c r="AD243" s="1840">
        <f t="shared" si="157"/>
        <v>0</v>
      </c>
      <c r="AE243" s="1372" t="s">
        <v>198</v>
      </c>
      <c r="AF243" s="1372" t="s">
        <v>3359</v>
      </c>
      <c r="AG243" s="1639">
        <v>447.53371592539503</v>
      </c>
      <c r="AH243" s="1372" t="s">
        <v>3445</v>
      </c>
      <c r="AI243" s="1640">
        <f t="shared" si="158"/>
        <v>3786.1352367288418</v>
      </c>
      <c r="AJ243" s="1638">
        <f t="shared" si="159"/>
        <v>0</v>
      </c>
      <c r="AK243" s="1372" t="s">
        <v>198</v>
      </c>
      <c r="AL243" s="1372" t="s">
        <v>3359</v>
      </c>
      <c r="AM243" s="1639">
        <v>447.53371592539503</v>
      </c>
      <c r="AN243" s="1372" t="str">
        <f t="shared" si="181"/>
        <v>No change</v>
      </c>
      <c r="AO243" s="1640">
        <f t="shared" si="160"/>
        <v>3786.1352367288418</v>
      </c>
      <c r="AP243" s="1638">
        <f t="shared" si="161"/>
        <v>0</v>
      </c>
      <c r="AQ243" s="1372" t="s">
        <v>198</v>
      </c>
      <c r="AR243" s="1372" t="s">
        <v>3359</v>
      </c>
      <c r="AS243" s="1639">
        <v>447.53371592539503</v>
      </c>
      <c r="AT243" s="1372" t="str">
        <f t="shared" si="182"/>
        <v>No change</v>
      </c>
      <c r="AU243" s="1640">
        <f t="shared" si="162"/>
        <v>3786.1352367288418</v>
      </c>
      <c r="AV243" s="1638">
        <f t="shared" si="163"/>
        <v>0</v>
      </c>
      <c r="AW243" s="2044">
        <f t="shared" si="164"/>
        <v>3786.1352367288418</v>
      </c>
      <c r="AX243" s="2044">
        <f t="shared" si="165"/>
        <v>3786.1352367288418</v>
      </c>
      <c r="AY243" s="2044">
        <f t="shared" si="166"/>
        <v>3786.1352367288418</v>
      </c>
      <c r="AZ243" s="2044">
        <f t="shared" si="167"/>
        <v>3786.1352367288418</v>
      </c>
      <c r="BA243" s="2045">
        <f t="shared" si="168"/>
        <v>15144.540946915367</v>
      </c>
      <c r="BB243" s="2045" t="str">
        <f>+'[9]4.4.10'!$A$1</f>
        <v>4.4.10</v>
      </c>
      <c r="BC243" s="2045" t="str">
        <f>+'[9]4.4.10'!$A$1</f>
        <v>4.4.10</v>
      </c>
      <c r="BD243" s="2045">
        <v>0</v>
      </c>
      <c r="BE243" s="2051">
        <v>20</v>
      </c>
      <c r="BF243" s="2051">
        <v>20</v>
      </c>
      <c r="BG243" s="2051">
        <v>20</v>
      </c>
      <c r="BH243" s="2051">
        <v>20</v>
      </c>
      <c r="BI243" s="2045">
        <f t="shared" si="146"/>
        <v>75722.704734576822</v>
      </c>
      <c r="BJ243" s="2045">
        <f t="shared" si="147"/>
        <v>75722.704734576822</v>
      </c>
      <c r="BK243" s="2045">
        <f t="shared" si="148"/>
        <v>75722.704734576822</v>
      </c>
      <c r="BL243" s="2045">
        <f t="shared" si="149"/>
        <v>75722.704734576822</v>
      </c>
      <c r="BM243" s="2045">
        <f t="shared" si="169"/>
        <v>302890.81893830729</v>
      </c>
      <c r="BN243" s="2047">
        <v>20</v>
      </c>
      <c r="BO243" s="2047">
        <v>20</v>
      </c>
      <c r="BP243" s="2047">
        <v>20</v>
      </c>
      <c r="BQ243" s="2047">
        <v>20</v>
      </c>
      <c r="BR243" s="2048">
        <f t="shared" si="170"/>
        <v>75722.704734576822</v>
      </c>
      <c r="BS243" s="2048">
        <f t="shared" si="171"/>
        <v>75722.704734576822</v>
      </c>
      <c r="BT243" s="2048">
        <f t="shared" si="172"/>
        <v>75722.704734576822</v>
      </c>
      <c r="BU243" s="2048">
        <f t="shared" si="173"/>
        <v>75722.704734576822</v>
      </c>
      <c r="BV243" s="1840">
        <f t="shared" si="174"/>
        <v>302890.81893830729</v>
      </c>
      <c r="BW243" s="2064" t="e">
        <f>INT(#REF!)=INT(BA243)</f>
        <v>#REF!</v>
      </c>
      <c r="BX243" s="2064">
        <v>236</v>
      </c>
      <c r="BY243" s="2064" t="s">
        <v>512</v>
      </c>
    </row>
    <row r="244" spans="1:77" s="1976" customFormat="1" ht="62" x14ac:dyDescent="0.35">
      <c r="A244" s="1372" t="s">
        <v>681</v>
      </c>
      <c r="B244" s="1372" t="s">
        <v>171</v>
      </c>
      <c r="C244" s="1637">
        <v>0</v>
      </c>
      <c r="D244" s="2053" t="str">
        <f>+'[9]4.4.10'!$A$1</f>
        <v>4.4.10</v>
      </c>
      <c r="E244" s="1372" t="s">
        <v>163</v>
      </c>
      <c r="F244" s="1638">
        <v>7</v>
      </c>
      <c r="G244" s="1638">
        <v>7</v>
      </c>
      <c r="H244" s="1638">
        <v>7</v>
      </c>
      <c r="I244" s="1638">
        <v>7</v>
      </c>
      <c r="J244" s="1372" t="str">
        <f>+'[9]4.4.10'!$B$22</f>
        <v>CI-HVC-BOIL-V05-150601</v>
      </c>
      <c r="K244" s="1372" t="str">
        <f t="shared" si="150"/>
        <v>Nicor Gas PY7-PY10 Adjustable Goals Template_2017-06-30, Tab 4.4.10</v>
      </c>
      <c r="L244" s="1639">
        <v>744.3977474892406</v>
      </c>
      <c r="M244" s="1639">
        <v>744.3977474892406</v>
      </c>
      <c r="N244" s="1639">
        <v>744.3977474892406</v>
      </c>
      <c r="O244" s="1639">
        <v>744.3977474892406</v>
      </c>
      <c r="P244" s="1637">
        <v>0.94</v>
      </c>
      <c r="Q244" s="1637">
        <v>0.94</v>
      </c>
      <c r="R244" s="1637">
        <v>0.94</v>
      </c>
      <c r="S244" s="1637">
        <v>0.94</v>
      </c>
      <c r="T244" s="1640">
        <f t="shared" si="151"/>
        <v>4898.1371784792027</v>
      </c>
      <c r="U244" s="1640">
        <f t="shared" si="152"/>
        <v>4898.1371784792027</v>
      </c>
      <c r="V244" s="1640">
        <f t="shared" si="153"/>
        <v>4898.1371784792027</v>
      </c>
      <c r="W244" s="1640">
        <f t="shared" si="154"/>
        <v>4898.1371784792027</v>
      </c>
      <c r="X244" s="1640">
        <f t="shared" si="155"/>
        <v>19592.548713916811</v>
      </c>
      <c r="Y244" s="1372" t="str">
        <f t="shared" si="180"/>
        <v>CI-HVC-BOIL-V05-150601</v>
      </c>
      <c r="Z244" s="1372" t="str">
        <f t="shared" si="178"/>
        <v>Nicor Gas PY7-PY10 Adjustable Goals Template_2017-06-30, Tab 4.4.10</v>
      </c>
      <c r="AA244" s="1840">
        <f t="shared" si="179"/>
        <v>744.3977474892406</v>
      </c>
      <c r="AB244" s="2028"/>
      <c r="AC244" s="1840">
        <f t="shared" si="156"/>
        <v>4898.1371784792027</v>
      </c>
      <c r="AD244" s="1840">
        <f t="shared" si="157"/>
        <v>0</v>
      </c>
      <c r="AE244" s="1372" t="s">
        <v>198</v>
      </c>
      <c r="AF244" s="1372" t="s">
        <v>3359</v>
      </c>
      <c r="AG244" s="1639">
        <v>744.3977474892406</v>
      </c>
      <c r="AH244" s="1372" t="s">
        <v>3445</v>
      </c>
      <c r="AI244" s="1640">
        <f t="shared" si="158"/>
        <v>4898.1371784792027</v>
      </c>
      <c r="AJ244" s="1638">
        <f t="shared" si="159"/>
        <v>0</v>
      </c>
      <c r="AK244" s="1372" t="s">
        <v>198</v>
      </c>
      <c r="AL244" s="1372" t="s">
        <v>3359</v>
      </c>
      <c r="AM244" s="1639">
        <v>744.3977474892406</v>
      </c>
      <c r="AN244" s="1372" t="str">
        <f t="shared" si="181"/>
        <v>No change</v>
      </c>
      <c r="AO244" s="1640">
        <f t="shared" si="160"/>
        <v>4898.1371784792027</v>
      </c>
      <c r="AP244" s="1638">
        <f t="shared" si="161"/>
        <v>0</v>
      </c>
      <c r="AQ244" s="1372" t="s">
        <v>198</v>
      </c>
      <c r="AR244" s="1372" t="s">
        <v>3359</v>
      </c>
      <c r="AS244" s="1639">
        <v>744.3977474892406</v>
      </c>
      <c r="AT244" s="1372" t="str">
        <f t="shared" si="182"/>
        <v>No change</v>
      </c>
      <c r="AU244" s="1640">
        <f t="shared" si="162"/>
        <v>4898.1371784792027</v>
      </c>
      <c r="AV244" s="1638">
        <f t="shared" si="163"/>
        <v>0</v>
      </c>
      <c r="AW244" s="2044">
        <f t="shared" si="164"/>
        <v>4898.1371784792027</v>
      </c>
      <c r="AX244" s="2044">
        <f t="shared" si="165"/>
        <v>4898.1371784792027</v>
      </c>
      <c r="AY244" s="2044">
        <f t="shared" si="166"/>
        <v>4898.1371784792027</v>
      </c>
      <c r="AZ244" s="2044">
        <f t="shared" si="167"/>
        <v>4898.1371784792027</v>
      </c>
      <c r="BA244" s="2045">
        <f t="shared" si="168"/>
        <v>19592.548713916811</v>
      </c>
      <c r="BB244" s="2045" t="str">
        <f>+'[9]4.4.10'!$A$1</f>
        <v>4.4.10</v>
      </c>
      <c r="BC244" s="2045" t="str">
        <f>+'[9]4.4.10'!$A$1</f>
        <v>4.4.10</v>
      </c>
      <c r="BD244" s="2045">
        <v>0</v>
      </c>
      <c r="BE244" s="2051">
        <v>20</v>
      </c>
      <c r="BF244" s="2051">
        <v>20</v>
      </c>
      <c r="BG244" s="2051">
        <v>20</v>
      </c>
      <c r="BH244" s="2051">
        <v>20</v>
      </c>
      <c r="BI244" s="2045">
        <f t="shared" si="146"/>
        <v>97962.743569584069</v>
      </c>
      <c r="BJ244" s="2045">
        <f t="shared" si="147"/>
        <v>97962.743569584069</v>
      </c>
      <c r="BK244" s="2045">
        <f t="shared" si="148"/>
        <v>97962.743569584069</v>
      </c>
      <c r="BL244" s="2045">
        <f t="shared" si="149"/>
        <v>97962.743569584069</v>
      </c>
      <c r="BM244" s="2045">
        <f t="shared" si="169"/>
        <v>391850.97427833627</v>
      </c>
      <c r="BN244" s="2047">
        <v>20</v>
      </c>
      <c r="BO244" s="2047">
        <v>20</v>
      </c>
      <c r="BP244" s="2047">
        <v>20</v>
      </c>
      <c r="BQ244" s="2047">
        <v>20</v>
      </c>
      <c r="BR244" s="2048">
        <f t="shared" si="170"/>
        <v>97962.743569584069</v>
      </c>
      <c r="BS244" s="2048">
        <f t="shared" si="171"/>
        <v>97962.743569584069</v>
      </c>
      <c r="BT244" s="2048">
        <f t="shared" si="172"/>
        <v>97962.743569584069</v>
      </c>
      <c r="BU244" s="2048">
        <f t="shared" si="173"/>
        <v>97962.743569584069</v>
      </c>
      <c r="BV244" s="1840">
        <f t="shared" si="174"/>
        <v>391850.97427833627</v>
      </c>
      <c r="BW244" s="2064" t="e">
        <f>INT(#REF!)=INT(BA244)</f>
        <v>#REF!</v>
      </c>
      <c r="BX244" s="2064">
        <v>237</v>
      </c>
      <c r="BY244" s="2064" t="s">
        <v>512</v>
      </c>
    </row>
    <row r="245" spans="1:77" s="1976" customFormat="1" ht="62" x14ac:dyDescent="0.35">
      <c r="A245" s="1372" t="s">
        <v>681</v>
      </c>
      <c r="B245" s="1372" t="s">
        <v>172</v>
      </c>
      <c r="C245" s="1637">
        <v>0</v>
      </c>
      <c r="D245" s="2053" t="str">
        <f>+'[9]4.4.10'!$A$1</f>
        <v>4.4.10</v>
      </c>
      <c r="E245" s="1372" t="s">
        <v>163</v>
      </c>
      <c r="F245" s="1638">
        <v>6</v>
      </c>
      <c r="G245" s="1638">
        <v>6</v>
      </c>
      <c r="H245" s="1638">
        <v>6</v>
      </c>
      <c r="I245" s="1638">
        <v>6</v>
      </c>
      <c r="J245" s="1372" t="str">
        <f>+'[9]4.4.10'!$B$22</f>
        <v>CI-HVC-BOIL-V05-150601</v>
      </c>
      <c r="K245" s="1372" t="str">
        <f t="shared" si="150"/>
        <v>Nicor Gas PY7-PY10 Adjustable Goals Template_2017-06-30, Tab 4.4.10</v>
      </c>
      <c r="L245" s="1639">
        <v>1490.2872740315654</v>
      </c>
      <c r="M245" s="1639">
        <v>1490.2872740315654</v>
      </c>
      <c r="N245" s="1639">
        <v>1490.2872740315654</v>
      </c>
      <c r="O245" s="1639">
        <v>1490.2872740315654</v>
      </c>
      <c r="P245" s="1637">
        <v>0.94</v>
      </c>
      <c r="Q245" s="1637">
        <v>0.94</v>
      </c>
      <c r="R245" s="1637">
        <v>0.94</v>
      </c>
      <c r="S245" s="1637">
        <v>0.94</v>
      </c>
      <c r="T245" s="1640">
        <f t="shared" si="151"/>
        <v>8405.2202255380289</v>
      </c>
      <c r="U245" s="1640">
        <f t="shared" si="152"/>
        <v>8405.2202255380289</v>
      </c>
      <c r="V245" s="1640">
        <f t="shared" si="153"/>
        <v>8405.2202255380289</v>
      </c>
      <c r="W245" s="1640">
        <f t="shared" si="154"/>
        <v>8405.2202255380289</v>
      </c>
      <c r="X245" s="1640">
        <f t="shared" si="155"/>
        <v>33620.880902152116</v>
      </c>
      <c r="Y245" s="1372" t="str">
        <f t="shared" si="180"/>
        <v>CI-HVC-BOIL-V05-150601</v>
      </c>
      <c r="Z245" s="1372" t="str">
        <f t="shared" si="178"/>
        <v>Nicor Gas PY7-PY10 Adjustable Goals Template_2017-06-30, Tab 4.4.10</v>
      </c>
      <c r="AA245" s="1840">
        <f t="shared" si="179"/>
        <v>1490.2872740315654</v>
      </c>
      <c r="AB245" s="2028"/>
      <c r="AC245" s="1840">
        <f t="shared" si="156"/>
        <v>8405.2202255380289</v>
      </c>
      <c r="AD245" s="1840">
        <f t="shared" si="157"/>
        <v>0</v>
      </c>
      <c r="AE245" s="1372" t="s">
        <v>198</v>
      </c>
      <c r="AF245" s="1372" t="s">
        <v>3359</v>
      </c>
      <c r="AG245" s="1639">
        <v>1490.2872740315654</v>
      </c>
      <c r="AH245" s="1372" t="s">
        <v>3445</v>
      </c>
      <c r="AI245" s="1640">
        <f t="shared" si="158"/>
        <v>8405.2202255380289</v>
      </c>
      <c r="AJ245" s="1638">
        <f t="shared" si="159"/>
        <v>0</v>
      </c>
      <c r="AK245" s="1372" t="s">
        <v>198</v>
      </c>
      <c r="AL245" s="1372" t="s">
        <v>3359</v>
      </c>
      <c r="AM245" s="1639">
        <v>1490.2872740315654</v>
      </c>
      <c r="AN245" s="1372" t="str">
        <f t="shared" si="181"/>
        <v>No change</v>
      </c>
      <c r="AO245" s="1640">
        <f t="shared" si="160"/>
        <v>8405.2202255380289</v>
      </c>
      <c r="AP245" s="1638">
        <f t="shared" si="161"/>
        <v>0</v>
      </c>
      <c r="AQ245" s="1372" t="s">
        <v>198</v>
      </c>
      <c r="AR245" s="1372" t="s">
        <v>3359</v>
      </c>
      <c r="AS245" s="1639">
        <v>1490.2872740315654</v>
      </c>
      <c r="AT245" s="1372" t="str">
        <f t="shared" si="182"/>
        <v>No change</v>
      </c>
      <c r="AU245" s="1640">
        <f t="shared" si="162"/>
        <v>8405.2202255380289</v>
      </c>
      <c r="AV245" s="1638">
        <f t="shared" si="163"/>
        <v>0</v>
      </c>
      <c r="AW245" s="2044">
        <f t="shared" si="164"/>
        <v>8405.2202255380289</v>
      </c>
      <c r="AX245" s="2044">
        <f t="shared" si="165"/>
        <v>8405.2202255380289</v>
      </c>
      <c r="AY245" s="2044">
        <f t="shared" si="166"/>
        <v>8405.2202255380289</v>
      </c>
      <c r="AZ245" s="2044">
        <f t="shared" si="167"/>
        <v>8405.2202255380289</v>
      </c>
      <c r="BA245" s="2045">
        <f t="shared" si="168"/>
        <v>33620.880902152116</v>
      </c>
      <c r="BB245" s="2045" t="str">
        <f>+'[9]4.4.10'!$A$1</f>
        <v>4.4.10</v>
      </c>
      <c r="BC245" s="2045" t="str">
        <f>+'[9]4.4.10'!$A$1</f>
        <v>4.4.10</v>
      </c>
      <c r="BD245" s="2045">
        <v>0</v>
      </c>
      <c r="BE245" s="2051">
        <v>20</v>
      </c>
      <c r="BF245" s="2051">
        <v>20</v>
      </c>
      <c r="BG245" s="2051">
        <v>20</v>
      </c>
      <c r="BH245" s="2051">
        <v>20</v>
      </c>
      <c r="BI245" s="2045">
        <f t="shared" si="146"/>
        <v>168104.40451076056</v>
      </c>
      <c r="BJ245" s="2045">
        <f t="shared" si="147"/>
        <v>168104.40451076056</v>
      </c>
      <c r="BK245" s="2045">
        <f t="shared" si="148"/>
        <v>168104.40451076056</v>
      </c>
      <c r="BL245" s="2045">
        <f t="shared" si="149"/>
        <v>168104.40451076056</v>
      </c>
      <c r="BM245" s="2045">
        <f t="shared" si="169"/>
        <v>672417.61804304225</v>
      </c>
      <c r="BN245" s="2047">
        <v>20</v>
      </c>
      <c r="BO245" s="2047">
        <v>20</v>
      </c>
      <c r="BP245" s="2047">
        <v>20</v>
      </c>
      <c r="BQ245" s="2047">
        <v>20</v>
      </c>
      <c r="BR245" s="2048">
        <f t="shared" si="170"/>
        <v>168104.40451076056</v>
      </c>
      <c r="BS245" s="2048">
        <f t="shared" si="171"/>
        <v>168104.40451076056</v>
      </c>
      <c r="BT245" s="2048">
        <f t="shared" si="172"/>
        <v>168104.40451076056</v>
      </c>
      <c r="BU245" s="2048">
        <f t="shared" si="173"/>
        <v>168104.40451076056</v>
      </c>
      <c r="BV245" s="1840">
        <f t="shared" si="174"/>
        <v>672417.61804304225</v>
      </c>
      <c r="BW245" s="2064" t="e">
        <f>INT(#REF!)=INT(BA245)</f>
        <v>#REF!</v>
      </c>
      <c r="BX245" s="2064">
        <v>238</v>
      </c>
      <c r="BY245" s="2064" t="s">
        <v>512</v>
      </c>
    </row>
    <row r="246" spans="1:77" s="1976" customFormat="1" ht="62" x14ac:dyDescent="0.35">
      <c r="A246" s="1372" t="s">
        <v>681</v>
      </c>
      <c r="B246" s="1372" t="s">
        <v>173</v>
      </c>
      <c r="C246" s="1637">
        <v>0</v>
      </c>
      <c r="D246" s="2053" t="str">
        <f>+'[9]4.4.10'!$A$1</f>
        <v>4.4.10</v>
      </c>
      <c r="E246" s="1372" t="s">
        <v>163</v>
      </c>
      <c r="F246" s="1638">
        <v>10</v>
      </c>
      <c r="G246" s="1638">
        <v>10</v>
      </c>
      <c r="H246" s="1638">
        <v>10</v>
      </c>
      <c r="I246" s="1638">
        <v>10</v>
      </c>
      <c r="J246" s="1372" t="str">
        <f>+'[9]4.4.10'!$B$22</f>
        <v>CI-HVC-BOIL-V05-150601</v>
      </c>
      <c r="K246" s="1372" t="str">
        <f t="shared" si="150"/>
        <v>Nicor Gas PY7-PY10 Adjustable Goals Template_2017-06-30, Tab 4.4.10</v>
      </c>
      <c r="L246" s="1639">
        <v>2536.0243902439047</v>
      </c>
      <c r="M246" s="1639">
        <v>2536.0243902439047</v>
      </c>
      <c r="N246" s="1639">
        <v>2536.0243902439047</v>
      </c>
      <c r="O246" s="1639">
        <v>2536.0243902439047</v>
      </c>
      <c r="P246" s="1637">
        <v>0.94</v>
      </c>
      <c r="Q246" s="1637">
        <v>0.94</v>
      </c>
      <c r="R246" s="1637">
        <v>0.94</v>
      </c>
      <c r="S246" s="1637">
        <v>0.94</v>
      </c>
      <c r="T246" s="1640">
        <f t="shared" si="151"/>
        <v>23838.629268292705</v>
      </c>
      <c r="U246" s="1640">
        <f t="shared" si="152"/>
        <v>23838.629268292705</v>
      </c>
      <c r="V246" s="1640">
        <f t="shared" si="153"/>
        <v>23838.629268292705</v>
      </c>
      <c r="W246" s="1640">
        <f t="shared" si="154"/>
        <v>23838.629268292705</v>
      </c>
      <c r="X246" s="1640">
        <f t="shared" si="155"/>
        <v>95354.51707317082</v>
      </c>
      <c r="Y246" s="1372" t="str">
        <f t="shared" si="180"/>
        <v>CI-HVC-BOIL-V05-150601</v>
      </c>
      <c r="Z246" s="1372" t="str">
        <f t="shared" si="178"/>
        <v>Nicor Gas PY7-PY10 Adjustable Goals Template_2017-06-30, Tab 4.4.10</v>
      </c>
      <c r="AA246" s="1840">
        <f t="shared" si="179"/>
        <v>2536.0243902439047</v>
      </c>
      <c r="AB246" s="2028"/>
      <c r="AC246" s="1840">
        <f t="shared" si="156"/>
        <v>23838.629268292705</v>
      </c>
      <c r="AD246" s="1840">
        <f t="shared" si="157"/>
        <v>0</v>
      </c>
      <c r="AE246" s="1372" t="s">
        <v>198</v>
      </c>
      <c r="AF246" s="1372" t="s">
        <v>3359</v>
      </c>
      <c r="AG246" s="1639">
        <v>2536.0243902439047</v>
      </c>
      <c r="AH246" s="1372" t="s">
        <v>3445</v>
      </c>
      <c r="AI246" s="1640">
        <f t="shared" si="158"/>
        <v>23838.629268292705</v>
      </c>
      <c r="AJ246" s="1638">
        <f t="shared" si="159"/>
        <v>0</v>
      </c>
      <c r="AK246" s="1372" t="s">
        <v>198</v>
      </c>
      <c r="AL246" s="1372" t="s">
        <v>3359</v>
      </c>
      <c r="AM246" s="1639">
        <v>2536.0243902439047</v>
      </c>
      <c r="AN246" s="1372" t="str">
        <f t="shared" si="181"/>
        <v>No change</v>
      </c>
      <c r="AO246" s="1640">
        <f t="shared" si="160"/>
        <v>23838.629268292705</v>
      </c>
      <c r="AP246" s="1638">
        <f t="shared" si="161"/>
        <v>0</v>
      </c>
      <c r="AQ246" s="1372" t="s">
        <v>198</v>
      </c>
      <c r="AR246" s="1372" t="s">
        <v>3359</v>
      </c>
      <c r="AS246" s="1639">
        <v>2536.0243902439047</v>
      </c>
      <c r="AT246" s="1372" t="str">
        <f t="shared" si="182"/>
        <v>No change</v>
      </c>
      <c r="AU246" s="1640">
        <f t="shared" si="162"/>
        <v>23838.629268292705</v>
      </c>
      <c r="AV246" s="1638">
        <f t="shared" si="163"/>
        <v>0</v>
      </c>
      <c r="AW246" s="2044">
        <f t="shared" si="164"/>
        <v>23838.629268292705</v>
      </c>
      <c r="AX246" s="2044">
        <f t="shared" si="165"/>
        <v>23838.629268292705</v>
      </c>
      <c r="AY246" s="2044">
        <f t="shared" si="166"/>
        <v>23838.629268292705</v>
      </c>
      <c r="AZ246" s="2044">
        <f t="shared" si="167"/>
        <v>23838.629268292705</v>
      </c>
      <c r="BA246" s="2045">
        <f t="shared" si="168"/>
        <v>95354.51707317082</v>
      </c>
      <c r="BB246" s="2045" t="str">
        <f>+'[9]4.4.10'!$A$1</f>
        <v>4.4.10</v>
      </c>
      <c r="BC246" s="2045" t="str">
        <f>+'[9]4.4.10'!$A$1</f>
        <v>4.4.10</v>
      </c>
      <c r="BD246" s="2045">
        <v>0</v>
      </c>
      <c r="BE246" s="2051">
        <v>20</v>
      </c>
      <c r="BF246" s="2051">
        <v>20</v>
      </c>
      <c r="BG246" s="2051">
        <v>20</v>
      </c>
      <c r="BH246" s="2051">
        <v>20</v>
      </c>
      <c r="BI246" s="2045">
        <f t="shared" si="146"/>
        <v>476772.58536585403</v>
      </c>
      <c r="BJ246" s="2045">
        <f t="shared" si="147"/>
        <v>476772.58536585403</v>
      </c>
      <c r="BK246" s="2045">
        <f t="shared" si="148"/>
        <v>476772.58536585403</v>
      </c>
      <c r="BL246" s="2045">
        <f t="shared" si="149"/>
        <v>476772.58536585403</v>
      </c>
      <c r="BM246" s="2045">
        <f t="shared" si="169"/>
        <v>1907090.3414634161</v>
      </c>
      <c r="BN246" s="2047">
        <v>20</v>
      </c>
      <c r="BO246" s="2047">
        <v>20</v>
      </c>
      <c r="BP246" s="2047">
        <v>20</v>
      </c>
      <c r="BQ246" s="2047">
        <v>20</v>
      </c>
      <c r="BR246" s="2048">
        <f t="shared" si="170"/>
        <v>476772.58536585403</v>
      </c>
      <c r="BS246" s="2048">
        <f t="shared" si="171"/>
        <v>476772.58536585403</v>
      </c>
      <c r="BT246" s="2048">
        <f t="shared" si="172"/>
        <v>476772.58536585403</v>
      </c>
      <c r="BU246" s="2048">
        <f t="shared" si="173"/>
        <v>476772.58536585403</v>
      </c>
      <c r="BV246" s="1840">
        <f t="shared" si="174"/>
        <v>1907090.3414634161</v>
      </c>
      <c r="BW246" s="2064" t="e">
        <f>INT(#REF!)=INT(BA246)</f>
        <v>#REF!</v>
      </c>
      <c r="BX246" s="2064">
        <v>239</v>
      </c>
      <c r="BY246" s="2064" t="s">
        <v>512</v>
      </c>
    </row>
    <row r="247" spans="1:77" s="1976" customFormat="1" ht="62" x14ac:dyDescent="0.35">
      <c r="A247" s="1372" t="s">
        <v>681</v>
      </c>
      <c r="B247" s="1372" t="s">
        <v>176</v>
      </c>
      <c r="C247" s="1637">
        <v>0</v>
      </c>
      <c r="D247" s="2053" t="str">
        <f>+'[9]4.4.10'!$A$1</f>
        <v>4.4.10</v>
      </c>
      <c r="E247" s="1372" t="s">
        <v>163</v>
      </c>
      <c r="F247" s="1638">
        <v>3</v>
      </c>
      <c r="G247" s="1638">
        <v>3</v>
      </c>
      <c r="H247" s="1638">
        <v>3</v>
      </c>
      <c r="I247" s="1638">
        <v>3</v>
      </c>
      <c r="J247" s="1372" t="str">
        <f>+'[9]4.4.10'!$B$22</f>
        <v>CI-HVC-BOIL-V05-150601</v>
      </c>
      <c r="K247" s="1372" t="str">
        <f t="shared" si="150"/>
        <v>Nicor Gas PY7-PY10 Adjustable Goals Template_2017-06-30, Tab 4.4.10</v>
      </c>
      <c r="L247" s="1639">
        <v>279.1491553084652</v>
      </c>
      <c r="M247" s="1639">
        <v>279.1491553084652</v>
      </c>
      <c r="N247" s="1639">
        <v>279.1491553084652</v>
      </c>
      <c r="O247" s="1639">
        <v>279.1491553084652</v>
      </c>
      <c r="P247" s="1637">
        <v>0.94</v>
      </c>
      <c r="Q247" s="1637">
        <v>0.94</v>
      </c>
      <c r="R247" s="1637">
        <v>0.94</v>
      </c>
      <c r="S247" s="1637">
        <v>0.94</v>
      </c>
      <c r="T247" s="1640">
        <f t="shared" si="151"/>
        <v>787.20061796987181</v>
      </c>
      <c r="U247" s="1640">
        <f t="shared" si="152"/>
        <v>787.20061796987181</v>
      </c>
      <c r="V247" s="1640">
        <f t="shared" si="153"/>
        <v>787.20061796987181</v>
      </c>
      <c r="W247" s="1640">
        <f t="shared" si="154"/>
        <v>787.20061796987181</v>
      </c>
      <c r="X247" s="1640">
        <f t="shared" si="155"/>
        <v>3148.8024718794873</v>
      </c>
      <c r="Y247" s="1372" t="str">
        <f t="shared" si="180"/>
        <v>CI-HVC-BOIL-V05-150601</v>
      </c>
      <c r="Z247" s="1372" t="str">
        <f t="shared" si="178"/>
        <v>Nicor Gas PY7-PY10 Adjustable Goals Template_2017-06-30, Tab 4.4.10</v>
      </c>
      <c r="AA247" s="1840">
        <f t="shared" si="179"/>
        <v>279.1491553084652</v>
      </c>
      <c r="AB247" s="2028"/>
      <c r="AC247" s="1840">
        <f t="shared" si="156"/>
        <v>787.20061796987181</v>
      </c>
      <c r="AD247" s="1840">
        <f t="shared" si="157"/>
        <v>0</v>
      </c>
      <c r="AE247" s="1372" t="s">
        <v>198</v>
      </c>
      <c r="AF247" s="1372" t="s">
        <v>3359</v>
      </c>
      <c r="AG247" s="1639">
        <v>279.1491553084652</v>
      </c>
      <c r="AH247" s="1372" t="s">
        <v>3445</v>
      </c>
      <c r="AI247" s="1640">
        <f t="shared" si="158"/>
        <v>787.20061796987181</v>
      </c>
      <c r="AJ247" s="1638">
        <f t="shared" si="159"/>
        <v>0</v>
      </c>
      <c r="AK247" s="1372" t="s">
        <v>198</v>
      </c>
      <c r="AL247" s="1372" t="s">
        <v>3359</v>
      </c>
      <c r="AM247" s="1639">
        <v>279.1491553084652</v>
      </c>
      <c r="AN247" s="1372" t="str">
        <f t="shared" si="181"/>
        <v>No change</v>
      </c>
      <c r="AO247" s="1640">
        <f t="shared" si="160"/>
        <v>787.20061796987181</v>
      </c>
      <c r="AP247" s="1638">
        <f t="shared" si="161"/>
        <v>0</v>
      </c>
      <c r="AQ247" s="1372" t="s">
        <v>198</v>
      </c>
      <c r="AR247" s="1372" t="s">
        <v>3359</v>
      </c>
      <c r="AS247" s="1639">
        <v>279.1491553084652</v>
      </c>
      <c r="AT247" s="1372" t="str">
        <f t="shared" si="182"/>
        <v>No change</v>
      </c>
      <c r="AU247" s="1640">
        <f t="shared" si="162"/>
        <v>787.20061796987181</v>
      </c>
      <c r="AV247" s="1638">
        <f t="shared" si="163"/>
        <v>0</v>
      </c>
      <c r="AW247" s="2044">
        <f t="shared" si="164"/>
        <v>787.20061796987181</v>
      </c>
      <c r="AX247" s="2044">
        <f t="shared" si="165"/>
        <v>787.20061796987181</v>
      </c>
      <c r="AY247" s="2044">
        <f t="shared" si="166"/>
        <v>787.20061796987181</v>
      </c>
      <c r="AZ247" s="2044">
        <f t="shared" si="167"/>
        <v>787.20061796987181</v>
      </c>
      <c r="BA247" s="2045">
        <f t="shared" si="168"/>
        <v>3148.8024718794873</v>
      </c>
      <c r="BB247" s="2045" t="str">
        <f>+'[9]4.4.10'!$A$1</f>
        <v>4.4.10</v>
      </c>
      <c r="BC247" s="2045" t="str">
        <f>+'[9]4.4.10'!$A$1</f>
        <v>4.4.10</v>
      </c>
      <c r="BD247" s="2045">
        <v>0</v>
      </c>
      <c r="BE247" s="2051">
        <v>20</v>
      </c>
      <c r="BF247" s="2051">
        <v>20</v>
      </c>
      <c r="BG247" s="2051">
        <v>20</v>
      </c>
      <c r="BH247" s="2051">
        <v>20</v>
      </c>
      <c r="BI247" s="2045">
        <f t="shared" si="146"/>
        <v>15744.012359397437</v>
      </c>
      <c r="BJ247" s="2045">
        <f t="shared" si="147"/>
        <v>15744.012359397437</v>
      </c>
      <c r="BK247" s="2045">
        <f t="shared" si="148"/>
        <v>15744.012359397437</v>
      </c>
      <c r="BL247" s="2045">
        <f t="shared" si="149"/>
        <v>15744.012359397437</v>
      </c>
      <c r="BM247" s="2045">
        <f t="shared" si="169"/>
        <v>62976.049437589747</v>
      </c>
      <c r="BN247" s="2047">
        <v>20</v>
      </c>
      <c r="BO247" s="2047">
        <v>20</v>
      </c>
      <c r="BP247" s="2047">
        <v>20</v>
      </c>
      <c r="BQ247" s="2047">
        <v>20</v>
      </c>
      <c r="BR247" s="2048">
        <f t="shared" si="170"/>
        <v>15744.012359397437</v>
      </c>
      <c r="BS247" s="2048">
        <f t="shared" si="171"/>
        <v>15744.012359397437</v>
      </c>
      <c r="BT247" s="2048">
        <f t="shared" si="172"/>
        <v>15744.012359397437</v>
      </c>
      <c r="BU247" s="2048">
        <f t="shared" si="173"/>
        <v>15744.012359397437</v>
      </c>
      <c r="BV247" s="1840">
        <f t="shared" si="174"/>
        <v>62976.049437589747</v>
      </c>
      <c r="BW247" s="2064" t="e">
        <f>INT(#REF!)=INT(BA247)</f>
        <v>#REF!</v>
      </c>
      <c r="BX247" s="2064">
        <v>240</v>
      </c>
      <c r="BY247" s="2064" t="s">
        <v>512</v>
      </c>
    </row>
    <row r="248" spans="1:77" s="1976" customFormat="1" ht="62" x14ac:dyDescent="0.35">
      <c r="A248" s="1372" t="s">
        <v>681</v>
      </c>
      <c r="B248" s="1372" t="s">
        <v>177</v>
      </c>
      <c r="C248" s="1637">
        <v>0</v>
      </c>
      <c r="D248" s="2053" t="str">
        <f>+'[9]4.4.10'!$A$1</f>
        <v>4.4.10</v>
      </c>
      <c r="E248" s="1372" t="s">
        <v>163</v>
      </c>
      <c r="F248" s="1638">
        <v>3</v>
      </c>
      <c r="G248" s="1638">
        <v>3</v>
      </c>
      <c r="H248" s="1638">
        <v>3</v>
      </c>
      <c r="I248" s="1638">
        <v>3</v>
      </c>
      <c r="J248" s="1372" t="str">
        <f>+'[9]4.4.10'!$B$22</f>
        <v>CI-HVC-BOIL-V05-150601</v>
      </c>
      <c r="K248" s="1372" t="str">
        <f t="shared" si="150"/>
        <v>Nicor Gas PY7-PY10 Adjustable Goals Template_2017-06-30, Tab 4.4.10</v>
      </c>
      <c r="L248" s="1639">
        <v>558.85772776183705</v>
      </c>
      <c r="M248" s="1639">
        <v>558.85772776183705</v>
      </c>
      <c r="N248" s="1639">
        <v>558.85772776183705</v>
      </c>
      <c r="O248" s="1639">
        <v>558.85772776183705</v>
      </c>
      <c r="P248" s="1637">
        <v>0.94</v>
      </c>
      <c r="Q248" s="1637">
        <v>0.94</v>
      </c>
      <c r="R248" s="1637">
        <v>0.94</v>
      </c>
      <c r="S248" s="1637">
        <v>0.94</v>
      </c>
      <c r="T248" s="1640">
        <f t="shared" si="151"/>
        <v>1575.9787922883804</v>
      </c>
      <c r="U248" s="1640">
        <f t="shared" si="152"/>
        <v>1575.9787922883804</v>
      </c>
      <c r="V248" s="1640">
        <f t="shared" si="153"/>
        <v>1575.9787922883804</v>
      </c>
      <c r="W248" s="1640">
        <f t="shared" si="154"/>
        <v>1575.9787922883804</v>
      </c>
      <c r="X248" s="1640">
        <f t="shared" si="155"/>
        <v>6303.9151691535217</v>
      </c>
      <c r="Y248" s="1372" t="str">
        <f t="shared" si="180"/>
        <v>CI-HVC-BOIL-V05-150601</v>
      </c>
      <c r="Z248" s="1372" t="str">
        <f t="shared" si="178"/>
        <v>Nicor Gas PY7-PY10 Adjustable Goals Template_2017-06-30, Tab 4.4.10</v>
      </c>
      <c r="AA248" s="1840">
        <f t="shared" si="179"/>
        <v>558.85772776183705</v>
      </c>
      <c r="AB248" s="2028"/>
      <c r="AC248" s="1840">
        <f t="shared" si="156"/>
        <v>1575.9787922883804</v>
      </c>
      <c r="AD248" s="1840">
        <f t="shared" si="157"/>
        <v>0</v>
      </c>
      <c r="AE248" s="1372" t="s">
        <v>198</v>
      </c>
      <c r="AF248" s="1372" t="s">
        <v>3359</v>
      </c>
      <c r="AG248" s="1639">
        <v>558.85772776183705</v>
      </c>
      <c r="AH248" s="1372" t="s">
        <v>3445</v>
      </c>
      <c r="AI248" s="1640">
        <f t="shared" si="158"/>
        <v>1575.9787922883804</v>
      </c>
      <c r="AJ248" s="1638">
        <f t="shared" si="159"/>
        <v>0</v>
      </c>
      <c r="AK248" s="1372" t="s">
        <v>198</v>
      </c>
      <c r="AL248" s="1372" t="s">
        <v>3359</v>
      </c>
      <c r="AM248" s="1639">
        <v>558.85772776183705</v>
      </c>
      <c r="AN248" s="1372" t="str">
        <f t="shared" si="181"/>
        <v>No change</v>
      </c>
      <c r="AO248" s="1640">
        <f t="shared" si="160"/>
        <v>1575.9787922883804</v>
      </c>
      <c r="AP248" s="1638">
        <f t="shared" si="161"/>
        <v>0</v>
      </c>
      <c r="AQ248" s="1372" t="s">
        <v>198</v>
      </c>
      <c r="AR248" s="1372" t="s">
        <v>3359</v>
      </c>
      <c r="AS248" s="1639">
        <v>558.85772776183705</v>
      </c>
      <c r="AT248" s="1372" t="str">
        <f t="shared" si="182"/>
        <v>No change</v>
      </c>
      <c r="AU248" s="1640">
        <f t="shared" si="162"/>
        <v>1575.9787922883804</v>
      </c>
      <c r="AV248" s="1638">
        <f t="shared" si="163"/>
        <v>0</v>
      </c>
      <c r="AW248" s="2044">
        <f t="shared" si="164"/>
        <v>1575.9787922883804</v>
      </c>
      <c r="AX248" s="2044">
        <f t="shared" si="165"/>
        <v>1575.9787922883804</v>
      </c>
      <c r="AY248" s="2044">
        <f t="shared" si="166"/>
        <v>1575.9787922883804</v>
      </c>
      <c r="AZ248" s="2044">
        <f t="shared" si="167"/>
        <v>1575.9787922883804</v>
      </c>
      <c r="BA248" s="2045">
        <f t="shared" si="168"/>
        <v>6303.9151691535217</v>
      </c>
      <c r="BB248" s="2045" t="str">
        <f>+'[9]4.4.10'!$A$1</f>
        <v>4.4.10</v>
      </c>
      <c r="BC248" s="2045" t="str">
        <f>+'[9]4.4.10'!$A$1</f>
        <v>4.4.10</v>
      </c>
      <c r="BD248" s="2045">
        <v>0</v>
      </c>
      <c r="BE248" s="2051">
        <v>20</v>
      </c>
      <c r="BF248" s="2051">
        <v>20</v>
      </c>
      <c r="BG248" s="2051">
        <v>20</v>
      </c>
      <c r="BH248" s="2051">
        <v>20</v>
      </c>
      <c r="BI248" s="2045">
        <f t="shared" si="146"/>
        <v>31519.575845767609</v>
      </c>
      <c r="BJ248" s="2045">
        <f t="shared" si="147"/>
        <v>31519.575845767609</v>
      </c>
      <c r="BK248" s="2045">
        <f t="shared" si="148"/>
        <v>31519.575845767609</v>
      </c>
      <c r="BL248" s="2045">
        <f t="shared" si="149"/>
        <v>31519.575845767609</v>
      </c>
      <c r="BM248" s="2045">
        <f t="shared" si="169"/>
        <v>126078.30338307044</v>
      </c>
      <c r="BN248" s="2047">
        <v>20</v>
      </c>
      <c r="BO248" s="2047">
        <v>20</v>
      </c>
      <c r="BP248" s="2047">
        <v>20</v>
      </c>
      <c r="BQ248" s="2047">
        <v>20</v>
      </c>
      <c r="BR248" s="2048">
        <f t="shared" si="170"/>
        <v>31519.575845767609</v>
      </c>
      <c r="BS248" s="2048">
        <f t="shared" si="171"/>
        <v>31519.575845767609</v>
      </c>
      <c r="BT248" s="2048">
        <f t="shared" si="172"/>
        <v>31519.575845767609</v>
      </c>
      <c r="BU248" s="2048">
        <f t="shared" si="173"/>
        <v>31519.575845767609</v>
      </c>
      <c r="BV248" s="1840">
        <f t="shared" si="174"/>
        <v>126078.30338307044</v>
      </c>
      <c r="BW248" s="2064" t="e">
        <f>INT(#REF!)=INT(BA248)</f>
        <v>#REF!</v>
      </c>
      <c r="BX248" s="2064">
        <v>241</v>
      </c>
      <c r="BY248" s="2064" t="s">
        <v>512</v>
      </c>
    </row>
    <row r="249" spans="1:77" s="1976" customFormat="1" ht="62" x14ac:dyDescent="0.35">
      <c r="A249" s="1372" t="s">
        <v>681</v>
      </c>
      <c r="B249" s="1372" t="s">
        <v>254</v>
      </c>
      <c r="C249" s="1637">
        <v>1</v>
      </c>
      <c r="D249" s="2055" t="str">
        <f>'[9]5.3.7'!$A$2</f>
        <v>5.3.7</v>
      </c>
      <c r="E249" s="1372" t="s">
        <v>163</v>
      </c>
      <c r="F249" s="1638">
        <v>37</v>
      </c>
      <c r="G249" s="1638">
        <v>37</v>
      </c>
      <c r="H249" s="1638">
        <v>37</v>
      </c>
      <c r="I249" s="1638">
        <v>37</v>
      </c>
      <c r="J249" s="1372" t="str">
        <f>+'[9]5.3.7'!$B$16</f>
        <v>RS-HVC-GHEF-V07-180101</v>
      </c>
      <c r="K249" s="1372" t="str">
        <f t="shared" si="150"/>
        <v>Nicor Gas PY7-PY10 Adjustable Goals Template_2017-06-30, Tab 5.3.7</v>
      </c>
      <c r="L249" s="1639">
        <v>114.30921052631567</v>
      </c>
      <c r="M249" s="1639">
        <v>114.30921052631567</v>
      </c>
      <c r="N249" s="1639">
        <v>114.30921052631567</v>
      </c>
      <c r="O249" s="1639">
        <v>114.30921052631567</v>
      </c>
      <c r="P249" s="1637">
        <v>0.94</v>
      </c>
      <c r="Q249" s="1637">
        <v>0.94</v>
      </c>
      <c r="R249" s="1637">
        <v>0.94</v>
      </c>
      <c r="S249" s="1637">
        <v>0.94</v>
      </c>
      <c r="T249" s="1640">
        <f t="shared" si="151"/>
        <v>3975.6743421052588</v>
      </c>
      <c r="U249" s="1640">
        <f t="shared" si="152"/>
        <v>3975.6743421052588</v>
      </c>
      <c r="V249" s="1640">
        <f t="shared" si="153"/>
        <v>3975.6743421052588</v>
      </c>
      <c r="W249" s="1640">
        <f t="shared" si="154"/>
        <v>3975.6743421052588</v>
      </c>
      <c r="X249" s="1640">
        <f t="shared" si="155"/>
        <v>15902.697368421035</v>
      </c>
      <c r="Y249" s="1372" t="str">
        <f t="shared" si="180"/>
        <v>RS-HVC-GHEF-V07-180101</v>
      </c>
      <c r="Z249" s="1372" t="str">
        <f t="shared" si="178"/>
        <v>Nicor Gas PY7-PY10 Adjustable Goals Template_2017-06-30, Tab 5.3.7</v>
      </c>
      <c r="AA249" s="2024">
        <f t="shared" si="179"/>
        <v>114.30921052631567</v>
      </c>
      <c r="AB249" s="2028"/>
      <c r="AC249" s="1840">
        <f t="shared" si="156"/>
        <v>3975.6743421052588</v>
      </c>
      <c r="AD249" s="1840">
        <f t="shared" si="157"/>
        <v>0</v>
      </c>
      <c r="AE249" s="1372" t="s">
        <v>2798</v>
      </c>
      <c r="AF249" s="1372" t="s">
        <v>3389</v>
      </c>
      <c r="AG249" s="1981">
        <f>'5.3.7'!P6</f>
        <v>100.83769230769219</v>
      </c>
      <c r="AH249" s="1372" t="s">
        <v>3446</v>
      </c>
      <c r="AI249" s="1640">
        <f t="shared" si="158"/>
        <v>3507.1349384615346</v>
      </c>
      <c r="AJ249" s="1638">
        <f t="shared" si="159"/>
        <v>-468.5394036437242</v>
      </c>
      <c r="AK249" s="1372" t="s">
        <v>2798</v>
      </c>
      <c r="AL249" s="1372" t="s">
        <v>3389</v>
      </c>
      <c r="AM249" s="1981">
        <f>'5.3.7'!P6</f>
        <v>100.83769230769219</v>
      </c>
      <c r="AN249" s="1372" t="str">
        <f t="shared" si="181"/>
        <v>Refer TRM V.7 Updates</v>
      </c>
      <c r="AO249" s="1640">
        <f t="shared" si="160"/>
        <v>3507.1349384615346</v>
      </c>
      <c r="AP249" s="1638">
        <f t="shared" si="161"/>
        <v>-468.5394036437242</v>
      </c>
      <c r="AQ249" s="1372" t="s">
        <v>2798</v>
      </c>
      <c r="AR249" s="1372" t="s">
        <v>3389</v>
      </c>
      <c r="AS249" s="1981">
        <f>'5.3.7'!P6</f>
        <v>100.83769230769219</v>
      </c>
      <c r="AT249" s="1372" t="str">
        <f>AH249</f>
        <v>Refer TRM V.7 Updates</v>
      </c>
      <c r="AU249" s="1640">
        <f t="shared" si="162"/>
        <v>3507.1349384615346</v>
      </c>
      <c r="AV249" s="1638">
        <f t="shared" si="163"/>
        <v>-468.5394036437242</v>
      </c>
      <c r="AW249" s="2044">
        <f t="shared" si="164"/>
        <v>3975.6743421052588</v>
      </c>
      <c r="AX249" s="2044">
        <f t="shared" si="165"/>
        <v>3507.1349384615346</v>
      </c>
      <c r="AY249" s="2044">
        <f t="shared" si="166"/>
        <v>3507.1349384615346</v>
      </c>
      <c r="AZ249" s="2044">
        <f t="shared" si="167"/>
        <v>3507.1349384615346</v>
      </c>
      <c r="BA249" s="2045">
        <f t="shared" si="168"/>
        <v>14497.079157489863</v>
      </c>
      <c r="BB249" s="2045" t="str">
        <f>'[9]5.3.7'!$A$2</f>
        <v>5.3.7</v>
      </c>
      <c r="BC249" s="2045" t="str">
        <f>'[9]5.3.7'!$A$2</f>
        <v>5.3.7</v>
      </c>
      <c r="BD249" s="2045">
        <v>0</v>
      </c>
      <c r="BE249" s="2051">
        <v>20</v>
      </c>
      <c r="BF249" s="2051">
        <v>20</v>
      </c>
      <c r="BG249" s="2051">
        <v>20</v>
      </c>
      <c r="BH249" s="2051">
        <v>20</v>
      </c>
      <c r="BI249" s="2045">
        <f t="shared" si="146"/>
        <v>79513.48684210518</v>
      </c>
      <c r="BJ249" s="2045">
        <f t="shared" si="147"/>
        <v>79513.48684210518</v>
      </c>
      <c r="BK249" s="2045">
        <f t="shared" si="148"/>
        <v>79513.48684210518</v>
      </c>
      <c r="BL249" s="2045">
        <f t="shared" si="149"/>
        <v>79513.48684210518</v>
      </c>
      <c r="BM249" s="2045">
        <f t="shared" si="169"/>
        <v>318053.94736842072</v>
      </c>
      <c r="BN249" s="2047">
        <v>20</v>
      </c>
      <c r="BO249" s="2047">
        <v>20</v>
      </c>
      <c r="BP249" s="2047">
        <v>20</v>
      </c>
      <c r="BQ249" s="2047">
        <v>20</v>
      </c>
      <c r="BR249" s="2048">
        <f t="shared" si="170"/>
        <v>79513.48684210518</v>
      </c>
      <c r="BS249" s="2048">
        <f t="shared" si="171"/>
        <v>70142.698769230687</v>
      </c>
      <c r="BT249" s="2048">
        <f t="shared" si="172"/>
        <v>70142.698769230687</v>
      </c>
      <c r="BU249" s="2048">
        <f t="shared" si="173"/>
        <v>70142.698769230687</v>
      </c>
      <c r="BV249" s="1840">
        <f t="shared" si="174"/>
        <v>289941.58314979722</v>
      </c>
      <c r="BW249" s="2064" t="e">
        <f>INT(#REF!)=INT(BA249)</f>
        <v>#REF!</v>
      </c>
      <c r="BX249" s="2064">
        <v>242</v>
      </c>
      <c r="BY249" s="2064" t="s">
        <v>512</v>
      </c>
    </row>
    <row r="250" spans="1:77" s="1976" customFormat="1" ht="62" x14ac:dyDescent="0.35">
      <c r="A250" s="1372" t="s">
        <v>681</v>
      </c>
      <c r="B250" s="1372" t="s">
        <v>3044</v>
      </c>
      <c r="C250" s="1637">
        <v>0</v>
      </c>
      <c r="D250" s="2056" t="str">
        <f>+'[9]4.4.18'!$A$1</f>
        <v>4.4.18</v>
      </c>
      <c r="E250" s="1372" t="s">
        <v>163</v>
      </c>
      <c r="F250" s="1638">
        <v>33</v>
      </c>
      <c r="G250" s="1638">
        <v>33</v>
      </c>
      <c r="H250" s="1638">
        <v>33</v>
      </c>
      <c r="I250" s="1638">
        <v>33</v>
      </c>
      <c r="J250" s="1372" t="str">
        <f>+'[9]4.4.18'!$B$19</f>
        <v>CI-HVC-PROG-V02-150601</v>
      </c>
      <c r="K250" s="1372" t="str">
        <f t="shared" si="150"/>
        <v>Nicor Gas PY7-PY10 Adjustable Goals Template_2017-06-30, Tab 4.4.18</v>
      </c>
      <c r="L250" s="1639">
        <v>36.310500000000005</v>
      </c>
      <c r="M250" s="1639">
        <v>36.310500000000005</v>
      </c>
      <c r="N250" s="1639">
        <v>36.310500000000005</v>
      </c>
      <c r="O250" s="1639">
        <v>36.310500000000005</v>
      </c>
      <c r="P250" s="1637">
        <v>0.94</v>
      </c>
      <c r="Q250" s="1637">
        <v>0.94</v>
      </c>
      <c r="R250" s="1637">
        <v>0.94</v>
      </c>
      <c r="S250" s="1637">
        <v>0.94</v>
      </c>
      <c r="T250" s="1640">
        <f t="shared" si="151"/>
        <v>1126.3517100000001</v>
      </c>
      <c r="U250" s="1640">
        <f t="shared" si="152"/>
        <v>1126.3517100000001</v>
      </c>
      <c r="V250" s="1640">
        <f t="shared" si="153"/>
        <v>1126.3517100000001</v>
      </c>
      <c r="W250" s="1640">
        <f t="shared" si="154"/>
        <v>1126.3517100000001</v>
      </c>
      <c r="X250" s="1640">
        <f t="shared" si="155"/>
        <v>4505.4068400000006</v>
      </c>
      <c r="Y250" s="1372" t="str">
        <f t="shared" si="180"/>
        <v>CI-HVC-PROG-V02-150601</v>
      </c>
      <c r="Z250" s="1372" t="str">
        <f t="shared" si="178"/>
        <v>Nicor Gas PY7-PY10 Adjustable Goals Template_2017-06-30, Tab 4.4.18</v>
      </c>
      <c r="AA250" s="1840">
        <f t="shared" si="179"/>
        <v>36.310500000000005</v>
      </c>
      <c r="AB250" s="2028"/>
      <c r="AC250" s="1840">
        <f t="shared" si="156"/>
        <v>1126.3517100000001</v>
      </c>
      <c r="AD250" s="1840">
        <f t="shared" si="157"/>
        <v>0</v>
      </c>
      <c r="AE250" s="1372" t="s">
        <v>3138</v>
      </c>
      <c r="AF250" s="1372" t="s">
        <v>3386</v>
      </c>
      <c r="AG250" s="1639">
        <v>36.310500000000005</v>
      </c>
      <c r="AH250" s="1372" t="s">
        <v>3445</v>
      </c>
      <c r="AI250" s="1640">
        <f t="shared" si="158"/>
        <v>1126.3517100000001</v>
      </c>
      <c r="AJ250" s="1638">
        <f t="shared" si="159"/>
        <v>0</v>
      </c>
      <c r="AK250" s="1372" t="s">
        <v>3138</v>
      </c>
      <c r="AL250" s="1372" t="s">
        <v>3386</v>
      </c>
      <c r="AM250" s="1639">
        <v>36.310500000000005</v>
      </c>
      <c r="AN250" s="1372" t="str">
        <f t="shared" si="181"/>
        <v>No change</v>
      </c>
      <c r="AO250" s="1640">
        <f t="shared" si="160"/>
        <v>1126.3517100000001</v>
      </c>
      <c r="AP250" s="1638">
        <f t="shared" si="161"/>
        <v>0</v>
      </c>
      <c r="AQ250" s="1372" t="s">
        <v>3138</v>
      </c>
      <c r="AR250" s="1372" t="s">
        <v>3386</v>
      </c>
      <c r="AS250" s="1639">
        <v>36.310500000000005</v>
      </c>
      <c r="AT250" s="1372" t="str">
        <f>$AH250</f>
        <v>No change</v>
      </c>
      <c r="AU250" s="1640">
        <f t="shared" si="162"/>
        <v>1126.3517100000001</v>
      </c>
      <c r="AV250" s="1638">
        <f t="shared" si="163"/>
        <v>0</v>
      </c>
      <c r="AW250" s="2044">
        <f t="shared" si="164"/>
        <v>1126.3517100000001</v>
      </c>
      <c r="AX250" s="2044">
        <f t="shared" si="165"/>
        <v>1126.3517100000001</v>
      </c>
      <c r="AY250" s="2044">
        <f t="shared" si="166"/>
        <v>1126.3517100000001</v>
      </c>
      <c r="AZ250" s="2044">
        <f t="shared" si="167"/>
        <v>1126.3517100000001</v>
      </c>
      <c r="BA250" s="2045">
        <f t="shared" si="168"/>
        <v>4505.4068400000006</v>
      </c>
      <c r="BB250" s="2045" t="str">
        <f>+'[9]4.4.18'!$A$1</f>
        <v>4.4.18</v>
      </c>
      <c r="BC250" s="2045" t="str">
        <f>+'[9]4.4.18'!$A$1</f>
        <v>4.4.18</v>
      </c>
      <c r="BD250" s="2121">
        <v>1</v>
      </c>
      <c r="BE250" s="2051">
        <v>4</v>
      </c>
      <c r="BF250" s="2051">
        <v>4</v>
      </c>
      <c r="BG250" s="2051">
        <v>4</v>
      </c>
      <c r="BH250" s="2051">
        <v>4</v>
      </c>
      <c r="BI250" s="2045">
        <f t="shared" si="146"/>
        <v>4505.4068400000006</v>
      </c>
      <c r="BJ250" s="2045">
        <f t="shared" si="147"/>
        <v>4505.4068400000006</v>
      </c>
      <c r="BK250" s="2045">
        <f t="shared" si="148"/>
        <v>4505.4068400000006</v>
      </c>
      <c r="BL250" s="2045">
        <f t="shared" si="149"/>
        <v>4505.4068400000006</v>
      </c>
      <c r="BM250" s="2045">
        <f t="shared" si="169"/>
        <v>18021.627360000002</v>
      </c>
      <c r="BN250" s="2047">
        <v>4</v>
      </c>
      <c r="BO250" s="2050">
        <v>8</v>
      </c>
      <c r="BP250" s="2050">
        <v>8</v>
      </c>
      <c r="BQ250" s="2050">
        <v>8</v>
      </c>
      <c r="BR250" s="2048">
        <f t="shared" si="170"/>
        <v>4505.4068400000006</v>
      </c>
      <c r="BS250" s="2048">
        <f t="shared" si="171"/>
        <v>9010.8136800000011</v>
      </c>
      <c r="BT250" s="2048">
        <f t="shared" si="172"/>
        <v>9010.8136800000011</v>
      </c>
      <c r="BU250" s="2048">
        <f t="shared" si="173"/>
        <v>9010.8136800000011</v>
      </c>
      <c r="BV250" s="1840">
        <f t="shared" si="174"/>
        <v>31537.847880000001</v>
      </c>
      <c r="BW250" s="2064" t="e">
        <f>INT(#REF!)=INT(BA250)</f>
        <v>#REF!</v>
      </c>
      <c r="BX250" s="2064">
        <v>243</v>
      </c>
      <c r="BY250" s="2064" t="s">
        <v>512</v>
      </c>
    </row>
    <row r="251" spans="1:77" s="1976" customFormat="1" ht="62" x14ac:dyDescent="0.35">
      <c r="A251" s="1372" t="s">
        <v>681</v>
      </c>
      <c r="B251" s="1372" t="s">
        <v>205</v>
      </c>
      <c r="C251" s="1637">
        <v>1</v>
      </c>
      <c r="D251" s="2055" t="str">
        <f>+'[9]4.3.1'!$A$1</f>
        <v>4.3.1</v>
      </c>
      <c r="E251" s="1372" t="s">
        <v>163</v>
      </c>
      <c r="F251" s="1638">
        <v>26</v>
      </c>
      <c r="G251" s="1638">
        <v>26</v>
      </c>
      <c r="H251" s="1638">
        <v>26</v>
      </c>
      <c r="I251" s="1638">
        <v>26</v>
      </c>
      <c r="J251" s="1372" t="str">
        <f>+'[9]4.3.1'!$B$18</f>
        <v>CI-HWE-STWH-V03-180101</v>
      </c>
      <c r="K251" s="1372" t="str">
        <f t="shared" si="150"/>
        <v>Nicor Gas PY7-PY10 Adjustable Goals Template_2017-06-30, Tab 4.3.1</v>
      </c>
      <c r="L251" s="1639">
        <v>29.700231654228862</v>
      </c>
      <c r="M251" s="1639">
        <v>29.700231654228862</v>
      </c>
      <c r="N251" s="1639">
        <v>29.700231654228862</v>
      </c>
      <c r="O251" s="1639">
        <v>29.700231654228862</v>
      </c>
      <c r="P251" s="1637">
        <v>0.95</v>
      </c>
      <c r="Q251" s="1637">
        <v>0.95</v>
      </c>
      <c r="R251" s="1637">
        <v>0.95</v>
      </c>
      <c r="S251" s="1637">
        <v>0.95</v>
      </c>
      <c r="T251" s="1640">
        <f t="shared" si="151"/>
        <v>733.59572185945285</v>
      </c>
      <c r="U251" s="1640">
        <f t="shared" si="152"/>
        <v>733.59572185945285</v>
      </c>
      <c r="V251" s="1640">
        <f t="shared" si="153"/>
        <v>733.59572185945285</v>
      </c>
      <c r="W251" s="1640">
        <f t="shared" si="154"/>
        <v>733.59572185945285</v>
      </c>
      <c r="X251" s="1640">
        <f t="shared" si="155"/>
        <v>2934.3828874378114</v>
      </c>
      <c r="Y251" s="1372" t="str">
        <f t="shared" si="180"/>
        <v>CI-HWE-STWH-V03-180101</v>
      </c>
      <c r="Z251" s="1372" t="str">
        <f t="shared" si="178"/>
        <v>Nicor Gas PY7-PY10 Adjustable Goals Template_2017-06-30, Tab 4.3.1</v>
      </c>
      <c r="AA251" s="2024">
        <f t="shared" si="179"/>
        <v>29.700231654228862</v>
      </c>
      <c r="AB251" s="2028"/>
      <c r="AC251" s="1840">
        <f t="shared" si="156"/>
        <v>733.59572185945285</v>
      </c>
      <c r="AD251" s="1840">
        <f t="shared" si="157"/>
        <v>0</v>
      </c>
      <c r="AE251" s="1372" t="s">
        <v>2790</v>
      </c>
      <c r="AF251" s="1372" t="s">
        <v>3360</v>
      </c>
      <c r="AG251" s="1981">
        <v>48.221166861193801</v>
      </c>
      <c r="AH251" s="1372" t="s">
        <v>3446</v>
      </c>
      <c r="AI251" s="1640">
        <f t="shared" si="158"/>
        <v>1191.0628214714868</v>
      </c>
      <c r="AJ251" s="1638">
        <f t="shared" si="159"/>
        <v>457.46709961203396</v>
      </c>
      <c r="AK251" s="1372" t="s">
        <v>2790</v>
      </c>
      <c r="AL251" s="1372" t="s">
        <v>3360</v>
      </c>
      <c r="AM251" s="1981">
        <v>48.221166861193801</v>
      </c>
      <c r="AN251" s="1372" t="str">
        <f t="shared" si="181"/>
        <v>Refer TRM V.7 Updates</v>
      </c>
      <c r="AO251" s="1640">
        <f t="shared" si="160"/>
        <v>1191.0628214714868</v>
      </c>
      <c r="AP251" s="1638">
        <f t="shared" si="161"/>
        <v>457.46709961203396</v>
      </c>
      <c r="AQ251" s="1372" t="s">
        <v>2790</v>
      </c>
      <c r="AR251" s="1372" t="s">
        <v>3360</v>
      </c>
      <c r="AS251" s="1981">
        <v>48.221166861193801</v>
      </c>
      <c r="AT251" s="1372" t="str">
        <f>AH251</f>
        <v>Refer TRM V.7 Updates</v>
      </c>
      <c r="AU251" s="1640">
        <f t="shared" si="162"/>
        <v>1191.0628214714868</v>
      </c>
      <c r="AV251" s="1638">
        <f t="shared" si="163"/>
        <v>457.46709961203396</v>
      </c>
      <c r="AW251" s="2044">
        <f t="shared" si="164"/>
        <v>733.59572185945285</v>
      </c>
      <c r="AX251" s="2044">
        <f t="shared" si="165"/>
        <v>1191.0628214714868</v>
      </c>
      <c r="AY251" s="2044">
        <f t="shared" si="166"/>
        <v>1191.0628214714868</v>
      </c>
      <c r="AZ251" s="2044">
        <f t="shared" si="167"/>
        <v>1191.0628214714868</v>
      </c>
      <c r="BA251" s="2045">
        <f t="shared" si="168"/>
        <v>4306.7841862739133</v>
      </c>
      <c r="BB251" s="2045" t="str">
        <f>+'[9]4.3.1'!$A$1</f>
        <v>4.3.1</v>
      </c>
      <c r="BC251" s="2045" t="str">
        <f>+'[9]4.3.1'!$A$1</f>
        <v>4.3.1</v>
      </c>
      <c r="BD251" s="2045">
        <v>0</v>
      </c>
      <c r="BE251" s="2051">
        <v>15</v>
      </c>
      <c r="BF251" s="2051">
        <v>15</v>
      </c>
      <c r="BG251" s="2051">
        <v>15</v>
      </c>
      <c r="BH251" s="2051">
        <v>15</v>
      </c>
      <c r="BI251" s="2045">
        <f t="shared" si="146"/>
        <v>11003.935827891793</v>
      </c>
      <c r="BJ251" s="2045">
        <f t="shared" si="147"/>
        <v>11003.935827891793</v>
      </c>
      <c r="BK251" s="2045">
        <f t="shared" si="148"/>
        <v>11003.935827891793</v>
      </c>
      <c r="BL251" s="2045">
        <f t="shared" si="149"/>
        <v>11003.935827891793</v>
      </c>
      <c r="BM251" s="2045">
        <f t="shared" si="169"/>
        <v>44015.743311567174</v>
      </c>
      <c r="BN251" s="2047">
        <v>15</v>
      </c>
      <c r="BO251" s="2047">
        <v>15</v>
      </c>
      <c r="BP251" s="2047">
        <v>15</v>
      </c>
      <c r="BQ251" s="2047">
        <v>15</v>
      </c>
      <c r="BR251" s="2048">
        <f t="shared" si="170"/>
        <v>11003.935827891793</v>
      </c>
      <c r="BS251" s="2048">
        <f t="shared" si="171"/>
        <v>17865.942322072304</v>
      </c>
      <c r="BT251" s="2048">
        <f t="shared" si="172"/>
        <v>17865.942322072304</v>
      </c>
      <c r="BU251" s="2048">
        <f t="shared" si="173"/>
        <v>17865.942322072304</v>
      </c>
      <c r="BV251" s="1840">
        <f t="shared" si="174"/>
        <v>64601.762794108705</v>
      </c>
      <c r="BW251" s="2064" t="e">
        <f>INT(#REF!)=INT(BA251)</f>
        <v>#REF!</v>
      </c>
      <c r="BX251" s="2064">
        <v>244</v>
      </c>
      <c r="BY251" s="2064" t="s">
        <v>512</v>
      </c>
    </row>
    <row r="252" spans="1:77" s="1976" customFormat="1" ht="62" x14ac:dyDescent="0.35">
      <c r="A252" s="1372" t="s">
        <v>681</v>
      </c>
      <c r="B252" s="1372" t="s">
        <v>204</v>
      </c>
      <c r="C252" s="1637">
        <v>0</v>
      </c>
      <c r="D252" s="2053" t="str">
        <f>+'[9]4.3.4'!$A$1</f>
        <v>4.3.4</v>
      </c>
      <c r="E252" s="1372" t="s">
        <v>163</v>
      </c>
      <c r="F252" s="1638">
        <v>2</v>
      </c>
      <c r="G252" s="1638">
        <v>2</v>
      </c>
      <c r="H252" s="1638">
        <v>2</v>
      </c>
      <c r="I252" s="1638">
        <v>2</v>
      </c>
      <c r="J252" s="1372" t="str">
        <f>+'[9]4.3.4'!$B$10</f>
        <v>CI-HWE-PLCV-V01-130601</v>
      </c>
      <c r="K252" s="1372" t="str">
        <f t="shared" si="150"/>
        <v>Nicor Gas PY7-PY10 Adjustable Goals Template_2017-06-30, Tab 4.3.4</v>
      </c>
      <c r="L252" s="1639">
        <v>1010</v>
      </c>
      <c r="M252" s="1639">
        <v>1010</v>
      </c>
      <c r="N252" s="1639">
        <v>1010</v>
      </c>
      <c r="O252" s="1639">
        <v>1010</v>
      </c>
      <c r="P252" s="1637">
        <v>0.95</v>
      </c>
      <c r="Q252" s="1637">
        <v>0.95</v>
      </c>
      <c r="R252" s="1637">
        <v>0.95</v>
      </c>
      <c r="S252" s="1637">
        <v>0.95</v>
      </c>
      <c r="T252" s="1640">
        <f t="shared" si="151"/>
        <v>1919</v>
      </c>
      <c r="U252" s="1640">
        <f t="shared" si="152"/>
        <v>1919</v>
      </c>
      <c r="V252" s="1640">
        <f t="shared" si="153"/>
        <v>1919</v>
      </c>
      <c r="W252" s="1640">
        <f t="shared" si="154"/>
        <v>1919</v>
      </c>
      <c r="X252" s="1640">
        <f t="shared" si="155"/>
        <v>7676</v>
      </c>
      <c r="Y252" s="1372" t="str">
        <f t="shared" si="180"/>
        <v>CI-HWE-PLCV-V01-130601</v>
      </c>
      <c r="Z252" s="1372" t="str">
        <f t="shared" si="178"/>
        <v>Nicor Gas PY7-PY10 Adjustable Goals Template_2017-06-30, Tab 4.3.4</v>
      </c>
      <c r="AA252" s="1840">
        <f t="shared" si="179"/>
        <v>1010</v>
      </c>
      <c r="AB252" s="2028"/>
      <c r="AC252" s="1840">
        <f t="shared" si="156"/>
        <v>1919</v>
      </c>
      <c r="AD252" s="1840">
        <f t="shared" si="157"/>
        <v>0</v>
      </c>
      <c r="AE252" s="1372" t="s">
        <v>2793</v>
      </c>
      <c r="AF252" s="1372" t="s">
        <v>3369</v>
      </c>
      <c r="AG252" s="1639">
        <v>1010</v>
      </c>
      <c r="AH252" s="1372" t="s">
        <v>3445</v>
      </c>
      <c r="AI252" s="1640">
        <f t="shared" si="158"/>
        <v>1919</v>
      </c>
      <c r="AJ252" s="1638">
        <f t="shared" si="159"/>
        <v>0</v>
      </c>
      <c r="AK252" s="1372" t="s">
        <v>2793</v>
      </c>
      <c r="AL252" s="1372" t="s">
        <v>3369</v>
      </c>
      <c r="AM252" s="1639">
        <v>1010</v>
      </c>
      <c r="AN252" s="1372" t="str">
        <f t="shared" si="181"/>
        <v>No change</v>
      </c>
      <c r="AO252" s="1640">
        <f t="shared" si="160"/>
        <v>1919</v>
      </c>
      <c r="AP252" s="1638">
        <f t="shared" si="161"/>
        <v>0</v>
      </c>
      <c r="AQ252" s="1372" t="s">
        <v>2793</v>
      </c>
      <c r="AR252" s="1372" t="s">
        <v>3369</v>
      </c>
      <c r="AS252" s="1639">
        <v>1010</v>
      </c>
      <c r="AT252" s="1372" t="str">
        <f>$AH252</f>
        <v>No change</v>
      </c>
      <c r="AU252" s="1640">
        <f t="shared" si="162"/>
        <v>1919</v>
      </c>
      <c r="AV252" s="1638">
        <f t="shared" si="163"/>
        <v>0</v>
      </c>
      <c r="AW252" s="2044">
        <f t="shared" si="164"/>
        <v>1919</v>
      </c>
      <c r="AX252" s="2044">
        <f t="shared" si="165"/>
        <v>1919</v>
      </c>
      <c r="AY252" s="2044">
        <f t="shared" si="166"/>
        <v>1919</v>
      </c>
      <c r="AZ252" s="2044">
        <f t="shared" si="167"/>
        <v>1919</v>
      </c>
      <c r="BA252" s="2045">
        <f t="shared" si="168"/>
        <v>7676</v>
      </c>
      <c r="BB252" s="2045" t="str">
        <f>+'[9]4.3.4'!$A$1</f>
        <v>4.3.4</v>
      </c>
      <c r="BC252" s="2045" t="str">
        <f>+'[9]4.3.4'!$A$1</f>
        <v>4.3.4</v>
      </c>
      <c r="BD252" s="2045">
        <v>0</v>
      </c>
      <c r="BE252" s="2051">
        <v>6</v>
      </c>
      <c r="BF252" s="2051">
        <v>6</v>
      </c>
      <c r="BG252" s="2051">
        <v>6</v>
      </c>
      <c r="BH252" s="2051">
        <v>6</v>
      </c>
      <c r="BI252" s="2045">
        <f t="shared" si="146"/>
        <v>11514</v>
      </c>
      <c r="BJ252" s="2045">
        <f t="shared" si="147"/>
        <v>11514</v>
      </c>
      <c r="BK252" s="2045">
        <f t="shared" si="148"/>
        <v>11514</v>
      </c>
      <c r="BL252" s="2045">
        <f t="shared" si="149"/>
        <v>11514</v>
      </c>
      <c r="BM252" s="2045">
        <f t="shared" si="169"/>
        <v>46056</v>
      </c>
      <c r="BN252" s="2047">
        <v>6</v>
      </c>
      <c r="BO252" s="2047">
        <v>6</v>
      </c>
      <c r="BP252" s="2047">
        <v>6</v>
      </c>
      <c r="BQ252" s="2047">
        <v>6</v>
      </c>
      <c r="BR252" s="2048">
        <f t="shared" si="170"/>
        <v>11514</v>
      </c>
      <c r="BS252" s="2048">
        <f t="shared" si="171"/>
        <v>11514</v>
      </c>
      <c r="BT252" s="2048">
        <f t="shared" si="172"/>
        <v>11514</v>
      </c>
      <c r="BU252" s="2048">
        <f t="shared" si="173"/>
        <v>11514</v>
      </c>
      <c r="BV252" s="1840">
        <f t="shared" si="174"/>
        <v>46056</v>
      </c>
      <c r="BW252" s="2064" t="e">
        <f>INT(#REF!)=INT(BA252)</f>
        <v>#REF!</v>
      </c>
      <c r="BX252" s="2064">
        <v>245</v>
      </c>
      <c r="BY252" s="2064" t="s">
        <v>512</v>
      </c>
    </row>
    <row r="253" spans="1:77" s="1976" customFormat="1" ht="62" x14ac:dyDescent="0.35">
      <c r="A253" s="1372" t="s">
        <v>681</v>
      </c>
      <c r="B253" s="1372" t="s">
        <v>222</v>
      </c>
      <c r="C253" s="1637">
        <v>0</v>
      </c>
      <c r="D253" s="2053" t="str">
        <f>+'[9]4.3.6'!$A$1</f>
        <v>4.3.6</v>
      </c>
      <c r="E253" s="1372" t="s">
        <v>163</v>
      </c>
      <c r="F253" s="1638">
        <v>27</v>
      </c>
      <c r="G253" s="1638">
        <v>27</v>
      </c>
      <c r="H253" s="1638">
        <v>27</v>
      </c>
      <c r="I253" s="1638">
        <v>27</v>
      </c>
      <c r="J253" s="1372" t="str">
        <f>+'[9]4.3.6'!$B$12</f>
        <v>CI-HWE-OZLD-VO1-140601</v>
      </c>
      <c r="K253" s="1372" t="str">
        <f t="shared" si="150"/>
        <v>Nicor Gas PY7-PY10 Adjustable Goals Template_2017-06-30, Tab 4.3.6</v>
      </c>
      <c r="L253" s="1639">
        <v>4605</v>
      </c>
      <c r="M253" s="1639">
        <v>4605</v>
      </c>
      <c r="N253" s="1639">
        <v>4605</v>
      </c>
      <c r="O253" s="1639">
        <v>4605</v>
      </c>
      <c r="P253" s="1637">
        <v>0.94</v>
      </c>
      <c r="Q253" s="1637">
        <v>0.94</v>
      </c>
      <c r="R253" s="1637">
        <v>0.94</v>
      </c>
      <c r="S253" s="1637">
        <v>0.94</v>
      </c>
      <c r="T253" s="1640">
        <f t="shared" si="151"/>
        <v>116874.9</v>
      </c>
      <c r="U253" s="1640">
        <f t="shared" si="152"/>
        <v>116874.9</v>
      </c>
      <c r="V253" s="1640">
        <f t="shared" si="153"/>
        <v>116874.9</v>
      </c>
      <c r="W253" s="1640">
        <f t="shared" si="154"/>
        <v>116874.9</v>
      </c>
      <c r="X253" s="1640">
        <f t="shared" si="155"/>
        <v>467499.6</v>
      </c>
      <c r="Y253" s="1372" t="str">
        <f t="shared" si="180"/>
        <v>CI-HWE-OZLD-VO1-140601</v>
      </c>
      <c r="Z253" s="1372" t="str">
        <f t="shared" si="178"/>
        <v>Nicor Gas PY7-PY10 Adjustable Goals Template_2017-06-30, Tab 4.3.6</v>
      </c>
      <c r="AA253" s="1840">
        <f t="shared" si="179"/>
        <v>4605</v>
      </c>
      <c r="AB253" s="2028"/>
      <c r="AC253" s="1840">
        <f t="shared" si="156"/>
        <v>116874.9</v>
      </c>
      <c r="AD253" s="1840">
        <f t="shared" si="157"/>
        <v>0</v>
      </c>
      <c r="AE253" s="1372" t="s">
        <v>2794</v>
      </c>
      <c r="AF253" s="1372" t="s">
        <v>3365</v>
      </c>
      <c r="AG253" s="1639">
        <v>4605</v>
      </c>
      <c r="AH253" s="1372" t="s">
        <v>3445</v>
      </c>
      <c r="AI253" s="1640">
        <f t="shared" si="158"/>
        <v>116874.9</v>
      </c>
      <c r="AJ253" s="1638">
        <f t="shared" si="159"/>
        <v>0</v>
      </c>
      <c r="AK253" s="1372" t="s">
        <v>2794</v>
      </c>
      <c r="AL253" s="1372" t="s">
        <v>3365</v>
      </c>
      <c r="AM253" s="1639">
        <v>4605</v>
      </c>
      <c r="AN253" s="1372" t="str">
        <f t="shared" si="181"/>
        <v>No change</v>
      </c>
      <c r="AO253" s="1640">
        <f t="shared" si="160"/>
        <v>116874.9</v>
      </c>
      <c r="AP253" s="1638">
        <f t="shared" si="161"/>
        <v>0</v>
      </c>
      <c r="AQ253" s="1372" t="s">
        <v>2794</v>
      </c>
      <c r="AR253" s="1372" t="s">
        <v>3365</v>
      </c>
      <c r="AS253" s="1639">
        <v>4605</v>
      </c>
      <c r="AT253" s="1372" t="str">
        <f>$AH253</f>
        <v>No change</v>
      </c>
      <c r="AU253" s="1640">
        <f t="shared" si="162"/>
        <v>116874.9</v>
      </c>
      <c r="AV253" s="1638">
        <f t="shared" si="163"/>
        <v>0</v>
      </c>
      <c r="AW253" s="2044">
        <f t="shared" si="164"/>
        <v>116874.9</v>
      </c>
      <c r="AX253" s="2044">
        <f t="shared" si="165"/>
        <v>116874.9</v>
      </c>
      <c r="AY253" s="2044">
        <f t="shared" si="166"/>
        <v>116874.9</v>
      </c>
      <c r="AZ253" s="2044">
        <f t="shared" si="167"/>
        <v>116874.9</v>
      </c>
      <c r="BA253" s="2045">
        <f t="shared" si="168"/>
        <v>467499.6</v>
      </c>
      <c r="BB253" s="2045" t="str">
        <f>+'[9]4.3.6'!$A$1</f>
        <v>4.3.6</v>
      </c>
      <c r="BC253" s="2045" t="str">
        <f>+'[9]4.3.6'!$A$1</f>
        <v>4.3.6</v>
      </c>
      <c r="BD253" s="2045">
        <v>0</v>
      </c>
      <c r="BE253" s="2051">
        <v>10</v>
      </c>
      <c r="BF253" s="2051">
        <v>10</v>
      </c>
      <c r="BG253" s="2051">
        <v>10</v>
      </c>
      <c r="BH253" s="2051">
        <v>10</v>
      </c>
      <c r="BI253" s="2045">
        <f t="shared" si="146"/>
        <v>1168749</v>
      </c>
      <c r="BJ253" s="2045">
        <f t="shared" si="147"/>
        <v>1168749</v>
      </c>
      <c r="BK253" s="2045">
        <f t="shared" si="148"/>
        <v>1168749</v>
      </c>
      <c r="BL253" s="2045">
        <f t="shared" si="149"/>
        <v>1168749</v>
      </c>
      <c r="BM253" s="2045">
        <f t="shared" si="169"/>
        <v>4674996</v>
      </c>
      <c r="BN253" s="2047">
        <v>10</v>
      </c>
      <c r="BO253" s="2047">
        <v>10</v>
      </c>
      <c r="BP253" s="2047">
        <v>10</v>
      </c>
      <c r="BQ253" s="2047">
        <v>10</v>
      </c>
      <c r="BR253" s="2048">
        <f t="shared" si="170"/>
        <v>1168749</v>
      </c>
      <c r="BS253" s="2048">
        <f t="shared" si="171"/>
        <v>1168749</v>
      </c>
      <c r="BT253" s="2048">
        <f t="shared" si="172"/>
        <v>1168749</v>
      </c>
      <c r="BU253" s="2048">
        <f t="shared" si="173"/>
        <v>1168749</v>
      </c>
      <c r="BV253" s="1840">
        <f t="shared" si="174"/>
        <v>4674996</v>
      </c>
      <c r="BW253" s="2064" t="e">
        <f>INT(#REF!)=INT(BA253)</f>
        <v>#REF!</v>
      </c>
      <c r="BX253" s="2064">
        <v>246</v>
      </c>
      <c r="BY253" s="2064" t="s">
        <v>512</v>
      </c>
    </row>
    <row r="254" spans="1:77" s="1976" customFormat="1" ht="62" x14ac:dyDescent="0.35">
      <c r="A254" s="1372" t="s">
        <v>681</v>
      </c>
      <c r="B254" s="1372" t="s">
        <v>189</v>
      </c>
      <c r="C254" s="1637">
        <v>0</v>
      </c>
      <c r="D254" s="2053" t="str">
        <f>+'[9]4.4.16'!$A$1</f>
        <v>4.4.16</v>
      </c>
      <c r="E254" s="1372" t="s">
        <v>163</v>
      </c>
      <c r="F254" s="1638">
        <v>975</v>
      </c>
      <c r="G254" s="1638">
        <v>975</v>
      </c>
      <c r="H254" s="1638">
        <v>975</v>
      </c>
      <c r="I254" s="1638">
        <v>975</v>
      </c>
      <c r="J254" s="1372" t="str">
        <f>+'[9]4.4.16'!$B$22</f>
        <v>CI-HVC-STRE-V05-180101</v>
      </c>
      <c r="K254" s="1372" t="str">
        <f t="shared" si="150"/>
        <v>Nicor Gas PY7-PY10 Adjustable Goals Template_2017-06-30, Tab 4.4.16</v>
      </c>
      <c r="L254" s="1639">
        <v>89.462647935000007</v>
      </c>
      <c r="M254" s="1639">
        <v>89.462647935000007</v>
      </c>
      <c r="N254" s="1639">
        <v>89.462647935000007</v>
      </c>
      <c r="O254" s="1639">
        <v>89.462647935000007</v>
      </c>
      <c r="P254" s="1637">
        <v>0.94</v>
      </c>
      <c r="Q254" s="1637">
        <v>0.94</v>
      </c>
      <c r="R254" s="1637">
        <v>0.94</v>
      </c>
      <c r="S254" s="1637">
        <v>0.94</v>
      </c>
      <c r="T254" s="1640">
        <f t="shared" si="151"/>
        <v>81992.5168324275</v>
      </c>
      <c r="U254" s="1640">
        <f t="shared" si="152"/>
        <v>81992.5168324275</v>
      </c>
      <c r="V254" s="1640">
        <f t="shared" si="153"/>
        <v>81992.5168324275</v>
      </c>
      <c r="W254" s="1640">
        <f t="shared" si="154"/>
        <v>81992.5168324275</v>
      </c>
      <c r="X254" s="1640">
        <f t="shared" si="155"/>
        <v>327970.06732971</v>
      </c>
      <c r="Y254" s="1372" t="str">
        <f t="shared" si="180"/>
        <v>CI-HVC-STRE-V05-180101</v>
      </c>
      <c r="Z254" s="1372" t="str">
        <f t="shared" si="178"/>
        <v>Nicor Gas PY7-PY10 Adjustable Goals Template_2017-06-30, Tab 4.4.16</v>
      </c>
      <c r="AA254" s="1840">
        <f t="shared" si="179"/>
        <v>89.462647935000007</v>
      </c>
      <c r="AB254" s="2028"/>
      <c r="AC254" s="1840">
        <f t="shared" si="156"/>
        <v>81992.5168324275</v>
      </c>
      <c r="AD254" s="1840">
        <f t="shared" si="157"/>
        <v>0</v>
      </c>
      <c r="AE254" s="1372" t="s">
        <v>2796</v>
      </c>
      <c r="AF254" s="1372" t="s">
        <v>3382</v>
      </c>
      <c r="AG254" s="1639">
        <v>89.462647935000007</v>
      </c>
      <c r="AH254" s="1372" t="s">
        <v>3445</v>
      </c>
      <c r="AI254" s="1640">
        <f t="shared" si="158"/>
        <v>81992.5168324275</v>
      </c>
      <c r="AJ254" s="1638">
        <f t="shared" si="159"/>
        <v>0</v>
      </c>
      <c r="AK254" s="1372" t="s">
        <v>2796</v>
      </c>
      <c r="AL254" s="1372" t="s">
        <v>3382</v>
      </c>
      <c r="AM254" s="1639">
        <v>89.462647935000007</v>
      </c>
      <c r="AN254" s="1372" t="str">
        <f t="shared" si="181"/>
        <v>No change</v>
      </c>
      <c r="AO254" s="1640">
        <f t="shared" si="160"/>
        <v>81992.5168324275</v>
      </c>
      <c r="AP254" s="1638">
        <f t="shared" si="161"/>
        <v>0</v>
      </c>
      <c r="AQ254" s="1372" t="s">
        <v>2796</v>
      </c>
      <c r="AR254" s="1372" t="s">
        <v>3382</v>
      </c>
      <c r="AS254" s="1639">
        <v>89.462647935000007</v>
      </c>
      <c r="AT254" s="1372" t="str">
        <f>$AH254</f>
        <v>No change</v>
      </c>
      <c r="AU254" s="1640">
        <f t="shared" si="162"/>
        <v>81992.5168324275</v>
      </c>
      <c r="AV254" s="1638">
        <f t="shared" si="163"/>
        <v>0</v>
      </c>
      <c r="AW254" s="2044">
        <f t="shared" si="164"/>
        <v>81992.5168324275</v>
      </c>
      <c r="AX254" s="2044">
        <f t="shared" si="165"/>
        <v>81992.5168324275</v>
      </c>
      <c r="AY254" s="2044">
        <f t="shared" si="166"/>
        <v>81992.5168324275</v>
      </c>
      <c r="AZ254" s="2044">
        <f t="shared" si="167"/>
        <v>81992.5168324275</v>
      </c>
      <c r="BA254" s="2045">
        <f t="shared" si="168"/>
        <v>327970.06732971</v>
      </c>
      <c r="BB254" s="2045" t="str">
        <f>+'[9]4.4.16'!$A$1</f>
        <v>4.4.16</v>
      </c>
      <c r="BC254" s="2045" t="str">
        <f>+'[9]4.4.16'!$A$1</f>
        <v>4.4.16</v>
      </c>
      <c r="BD254" s="2045">
        <v>0</v>
      </c>
      <c r="BE254" s="2051">
        <v>6</v>
      </c>
      <c r="BF254" s="2051">
        <v>6</v>
      </c>
      <c r="BG254" s="2051">
        <v>6</v>
      </c>
      <c r="BH254" s="2051">
        <v>6</v>
      </c>
      <c r="BI254" s="2045">
        <f t="shared" si="146"/>
        <v>491955.100994565</v>
      </c>
      <c r="BJ254" s="2045">
        <f t="shared" si="147"/>
        <v>491955.100994565</v>
      </c>
      <c r="BK254" s="2045">
        <f t="shared" si="148"/>
        <v>491955.100994565</v>
      </c>
      <c r="BL254" s="2045">
        <f t="shared" si="149"/>
        <v>491955.100994565</v>
      </c>
      <c r="BM254" s="2045">
        <f t="shared" si="169"/>
        <v>1967820.40397826</v>
      </c>
      <c r="BN254" s="2047">
        <v>6</v>
      </c>
      <c r="BO254" s="2047">
        <v>6</v>
      </c>
      <c r="BP254" s="2047">
        <v>6</v>
      </c>
      <c r="BQ254" s="2047">
        <v>6</v>
      </c>
      <c r="BR254" s="2048">
        <f t="shared" si="170"/>
        <v>491955.100994565</v>
      </c>
      <c r="BS254" s="2048">
        <f t="shared" si="171"/>
        <v>491955.100994565</v>
      </c>
      <c r="BT254" s="2048">
        <f t="shared" si="172"/>
        <v>491955.100994565</v>
      </c>
      <c r="BU254" s="2048">
        <f t="shared" si="173"/>
        <v>491955.100994565</v>
      </c>
      <c r="BV254" s="1840">
        <f t="shared" si="174"/>
        <v>1967820.40397826</v>
      </c>
      <c r="BW254" s="2064" t="e">
        <f>INT(#REF!)=INT(BA254)</f>
        <v>#REF!</v>
      </c>
      <c r="BX254" s="2064">
        <v>247</v>
      </c>
      <c r="BY254" s="2064" t="s">
        <v>512</v>
      </c>
    </row>
    <row r="255" spans="1:77" s="1976" customFormat="1" ht="62" x14ac:dyDescent="0.35">
      <c r="A255" s="1372" t="s">
        <v>681</v>
      </c>
      <c r="B255" s="1372" t="s">
        <v>3020</v>
      </c>
      <c r="C255" s="1637">
        <v>0</v>
      </c>
      <c r="D255" s="2056" t="str">
        <f>'[9]4.8.4'!$A$1</f>
        <v>4.8.4</v>
      </c>
      <c r="E255" s="1372" t="s">
        <v>163</v>
      </c>
      <c r="F255" s="1638">
        <v>187</v>
      </c>
      <c r="G255" s="1638">
        <v>187</v>
      </c>
      <c r="H255" s="1638">
        <v>187</v>
      </c>
      <c r="I255" s="1638">
        <v>187</v>
      </c>
      <c r="J255" s="1372" t="str">
        <f>'[9]4.8.4'!$B$11</f>
        <v>CI-MSC-MODD-V01-160601</v>
      </c>
      <c r="K255" s="1372" t="str">
        <f t="shared" si="150"/>
        <v>Nicor Gas PY7-PY10 Adjustable Goals Template_2017-06-30, Tab 4.8.4</v>
      </c>
      <c r="L255" s="1639">
        <v>649.2600000000001</v>
      </c>
      <c r="M255" s="1639">
        <v>649.2600000000001</v>
      </c>
      <c r="N255" s="1639">
        <v>649.2600000000001</v>
      </c>
      <c r="O255" s="1639">
        <v>649.2600000000001</v>
      </c>
      <c r="P255" s="1637">
        <v>0.94</v>
      </c>
      <c r="Q255" s="1637">
        <v>0.94</v>
      </c>
      <c r="R255" s="1637">
        <v>0.94</v>
      </c>
      <c r="S255" s="1637">
        <v>0.94</v>
      </c>
      <c r="T255" s="1640">
        <f t="shared" si="151"/>
        <v>114126.92280000001</v>
      </c>
      <c r="U255" s="1640">
        <f t="shared" si="152"/>
        <v>114126.92280000001</v>
      </c>
      <c r="V255" s="1640">
        <f t="shared" si="153"/>
        <v>114126.92280000001</v>
      </c>
      <c r="W255" s="1640">
        <f t="shared" si="154"/>
        <v>114126.92280000001</v>
      </c>
      <c r="X255" s="1640">
        <f t="shared" si="155"/>
        <v>456507.69120000006</v>
      </c>
      <c r="Y255" s="1372" t="str">
        <f t="shared" si="180"/>
        <v>CI-MSC-MODD-V01-160601</v>
      </c>
      <c r="Z255" s="1372" t="str">
        <f t="shared" si="178"/>
        <v>Nicor Gas PY7-PY10 Adjustable Goals Template_2017-06-30, Tab 4.8.4</v>
      </c>
      <c r="AA255" s="1840">
        <f t="shared" si="179"/>
        <v>649.2600000000001</v>
      </c>
      <c r="AB255" s="2028"/>
      <c r="AC255" s="1840">
        <f t="shared" si="156"/>
        <v>114126.92280000001</v>
      </c>
      <c r="AD255" s="1840">
        <f t="shared" si="157"/>
        <v>0</v>
      </c>
      <c r="AE255" s="1372" t="s">
        <v>3055</v>
      </c>
      <c r="AF255" s="1372" t="s">
        <v>3367</v>
      </c>
      <c r="AG255" s="1639">
        <v>649.2600000000001</v>
      </c>
      <c r="AH255" s="1372" t="s">
        <v>3445</v>
      </c>
      <c r="AI255" s="1640">
        <f t="shared" si="158"/>
        <v>114126.92280000001</v>
      </c>
      <c r="AJ255" s="1638">
        <f t="shared" si="159"/>
        <v>0</v>
      </c>
      <c r="AK255" s="1372" t="s">
        <v>3055</v>
      </c>
      <c r="AL255" s="1372" t="s">
        <v>3367</v>
      </c>
      <c r="AM255" s="1639">
        <v>649.2600000000001</v>
      </c>
      <c r="AN255" s="1372" t="str">
        <f t="shared" si="181"/>
        <v>No change</v>
      </c>
      <c r="AO255" s="1640">
        <f t="shared" si="160"/>
        <v>114126.92280000001</v>
      </c>
      <c r="AP255" s="1638">
        <f t="shared" si="161"/>
        <v>0</v>
      </c>
      <c r="AQ255" s="1372" t="s">
        <v>3055</v>
      </c>
      <c r="AR255" s="1372" t="s">
        <v>3367</v>
      </c>
      <c r="AS255" s="1639">
        <v>649.2600000000001</v>
      </c>
      <c r="AT255" s="1372" t="str">
        <f>$AH255</f>
        <v>No change</v>
      </c>
      <c r="AU255" s="1640">
        <f t="shared" si="162"/>
        <v>114126.92280000001</v>
      </c>
      <c r="AV255" s="1638">
        <f t="shared" si="163"/>
        <v>0</v>
      </c>
      <c r="AW255" s="2044">
        <f t="shared" si="164"/>
        <v>114126.92280000001</v>
      </c>
      <c r="AX255" s="2044">
        <f t="shared" si="165"/>
        <v>114126.92280000001</v>
      </c>
      <c r="AY255" s="2044">
        <f t="shared" si="166"/>
        <v>114126.92280000001</v>
      </c>
      <c r="AZ255" s="2044">
        <f t="shared" si="167"/>
        <v>114126.92280000001</v>
      </c>
      <c r="BA255" s="2045">
        <f t="shared" si="168"/>
        <v>456507.69120000006</v>
      </c>
      <c r="BB255" s="2045" t="str">
        <f>'[9]4.8.4'!$A$1</f>
        <v>4.8.4</v>
      </c>
      <c r="BC255" s="2045" t="str">
        <f>'[9]4.8.4'!$A$1</f>
        <v>4.8.4</v>
      </c>
      <c r="BD255" s="2045">
        <v>0</v>
      </c>
      <c r="BE255" s="2051">
        <v>14</v>
      </c>
      <c r="BF255" s="2051">
        <v>14</v>
      </c>
      <c r="BG255" s="2051">
        <v>14</v>
      </c>
      <c r="BH255" s="2051">
        <v>14</v>
      </c>
      <c r="BI255" s="2045">
        <f t="shared" si="146"/>
        <v>1597776.9192000001</v>
      </c>
      <c r="BJ255" s="2045">
        <f t="shared" si="147"/>
        <v>1597776.9192000001</v>
      </c>
      <c r="BK255" s="2045">
        <f t="shared" si="148"/>
        <v>1597776.9192000001</v>
      </c>
      <c r="BL255" s="2045">
        <f t="shared" si="149"/>
        <v>1597776.9192000001</v>
      </c>
      <c r="BM255" s="2045">
        <f t="shared" si="169"/>
        <v>6391107.6768000005</v>
      </c>
      <c r="BN255" s="2047">
        <v>14</v>
      </c>
      <c r="BO255" s="2047">
        <v>14</v>
      </c>
      <c r="BP255" s="2047">
        <v>14</v>
      </c>
      <c r="BQ255" s="2047">
        <v>14</v>
      </c>
      <c r="BR255" s="2048">
        <f t="shared" si="170"/>
        <v>1597776.9192000001</v>
      </c>
      <c r="BS255" s="2048">
        <f t="shared" si="171"/>
        <v>1597776.9192000001</v>
      </c>
      <c r="BT255" s="2048">
        <f t="shared" si="172"/>
        <v>1597776.9192000001</v>
      </c>
      <c r="BU255" s="2048">
        <f t="shared" si="173"/>
        <v>1597776.9192000001</v>
      </c>
      <c r="BV255" s="1840">
        <f t="shared" si="174"/>
        <v>6391107.6768000005</v>
      </c>
      <c r="BW255" s="2064" t="e">
        <f>INT(#REF!)=INT(BA255)</f>
        <v>#REF!</v>
      </c>
      <c r="BX255" s="2064">
        <v>248</v>
      </c>
      <c r="BY255" s="2064" t="s">
        <v>512</v>
      </c>
    </row>
    <row r="256" spans="1:77" s="1976" customFormat="1" ht="18" customHeight="1" x14ac:dyDescent="0.35">
      <c r="A256" s="1372" t="s">
        <v>681</v>
      </c>
      <c r="B256" s="1372" t="s">
        <v>277</v>
      </c>
      <c r="C256" s="1637">
        <v>0</v>
      </c>
      <c r="D256" s="1372" t="s">
        <v>295</v>
      </c>
      <c r="E256" s="1372" t="s">
        <v>201</v>
      </c>
      <c r="F256" s="1638">
        <v>3</v>
      </c>
      <c r="G256" s="1638">
        <v>3</v>
      </c>
      <c r="H256" s="1638">
        <v>3</v>
      </c>
      <c r="I256" s="1638">
        <v>3</v>
      </c>
      <c r="J256" s="1372" t="s">
        <v>295</v>
      </c>
      <c r="K256" s="1372" t="str">
        <f t="shared" si="150"/>
        <v/>
      </c>
      <c r="L256" s="1639">
        <v>5000</v>
      </c>
      <c r="M256" s="1639">
        <v>5000</v>
      </c>
      <c r="N256" s="1639">
        <v>5000</v>
      </c>
      <c r="O256" s="1639">
        <v>5000</v>
      </c>
      <c r="P256" s="1637">
        <v>0.94</v>
      </c>
      <c r="Q256" s="1637">
        <v>0.94</v>
      </c>
      <c r="R256" s="1637">
        <v>0.94</v>
      </c>
      <c r="S256" s="1637">
        <v>0.94</v>
      </c>
      <c r="T256" s="1640">
        <f t="shared" si="151"/>
        <v>14100</v>
      </c>
      <c r="U256" s="1640">
        <f t="shared" si="152"/>
        <v>14100</v>
      </c>
      <c r="V256" s="1640">
        <f t="shared" si="153"/>
        <v>14100</v>
      </c>
      <c r="W256" s="1640">
        <f t="shared" si="154"/>
        <v>14100</v>
      </c>
      <c r="X256" s="1640">
        <f t="shared" si="155"/>
        <v>56400</v>
      </c>
      <c r="Y256" s="1829"/>
      <c r="Z256" s="1372" t="str">
        <f t="shared" si="178"/>
        <v/>
      </c>
      <c r="AA256" s="1840">
        <f t="shared" si="179"/>
        <v>5000</v>
      </c>
      <c r="AB256" s="2028"/>
      <c r="AC256" s="1840">
        <f t="shared" si="156"/>
        <v>14100</v>
      </c>
      <c r="AD256" s="1840">
        <f t="shared" si="157"/>
        <v>0</v>
      </c>
      <c r="AE256" s="1829"/>
      <c r="AF256" s="1829" t="s">
        <v>3361</v>
      </c>
      <c r="AG256" s="1830">
        <v>5000</v>
      </c>
      <c r="AH256" s="1829"/>
      <c r="AI256" s="1640">
        <f t="shared" si="158"/>
        <v>14100</v>
      </c>
      <c r="AJ256" s="1638">
        <f t="shared" si="159"/>
        <v>0</v>
      </c>
      <c r="AK256" s="1829"/>
      <c r="AL256" s="1829" t="s">
        <v>3361</v>
      </c>
      <c r="AM256" s="1830">
        <v>5000</v>
      </c>
      <c r="AN256" s="1829"/>
      <c r="AO256" s="1640">
        <f t="shared" si="160"/>
        <v>14100</v>
      </c>
      <c r="AP256" s="1638">
        <f t="shared" si="161"/>
        <v>0</v>
      </c>
      <c r="AQ256" s="1829"/>
      <c r="AR256" s="1829" t="s">
        <v>3361</v>
      </c>
      <c r="AS256" s="1830">
        <v>5000</v>
      </c>
      <c r="AT256" s="1829"/>
      <c r="AU256" s="1640">
        <f t="shared" si="162"/>
        <v>14100</v>
      </c>
      <c r="AV256" s="1638">
        <f t="shared" si="163"/>
        <v>0</v>
      </c>
      <c r="AW256" s="2044">
        <f t="shared" si="164"/>
        <v>14100</v>
      </c>
      <c r="AX256" s="2044">
        <f t="shared" si="165"/>
        <v>14100</v>
      </c>
      <c r="AY256" s="2044">
        <f t="shared" si="166"/>
        <v>14100</v>
      </c>
      <c r="AZ256" s="2044">
        <f t="shared" si="167"/>
        <v>14100</v>
      </c>
      <c r="BA256" s="2045">
        <f t="shared" si="168"/>
        <v>56400</v>
      </c>
      <c r="BB256" s="2049"/>
      <c r="BC256" s="2049"/>
      <c r="BD256" s="2045">
        <v>0</v>
      </c>
      <c r="BE256" s="2051">
        <v>15</v>
      </c>
      <c r="BF256" s="2051">
        <v>15</v>
      </c>
      <c r="BG256" s="2051">
        <v>15</v>
      </c>
      <c r="BH256" s="2051">
        <v>15</v>
      </c>
      <c r="BI256" s="2045">
        <f t="shared" si="146"/>
        <v>211500</v>
      </c>
      <c r="BJ256" s="2045">
        <f t="shared" si="147"/>
        <v>211500</v>
      </c>
      <c r="BK256" s="2045">
        <f t="shared" si="148"/>
        <v>211500</v>
      </c>
      <c r="BL256" s="2045">
        <f t="shared" si="149"/>
        <v>211500</v>
      </c>
      <c r="BM256" s="2045">
        <f t="shared" si="169"/>
        <v>846000</v>
      </c>
      <c r="BN256" s="2047">
        <v>15</v>
      </c>
      <c r="BO256" s="2047">
        <v>15</v>
      </c>
      <c r="BP256" s="2047">
        <v>15</v>
      </c>
      <c r="BQ256" s="2047">
        <v>15</v>
      </c>
      <c r="BR256" s="2048">
        <f t="shared" si="170"/>
        <v>211500</v>
      </c>
      <c r="BS256" s="2048">
        <f t="shared" si="171"/>
        <v>211500</v>
      </c>
      <c r="BT256" s="2048">
        <f t="shared" si="172"/>
        <v>211500</v>
      </c>
      <c r="BU256" s="2048">
        <f t="shared" si="173"/>
        <v>211500</v>
      </c>
      <c r="BV256" s="1840">
        <f t="shared" si="174"/>
        <v>846000</v>
      </c>
      <c r="BW256" s="2064" t="e">
        <f>INT(#REF!)=INT(BA256)</f>
        <v>#REF!</v>
      </c>
      <c r="BX256" s="2064">
        <v>249</v>
      </c>
      <c r="BY256" s="2064" t="s">
        <v>295</v>
      </c>
    </row>
    <row r="257" spans="1:77" s="1976" customFormat="1" ht="15.5" x14ac:dyDescent="0.35">
      <c r="A257" s="1372" t="s">
        <v>681</v>
      </c>
      <c r="B257" s="1372" t="s">
        <v>278</v>
      </c>
      <c r="C257" s="1637">
        <v>0</v>
      </c>
      <c r="D257" s="1372" t="s">
        <v>295</v>
      </c>
      <c r="E257" s="1372" t="s">
        <v>201</v>
      </c>
      <c r="F257" s="1638">
        <v>3</v>
      </c>
      <c r="G257" s="1638">
        <v>3</v>
      </c>
      <c r="H257" s="1638">
        <v>3</v>
      </c>
      <c r="I257" s="1638">
        <v>3</v>
      </c>
      <c r="J257" s="1372" t="s">
        <v>295</v>
      </c>
      <c r="K257" s="1372" t="str">
        <f t="shared" si="150"/>
        <v/>
      </c>
      <c r="L257" s="1639">
        <v>10000</v>
      </c>
      <c r="M257" s="1639">
        <v>10000</v>
      </c>
      <c r="N257" s="1639">
        <v>10000</v>
      </c>
      <c r="O257" s="1639">
        <v>10000</v>
      </c>
      <c r="P257" s="1637">
        <v>0.94</v>
      </c>
      <c r="Q257" s="1637">
        <v>0.94</v>
      </c>
      <c r="R257" s="1637">
        <v>0.94</v>
      </c>
      <c r="S257" s="1637">
        <v>0.94</v>
      </c>
      <c r="T257" s="1640">
        <f t="shared" si="151"/>
        <v>28200</v>
      </c>
      <c r="U257" s="1640">
        <f t="shared" si="152"/>
        <v>28200</v>
      </c>
      <c r="V257" s="1640">
        <f t="shared" si="153"/>
        <v>28200</v>
      </c>
      <c r="W257" s="1640">
        <f t="shared" si="154"/>
        <v>28200</v>
      </c>
      <c r="X257" s="1640">
        <f t="shared" si="155"/>
        <v>112800</v>
      </c>
      <c r="Y257" s="1829"/>
      <c r="Z257" s="1372" t="str">
        <f t="shared" si="178"/>
        <v/>
      </c>
      <c r="AA257" s="1840">
        <f t="shared" si="179"/>
        <v>10000</v>
      </c>
      <c r="AB257" s="2028"/>
      <c r="AC257" s="1840">
        <f t="shared" si="156"/>
        <v>28200</v>
      </c>
      <c r="AD257" s="1840">
        <f t="shared" si="157"/>
        <v>0</v>
      </c>
      <c r="AE257" s="1829"/>
      <c r="AF257" s="1829" t="s">
        <v>3361</v>
      </c>
      <c r="AG257" s="1830">
        <v>10000</v>
      </c>
      <c r="AH257" s="1829"/>
      <c r="AI257" s="1640">
        <f t="shared" si="158"/>
        <v>28200</v>
      </c>
      <c r="AJ257" s="1638">
        <f t="shared" si="159"/>
        <v>0</v>
      </c>
      <c r="AK257" s="1829"/>
      <c r="AL257" s="1829" t="s">
        <v>3361</v>
      </c>
      <c r="AM257" s="1830">
        <v>10000</v>
      </c>
      <c r="AN257" s="1829"/>
      <c r="AO257" s="1640">
        <f t="shared" si="160"/>
        <v>28200</v>
      </c>
      <c r="AP257" s="1638">
        <f t="shared" si="161"/>
        <v>0</v>
      </c>
      <c r="AQ257" s="1829"/>
      <c r="AR257" s="1829" t="s">
        <v>3361</v>
      </c>
      <c r="AS257" s="1830">
        <v>10000</v>
      </c>
      <c r="AT257" s="1829"/>
      <c r="AU257" s="1640">
        <f t="shared" si="162"/>
        <v>28200</v>
      </c>
      <c r="AV257" s="1638">
        <f t="shared" si="163"/>
        <v>0</v>
      </c>
      <c r="AW257" s="2044">
        <f t="shared" si="164"/>
        <v>28200</v>
      </c>
      <c r="AX257" s="2044">
        <f t="shared" si="165"/>
        <v>28200</v>
      </c>
      <c r="AY257" s="2044">
        <f t="shared" si="166"/>
        <v>28200</v>
      </c>
      <c r="AZ257" s="2044">
        <f t="shared" si="167"/>
        <v>28200</v>
      </c>
      <c r="BA257" s="2045">
        <f t="shared" si="168"/>
        <v>112800</v>
      </c>
      <c r="BB257" s="2049"/>
      <c r="BC257" s="2049"/>
      <c r="BD257" s="2045">
        <v>0</v>
      </c>
      <c r="BE257" s="2051">
        <v>15</v>
      </c>
      <c r="BF257" s="2051">
        <v>15</v>
      </c>
      <c r="BG257" s="2051">
        <v>15</v>
      </c>
      <c r="BH257" s="2051">
        <v>15</v>
      </c>
      <c r="BI257" s="2045">
        <f t="shared" si="146"/>
        <v>423000</v>
      </c>
      <c r="BJ257" s="2045">
        <f t="shared" si="147"/>
        <v>423000</v>
      </c>
      <c r="BK257" s="2045">
        <f t="shared" si="148"/>
        <v>423000</v>
      </c>
      <c r="BL257" s="2045">
        <f t="shared" si="149"/>
        <v>423000</v>
      </c>
      <c r="BM257" s="2045">
        <f t="shared" si="169"/>
        <v>1692000</v>
      </c>
      <c r="BN257" s="2047">
        <v>15</v>
      </c>
      <c r="BO257" s="2047">
        <v>15</v>
      </c>
      <c r="BP257" s="2047">
        <v>15</v>
      </c>
      <c r="BQ257" s="2047">
        <v>15</v>
      </c>
      <c r="BR257" s="2048">
        <f t="shared" si="170"/>
        <v>423000</v>
      </c>
      <c r="BS257" s="2048">
        <f t="shared" si="171"/>
        <v>423000</v>
      </c>
      <c r="BT257" s="2048">
        <f t="shared" si="172"/>
        <v>423000</v>
      </c>
      <c r="BU257" s="2048">
        <f t="shared" si="173"/>
        <v>423000</v>
      </c>
      <c r="BV257" s="1840">
        <f t="shared" si="174"/>
        <v>1692000</v>
      </c>
      <c r="BW257" s="2064" t="e">
        <f>INT(#REF!)=INT(BA257)</f>
        <v>#REF!</v>
      </c>
      <c r="BX257" s="2064">
        <v>250</v>
      </c>
      <c r="BY257" s="2064" t="s">
        <v>295</v>
      </c>
    </row>
    <row r="258" spans="1:77" s="1976" customFormat="1" ht="15.5" x14ac:dyDescent="0.35">
      <c r="A258" s="1372" t="s">
        <v>3045</v>
      </c>
      <c r="B258" s="1372" t="s">
        <v>291</v>
      </c>
      <c r="C258" s="1637">
        <v>0</v>
      </c>
      <c r="D258" s="1372" t="s">
        <v>295</v>
      </c>
      <c r="E258" s="1372" t="s">
        <v>201</v>
      </c>
      <c r="F258" s="1638">
        <v>925</v>
      </c>
      <c r="G258" s="1638">
        <v>925</v>
      </c>
      <c r="H258" s="1638">
        <v>925</v>
      </c>
      <c r="I258" s="1638">
        <v>925</v>
      </c>
      <c r="J258" s="1372" t="s">
        <v>295</v>
      </c>
      <c r="K258" s="1372" t="str">
        <f t="shared" si="150"/>
        <v/>
      </c>
      <c r="L258" s="1639">
        <v>270</v>
      </c>
      <c r="M258" s="1639">
        <v>270</v>
      </c>
      <c r="N258" s="1639">
        <v>270</v>
      </c>
      <c r="O258" s="1639">
        <v>270</v>
      </c>
      <c r="P258" s="1637">
        <v>0.65</v>
      </c>
      <c r="Q258" s="1637">
        <v>0.65</v>
      </c>
      <c r="R258" s="1637">
        <v>0.65</v>
      </c>
      <c r="S258" s="1637">
        <v>0.65</v>
      </c>
      <c r="T258" s="1640">
        <f t="shared" si="151"/>
        <v>162337.5</v>
      </c>
      <c r="U258" s="1640">
        <f t="shared" si="152"/>
        <v>162337.5</v>
      </c>
      <c r="V258" s="1640">
        <f t="shared" si="153"/>
        <v>162337.5</v>
      </c>
      <c r="W258" s="1640">
        <f t="shared" si="154"/>
        <v>162337.5</v>
      </c>
      <c r="X258" s="1640">
        <f t="shared" si="155"/>
        <v>649350</v>
      </c>
      <c r="Y258" s="1829"/>
      <c r="Z258" s="1372" t="str">
        <f t="shared" si="178"/>
        <v/>
      </c>
      <c r="AA258" s="1840">
        <f t="shared" si="179"/>
        <v>270</v>
      </c>
      <c r="AB258" s="2028"/>
      <c r="AC258" s="1840">
        <f t="shared" si="156"/>
        <v>162337.5</v>
      </c>
      <c r="AD258" s="1840">
        <f t="shared" si="157"/>
        <v>0</v>
      </c>
      <c r="AE258" s="1829"/>
      <c r="AF258" s="1829" t="s">
        <v>3361</v>
      </c>
      <c r="AG258" s="1830">
        <v>270</v>
      </c>
      <c r="AH258" s="1829"/>
      <c r="AI258" s="1640">
        <f t="shared" si="158"/>
        <v>162337.5</v>
      </c>
      <c r="AJ258" s="1638">
        <f t="shared" si="159"/>
        <v>0</v>
      </c>
      <c r="AK258" s="1829"/>
      <c r="AL258" s="1829" t="s">
        <v>3361</v>
      </c>
      <c r="AM258" s="1830">
        <v>270</v>
      </c>
      <c r="AN258" s="1829"/>
      <c r="AO258" s="1640">
        <f t="shared" si="160"/>
        <v>162337.5</v>
      </c>
      <c r="AP258" s="1638">
        <f t="shared" si="161"/>
        <v>0</v>
      </c>
      <c r="AQ258" s="1829"/>
      <c r="AR258" s="1829" t="s">
        <v>3361</v>
      </c>
      <c r="AS258" s="1830">
        <v>270</v>
      </c>
      <c r="AT258" s="1829"/>
      <c r="AU258" s="1640">
        <f t="shared" si="162"/>
        <v>162337.5</v>
      </c>
      <c r="AV258" s="1638">
        <f t="shared" si="163"/>
        <v>0</v>
      </c>
      <c r="AW258" s="2044">
        <f t="shared" si="164"/>
        <v>162337.5</v>
      </c>
      <c r="AX258" s="2044">
        <f t="shared" si="165"/>
        <v>162337.5</v>
      </c>
      <c r="AY258" s="2044">
        <f t="shared" si="166"/>
        <v>162337.5</v>
      </c>
      <c r="AZ258" s="2044">
        <f t="shared" si="167"/>
        <v>162337.5</v>
      </c>
      <c r="BA258" s="2045">
        <f t="shared" si="168"/>
        <v>649350</v>
      </c>
      <c r="BB258" s="2049"/>
      <c r="BC258" s="2049"/>
      <c r="BD258" s="2045">
        <v>0</v>
      </c>
      <c r="BE258" s="2051">
        <v>30</v>
      </c>
      <c r="BF258" s="2051">
        <v>30</v>
      </c>
      <c r="BG258" s="2051">
        <v>30</v>
      </c>
      <c r="BH258" s="2051">
        <v>30</v>
      </c>
      <c r="BI258" s="2045">
        <f t="shared" si="146"/>
        <v>4870125</v>
      </c>
      <c r="BJ258" s="2045">
        <f t="shared" si="147"/>
        <v>4870125</v>
      </c>
      <c r="BK258" s="2045">
        <f t="shared" si="148"/>
        <v>4870125</v>
      </c>
      <c r="BL258" s="2045">
        <f t="shared" si="149"/>
        <v>4870125</v>
      </c>
      <c r="BM258" s="2045">
        <f t="shared" si="169"/>
        <v>19480500</v>
      </c>
      <c r="BN258" s="2047">
        <v>30</v>
      </c>
      <c r="BO258" s="2047">
        <v>30</v>
      </c>
      <c r="BP258" s="2047">
        <v>30</v>
      </c>
      <c r="BQ258" s="2047">
        <v>30</v>
      </c>
      <c r="BR258" s="2048">
        <f t="shared" si="170"/>
        <v>4870125</v>
      </c>
      <c r="BS258" s="2048">
        <f t="shared" si="171"/>
        <v>4870125</v>
      </c>
      <c r="BT258" s="2048">
        <f t="shared" si="172"/>
        <v>4870125</v>
      </c>
      <c r="BU258" s="2048">
        <f t="shared" si="173"/>
        <v>4870125</v>
      </c>
      <c r="BV258" s="1840">
        <f t="shared" si="174"/>
        <v>19480500</v>
      </c>
      <c r="BW258" s="2064" t="e">
        <f>INT(#REF!)=INT(BA258)</f>
        <v>#REF!</v>
      </c>
      <c r="BX258" s="2064">
        <v>251</v>
      </c>
      <c r="BY258" s="2064" t="s">
        <v>295</v>
      </c>
    </row>
    <row r="259" spans="1:77" s="1976" customFormat="1" ht="62" x14ac:dyDescent="0.35">
      <c r="A259" s="1372" t="s">
        <v>3046</v>
      </c>
      <c r="B259" s="1372" t="s">
        <v>223</v>
      </c>
      <c r="C259" s="1637">
        <v>0</v>
      </c>
      <c r="D259" s="2053" t="str">
        <f>+'[9]4.2.11'!$A$1</f>
        <v>4.2.11</v>
      </c>
      <c r="E259" s="1372" t="s">
        <v>163</v>
      </c>
      <c r="F259" s="1638">
        <v>120</v>
      </c>
      <c r="G259" s="1638">
        <v>120</v>
      </c>
      <c r="H259" s="1638">
        <v>120</v>
      </c>
      <c r="I259" s="1638">
        <v>120</v>
      </c>
      <c r="J259" s="1372" t="str">
        <f>'[9]4.2.11'!$B$17</f>
        <v>CI-FSE-SPRY-V04-180101</v>
      </c>
      <c r="K259" s="1372" t="str">
        <f t="shared" si="150"/>
        <v>Nicor Gas PY7-PY10 Adjustable Goals Template_2017-06-30, Tab 4.2.11</v>
      </c>
      <c r="L259" s="1639">
        <v>114.61413599999995</v>
      </c>
      <c r="M259" s="1639">
        <v>114.61413599999995</v>
      </c>
      <c r="N259" s="1639">
        <v>114.61413599999995</v>
      </c>
      <c r="O259" s="1639">
        <v>114.61413599999995</v>
      </c>
      <c r="P259" s="1637">
        <v>0.81</v>
      </c>
      <c r="Q259" s="1637">
        <v>0.81</v>
      </c>
      <c r="R259" s="1637">
        <v>0.81</v>
      </c>
      <c r="S259" s="1637">
        <v>0.81</v>
      </c>
      <c r="T259" s="1640">
        <f t="shared" si="151"/>
        <v>11140.494019199996</v>
      </c>
      <c r="U259" s="1640">
        <f t="shared" si="152"/>
        <v>11140.494019199996</v>
      </c>
      <c r="V259" s="1640">
        <f t="shared" si="153"/>
        <v>11140.494019199996</v>
      </c>
      <c r="W259" s="1640">
        <f t="shared" si="154"/>
        <v>11140.494019199996</v>
      </c>
      <c r="X259" s="1640">
        <f t="shared" si="155"/>
        <v>44561.976076799983</v>
      </c>
      <c r="Y259" s="1372" t="str">
        <f>J259</f>
        <v>CI-FSE-SPRY-V04-180101</v>
      </c>
      <c r="Z259" s="1372" t="str">
        <f t="shared" si="178"/>
        <v>Nicor Gas PY7-PY10 Adjustable Goals Template_2017-06-30, Tab 4.2.11</v>
      </c>
      <c r="AA259" s="1840">
        <f t="shared" si="179"/>
        <v>114.61413599999995</v>
      </c>
      <c r="AB259" s="2028"/>
      <c r="AC259" s="1840">
        <f t="shared" si="156"/>
        <v>11140.494019199996</v>
      </c>
      <c r="AD259" s="1840">
        <f t="shared" si="157"/>
        <v>0</v>
      </c>
      <c r="AE259" s="1372" t="s">
        <v>2783</v>
      </c>
      <c r="AF259" s="1372" t="s">
        <v>3383</v>
      </c>
      <c r="AG259" s="1639">
        <v>114.61413599999995</v>
      </c>
      <c r="AH259" s="1372" t="s">
        <v>3445</v>
      </c>
      <c r="AI259" s="1640">
        <f t="shared" si="158"/>
        <v>11140.494019199996</v>
      </c>
      <c r="AJ259" s="1638">
        <f t="shared" si="159"/>
        <v>0</v>
      </c>
      <c r="AK259" s="1372" t="s">
        <v>2783</v>
      </c>
      <c r="AL259" s="1372" t="s">
        <v>3383</v>
      </c>
      <c r="AM259" s="1639">
        <v>114.61413599999995</v>
      </c>
      <c r="AN259" s="1372" t="str">
        <f>$AH259</f>
        <v>No change</v>
      </c>
      <c r="AO259" s="1640">
        <f t="shared" si="160"/>
        <v>11140.494019199996</v>
      </c>
      <c r="AP259" s="1638">
        <f t="shared" si="161"/>
        <v>0</v>
      </c>
      <c r="AQ259" s="1372" t="s">
        <v>2783</v>
      </c>
      <c r="AR259" s="1372" t="s">
        <v>3383</v>
      </c>
      <c r="AS259" s="1639">
        <v>114.61413599999995</v>
      </c>
      <c r="AT259" s="1372" t="str">
        <f>$AH259</f>
        <v>No change</v>
      </c>
      <c r="AU259" s="1640">
        <f t="shared" si="162"/>
        <v>11140.494019199996</v>
      </c>
      <c r="AV259" s="1638">
        <f t="shared" si="163"/>
        <v>0</v>
      </c>
      <c r="AW259" s="2044">
        <f t="shared" si="164"/>
        <v>11140.494019199996</v>
      </c>
      <c r="AX259" s="2044">
        <f t="shared" si="165"/>
        <v>11140.494019199996</v>
      </c>
      <c r="AY259" s="2044">
        <f t="shared" si="166"/>
        <v>11140.494019199996</v>
      </c>
      <c r="AZ259" s="2044">
        <f t="shared" si="167"/>
        <v>11140.494019199996</v>
      </c>
      <c r="BA259" s="2045">
        <f t="shared" si="168"/>
        <v>44561.976076799983</v>
      </c>
      <c r="BB259" s="2045" t="str">
        <f>+'[9]4.2.11'!$A$1</f>
        <v>4.2.11</v>
      </c>
      <c r="BC259" s="2045" t="str">
        <f>+'[9]4.2.11'!$A$1</f>
        <v>4.2.11</v>
      </c>
      <c r="BD259" s="2045">
        <v>0</v>
      </c>
      <c r="BE259" s="2051">
        <v>5</v>
      </c>
      <c r="BF259" s="2051">
        <v>5</v>
      </c>
      <c r="BG259" s="2051">
        <v>5</v>
      </c>
      <c r="BH259" s="2051">
        <v>5</v>
      </c>
      <c r="BI259" s="2045">
        <f t="shared" si="146"/>
        <v>55702.470095999975</v>
      </c>
      <c r="BJ259" s="2045">
        <f t="shared" si="147"/>
        <v>55702.470095999975</v>
      </c>
      <c r="BK259" s="2045">
        <f t="shared" si="148"/>
        <v>55702.470095999975</v>
      </c>
      <c r="BL259" s="2045">
        <f t="shared" si="149"/>
        <v>55702.470095999975</v>
      </c>
      <c r="BM259" s="2045">
        <f t="shared" si="169"/>
        <v>222809.8803839999</v>
      </c>
      <c r="BN259" s="2047">
        <v>5</v>
      </c>
      <c r="BO259" s="2047">
        <v>5</v>
      </c>
      <c r="BP259" s="2047">
        <v>5</v>
      </c>
      <c r="BQ259" s="2047">
        <v>5</v>
      </c>
      <c r="BR259" s="2048">
        <f t="shared" si="170"/>
        <v>55702.470095999975</v>
      </c>
      <c r="BS259" s="2048">
        <f t="shared" si="171"/>
        <v>55702.470095999975</v>
      </c>
      <c r="BT259" s="2048">
        <f t="shared" si="172"/>
        <v>55702.470095999975</v>
      </c>
      <c r="BU259" s="2048">
        <f t="shared" si="173"/>
        <v>55702.470095999975</v>
      </c>
      <c r="BV259" s="1840">
        <f t="shared" si="174"/>
        <v>222809.8803839999</v>
      </c>
      <c r="BW259" s="2064" t="e">
        <f>INT(#REF!)=INT(BA259)</f>
        <v>#REF!</v>
      </c>
      <c r="BX259" s="2064">
        <v>252</v>
      </c>
      <c r="BY259" s="2064" t="s">
        <v>512</v>
      </c>
    </row>
    <row r="260" spans="1:77" s="1976" customFormat="1" ht="61.5" customHeight="1" x14ac:dyDescent="0.35">
      <c r="A260" s="1372" t="s">
        <v>3046</v>
      </c>
      <c r="B260" s="1372" t="s">
        <v>224</v>
      </c>
      <c r="C260" s="1637">
        <v>0</v>
      </c>
      <c r="D260" s="2053" t="str">
        <f>+'[9]4.2.11'!$A$1</f>
        <v>4.2.11</v>
      </c>
      <c r="E260" s="1372" t="s">
        <v>163</v>
      </c>
      <c r="F260" s="1638">
        <v>72</v>
      </c>
      <c r="G260" s="1638">
        <v>72</v>
      </c>
      <c r="H260" s="1638">
        <v>72</v>
      </c>
      <c r="I260" s="1638">
        <v>72</v>
      </c>
      <c r="J260" s="1372" t="str">
        <f>'[9]4.2.11'!$B$17</f>
        <v>CI-FSE-SPRY-V04-180101</v>
      </c>
      <c r="K260" s="1372" t="str">
        <f t="shared" si="150"/>
        <v>Nicor Gas PY7-PY10 Adjustable Goals Template_2017-06-30, Tab 4.2.11</v>
      </c>
      <c r="L260" s="1639">
        <v>171.92120399999999</v>
      </c>
      <c r="M260" s="1639">
        <v>171.92120399999999</v>
      </c>
      <c r="N260" s="1639">
        <v>171.92120399999999</v>
      </c>
      <c r="O260" s="1639">
        <v>171.92120399999999</v>
      </c>
      <c r="P260" s="1637">
        <v>0.81</v>
      </c>
      <c r="Q260" s="1637">
        <v>0.81</v>
      </c>
      <c r="R260" s="1637">
        <v>0.81</v>
      </c>
      <c r="S260" s="1637">
        <v>0.81</v>
      </c>
      <c r="T260" s="1640">
        <f t="shared" si="151"/>
        <v>10026.44461728</v>
      </c>
      <c r="U260" s="1640">
        <f t="shared" si="152"/>
        <v>10026.44461728</v>
      </c>
      <c r="V260" s="1640">
        <f t="shared" si="153"/>
        <v>10026.44461728</v>
      </c>
      <c r="W260" s="1640">
        <f t="shared" si="154"/>
        <v>10026.44461728</v>
      </c>
      <c r="X260" s="1640">
        <f t="shared" si="155"/>
        <v>40105.778469119999</v>
      </c>
      <c r="Y260" s="1372" t="str">
        <f>J260</f>
        <v>CI-FSE-SPRY-V04-180101</v>
      </c>
      <c r="Z260" s="1372" t="str">
        <f t="shared" si="178"/>
        <v>Nicor Gas PY7-PY10 Adjustable Goals Template_2017-06-30, Tab 4.2.11</v>
      </c>
      <c r="AA260" s="1840">
        <f t="shared" si="179"/>
        <v>171.92120399999999</v>
      </c>
      <c r="AB260" s="2028"/>
      <c r="AC260" s="1840">
        <f t="shared" si="156"/>
        <v>10026.44461728</v>
      </c>
      <c r="AD260" s="1840">
        <f t="shared" si="157"/>
        <v>0</v>
      </c>
      <c r="AE260" s="1372" t="s">
        <v>2783</v>
      </c>
      <c r="AF260" s="1372" t="s">
        <v>3383</v>
      </c>
      <c r="AG260" s="1639">
        <v>171.92120399999999</v>
      </c>
      <c r="AH260" s="1372" t="s">
        <v>3445</v>
      </c>
      <c r="AI260" s="1640">
        <f t="shared" si="158"/>
        <v>10026.44461728</v>
      </c>
      <c r="AJ260" s="1638">
        <f t="shared" si="159"/>
        <v>0</v>
      </c>
      <c r="AK260" s="1372" t="s">
        <v>2783</v>
      </c>
      <c r="AL260" s="1372" t="s">
        <v>3383</v>
      </c>
      <c r="AM260" s="1639">
        <v>171.92120399999999</v>
      </c>
      <c r="AN260" s="1372" t="str">
        <f>$AH260</f>
        <v>No change</v>
      </c>
      <c r="AO260" s="1640">
        <f t="shared" si="160"/>
        <v>10026.44461728</v>
      </c>
      <c r="AP260" s="1638">
        <f t="shared" si="161"/>
        <v>0</v>
      </c>
      <c r="AQ260" s="1372" t="s">
        <v>2783</v>
      </c>
      <c r="AR260" s="1372" t="s">
        <v>3383</v>
      </c>
      <c r="AS260" s="1639">
        <v>171.92120399999999</v>
      </c>
      <c r="AT260" s="1372" t="str">
        <f>$AH260</f>
        <v>No change</v>
      </c>
      <c r="AU260" s="1640">
        <f t="shared" si="162"/>
        <v>10026.44461728</v>
      </c>
      <c r="AV260" s="1638">
        <f t="shared" si="163"/>
        <v>0</v>
      </c>
      <c r="AW260" s="2044">
        <f t="shared" si="164"/>
        <v>10026.44461728</v>
      </c>
      <c r="AX260" s="2044">
        <f t="shared" si="165"/>
        <v>10026.44461728</v>
      </c>
      <c r="AY260" s="2044">
        <f t="shared" si="166"/>
        <v>10026.44461728</v>
      </c>
      <c r="AZ260" s="2044">
        <f t="shared" si="167"/>
        <v>10026.44461728</v>
      </c>
      <c r="BA260" s="2045">
        <f t="shared" si="168"/>
        <v>40105.778469119999</v>
      </c>
      <c r="BB260" s="2045" t="str">
        <f>+'[9]4.2.11'!$A$1</f>
        <v>4.2.11</v>
      </c>
      <c r="BC260" s="2045" t="str">
        <f>+'[9]4.2.11'!$A$1</f>
        <v>4.2.11</v>
      </c>
      <c r="BD260" s="2045">
        <v>0</v>
      </c>
      <c r="BE260" s="2051">
        <v>5</v>
      </c>
      <c r="BF260" s="2051">
        <v>5</v>
      </c>
      <c r="BG260" s="2051">
        <v>5</v>
      </c>
      <c r="BH260" s="2051">
        <v>5</v>
      </c>
      <c r="BI260" s="2045">
        <f t="shared" si="146"/>
        <v>50132.223086400001</v>
      </c>
      <c r="BJ260" s="2045">
        <f t="shared" si="147"/>
        <v>50132.223086400001</v>
      </c>
      <c r="BK260" s="2045">
        <f t="shared" si="148"/>
        <v>50132.223086400001</v>
      </c>
      <c r="BL260" s="2045">
        <f t="shared" si="149"/>
        <v>50132.223086400001</v>
      </c>
      <c r="BM260" s="2045">
        <f t="shared" si="169"/>
        <v>200528.8923456</v>
      </c>
      <c r="BN260" s="2047">
        <v>5</v>
      </c>
      <c r="BO260" s="2047">
        <v>5</v>
      </c>
      <c r="BP260" s="2047">
        <v>5</v>
      </c>
      <c r="BQ260" s="2047">
        <v>5</v>
      </c>
      <c r="BR260" s="2048">
        <f t="shared" si="170"/>
        <v>50132.223086400001</v>
      </c>
      <c r="BS260" s="2048">
        <f t="shared" si="171"/>
        <v>50132.223086400001</v>
      </c>
      <c r="BT260" s="2048">
        <f t="shared" si="172"/>
        <v>50132.223086400001</v>
      </c>
      <c r="BU260" s="2048">
        <f t="shared" si="173"/>
        <v>50132.223086400001</v>
      </c>
      <c r="BV260" s="1840">
        <f t="shared" si="174"/>
        <v>200528.8923456</v>
      </c>
      <c r="BW260" s="2064" t="e">
        <f>INT(#REF!)=INT(BA260)</f>
        <v>#REF!</v>
      </c>
      <c r="BX260" s="2064">
        <v>253</v>
      </c>
      <c r="BY260" s="2064" t="s">
        <v>512</v>
      </c>
    </row>
    <row r="261" spans="1:77" s="1976" customFormat="1" ht="18" customHeight="1" x14ac:dyDescent="0.35">
      <c r="A261" s="1372" t="s">
        <v>3046</v>
      </c>
      <c r="B261" s="1372" t="s">
        <v>265</v>
      </c>
      <c r="C261" s="1637">
        <v>0</v>
      </c>
      <c r="D261" s="1372" t="s">
        <v>3516</v>
      </c>
      <c r="E261" s="1843" t="s">
        <v>163</v>
      </c>
      <c r="F261" s="1845">
        <v>40</v>
      </c>
      <c r="G261" s="1845">
        <v>40</v>
      </c>
      <c r="H261" s="1845">
        <v>40</v>
      </c>
      <c r="I261" s="1845">
        <v>40</v>
      </c>
      <c r="J261" s="1843" t="s">
        <v>295</v>
      </c>
      <c r="K261" s="1843" t="str">
        <f t="shared" si="150"/>
        <v>Nicor Gas PY7-PY10 Adjustable Goals Template_2017-06-30, Tab Customized TRM</v>
      </c>
      <c r="L261" s="1846">
        <v>102.33405000000002</v>
      </c>
      <c r="M261" s="1846">
        <v>102.33405000000002</v>
      </c>
      <c r="N261" s="1846">
        <v>102.33405000000002</v>
      </c>
      <c r="O261" s="1846">
        <v>102.33405000000002</v>
      </c>
      <c r="P261" s="1844">
        <v>0.81</v>
      </c>
      <c r="Q261" s="1844">
        <v>0.81</v>
      </c>
      <c r="R261" s="1844">
        <v>0.81</v>
      </c>
      <c r="S261" s="1844">
        <v>0.81</v>
      </c>
      <c r="T261" s="1847">
        <f t="shared" si="151"/>
        <v>3315.6232200000009</v>
      </c>
      <c r="U261" s="1847">
        <f t="shared" si="152"/>
        <v>3315.6232200000009</v>
      </c>
      <c r="V261" s="1847">
        <f t="shared" si="153"/>
        <v>3315.6232200000009</v>
      </c>
      <c r="W261" s="1847">
        <f t="shared" si="154"/>
        <v>3315.6232200000009</v>
      </c>
      <c r="X261" s="1847">
        <f t="shared" si="155"/>
        <v>13262.492880000003</v>
      </c>
      <c r="Y261" s="1843"/>
      <c r="Z261" s="1843" t="str">
        <f t="shared" si="178"/>
        <v>Nicor Gas PY7-PY10 Adjustable Goals Template_2017-06-30, Tab Customized TRM</v>
      </c>
      <c r="AA261" s="1848">
        <f t="shared" si="179"/>
        <v>102.33405000000002</v>
      </c>
      <c r="AB261" s="1848"/>
      <c r="AC261" s="1848">
        <f t="shared" si="156"/>
        <v>3315.6232200000009</v>
      </c>
      <c r="AD261" s="1848">
        <f t="shared" si="157"/>
        <v>0</v>
      </c>
      <c r="AE261" s="1843"/>
      <c r="AF261" s="1843" t="s">
        <v>3361</v>
      </c>
      <c r="AG261" s="1846">
        <v>102.33405000000002</v>
      </c>
      <c r="AH261" s="1843"/>
      <c r="AI261" s="1847">
        <f t="shared" si="158"/>
        <v>3315.6232200000009</v>
      </c>
      <c r="AJ261" s="1845">
        <f t="shared" si="159"/>
        <v>0</v>
      </c>
      <c r="AK261" s="1843"/>
      <c r="AL261" s="1843" t="s">
        <v>3361</v>
      </c>
      <c r="AM261" s="1846">
        <v>102.33405000000002</v>
      </c>
      <c r="AN261" s="1843"/>
      <c r="AO261" s="1847">
        <f t="shared" si="160"/>
        <v>3315.6232200000009</v>
      </c>
      <c r="AP261" s="1845">
        <f t="shared" si="161"/>
        <v>0</v>
      </c>
      <c r="AQ261" s="1843"/>
      <c r="AR261" s="1843" t="s">
        <v>3361</v>
      </c>
      <c r="AS261" s="1846">
        <v>102.33405000000002</v>
      </c>
      <c r="AT261" s="1843"/>
      <c r="AU261" s="1847">
        <f t="shared" si="162"/>
        <v>3315.6232200000009</v>
      </c>
      <c r="AV261" s="1845">
        <f t="shared" si="163"/>
        <v>0</v>
      </c>
      <c r="AW261" s="2123">
        <f t="shared" si="164"/>
        <v>3315.6232200000009</v>
      </c>
      <c r="AX261" s="2123">
        <f t="shared" si="165"/>
        <v>3315.6232200000009</v>
      </c>
      <c r="AY261" s="2123">
        <f t="shared" si="166"/>
        <v>3315.6232200000009</v>
      </c>
      <c r="AZ261" s="2123">
        <f t="shared" si="167"/>
        <v>3315.6232200000009</v>
      </c>
      <c r="BA261" s="2051">
        <f t="shared" si="168"/>
        <v>13262.492880000003</v>
      </c>
      <c r="BB261" s="2051"/>
      <c r="BC261" s="2051"/>
      <c r="BD261" s="2045">
        <v>0</v>
      </c>
      <c r="BE261" s="2051">
        <v>5</v>
      </c>
      <c r="BF261" s="2051">
        <v>5</v>
      </c>
      <c r="BG261" s="2051">
        <v>5</v>
      </c>
      <c r="BH261" s="2051">
        <v>5</v>
      </c>
      <c r="BI261" s="2045">
        <f t="shared" si="146"/>
        <v>16578.116100000007</v>
      </c>
      <c r="BJ261" s="2045">
        <f t="shared" si="147"/>
        <v>16578.116100000007</v>
      </c>
      <c r="BK261" s="2045">
        <f t="shared" si="148"/>
        <v>16578.116100000007</v>
      </c>
      <c r="BL261" s="2045">
        <f t="shared" si="149"/>
        <v>16578.116100000007</v>
      </c>
      <c r="BM261" s="2045">
        <f t="shared" si="169"/>
        <v>66312.464400000026</v>
      </c>
      <c r="BN261" s="2047">
        <v>5</v>
      </c>
      <c r="BO261" s="2047">
        <v>5</v>
      </c>
      <c r="BP261" s="2047">
        <v>5</v>
      </c>
      <c r="BQ261" s="2047">
        <v>5</v>
      </c>
      <c r="BR261" s="2048">
        <f t="shared" si="170"/>
        <v>16578.116100000007</v>
      </c>
      <c r="BS261" s="2048">
        <f t="shared" si="171"/>
        <v>16578.116100000007</v>
      </c>
      <c r="BT261" s="2048">
        <f t="shared" si="172"/>
        <v>16578.116100000007</v>
      </c>
      <c r="BU261" s="2048">
        <f t="shared" si="173"/>
        <v>16578.116100000007</v>
      </c>
      <c r="BV261" s="1840">
        <f t="shared" si="174"/>
        <v>66312.464400000026</v>
      </c>
      <c r="BW261" s="2064" t="e">
        <f>INT(#REF!)=INT(BA261)</f>
        <v>#REF!</v>
      </c>
      <c r="BX261" s="2064">
        <v>254</v>
      </c>
      <c r="BY261" s="2064" t="s">
        <v>3485</v>
      </c>
    </row>
    <row r="262" spans="1:77" s="1976" customFormat="1" ht="18" customHeight="1" x14ac:dyDescent="0.35">
      <c r="A262" s="1372" t="s">
        <v>3046</v>
      </c>
      <c r="B262" s="1372" t="s">
        <v>262</v>
      </c>
      <c r="C262" s="1637">
        <v>0</v>
      </c>
      <c r="D262" s="1372" t="s">
        <v>295</v>
      </c>
      <c r="E262" s="1372" t="s">
        <v>163</v>
      </c>
      <c r="F262" s="1638">
        <v>40</v>
      </c>
      <c r="G262" s="1638">
        <v>40</v>
      </c>
      <c r="H262" s="1638">
        <v>40</v>
      </c>
      <c r="I262" s="1638">
        <v>40</v>
      </c>
      <c r="J262" s="1372" t="s">
        <v>295</v>
      </c>
      <c r="K262" s="1372" t="str">
        <f t="shared" si="150"/>
        <v/>
      </c>
      <c r="L262" s="1639">
        <v>0</v>
      </c>
      <c r="M262" s="1639">
        <v>0</v>
      </c>
      <c r="N262" s="1639">
        <v>0</v>
      </c>
      <c r="O262" s="1639">
        <v>0</v>
      </c>
      <c r="P262" s="1637">
        <v>0.81</v>
      </c>
      <c r="Q262" s="1637">
        <v>0.81</v>
      </c>
      <c r="R262" s="1637">
        <v>0.81</v>
      </c>
      <c r="S262" s="1637">
        <v>0.81</v>
      </c>
      <c r="T262" s="1640">
        <f t="shared" si="151"/>
        <v>0</v>
      </c>
      <c r="U262" s="1640">
        <f t="shared" si="152"/>
        <v>0</v>
      </c>
      <c r="V262" s="1640">
        <f t="shared" si="153"/>
        <v>0</v>
      </c>
      <c r="W262" s="1640">
        <f t="shared" si="154"/>
        <v>0</v>
      </c>
      <c r="X262" s="1640">
        <f t="shared" si="155"/>
        <v>0</v>
      </c>
      <c r="Y262" s="1829"/>
      <c r="Z262" s="1372" t="str">
        <f t="shared" si="178"/>
        <v/>
      </c>
      <c r="AA262" s="1840">
        <f t="shared" si="179"/>
        <v>0</v>
      </c>
      <c r="AB262" s="2028"/>
      <c r="AC262" s="1840">
        <f t="shared" si="156"/>
        <v>0</v>
      </c>
      <c r="AD262" s="1840">
        <f t="shared" si="157"/>
        <v>0</v>
      </c>
      <c r="AE262" s="1829"/>
      <c r="AF262" s="1829" t="s">
        <v>3361</v>
      </c>
      <c r="AG262" s="1830">
        <v>0</v>
      </c>
      <c r="AH262" s="1829"/>
      <c r="AI262" s="1640">
        <f t="shared" si="158"/>
        <v>0</v>
      </c>
      <c r="AJ262" s="1638">
        <f t="shared" si="159"/>
        <v>0</v>
      </c>
      <c r="AK262" s="1829"/>
      <c r="AL262" s="1829" t="s">
        <v>3361</v>
      </c>
      <c r="AM262" s="1830">
        <v>0</v>
      </c>
      <c r="AN262" s="1829"/>
      <c r="AO262" s="1640">
        <f t="shared" si="160"/>
        <v>0</v>
      </c>
      <c r="AP262" s="1638">
        <f t="shared" si="161"/>
        <v>0</v>
      </c>
      <c r="AQ262" s="1829"/>
      <c r="AR262" s="1829" t="s">
        <v>3361</v>
      </c>
      <c r="AS262" s="1830">
        <v>0</v>
      </c>
      <c r="AT262" s="1829"/>
      <c r="AU262" s="1640">
        <f t="shared" si="162"/>
        <v>0</v>
      </c>
      <c r="AV262" s="1638">
        <f t="shared" si="163"/>
        <v>0</v>
      </c>
      <c r="AW262" s="2044">
        <f t="shared" si="164"/>
        <v>0</v>
      </c>
      <c r="AX262" s="2044">
        <f t="shared" si="165"/>
        <v>0</v>
      </c>
      <c r="AY262" s="2044">
        <f t="shared" si="166"/>
        <v>0</v>
      </c>
      <c r="AZ262" s="2044">
        <f t="shared" si="167"/>
        <v>0</v>
      </c>
      <c r="BA262" s="2045">
        <f t="shared" si="168"/>
        <v>0</v>
      </c>
      <c r="BB262" s="2049"/>
      <c r="BC262" s="2049"/>
      <c r="BD262" s="2045">
        <v>0</v>
      </c>
      <c r="BE262" s="2051">
        <v>0</v>
      </c>
      <c r="BF262" s="2051">
        <v>0</v>
      </c>
      <c r="BG262" s="2051">
        <v>0</v>
      </c>
      <c r="BH262" s="2051">
        <v>0</v>
      </c>
      <c r="BI262" s="2045">
        <f t="shared" si="146"/>
        <v>0</v>
      </c>
      <c r="BJ262" s="2045">
        <f t="shared" si="147"/>
        <v>0</v>
      </c>
      <c r="BK262" s="2045">
        <f t="shared" si="148"/>
        <v>0</v>
      </c>
      <c r="BL262" s="2045">
        <f t="shared" si="149"/>
        <v>0</v>
      </c>
      <c r="BM262" s="2045">
        <f t="shared" si="169"/>
        <v>0</v>
      </c>
      <c r="BN262" s="2047">
        <v>0</v>
      </c>
      <c r="BO262" s="2047">
        <v>0</v>
      </c>
      <c r="BP262" s="2047">
        <v>0</v>
      </c>
      <c r="BQ262" s="2047">
        <v>0</v>
      </c>
      <c r="BR262" s="2048">
        <f t="shared" si="170"/>
        <v>0</v>
      </c>
      <c r="BS262" s="2048">
        <f t="shared" si="171"/>
        <v>0</v>
      </c>
      <c r="BT262" s="2048">
        <f t="shared" si="172"/>
        <v>0</v>
      </c>
      <c r="BU262" s="2048">
        <f t="shared" si="173"/>
        <v>0</v>
      </c>
      <c r="BV262" s="1840">
        <f t="shared" si="174"/>
        <v>0</v>
      </c>
      <c r="BW262" s="2064" t="e">
        <f>INT(#REF!)=INT(BA262)</f>
        <v>#REF!</v>
      </c>
      <c r="BX262" s="2064">
        <v>255</v>
      </c>
      <c r="BY262" s="2064" t="s">
        <v>295</v>
      </c>
    </row>
    <row r="263" spans="1:77" s="1976" customFormat="1" ht="62" x14ac:dyDescent="0.35">
      <c r="A263" s="1372" t="s">
        <v>3046</v>
      </c>
      <c r="B263" s="1372" t="s">
        <v>227</v>
      </c>
      <c r="C263" s="1637">
        <v>0</v>
      </c>
      <c r="D263" s="2053" t="str">
        <f>+'[9]4.3.2'!$A$1</f>
        <v>4.3.2</v>
      </c>
      <c r="E263" s="1372" t="s">
        <v>201</v>
      </c>
      <c r="F263" s="1638">
        <v>286</v>
      </c>
      <c r="G263" s="1638">
        <v>286</v>
      </c>
      <c r="H263" s="1638">
        <v>286</v>
      </c>
      <c r="I263" s="1638">
        <v>286</v>
      </c>
      <c r="J263" s="1372" t="str">
        <f>+'[9]4.3.2'!$B$15</f>
        <v>CI-HWE-LFFA-V07-180101</v>
      </c>
      <c r="K263" s="1372" t="str">
        <f t="shared" si="150"/>
        <v>Nicor Gas PY7-PY10 Adjustable Goals Template_2017-06-30, Tab 4.3.2</v>
      </c>
      <c r="L263" s="1639">
        <v>6.5015389208633101</v>
      </c>
      <c r="M263" s="1639">
        <v>6.5015389208633101</v>
      </c>
      <c r="N263" s="1639">
        <v>6.5015389208633101</v>
      </c>
      <c r="O263" s="1639">
        <v>6.5015389208633101</v>
      </c>
      <c r="P263" s="1637">
        <v>0.81</v>
      </c>
      <c r="Q263" s="1637">
        <v>0.81</v>
      </c>
      <c r="R263" s="1637">
        <v>0.81</v>
      </c>
      <c r="S263" s="1637">
        <v>0.81</v>
      </c>
      <c r="T263" s="1640">
        <f t="shared" si="151"/>
        <v>1506.1465064071945</v>
      </c>
      <c r="U263" s="1640">
        <f t="shared" si="152"/>
        <v>1506.1465064071945</v>
      </c>
      <c r="V263" s="1640">
        <f t="shared" si="153"/>
        <v>1506.1465064071945</v>
      </c>
      <c r="W263" s="1640">
        <f t="shared" si="154"/>
        <v>1506.1465064071945</v>
      </c>
      <c r="X263" s="1640">
        <f t="shared" si="155"/>
        <v>6024.5860256287779</v>
      </c>
      <c r="Y263" s="1372" t="str">
        <f>J263</f>
        <v>CI-HWE-LFFA-V07-180101</v>
      </c>
      <c r="Z263" s="1372" t="str">
        <f t="shared" si="178"/>
        <v>Nicor Gas PY7-PY10 Adjustable Goals Template_2017-06-30, Tab 4.3.2</v>
      </c>
      <c r="AA263" s="2024">
        <f t="shared" si="179"/>
        <v>6.5015389208633101</v>
      </c>
      <c r="AB263" s="2028"/>
      <c r="AC263" s="1840">
        <f t="shared" si="156"/>
        <v>1506.1465064071945</v>
      </c>
      <c r="AD263" s="1840">
        <f t="shared" si="157"/>
        <v>0</v>
      </c>
      <c r="AE263" s="1372" t="s">
        <v>2791</v>
      </c>
      <c r="AF263" s="1372" t="s">
        <v>3384</v>
      </c>
      <c r="AG263" s="1639">
        <v>6.5015389208633101</v>
      </c>
      <c r="AH263" s="1372" t="s">
        <v>3445</v>
      </c>
      <c r="AI263" s="1640">
        <f t="shared" si="158"/>
        <v>1506.1465064071945</v>
      </c>
      <c r="AJ263" s="1638">
        <f t="shared" si="159"/>
        <v>0</v>
      </c>
      <c r="AK263" s="1372" t="s">
        <v>2791</v>
      </c>
      <c r="AL263" s="1372" t="s">
        <v>3384</v>
      </c>
      <c r="AM263" s="1639">
        <v>6.5015389208633101</v>
      </c>
      <c r="AN263" s="1372" t="str">
        <f>$AH263</f>
        <v>No change</v>
      </c>
      <c r="AO263" s="1640">
        <f t="shared" si="160"/>
        <v>1506.1465064071945</v>
      </c>
      <c r="AP263" s="1638">
        <f t="shared" si="161"/>
        <v>0</v>
      </c>
      <c r="AQ263" s="1372" t="s">
        <v>2791</v>
      </c>
      <c r="AR263" s="1372" t="s">
        <v>3384</v>
      </c>
      <c r="AS263" s="1639">
        <v>6.5015389208633101</v>
      </c>
      <c r="AT263" s="1372" t="str">
        <f>$AH263</f>
        <v>No change</v>
      </c>
      <c r="AU263" s="1640">
        <f t="shared" si="162"/>
        <v>1506.1465064071945</v>
      </c>
      <c r="AV263" s="1638">
        <f t="shared" si="163"/>
        <v>0</v>
      </c>
      <c r="AW263" s="2044">
        <f t="shared" si="164"/>
        <v>1506.1465064071945</v>
      </c>
      <c r="AX263" s="2044">
        <f t="shared" si="165"/>
        <v>1506.1465064071945</v>
      </c>
      <c r="AY263" s="2044">
        <f t="shared" si="166"/>
        <v>1506.1465064071945</v>
      </c>
      <c r="AZ263" s="2044">
        <f t="shared" si="167"/>
        <v>1506.1465064071945</v>
      </c>
      <c r="BA263" s="2045">
        <f t="shared" si="168"/>
        <v>6024.5860256287779</v>
      </c>
      <c r="BB263" s="2045" t="str">
        <f>+'[9]4.3.2'!$A$1</f>
        <v>4.3.2</v>
      </c>
      <c r="BC263" s="2045" t="str">
        <f>+'[9]4.3.2'!$A$1</f>
        <v>4.3.2</v>
      </c>
      <c r="BD263" s="2121">
        <v>1</v>
      </c>
      <c r="BE263" s="2051">
        <v>9</v>
      </c>
      <c r="BF263" s="2051">
        <v>9</v>
      </c>
      <c r="BG263" s="2051">
        <v>9</v>
      </c>
      <c r="BH263" s="2051">
        <v>9</v>
      </c>
      <c r="BI263" s="2045">
        <f t="shared" si="146"/>
        <v>13555.31855766475</v>
      </c>
      <c r="BJ263" s="2045">
        <f t="shared" si="147"/>
        <v>13555.31855766475</v>
      </c>
      <c r="BK263" s="2045">
        <f t="shared" si="148"/>
        <v>13555.31855766475</v>
      </c>
      <c r="BL263" s="2045">
        <f t="shared" si="149"/>
        <v>13555.31855766475</v>
      </c>
      <c r="BM263" s="2045">
        <f t="shared" si="169"/>
        <v>54221.274230659001</v>
      </c>
      <c r="BN263" s="2047">
        <v>9</v>
      </c>
      <c r="BO263" s="2050">
        <v>10</v>
      </c>
      <c r="BP263" s="2050">
        <v>10</v>
      </c>
      <c r="BQ263" s="2050">
        <v>10</v>
      </c>
      <c r="BR263" s="2048">
        <f t="shared" si="170"/>
        <v>13555.31855766475</v>
      </c>
      <c r="BS263" s="2048">
        <f t="shared" si="171"/>
        <v>15061.465064071945</v>
      </c>
      <c r="BT263" s="2048">
        <f t="shared" si="172"/>
        <v>15061.465064071945</v>
      </c>
      <c r="BU263" s="2048">
        <f t="shared" si="173"/>
        <v>15061.465064071945</v>
      </c>
      <c r="BV263" s="1840">
        <f t="shared" si="174"/>
        <v>58739.713749880582</v>
      </c>
      <c r="BW263" s="2064" t="e">
        <f>INT(#REF!)=INT(BA263)</f>
        <v>#REF!</v>
      </c>
      <c r="BX263" s="2064">
        <v>256</v>
      </c>
      <c r="BY263" s="2064" t="s">
        <v>512</v>
      </c>
    </row>
    <row r="264" spans="1:77" s="1976" customFormat="1" ht="62" x14ac:dyDescent="0.35">
      <c r="A264" s="1372" t="s">
        <v>3046</v>
      </c>
      <c r="B264" s="1372" t="s">
        <v>226</v>
      </c>
      <c r="C264" s="1637">
        <v>0</v>
      </c>
      <c r="D264" s="2053" t="str">
        <f>+'[9]4.3.2'!$A$1</f>
        <v>4.3.2</v>
      </c>
      <c r="E264" s="1372" t="s">
        <v>201</v>
      </c>
      <c r="F264" s="1638">
        <v>4014</v>
      </c>
      <c r="G264" s="1638">
        <v>4014</v>
      </c>
      <c r="H264" s="1638">
        <v>4014</v>
      </c>
      <c r="I264" s="1638">
        <v>4014</v>
      </c>
      <c r="J264" s="1372" t="str">
        <f>+'[9]4.3.2'!$B$15</f>
        <v>CI-HWE-LFFA-V07-180101</v>
      </c>
      <c r="K264" s="1372" t="str">
        <f t="shared" si="150"/>
        <v>Nicor Gas PY7-PY10 Adjustable Goals Template_2017-06-30, Tab 4.3.2</v>
      </c>
      <c r="L264" s="1639">
        <v>5.3328738669064739</v>
      </c>
      <c r="M264" s="1639">
        <v>5.3328738669064739</v>
      </c>
      <c r="N264" s="1639">
        <v>5.3328738669064739</v>
      </c>
      <c r="O264" s="1639">
        <v>5.3328738669064739</v>
      </c>
      <c r="P264" s="1637">
        <v>0.81</v>
      </c>
      <c r="Q264" s="1637">
        <v>0.81</v>
      </c>
      <c r="R264" s="1637">
        <v>0.81</v>
      </c>
      <c r="S264" s="1637">
        <v>0.81</v>
      </c>
      <c r="T264" s="1640">
        <f t="shared" si="151"/>
        <v>17338.986118427696</v>
      </c>
      <c r="U264" s="1640">
        <f t="shared" si="152"/>
        <v>17338.986118427696</v>
      </c>
      <c r="V264" s="1640">
        <f t="shared" si="153"/>
        <v>17338.986118427696</v>
      </c>
      <c r="W264" s="1640">
        <f t="shared" si="154"/>
        <v>17338.986118427696</v>
      </c>
      <c r="X264" s="1640">
        <f t="shared" si="155"/>
        <v>69355.944473710784</v>
      </c>
      <c r="Y264" s="1372" t="str">
        <f>J264</f>
        <v>CI-HWE-LFFA-V07-180101</v>
      </c>
      <c r="Z264" s="1372" t="str">
        <f t="shared" si="178"/>
        <v>Nicor Gas PY7-PY10 Adjustable Goals Template_2017-06-30, Tab 4.3.2</v>
      </c>
      <c r="AA264" s="2024">
        <f t="shared" si="179"/>
        <v>5.3328738669064739</v>
      </c>
      <c r="AB264" s="2028"/>
      <c r="AC264" s="1840">
        <f t="shared" si="156"/>
        <v>17338.986118427696</v>
      </c>
      <c r="AD264" s="1840">
        <f t="shared" si="157"/>
        <v>0</v>
      </c>
      <c r="AE264" s="1372" t="s">
        <v>2791</v>
      </c>
      <c r="AF264" s="1372" t="s">
        <v>3384</v>
      </c>
      <c r="AG264" s="1639">
        <v>5.3328738669064739</v>
      </c>
      <c r="AH264" s="1372" t="s">
        <v>3445</v>
      </c>
      <c r="AI264" s="1640">
        <f t="shared" si="158"/>
        <v>17338.986118427696</v>
      </c>
      <c r="AJ264" s="1638">
        <f t="shared" si="159"/>
        <v>0</v>
      </c>
      <c r="AK264" s="1372" t="s">
        <v>2791</v>
      </c>
      <c r="AL264" s="1372" t="s">
        <v>3384</v>
      </c>
      <c r="AM264" s="1639">
        <v>5.3328738669064739</v>
      </c>
      <c r="AN264" s="1372" t="str">
        <f>$AH264</f>
        <v>No change</v>
      </c>
      <c r="AO264" s="1640">
        <f t="shared" si="160"/>
        <v>17338.986118427696</v>
      </c>
      <c r="AP264" s="1638">
        <f t="shared" si="161"/>
        <v>0</v>
      </c>
      <c r="AQ264" s="1372" t="s">
        <v>2791</v>
      </c>
      <c r="AR264" s="1372" t="s">
        <v>3384</v>
      </c>
      <c r="AS264" s="1639">
        <v>5.3328738669064739</v>
      </c>
      <c r="AT264" s="1372" t="str">
        <f>$AH264</f>
        <v>No change</v>
      </c>
      <c r="AU264" s="1640">
        <f t="shared" si="162"/>
        <v>17338.986118427696</v>
      </c>
      <c r="AV264" s="1638">
        <f t="shared" si="163"/>
        <v>0</v>
      </c>
      <c r="AW264" s="2044">
        <f t="shared" si="164"/>
        <v>17338.986118427696</v>
      </c>
      <c r="AX264" s="2044">
        <f t="shared" si="165"/>
        <v>17338.986118427696</v>
      </c>
      <c r="AY264" s="2044">
        <f t="shared" si="166"/>
        <v>17338.986118427696</v>
      </c>
      <c r="AZ264" s="2044">
        <f t="shared" si="167"/>
        <v>17338.986118427696</v>
      </c>
      <c r="BA264" s="2045">
        <f t="shared" si="168"/>
        <v>69355.944473710784</v>
      </c>
      <c r="BB264" s="2045" t="str">
        <f>+'[9]4.3.2'!$A$1</f>
        <v>4.3.2</v>
      </c>
      <c r="BC264" s="2045" t="str">
        <f>+'[9]4.3.2'!$A$1</f>
        <v>4.3.2</v>
      </c>
      <c r="BD264" s="2121">
        <v>1</v>
      </c>
      <c r="BE264" s="2051">
        <v>9</v>
      </c>
      <c r="BF264" s="2051">
        <v>9</v>
      </c>
      <c r="BG264" s="2051">
        <v>9</v>
      </c>
      <c r="BH264" s="2051">
        <v>9</v>
      </c>
      <c r="BI264" s="2045">
        <f t="shared" ref="BI264:BI286" si="183">F264*P264*L264*BE264</f>
        <v>156050.87506584928</v>
      </c>
      <c r="BJ264" s="2045">
        <f t="shared" ref="BJ264:BJ286" si="184">G264*Q264*M264*BF264</f>
        <v>156050.87506584928</v>
      </c>
      <c r="BK264" s="2045">
        <f t="shared" ref="BK264:BK286" si="185">H264*R264*N264*BG264</f>
        <v>156050.87506584928</v>
      </c>
      <c r="BL264" s="2045">
        <f t="shared" ref="BL264:BL286" si="186">I264*S264*O264*BH264</f>
        <v>156050.87506584928</v>
      </c>
      <c r="BM264" s="2045">
        <f t="shared" si="169"/>
        <v>624203.50026339712</v>
      </c>
      <c r="BN264" s="2047">
        <v>9</v>
      </c>
      <c r="BO264" s="2050">
        <v>10</v>
      </c>
      <c r="BP264" s="2050">
        <v>10</v>
      </c>
      <c r="BQ264" s="2050">
        <v>10</v>
      </c>
      <c r="BR264" s="2048">
        <f t="shared" si="170"/>
        <v>156050.87506584928</v>
      </c>
      <c r="BS264" s="2048">
        <f t="shared" si="171"/>
        <v>173389.86118427696</v>
      </c>
      <c r="BT264" s="2048">
        <f t="shared" si="172"/>
        <v>173389.86118427696</v>
      </c>
      <c r="BU264" s="2048">
        <f t="shared" si="173"/>
        <v>173389.86118427696</v>
      </c>
      <c r="BV264" s="1840">
        <f t="shared" si="174"/>
        <v>676220.45861868025</v>
      </c>
      <c r="BW264" s="2064" t="e">
        <f>INT(#REF!)=INT(BA264)</f>
        <v>#REF!</v>
      </c>
      <c r="BX264" s="2064">
        <v>257</v>
      </c>
      <c r="BY264" s="2064" t="s">
        <v>512</v>
      </c>
    </row>
    <row r="265" spans="1:77" s="1976" customFormat="1" ht="62" x14ac:dyDescent="0.35">
      <c r="A265" s="1372" t="s">
        <v>3046</v>
      </c>
      <c r="B265" s="1372" t="s">
        <v>229</v>
      </c>
      <c r="C265" s="1637">
        <v>0</v>
      </c>
      <c r="D265" s="2053" t="str">
        <f>+'[9]4.3.3'!$A$1</f>
        <v>4.3.3</v>
      </c>
      <c r="E265" s="1372" t="s">
        <v>201</v>
      </c>
      <c r="F265" s="1638">
        <v>120</v>
      </c>
      <c r="G265" s="1638">
        <v>120</v>
      </c>
      <c r="H265" s="1638">
        <v>120</v>
      </c>
      <c r="I265" s="1638">
        <v>120</v>
      </c>
      <c r="J265" s="1372" t="str">
        <f>+'[9]4.3.1'!$B$18</f>
        <v>CI-HWE-STWH-V03-180101</v>
      </c>
      <c r="K265" s="1372" t="str">
        <f t="shared" si="150"/>
        <v>Nicor Gas PY7-PY10 Adjustable Goals Template_2017-06-30, Tab 4.3.3</v>
      </c>
      <c r="L265" s="1639">
        <v>21.634983278999997</v>
      </c>
      <c r="M265" s="1639">
        <v>21.634983278999997</v>
      </c>
      <c r="N265" s="1639">
        <v>21.634983278999997</v>
      </c>
      <c r="O265" s="1639">
        <v>21.634983278999997</v>
      </c>
      <c r="P265" s="1637">
        <v>0.81</v>
      </c>
      <c r="Q265" s="1637">
        <v>0.81</v>
      </c>
      <c r="R265" s="1637">
        <v>0.81</v>
      </c>
      <c r="S265" s="1637">
        <v>0.81</v>
      </c>
      <c r="T265" s="1640">
        <f t="shared" si="151"/>
        <v>2102.9203747187998</v>
      </c>
      <c r="U265" s="1640">
        <f t="shared" si="152"/>
        <v>2102.9203747187998</v>
      </c>
      <c r="V265" s="1640">
        <f t="shared" si="153"/>
        <v>2102.9203747187998</v>
      </c>
      <c r="W265" s="1640">
        <f t="shared" si="154"/>
        <v>2102.9203747187998</v>
      </c>
      <c r="X265" s="1640">
        <f t="shared" si="155"/>
        <v>8411.6814988751994</v>
      </c>
      <c r="Y265" s="1372" t="str">
        <f>J265</f>
        <v>CI-HWE-STWH-V03-180101</v>
      </c>
      <c r="Z265" s="1372" t="str">
        <f t="shared" si="178"/>
        <v>Nicor Gas PY7-PY10 Adjustable Goals Template_2017-06-30, Tab 4.3.3</v>
      </c>
      <c r="AA265" s="1840">
        <f t="shared" si="179"/>
        <v>21.634983278999997</v>
      </c>
      <c r="AB265" s="2028"/>
      <c r="AC265" s="1840">
        <f t="shared" si="156"/>
        <v>2102.9203747187998</v>
      </c>
      <c r="AD265" s="1840">
        <f t="shared" si="157"/>
        <v>0</v>
      </c>
      <c r="AE265" s="1372" t="s">
        <v>2790</v>
      </c>
      <c r="AF265" s="1372" t="s">
        <v>3385</v>
      </c>
      <c r="AG265" s="1639">
        <v>21.634983278999997</v>
      </c>
      <c r="AH265" s="1372" t="s">
        <v>3445</v>
      </c>
      <c r="AI265" s="1640">
        <f t="shared" si="158"/>
        <v>2102.9203747187998</v>
      </c>
      <c r="AJ265" s="1638">
        <f t="shared" si="159"/>
        <v>0</v>
      </c>
      <c r="AK265" s="1372" t="s">
        <v>2790</v>
      </c>
      <c r="AL265" s="1372" t="s">
        <v>3385</v>
      </c>
      <c r="AM265" s="1639">
        <v>21.634983278999997</v>
      </c>
      <c r="AN265" s="1372" t="str">
        <f>$AH265</f>
        <v>No change</v>
      </c>
      <c r="AO265" s="1640">
        <f t="shared" si="160"/>
        <v>2102.9203747187998</v>
      </c>
      <c r="AP265" s="1638">
        <f t="shared" si="161"/>
        <v>0</v>
      </c>
      <c r="AQ265" s="1372" t="s">
        <v>2790</v>
      </c>
      <c r="AR265" s="1372" t="s">
        <v>3385</v>
      </c>
      <c r="AS265" s="1639">
        <v>21.634983278999997</v>
      </c>
      <c r="AT265" s="1372" t="str">
        <f>$AH265</f>
        <v>No change</v>
      </c>
      <c r="AU265" s="1640">
        <f t="shared" si="162"/>
        <v>2102.9203747187998</v>
      </c>
      <c r="AV265" s="1638">
        <f t="shared" si="163"/>
        <v>0</v>
      </c>
      <c r="AW265" s="2044">
        <f t="shared" si="164"/>
        <v>2102.9203747187998</v>
      </c>
      <c r="AX265" s="2044">
        <f t="shared" si="165"/>
        <v>2102.9203747187998</v>
      </c>
      <c r="AY265" s="2044">
        <f t="shared" si="166"/>
        <v>2102.9203747187998</v>
      </c>
      <c r="AZ265" s="2044">
        <f t="shared" si="167"/>
        <v>2102.9203747187998</v>
      </c>
      <c r="BA265" s="2045">
        <f t="shared" si="168"/>
        <v>8411.6814988751994</v>
      </c>
      <c r="BB265" s="2045" t="str">
        <f>+'[9]4.3.3'!$A$1</f>
        <v>4.3.3</v>
      </c>
      <c r="BC265" s="2045" t="str">
        <f>+'[9]4.3.3'!$A$1</f>
        <v>4.3.3</v>
      </c>
      <c r="BD265" s="2045">
        <v>0</v>
      </c>
      <c r="BE265" s="2051">
        <v>10</v>
      </c>
      <c r="BF265" s="2051">
        <v>10</v>
      </c>
      <c r="BG265" s="2051">
        <v>10</v>
      </c>
      <c r="BH265" s="2051">
        <v>10</v>
      </c>
      <c r="BI265" s="2045">
        <f t="shared" si="183"/>
        <v>21029.203747187999</v>
      </c>
      <c r="BJ265" s="2045">
        <f t="shared" si="184"/>
        <v>21029.203747187999</v>
      </c>
      <c r="BK265" s="2045">
        <f t="shared" si="185"/>
        <v>21029.203747187999</v>
      </c>
      <c r="BL265" s="2045">
        <f t="shared" si="186"/>
        <v>21029.203747187999</v>
      </c>
      <c r="BM265" s="2045">
        <f t="shared" si="169"/>
        <v>84116.814988751998</v>
      </c>
      <c r="BN265" s="2047">
        <v>10</v>
      </c>
      <c r="BO265" s="2047">
        <v>10</v>
      </c>
      <c r="BP265" s="2047">
        <v>10</v>
      </c>
      <c r="BQ265" s="2047">
        <v>10</v>
      </c>
      <c r="BR265" s="2048">
        <f t="shared" si="170"/>
        <v>21029.203747187999</v>
      </c>
      <c r="BS265" s="2048">
        <f t="shared" si="171"/>
        <v>21029.203747187999</v>
      </c>
      <c r="BT265" s="2048">
        <f t="shared" si="172"/>
        <v>21029.203747187999</v>
      </c>
      <c r="BU265" s="2048">
        <f t="shared" si="173"/>
        <v>21029.203747187999</v>
      </c>
      <c r="BV265" s="1840">
        <f t="shared" si="174"/>
        <v>84116.814988751998</v>
      </c>
      <c r="BW265" s="2064" t="e">
        <f>INT(#REF!)=INT(BA265)</f>
        <v>#REF!</v>
      </c>
      <c r="BX265" s="2064">
        <v>258</v>
      </c>
      <c r="BY265" s="2064" t="s">
        <v>512</v>
      </c>
    </row>
    <row r="266" spans="1:77" s="1976" customFormat="1" ht="18" customHeight="1" x14ac:dyDescent="0.35">
      <c r="A266" s="1372" t="s">
        <v>3046</v>
      </c>
      <c r="B266" s="1372" t="s">
        <v>266</v>
      </c>
      <c r="C266" s="1637">
        <v>0</v>
      </c>
      <c r="D266" s="1372" t="s">
        <v>3516</v>
      </c>
      <c r="E266" s="1843" t="s">
        <v>202</v>
      </c>
      <c r="F266" s="1845">
        <v>184</v>
      </c>
      <c r="G266" s="1845">
        <v>184</v>
      </c>
      <c r="H266" s="1845">
        <v>184</v>
      </c>
      <c r="I266" s="1845">
        <v>184</v>
      </c>
      <c r="J266" s="1843" t="s">
        <v>295</v>
      </c>
      <c r="K266" s="1843" t="str">
        <f t="shared" si="150"/>
        <v>Nicor Gas PY7-PY10 Adjustable Goals Template_2017-06-30, Tab Customized TRM</v>
      </c>
      <c r="L266" s="1846">
        <v>6.2</v>
      </c>
      <c r="M266" s="1846">
        <v>6.2</v>
      </c>
      <c r="N266" s="1846">
        <v>6.2</v>
      </c>
      <c r="O266" s="1846">
        <v>6.2</v>
      </c>
      <c r="P266" s="1844">
        <v>0.81</v>
      </c>
      <c r="Q266" s="1844">
        <v>0.81</v>
      </c>
      <c r="R266" s="1844">
        <v>0.81</v>
      </c>
      <c r="S266" s="1844">
        <v>0.81</v>
      </c>
      <c r="T266" s="1847">
        <f t="shared" si="151"/>
        <v>924.048</v>
      </c>
      <c r="U266" s="1847">
        <f t="shared" si="152"/>
        <v>924.048</v>
      </c>
      <c r="V266" s="1847">
        <f t="shared" si="153"/>
        <v>924.048</v>
      </c>
      <c r="W266" s="1847">
        <f t="shared" si="154"/>
        <v>924.048</v>
      </c>
      <c r="X266" s="1847">
        <f t="shared" si="155"/>
        <v>3696.192</v>
      </c>
      <c r="Y266" s="1843"/>
      <c r="Z266" s="1843" t="str">
        <f t="shared" si="178"/>
        <v>Nicor Gas PY7-PY10 Adjustable Goals Template_2017-06-30, Tab Customized TRM</v>
      </c>
      <c r="AA266" s="1848">
        <f t="shared" si="179"/>
        <v>6.2</v>
      </c>
      <c r="AB266" s="1848"/>
      <c r="AC266" s="1848">
        <f t="shared" si="156"/>
        <v>924.048</v>
      </c>
      <c r="AD266" s="1848">
        <f t="shared" si="157"/>
        <v>0</v>
      </c>
      <c r="AE266" s="1843"/>
      <c r="AF266" s="1843" t="s">
        <v>3361</v>
      </c>
      <c r="AG266" s="1846">
        <v>6.2</v>
      </c>
      <c r="AH266" s="1843"/>
      <c r="AI266" s="1847">
        <f t="shared" si="158"/>
        <v>924.048</v>
      </c>
      <c r="AJ266" s="1845">
        <f t="shared" si="159"/>
        <v>0</v>
      </c>
      <c r="AK266" s="1843"/>
      <c r="AL266" s="1843" t="s">
        <v>3361</v>
      </c>
      <c r="AM266" s="1846">
        <v>6.2</v>
      </c>
      <c r="AN266" s="1843"/>
      <c r="AO266" s="1847">
        <f t="shared" si="160"/>
        <v>924.048</v>
      </c>
      <c r="AP266" s="1845">
        <f t="shared" si="161"/>
        <v>0</v>
      </c>
      <c r="AQ266" s="1843"/>
      <c r="AR266" s="1843" t="s">
        <v>3361</v>
      </c>
      <c r="AS266" s="1846">
        <v>6.2</v>
      </c>
      <c r="AT266" s="1843"/>
      <c r="AU266" s="1847">
        <f t="shared" si="162"/>
        <v>924.048</v>
      </c>
      <c r="AV266" s="1845">
        <f t="shared" si="163"/>
        <v>0</v>
      </c>
      <c r="AW266" s="2123">
        <f t="shared" si="164"/>
        <v>924.048</v>
      </c>
      <c r="AX266" s="2123">
        <f t="shared" si="165"/>
        <v>924.048</v>
      </c>
      <c r="AY266" s="2123">
        <f t="shared" si="166"/>
        <v>924.048</v>
      </c>
      <c r="AZ266" s="2123">
        <f t="shared" si="167"/>
        <v>924.048</v>
      </c>
      <c r="BA266" s="2051">
        <f t="shared" si="168"/>
        <v>3696.192</v>
      </c>
      <c r="BB266" s="2051"/>
      <c r="BC266" s="2051"/>
      <c r="BD266" s="2121">
        <v>1</v>
      </c>
      <c r="BE266" s="2051">
        <v>14</v>
      </c>
      <c r="BF266" s="2051">
        <v>14</v>
      </c>
      <c r="BG266" s="2051">
        <v>14</v>
      </c>
      <c r="BH266" s="2051">
        <v>14</v>
      </c>
      <c r="BI266" s="2045">
        <f t="shared" si="183"/>
        <v>12936.672000000002</v>
      </c>
      <c r="BJ266" s="2045">
        <f t="shared" si="184"/>
        <v>12936.672000000002</v>
      </c>
      <c r="BK266" s="2045">
        <f t="shared" si="185"/>
        <v>12936.672000000002</v>
      </c>
      <c r="BL266" s="2045">
        <f t="shared" si="186"/>
        <v>12936.672000000002</v>
      </c>
      <c r="BM266" s="2045">
        <f t="shared" si="169"/>
        <v>51746.688000000009</v>
      </c>
      <c r="BN266" s="2047">
        <v>14</v>
      </c>
      <c r="BO266" s="2050">
        <v>15</v>
      </c>
      <c r="BP266" s="2050">
        <v>15</v>
      </c>
      <c r="BQ266" s="2050">
        <v>15</v>
      </c>
      <c r="BR266" s="2048">
        <f t="shared" si="170"/>
        <v>12936.672000000002</v>
      </c>
      <c r="BS266" s="2048">
        <f t="shared" si="171"/>
        <v>13860.720000000001</v>
      </c>
      <c r="BT266" s="2048">
        <f t="shared" si="172"/>
        <v>13860.720000000001</v>
      </c>
      <c r="BU266" s="2048">
        <f t="shared" si="173"/>
        <v>13860.720000000001</v>
      </c>
      <c r="BV266" s="1840">
        <f t="shared" si="174"/>
        <v>54518.832000000009</v>
      </c>
      <c r="BW266" s="2064" t="e">
        <f>INT(#REF!)=INT(BA266)</f>
        <v>#REF!</v>
      </c>
      <c r="BX266" s="2064">
        <v>259</v>
      </c>
      <c r="BY266" s="2064" t="s">
        <v>3485</v>
      </c>
    </row>
    <row r="267" spans="1:77" s="1976" customFormat="1" ht="18" customHeight="1" x14ac:dyDescent="0.35">
      <c r="A267" s="1372" t="s">
        <v>3046</v>
      </c>
      <c r="B267" s="1372" t="s">
        <v>264</v>
      </c>
      <c r="C267" s="1637">
        <v>0</v>
      </c>
      <c r="D267" s="1372" t="s">
        <v>295</v>
      </c>
      <c r="E267" s="1372" t="s">
        <v>163</v>
      </c>
      <c r="F267" s="1638">
        <v>280</v>
      </c>
      <c r="G267" s="1638">
        <v>280</v>
      </c>
      <c r="H267" s="1638">
        <v>280</v>
      </c>
      <c r="I267" s="1638">
        <v>280</v>
      </c>
      <c r="J267" s="1372" t="s">
        <v>295</v>
      </c>
      <c r="K267" s="1372" t="str">
        <f t="shared" si="150"/>
        <v/>
      </c>
      <c r="L267" s="1639">
        <v>0</v>
      </c>
      <c r="M267" s="1639">
        <v>0</v>
      </c>
      <c r="N267" s="1639">
        <v>0</v>
      </c>
      <c r="O267" s="1639">
        <v>0</v>
      </c>
      <c r="P267" s="1637">
        <v>0.81</v>
      </c>
      <c r="Q267" s="1637">
        <v>0.81</v>
      </c>
      <c r="R267" s="1637">
        <v>0.81</v>
      </c>
      <c r="S267" s="1637">
        <v>0.81</v>
      </c>
      <c r="T267" s="1640">
        <f t="shared" si="151"/>
        <v>0</v>
      </c>
      <c r="U267" s="1640">
        <f t="shared" si="152"/>
        <v>0</v>
      </c>
      <c r="V267" s="1640">
        <f t="shared" si="153"/>
        <v>0</v>
      </c>
      <c r="W267" s="1640">
        <f t="shared" si="154"/>
        <v>0</v>
      </c>
      <c r="X267" s="1640">
        <f t="shared" si="155"/>
        <v>0</v>
      </c>
      <c r="Y267" s="1829"/>
      <c r="Z267" s="1372" t="str">
        <f t="shared" si="178"/>
        <v/>
      </c>
      <c r="AA267" s="1840">
        <f t="shared" si="179"/>
        <v>0</v>
      </c>
      <c r="AB267" s="2028"/>
      <c r="AC267" s="1840">
        <f t="shared" si="156"/>
        <v>0</v>
      </c>
      <c r="AD267" s="1840">
        <f t="shared" si="157"/>
        <v>0</v>
      </c>
      <c r="AE267" s="1829"/>
      <c r="AF267" s="1829" t="s">
        <v>3361</v>
      </c>
      <c r="AG267" s="1830">
        <v>0</v>
      </c>
      <c r="AH267" s="1829"/>
      <c r="AI267" s="1640">
        <f t="shared" si="158"/>
        <v>0</v>
      </c>
      <c r="AJ267" s="1638">
        <f t="shared" si="159"/>
        <v>0</v>
      </c>
      <c r="AK267" s="1829"/>
      <c r="AL267" s="1829" t="s">
        <v>3361</v>
      </c>
      <c r="AM267" s="1830">
        <v>0</v>
      </c>
      <c r="AN267" s="1829"/>
      <c r="AO267" s="1640">
        <f t="shared" si="160"/>
        <v>0</v>
      </c>
      <c r="AP267" s="1638">
        <f t="shared" si="161"/>
        <v>0</v>
      </c>
      <c r="AQ267" s="1829"/>
      <c r="AR267" s="1829" t="s">
        <v>3361</v>
      </c>
      <c r="AS267" s="1830">
        <v>0</v>
      </c>
      <c r="AT267" s="1829"/>
      <c r="AU267" s="1640">
        <f t="shared" si="162"/>
        <v>0</v>
      </c>
      <c r="AV267" s="1638">
        <f t="shared" si="163"/>
        <v>0</v>
      </c>
      <c r="AW267" s="2044">
        <f t="shared" si="164"/>
        <v>0</v>
      </c>
      <c r="AX267" s="2044">
        <f t="shared" si="165"/>
        <v>0</v>
      </c>
      <c r="AY267" s="2044">
        <f t="shared" si="166"/>
        <v>0</v>
      </c>
      <c r="AZ267" s="2044">
        <f t="shared" si="167"/>
        <v>0</v>
      </c>
      <c r="BA267" s="2045">
        <f t="shared" si="168"/>
        <v>0</v>
      </c>
      <c r="BB267" s="2049"/>
      <c r="BC267" s="2049"/>
      <c r="BD267" s="2045">
        <v>0</v>
      </c>
      <c r="BE267" s="2051">
        <v>1</v>
      </c>
      <c r="BF267" s="2051">
        <v>1</v>
      </c>
      <c r="BG267" s="2051">
        <v>1</v>
      </c>
      <c r="BH267" s="2051">
        <v>1</v>
      </c>
      <c r="BI267" s="2045">
        <f t="shared" si="183"/>
        <v>0</v>
      </c>
      <c r="BJ267" s="2045">
        <f t="shared" si="184"/>
        <v>0</v>
      </c>
      <c r="BK267" s="2045">
        <f t="shared" si="185"/>
        <v>0</v>
      </c>
      <c r="BL267" s="2045">
        <f t="shared" si="186"/>
        <v>0</v>
      </c>
      <c r="BM267" s="2045">
        <f t="shared" si="169"/>
        <v>0</v>
      </c>
      <c r="BN267" s="2047">
        <v>1</v>
      </c>
      <c r="BO267" s="2047">
        <v>1</v>
      </c>
      <c r="BP267" s="2047">
        <v>1</v>
      </c>
      <c r="BQ267" s="2047">
        <v>1</v>
      </c>
      <c r="BR267" s="2048">
        <f t="shared" si="170"/>
        <v>0</v>
      </c>
      <c r="BS267" s="2048">
        <f t="shared" si="171"/>
        <v>0</v>
      </c>
      <c r="BT267" s="2048">
        <f t="shared" si="172"/>
        <v>0</v>
      </c>
      <c r="BU267" s="2048">
        <f t="shared" si="173"/>
        <v>0</v>
      </c>
      <c r="BV267" s="1840">
        <f t="shared" si="174"/>
        <v>0</v>
      </c>
      <c r="BW267" s="2064" t="e">
        <f>INT(#REF!)=INT(BA267)</f>
        <v>#REF!</v>
      </c>
      <c r="BX267" s="2064">
        <v>260</v>
      </c>
      <c r="BY267" s="2064" t="s">
        <v>295</v>
      </c>
    </row>
    <row r="268" spans="1:77" s="1976" customFormat="1" ht="61.5" customHeight="1" x14ac:dyDescent="0.35">
      <c r="A268" s="1372" t="s">
        <v>3046</v>
      </c>
      <c r="B268" s="1372" t="s">
        <v>3047</v>
      </c>
      <c r="C268" s="1637">
        <v>0</v>
      </c>
      <c r="D268" s="2053" t="str">
        <f>+'[9]4.4.4'!$A$1</f>
        <v>4.4.4</v>
      </c>
      <c r="E268" s="1372" t="s">
        <v>201</v>
      </c>
      <c r="F268" s="1638">
        <v>4</v>
      </c>
      <c r="G268" s="1638">
        <v>4</v>
      </c>
      <c r="H268" s="1638">
        <v>4</v>
      </c>
      <c r="I268" s="1638">
        <v>4</v>
      </c>
      <c r="J268" s="1372" t="str">
        <f>+'[9]4.4.4'!$B$11</f>
        <v>CI-HVC-BLRC-V03-150601</v>
      </c>
      <c r="K268" s="1372" t="str">
        <f t="shared" si="150"/>
        <v>Nicor Gas PY7-PY10 Adjustable Goals Template_2017-06-30, Tab 4.4.4</v>
      </c>
      <c r="L268" s="1639">
        <v>366.28800000000001</v>
      </c>
      <c r="M268" s="1639">
        <v>366.28800000000001</v>
      </c>
      <c r="N268" s="1639">
        <v>366.28800000000001</v>
      </c>
      <c r="O268" s="1639">
        <v>366.28800000000001</v>
      </c>
      <c r="P268" s="1637">
        <v>0.81</v>
      </c>
      <c r="Q268" s="1637">
        <v>0.81</v>
      </c>
      <c r="R268" s="1637">
        <v>0.81</v>
      </c>
      <c r="S268" s="1637">
        <v>0.81</v>
      </c>
      <c r="T268" s="1640">
        <f t="shared" si="151"/>
        <v>1186.7731200000001</v>
      </c>
      <c r="U268" s="1640">
        <f t="shared" si="152"/>
        <v>1186.7731200000001</v>
      </c>
      <c r="V268" s="1640">
        <f t="shared" si="153"/>
        <v>1186.7731200000001</v>
      </c>
      <c r="W268" s="1640">
        <f t="shared" si="154"/>
        <v>1186.7731200000001</v>
      </c>
      <c r="X268" s="1640">
        <f t="shared" si="155"/>
        <v>4747.0924800000003</v>
      </c>
      <c r="Y268" s="1372" t="str">
        <f t="shared" ref="Y268:Y282" si="187">J268</f>
        <v>CI-HVC-BLRC-V03-150601</v>
      </c>
      <c r="Z268" s="1372" t="str">
        <f t="shared" si="178"/>
        <v>Nicor Gas PY7-PY10 Adjustable Goals Template_2017-06-30, Tab 4.4.4</v>
      </c>
      <c r="AA268" s="1840">
        <f t="shared" si="179"/>
        <v>366.28800000000001</v>
      </c>
      <c r="AB268" s="2028"/>
      <c r="AC268" s="1840">
        <f t="shared" si="156"/>
        <v>1186.7731200000001</v>
      </c>
      <c r="AD268" s="1840">
        <f t="shared" si="157"/>
        <v>0</v>
      </c>
      <c r="AE268" s="1372" t="s">
        <v>197</v>
      </c>
      <c r="AF268" s="1372" t="s">
        <v>3356</v>
      </c>
      <c r="AG268" s="1639">
        <v>366.28800000000001</v>
      </c>
      <c r="AH268" s="1372" t="s">
        <v>3445</v>
      </c>
      <c r="AI268" s="1640">
        <f t="shared" si="158"/>
        <v>1186.7731200000001</v>
      </c>
      <c r="AJ268" s="1638">
        <f t="shared" si="159"/>
        <v>0</v>
      </c>
      <c r="AK268" s="1372" t="s">
        <v>197</v>
      </c>
      <c r="AL268" s="1372" t="s">
        <v>3356</v>
      </c>
      <c r="AM268" s="1639">
        <v>366.28800000000001</v>
      </c>
      <c r="AN268" s="1372" t="str">
        <f t="shared" ref="AN268:AN282" si="188">$AH268</f>
        <v>No change</v>
      </c>
      <c r="AO268" s="1640">
        <f t="shared" si="160"/>
        <v>1186.7731200000001</v>
      </c>
      <c r="AP268" s="1638">
        <f t="shared" si="161"/>
        <v>0</v>
      </c>
      <c r="AQ268" s="1372" t="s">
        <v>197</v>
      </c>
      <c r="AR268" s="1372" t="s">
        <v>3356</v>
      </c>
      <c r="AS268" s="1639">
        <v>366.28800000000001</v>
      </c>
      <c r="AT268" s="1372" t="str">
        <f t="shared" ref="AT268:AT282" si="189">$AH268</f>
        <v>No change</v>
      </c>
      <c r="AU268" s="1640">
        <f t="shared" si="162"/>
        <v>1186.7731200000001</v>
      </c>
      <c r="AV268" s="1638">
        <f t="shared" si="163"/>
        <v>0</v>
      </c>
      <c r="AW268" s="2044">
        <f t="shared" si="164"/>
        <v>1186.7731200000001</v>
      </c>
      <c r="AX268" s="2044">
        <f t="shared" si="165"/>
        <v>1186.7731200000001</v>
      </c>
      <c r="AY268" s="2044">
        <f t="shared" si="166"/>
        <v>1186.7731200000001</v>
      </c>
      <c r="AZ268" s="2044">
        <f t="shared" si="167"/>
        <v>1186.7731200000001</v>
      </c>
      <c r="BA268" s="2045">
        <f t="shared" si="168"/>
        <v>4747.0924800000003</v>
      </c>
      <c r="BB268" s="2045" t="str">
        <f>+'[9]4.4.4'!$A$1</f>
        <v>4.4.4</v>
      </c>
      <c r="BC268" s="2045" t="str">
        <f>+'[9]4.4.4'!$A$1</f>
        <v>4.4.4</v>
      </c>
      <c r="BD268" s="2045">
        <v>0</v>
      </c>
      <c r="BE268" s="2051">
        <v>20</v>
      </c>
      <c r="BF268" s="2051">
        <v>20</v>
      </c>
      <c r="BG268" s="2051">
        <v>20</v>
      </c>
      <c r="BH268" s="2051">
        <v>20</v>
      </c>
      <c r="BI268" s="2045">
        <f t="shared" si="183"/>
        <v>23735.4624</v>
      </c>
      <c r="BJ268" s="2045">
        <f t="shared" si="184"/>
        <v>23735.4624</v>
      </c>
      <c r="BK268" s="2045">
        <f t="shared" si="185"/>
        <v>23735.4624</v>
      </c>
      <c r="BL268" s="2045">
        <f t="shared" si="186"/>
        <v>23735.4624</v>
      </c>
      <c r="BM268" s="2045">
        <f t="shared" si="169"/>
        <v>94941.849600000001</v>
      </c>
      <c r="BN268" s="2047">
        <v>20</v>
      </c>
      <c r="BO268" s="2047">
        <v>20</v>
      </c>
      <c r="BP268" s="2047">
        <v>20</v>
      </c>
      <c r="BQ268" s="2047">
        <v>20</v>
      </c>
      <c r="BR268" s="2048">
        <f t="shared" si="170"/>
        <v>23735.4624</v>
      </c>
      <c r="BS268" s="2048">
        <f t="shared" si="171"/>
        <v>23735.4624</v>
      </c>
      <c r="BT268" s="2048">
        <f t="shared" si="172"/>
        <v>23735.4624</v>
      </c>
      <c r="BU268" s="2048">
        <f t="shared" si="173"/>
        <v>23735.4624</v>
      </c>
      <c r="BV268" s="1840">
        <f t="shared" si="174"/>
        <v>94941.849600000001</v>
      </c>
      <c r="BW268" s="2064" t="e">
        <f>INT(#REF!)=INT(BA268)</f>
        <v>#REF!</v>
      </c>
      <c r="BX268" s="2064">
        <v>261</v>
      </c>
      <c r="BY268" s="2064" t="s">
        <v>512</v>
      </c>
    </row>
    <row r="269" spans="1:77" s="1976" customFormat="1" ht="62" x14ac:dyDescent="0.35">
      <c r="A269" s="1372" t="s">
        <v>3046</v>
      </c>
      <c r="B269" s="1372" t="s">
        <v>168</v>
      </c>
      <c r="C269" s="1637">
        <v>0</v>
      </c>
      <c r="D269" s="2053" t="str">
        <f>+'[9]4.4.2'!$A$1</f>
        <v>4.4.2</v>
      </c>
      <c r="E269" s="1372" t="s">
        <v>201</v>
      </c>
      <c r="F269" s="1638">
        <v>16</v>
      </c>
      <c r="G269" s="1638">
        <v>16</v>
      </c>
      <c r="H269" s="1638">
        <v>16</v>
      </c>
      <c r="I269" s="1638">
        <v>16</v>
      </c>
      <c r="J269" s="1372" t="str">
        <f>+'[9]4.4.2'!$B$16</f>
        <v>CI-HVC-BLRT-V06-160601</v>
      </c>
      <c r="K269" s="1372" t="str">
        <f t="shared" si="150"/>
        <v>Nicor Gas PY7-PY10 Adjustable Goals Template_2017-06-30, Tab 4.4.2</v>
      </c>
      <c r="L269" s="1639">
        <v>91.744411764705987</v>
      </c>
      <c r="M269" s="1639">
        <v>91.744411764705987</v>
      </c>
      <c r="N269" s="1639">
        <v>91.744411764705987</v>
      </c>
      <c r="O269" s="1639">
        <v>91.744411764705987</v>
      </c>
      <c r="P269" s="1637">
        <v>0.81</v>
      </c>
      <c r="Q269" s="1637">
        <v>0.81</v>
      </c>
      <c r="R269" s="1637">
        <v>0.81</v>
      </c>
      <c r="S269" s="1637">
        <v>0.81</v>
      </c>
      <c r="T269" s="1640">
        <f t="shared" si="151"/>
        <v>1189.0075764705896</v>
      </c>
      <c r="U269" s="1640">
        <f t="shared" si="152"/>
        <v>1189.0075764705896</v>
      </c>
      <c r="V269" s="1640">
        <f t="shared" si="153"/>
        <v>1189.0075764705896</v>
      </c>
      <c r="W269" s="1640">
        <f t="shared" si="154"/>
        <v>1189.0075764705896</v>
      </c>
      <c r="X269" s="1640">
        <f t="shared" si="155"/>
        <v>4756.0303058823583</v>
      </c>
      <c r="Y269" s="1372" t="str">
        <f t="shared" si="187"/>
        <v>CI-HVC-BLRT-V06-160601</v>
      </c>
      <c r="Z269" s="1372" t="str">
        <f t="shared" si="178"/>
        <v>Nicor Gas PY7-PY10 Adjustable Goals Template_2017-06-30, Tab 4.4.2</v>
      </c>
      <c r="AA269" s="1840">
        <f t="shared" si="179"/>
        <v>91.744411764705987</v>
      </c>
      <c r="AB269" s="2028"/>
      <c r="AC269" s="1840">
        <f t="shared" si="156"/>
        <v>1189.0075764705896</v>
      </c>
      <c r="AD269" s="1840">
        <f t="shared" si="157"/>
        <v>0</v>
      </c>
      <c r="AE269" s="1372" t="s">
        <v>2567</v>
      </c>
      <c r="AF269" s="1372" t="s">
        <v>3357</v>
      </c>
      <c r="AG269" s="1639">
        <v>91.744411764705987</v>
      </c>
      <c r="AH269" s="1372" t="s">
        <v>3445</v>
      </c>
      <c r="AI269" s="1640">
        <f t="shared" si="158"/>
        <v>1189.0075764705896</v>
      </c>
      <c r="AJ269" s="1638">
        <f t="shared" si="159"/>
        <v>0</v>
      </c>
      <c r="AK269" s="1372" t="s">
        <v>2567</v>
      </c>
      <c r="AL269" s="1372" t="s">
        <v>3357</v>
      </c>
      <c r="AM269" s="1639">
        <v>91.744411764705987</v>
      </c>
      <c r="AN269" s="1372" t="str">
        <f t="shared" si="188"/>
        <v>No change</v>
      </c>
      <c r="AO269" s="1640">
        <f t="shared" si="160"/>
        <v>1189.0075764705896</v>
      </c>
      <c r="AP269" s="1638">
        <f t="shared" si="161"/>
        <v>0</v>
      </c>
      <c r="AQ269" s="1372" t="s">
        <v>2567</v>
      </c>
      <c r="AR269" s="1372" t="s">
        <v>3357</v>
      </c>
      <c r="AS269" s="1639">
        <v>91.744411764705987</v>
      </c>
      <c r="AT269" s="1372" t="str">
        <f t="shared" si="189"/>
        <v>No change</v>
      </c>
      <c r="AU269" s="1640">
        <f t="shared" si="162"/>
        <v>1189.0075764705896</v>
      </c>
      <c r="AV269" s="1638">
        <f t="shared" si="163"/>
        <v>0</v>
      </c>
      <c r="AW269" s="2044">
        <f t="shared" si="164"/>
        <v>1189.0075764705896</v>
      </c>
      <c r="AX269" s="2044">
        <f t="shared" si="165"/>
        <v>1189.0075764705896</v>
      </c>
      <c r="AY269" s="2044">
        <f t="shared" si="166"/>
        <v>1189.0075764705896</v>
      </c>
      <c r="AZ269" s="2044">
        <f t="shared" si="167"/>
        <v>1189.0075764705896</v>
      </c>
      <c r="BA269" s="2045">
        <f t="shared" si="168"/>
        <v>4756.0303058823583</v>
      </c>
      <c r="BB269" s="2045" t="str">
        <f>+'[9]4.4.2'!$A$1</f>
        <v>4.4.2</v>
      </c>
      <c r="BC269" s="2045" t="str">
        <f>+'[9]4.4.2'!$A$1</f>
        <v>4.4.2</v>
      </c>
      <c r="BD269" s="2045">
        <v>0</v>
      </c>
      <c r="BE269" s="2051">
        <v>3</v>
      </c>
      <c r="BF269" s="2051">
        <v>3</v>
      </c>
      <c r="BG269" s="2051">
        <v>3</v>
      </c>
      <c r="BH269" s="2051">
        <v>3</v>
      </c>
      <c r="BI269" s="2045">
        <f t="shared" si="183"/>
        <v>3567.0227294117685</v>
      </c>
      <c r="BJ269" s="2045">
        <f t="shared" si="184"/>
        <v>3567.0227294117685</v>
      </c>
      <c r="BK269" s="2045">
        <f t="shared" si="185"/>
        <v>3567.0227294117685</v>
      </c>
      <c r="BL269" s="2045">
        <f t="shared" si="186"/>
        <v>3567.0227294117685</v>
      </c>
      <c r="BM269" s="2045">
        <f t="shared" si="169"/>
        <v>14268.090917647074</v>
      </c>
      <c r="BN269" s="2047">
        <v>3</v>
      </c>
      <c r="BO269" s="2047">
        <v>3</v>
      </c>
      <c r="BP269" s="2047">
        <v>3</v>
      </c>
      <c r="BQ269" s="2047">
        <v>3</v>
      </c>
      <c r="BR269" s="2048">
        <f t="shared" si="170"/>
        <v>3567.0227294117685</v>
      </c>
      <c r="BS269" s="2048">
        <f t="shared" si="171"/>
        <v>3567.0227294117685</v>
      </c>
      <c r="BT269" s="2048">
        <f t="shared" si="172"/>
        <v>3567.0227294117685</v>
      </c>
      <c r="BU269" s="2048">
        <f t="shared" si="173"/>
        <v>3567.0227294117685</v>
      </c>
      <c r="BV269" s="1840">
        <f t="shared" si="174"/>
        <v>14268.090917647074</v>
      </c>
      <c r="BW269" s="2064" t="e">
        <f>INT(#REF!)=INT(BA269)</f>
        <v>#REF!</v>
      </c>
      <c r="BX269" s="2064">
        <v>262</v>
      </c>
      <c r="BY269" s="2064" t="s">
        <v>512</v>
      </c>
    </row>
    <row r="270" spans="1:77" s="1976" customFormat="1" ht="62" x14ac:dyDescent="0.35">
      <c r="A270" s="1372" t="s">
        <v>3046</v>
      </c>
      <c r="B270" s="1372" t="s">
        <v>189</v>
      </c>
      <c r="C270" s="1637">
        <v>0</v>
      </c>
      <c r="D270" s="2053" t="str">
        <f>+'[9]4.4.16'!$A$1</f>
        <v>4.4.16</v>
      </c>
      <c r="E270" s="1372" t="s">
        <v>163</v>
      </c>
      <c r="F270" s="1638">
        <v>100</v>
      </c>
      <c r="G270" s="1638">
        <v>100</v>
      </c>
      <c r="H270" s="1638">
        <v>100</v>
      </c>
      <c r="I270" s="1638">
        <v>100</v>
      </c>
      <c r="J270" s="1372" t="str">
        <f>+'[9]4.4.16'!$B$22</f>
        <v>CI-HVC-STRE-V05-180101</v>
      </c>
      <c r="K270" s="1372" t="str">
        <f t="shared" si="150"/>
        <v>Nicor Gas PY7-PY10 Adjustable Goals Template_2017-06-30, Tab 4.4.16</v>
      </c>
      <c r="L270" s="1639">
        <v>89.462647935000007</v>
      </c>
      <c r="M270" s="1639">
        <v>89.462647935000007</v>
      </c>
      <c r="N270" s="1639">
        <v>89.462647935000007</v>
      </c>
      <c r="O270" s="1639">
        <v>89.462647935000007</v>
      </c>
      <c r="P270" s="1637">
        <v>0.81</v>
      </c>
      <c r="Q270" s="1637">
        <v>0.81</v>
      </c>
      <c r="R270" s="1637">
        <v>0.81</v>
      </c>
      <c r="S270" s="1637">
        <v>0.81</v>
      </c>
      <c r="T270" s="1640">
        <f t="shared" si="151"/>
        <v>7246.4744827350005</v>
      </c>
      <c r="U270" s="1640">
        <f t="shared" si="152"/>
        <v>7246.4744827350005</v>
      </c>
      <c r="V270" s="1640">
        <f t="shared" si="153"/>
        <v>7246.4744827350005</v>
      </c>
      <c r="W270" s="1640">
        <f t="shared" si="154"/>
        <v>7246.4744827350005</v>
      </c>
      <c r="X270" s="1640">
        <f t="shared" si="155"/>
        <v>28985.897930940002</v>
      </c>
      <c r="Y270" s="1372" t="str">
        <f t="shared" si="187"/>
        <v>CI-HVC-STRE-V05-180101</v>
      </c>
      <c r="Z270" s="1372" t="str">
        <f t="shared" si="178"/>
        <v>Nicor Gas PY7-PY10 Adjustable Goals Template_2017-06-30, Tab 4.4.16</v>
      </c>
      <c r="AA270" s="1840">
        <f t="shared" si="179"/>
        <v>89.462647935000007</v>
      </c>
      <c r="AB270" s="2028"/>
      <c r="AC270" s="1840">
        <f t="shared" si="156"/>
        <v>7246.4744827350005</v>
      </c>
      <c r="AD270" s="1840">
        <f t="shared" si="157"/>
        <v>0</v>
      </c>
      <c r="AE270" s="1372" t="s">
        <v>2796</v>
      </c>
      <c r="AF270" s="1372" t="s">
        <v>3382</v>
      </c>
      <c r="AG270" s="1639">
        <v>89.462647935000007</v>
      </c>
      <c r="AH270" s="1372" t="s">
        <v>3445</v>
      </c>
      <c r="AI270" s="1640">
        <f t="shared" si="158"/>
        <v>7246.4744827350005</v>
      </c>
      <c r="AJ270" s="1638">
        <f t="shared" si="159"/>
        <v>0</v>
      </c>
      <c r="AK270" s="1372" t="s">
        <v>2796</v>
      </c>
      <c r="AL270" s="1372" t="s">
        <v>3382</v>
      </c>
      <c r="AM270" s="1639">
        <v>89.462647935000007</v>
      </c>
      <c r="AN270" s="1372" t="str">
        <f t="shared" si="188"/>
        <v>No change</v>
      </c>
      <c r="AO270" s="1640">
        <f t="shared" si="160"/>
        <v>7246.4744827350005</v>
      </c>
      <c r="AP270" s="1638">
        <f t="shared" si="161"/>
        <v>0</v>
      </c>
      <c r="AQ270" s="1372" t="s">
        <v>2796</v>
      </c>
      <c r="AR270" s="1372" t="s">
        <v>3382</v>
      </c>
      <c r="AS270" s="1639">
        <v>89.462647935000007</v>
      </c>
      <c r="AT270" s="1372" t="str">
        <f t="shared" si="189"/>
        <v>No change</v>
      </c>
      <c r="AU270" s="1640">
        <f t="shared" si="162"/>
        <v>7246.4744827350005</v>
      </c>
      <c r="AV270" s="1638">
        <f t="shared" si="163"/>
        <v>0</v>
      </c>
      <c r="AW270" s="2044">
        <f t="shared" si="164"/>
        <v>7246.4744827350005</v>
      </c>
      <c r="AX270" s="2044">
        <f t="shared" si="165"/>
        <v>7246.4744827350005</v>
      </c>
      <c r="AY270" s="2044">
        <f t="shared" si="166"/>
        <v>7246.4744827350005</v>
      </c>
      <c r="AZ270" s="2044">
        <f t="shared" si="167"/>
        <v>7246.4744827350005</v>
      </c>
      <c r="BA270" s="2045">
        <f t="shared" si="168"/>
        <v>28985.897930940002</v>
      </c>
      <c r="BB270" s="2045" t="str">
        <f>+'[9]4.4.16'!$A$1</f>
        <v>4.4.16</v>
      </c>
      <c r="BC270" s="2045" t="str">
        <f>+'[9]4.4.16'!$A$1</f>
        <v>4.4.16</v>
      </c>
      <c r="BD270" s="2045">
        <v>0</v>
      </c>
      <c r="BE270" s="2051">
        <v>6</v>
      </c>
      <c r="BF270" s="2051">
        <v>6</v>
      </c>
      <c r="BG270" s="2051">
        <v>6</v>
      </c>
      <c r="BH270" s="2051">
        <v>6</v>
      </c>
      <c r="BI270" s="2045">
        <f t="shared" si="183"/>
        <v>43478.846896410003</v>
      </c>
      <c r="BJ270" s="2045">
        <f t="shared" si="184"/>
        <v>43478.846896410003</v>
      </c>
      <c r="BK270" s="2045">
        <f t="shared" si="185"/>
        <v>43478.846896410003</v>
      </c>
      <c r="BL270" s="2045">
        <f t="shared" si="186"/>
        <v>43478.846896410003</v>
      </c>
      <c r="BM270" s="2045">
        <f t="shared" si="169"/>
        <v>173915.38758564001</v>
      </c>
      <c r="BN270" s="2047">
        <v>6</v>
      </c>
      <c r="BO270" s="2047">
        <v>6</v>
      </c>
      <c r="BP270" s="2047">
        <v>6</v>
      </c>
      <c r="BQ270" s="2047">
        <v>6</v>
      </c>
      <c r="BR270" s="2048">
        <f t="shared" si="170"/>
        <v>43478.846896410003</v>
      </c>
      <c r="BS270" s="2048">
        <f t="shared" si="171"/>
        <v>43478.846896410003</v>
      </c>
      <c r="BT270" s="2048">
        <f t="shared" si="172"/>
        <v>43478.846896410003</v>
      </c>
      <c r="BU270" s="2048">
        <f t="shared" si="173"/>
        <v>43478.846896410003</v>
      </c>
      <c r="BV270" s="1840">
        <f t="shared" si="174"/>
        <v>173915.38758564001</v>
      </c>
      <c r="BW270" s="2064" t="e">
        <f>INT(#REF!)=INT(BA270)</f>
        <v>#REF!</v>
      </c>
      <c r="BX270" s="2064">
        <v>263</v>
      </c>
      <c r="BY270" s="2064" t="s">
        <v>512</v>
      </c>
    </row>
    <row r="271" spans="1:77" s="1976" customFormat="1" ht="62" x14ac:dyDescent="0.35">
      <c r="A271" s="1372" t="s">
        <v>3046</v>
      </c>
      <c r="B271" s="1372" t="s">
        <v>190</v>
      </c>
      <c r="C271" s="1637">
        <v>0</v>
      </c>
      <c r="D271" s="2053" t="str">
        <f>+'[9]4.4.16'!$A$1</f>
        <v>4.4.16</v>
      </c>
      <c r="E271" s="1372" t="s">
        <v>163</v>
      </c>
      <c r="F271" s="1638">
        <v>2</v>
      </c>
      <c r="G271" s="1638">
        <v>2</v>
      </c>
      <c r="H271" s="1638">
        <v>2</v>
      </c>
      <c r="I271" s="1638">
        <v>2</v>
      </c>
      <c r="J271" s="1372" t="str">
        <f>+'[9]4.4.16'!$B$22</f>
        <v>CI-HVC-STRE-V05-180101</v>
      </c>
      <c r="K271" s="1372" t="str">
        <f t="shared" si="150"/>
        <v>Nicor Gas PY7-PY10 Adjustable Goals Template_2017-06-30, Tab 4.4.16</v>
      </c>
      <c r="L271" s="1639">
        <v>639.19118528437491</v>
      </c>
      <c r="M271" s="1639">
        <v>639.19118528437491</v>
      </c>
      <c r="N271" s="1639">
        <v>639.19118528437491</v>
      </c>
      <c r="O271" s="1639">
        <v>639.19118528437491</v>
      </c>
      <c r="P271" s="1637">
        <v>0.81</v>
      </c>
      <c r="Q271" s="1637">
        <v>0.81</v>
      </c>
      <c r="R271" s="1637">
        <v>0.81</v>
      </c>
      <c r="S271" s="1637">
        <v>0.81</v>
      </c>
      <c r="T271" s="1640">
        <f t="shared" si="151"/>
        <v>1035.4897201606875</v>
      </c>
      <c r="U271" s="1640">
        <f t="shared" si="152"/>
        <v>1035.4897201606875</v>
      </c>
      <c r="V271" s="1640">
        <f t="shared" si="153"/>
        <v>1035.4897201606875</v>
      </c>
      <c r="W271" s="1640">
        <f t="shared" si="154"/>
        <v>1035.4897201606875</v>
      </c>
      <c r="X271" s="1640">
        <f t="shared" si="155"/>
        <v>4141.95888064275</v>
      </c>
      <c r="Y271" s="1372" t="str">
        <f t="shared" si="187"/>
        <v>CI-HVC-STRE-V05-180101</v>
      </c>
      <c r="Z271" s="1372" t="str">
        <f t="shared" si="178"/>
        <v>Nicor Gas PY7-PY10 Adjustable Goals Template_2017-06-30, Tab 4.4.16</v>
      </c>
      <c r="AA271" s="1840">
        <f t="shared" si="179"/>
        <v>639.19118528437491</v>
      </c>
      <c r="AB271" s="2028"/>
      <c r="AC271" s="1840">
        <f t="shared" si="156"/>
        <v>1035.4897201606875</v>
      </c>
      <c r="AD271" s="1840">
        <f t="shared" si="157"/>
        <v>0</v>
      </c>
      <c r="AE271" s="1372" t="s">
        <v>2796</v>
      </c>
      <c r="AF271" s="1372" t="s">
        <v>3382</v>
      </c>
      <c r="AG271" s="1639">
        <v>639.19118528437491</v>
      </c>
      <c r="AH271" s="1372" t="s">
        <v>3445</v>
      </c>
      <c r="AI271" s="1640">
        <f t="shared" si="158"/>
        <v>1035.4897201606875</v>
      </c>
      <c r="AJ271" s="1638">
        <f t="shared" si="159"/>
        <v>0</v>
      </c>
      <c r="AK271" s="1372" t="s">
        <v>2796</v>
      </c>
      <c r="AL271" s="1372" t="s">
        <v>3382</v>
      </c>
      <c r="AM271" s="1639">
        <v>639.19118528437491</v>
      </c>
      <c r="AN271" s="1372" t="str">
        <f t="shared" si="188"/>
        <v>No change</v>
      </c>
      <c r="AO271" s="1640">
        <f t="shared" si="160"/>
        <v>1035.4897201606875</v>
      </c>
      <c r="AP271" s="1638">
        <f t="shared" si="161"/>
        <v>0</v>
      </c>
      <c r="AQ271" s="1372" t="s">
        <v>2796</v>
      </c>
      <c r="AR271" s="1372" t="s">
        <v>3382</v>
      </c>
      <c r="AS271" s="1639">
        <v>639.19118528437491</v>
      </c>
      <c r="AT271" s="1372" t="str">
        <f t="shared" si="189"/>
        <v>No change</v>
      </c>
      <c r="AU271" s="1640">
        <f t="shared" si="162"/>
        <v>1035.4897201606875</v>
      </c>
      <c r="AV271" s="1638">
        <f t="shared" si="163"/>
        <v>0</v>
      </c>
      <c r="AW271" s="2044">
        <f t="shared" si="164"/>
        <v>1035.4897201606875</v>
      </c>
      <c r="AX271" s="2044">
        <f t="shared" si="165"/>
        <v>1035.4897201606875</v>
      </c>
      <c r="AY271" s="2044">
        <f t="shared" si="166"/>
        <v>1035.4897201606875</v>
      </c>
      <c r="AZ271" s="2044">
        <f t="shared" si="167"/>
        <v>1035.4897201606875</v>
      </c>
      <c r="BA271" s="2045">
        <f t="shared" si="168"/>
        <v>4141.95888064275</v>
      </c>
      <c r="BB271" s="2045" t="str">
        <f>+'[9]4.4.16'!$A$1</f>
        <v>4.4.16</v>
      </c>
      <c r="BC271" s="2045" t="str">
        <f>+'[9]4.4.16'!$A$1</f>
        <v>4.4.16</v>
      </c>
      <c r="BD271" s="2045">
        <v>0</v>
      </c>
      <c r="BE271" s="2051">
        <v>6</v>
      </c>
      <c r="BF271" s="2051">
        <v>6</v>
      </c>
      <c r="BG271" s="2051">
        <v>6</v>
      </c>
      <c r="BH271" s="2051">
        <v>6</v>
      </c>
      <c r="BI271" s="2045">
        <f t="shared" si="183"/>
        <v>6212.9383209641255</v>
      </c>
      <c r="BJ271" s="2045">
        <f t="shared" si="184"/>
        <v>6212.9383209641255</v>
      </c>
      <c r="BK271" s="2045">
        <f t="shared" si="185"/>
        <v>6212.9383209641255</v>
      </c>
      <c r="BL271" s="2045">
        <f t="shared" si="186"/>
        <v>6212.9383209641255</v>
      </c>
      <c r="BM271" s="2045">
        <f t="shared" si="169"/>
        <v>24851.753283856502</v>
      </c>
      <c r="BN271" s="2047">
        <v>6</v>
      </c>
      <c r="BO271" s="2047">
        <v>6</v>
      </c>
      <c r="BP271" s="2047">
        <v>6</v>
      </c>
      <c r="BQ271" s="2047">
        <v>6</v>
      </c>
      <c r="BR271" s="2048">
        <f t="shared" si="170"/>
        <v>6212.9383209641255</v>
      </c>
      <c r="BS271" s="2048">
        <f t="shared" si="171"/>
        <v>6212.9383209641255</v>
      </c>
      <c r="BT271" s="2048">
        <f t="shared" si="172"/>
        <v>6212.9383209641255</v>
      </c>
      <c r="BU271" s="2048">
        <f t="shared" si="173"/>
        <v>6212.9383209641255</v>
      </c>
      <c r="BV271" s="1840">
        <f t="shared" si="174"/>
        <v>24851.753283856502</v>
      </c>
      <c r="BW271" s="2064" t="e">
        <f>INT(#REF!)=INT(BA271)</f>
        <v>#REF!</v>
      </c>
      <c r="BX271" s="2064">
        <v>264</v>
      </c>
      <c r="BY271" s="2064" t="s">
        <v>512</v>
      </c>
    </row>
    <row r="272" spans="1:77" s="1976" customFormat="1" ht="62" x14ac:dyDescent="0.35">
      <c r="A272" s="1372" t="s">
        <v>3046</v>
      </c>
      <c r="B272" s="1372" t="s">
        <v>191</v>
      </c>
      <c r="C272" s="1637">
        <v>0</v>
      </c>
      <c r="D272" s="2053" t="str">
        <f>+'[9]4.4.16'!$A$1</f>
        <v>4.4.16</v>
      </c>
      <c r="E272" s="1372" t="s">
        <v>163</v>
      </c>
      <c r="F272" s="1638">
        <v>2</v>
      </c>
      <c r="G272" s="1638">
        <v>2</v>
      </c>
      <c r="H272" s="1638">
        <v>2</v>
      </c>
      <c r="I272" s="1638">
        <v>2</v>
      </c>
      <c r="J272" s="1372" t="str">
        <f>+'[9]4.4.16'!$B$22</f>
        <v>CI-HVC-STRE-V05-180101</v>
      </c>
      <c r="K272" s="1372" t="str">
        <f t="shared" si="150"/>
        <v>Nicor Gas PY7-PY10 Adjustable Goals Template_2017-06-30, Tab 4.4.16</v>
      </c>
      <c r="L272" s="1639">
        <v>2213.6254477031248</v>
      </c>
      <c r="M272" s="1639">
        <v>2213.6254477031248</v>
      </c>
      <c r="N272" s="1639">
        <v>2213.6254477031248</v>
      </c>
      <c r="O272" s="1639">
        <v>2213.6254477031248</v>
      </c>
      <c r="P272" s="1637">
        <v>0.81</v>
      </c>
      <c r="Q272" s="1637">
        <v>0.81</v>
      </c>
      <c r="R272" s="1637">
        <v>0.81</v>
      </c>
      <c r="S272" s="1637">
        <v>0.81</v>
      </c>
      <c r="T272" s="1640">
        <f t="shared" si="151"/>
        <v>3586.0732252790622</v>
      </c>
      <c r="U272" s="1640">
        <f t="shared" si="152"/>
        <v>3586.0732252790622</v>
      </c>
      <c r="V272" s="1640">
        <f t="shared" si="153"/>
        <v>3586.0732252790622</v>
      </c>
      <c r="W272" s="1640">
        <f t="shared" si="154"/>
        <v>3586.0732252790622</v>
      </c>
      <c r="X272" s="1640">
        <f t="shared" si="155"/>
        <v>14344.292901116249</v>
      </c>
      <c r="Y272" s="1372" t="str">
        <f t="shared" si="187"/>
        <v>CI-HVC-STRE-V05-180101</v>
      </c>
      <c r="Z272" s="1372" t="str">
        <f t="shared" si="178"/>
        <v>Nicor Gas PY7-PY10 Adjustable Goals Template_2017-06-30, Tab 4.4.16</v>
      </c>
      <c r="AA272" s="1840">
        <f t="shared" si="179"/>
        <v>2213.6254477031248</v>
      </c>
      <c r="AB272" s="2028"/>
      <c r="AC272" s="1840">
        <f t="shared" si="156"/>
        <v>3586.0732252790622</v>
      </c>
      <c r="AD272" s="1840">
        <f t="shared" si="157"/>
        <v>0</v>
      </c>
      <c r="AE272" s="1372" t="s">
        <v>2796</v>
      </c>
      <c r="AF272" s="1372" t="s">
        <v>3382</v>
      </c>
      <c r="AG272" s="1639">
        <v>2213.6254477031248</v>
      </c>
      <c r="AH272" s="1372" t="s">
        <v>3445</v>
      </c>
      <c r="AI272" s="1640">
        <f t="shared" si="158"/>
        <v>3586.0732252790622</v>
      </c>
      <c r="AJ272" s="1638">
        <f t="shared" si="159"/>
        <v>0</v>
      </c>
      <c r="AK272" s="1372" t="s">
        <v>2796</v>
      </c>
      <c r="AL272" s="1372" t="s">
        <v>3382</v>
      </c>
      <c r="AM272" s="1639">
        <v>2213.6254477031248</v>
      </c>
      <c r="AN272" s="1372" t="str">
        <f t="shared" si="188"/>
        <v>No change</v>
      </c>
      <c r="AO272" s="1640">
        <f t="shared" si="160"/>
        <v>3586.0732252790622</v>
      </c>
      <c r="AP272" s="1638">
        <f t="shared" si="161"/>
        <v>0</v>
      </c>
      <c r="AQ272" s="1372" t="s">
        <v>2796</v>
      </c>
      <c r="AR272" s="1372" t="s">
        <v>3382</v>
      </c>
      <c r="AS272" s="1639">
        <v>2213.6254477031248</v>
      </c>
      <c r="AT272" s="1372" t="str">
        <f t="shared" si="189"/>
        <v>No change</v>
      </c>
      <c r="AU272" s="1640">
        <f t="shared" si="162"/>
        <v>3586.0732252790622</v>
      </c>
      <c r="AV272" s="1638">
        <f t="shared" si="163"/>
        <v>0</v>
      </c>
      <c r="AW272" s="2044">
        <f t="shared" si="164"/>
        <v>3586.0732252790622</v>
      </c>
      <c r="AX272" s="2044">
        <f t="shared" si="165"/>
        <v>3586.0732252790622</v>
      </c>
      <c r="AY272" s="2044">
        <f t="shared" si="166"/>
        <v>3586.0732252790622</v>
      </c>
      <c r="AZ272" s="2044">
        <f t="shared" si="167"/>
        <v>3586.0732252790622</v>
      </c>
      <c r="BA272" s="2045">
        <f t="shared" si="168"/>
        <v>14344.292901116249</v>
      </c>
      <c r="BB272" s="2045" t="str">
        <f>+'[9]4.4.16'!$A$1</f>
        <v>4.4.16</v>
      </c>
      <c r="BC272" s="2045" t="str">
        <f>+'[9]4.4.16'!$A$1</f>
        <v>4.4.16</v>
      </c>
      <c r="BD272" s="2045">
        <v>0</v>
      </c>
      <c r="BE272" s="2051">
        <v>6</v>
      </c>
      <c r="BF272" s="2051">
        <v>6</v>
      </c>
      <c r="BG272" s="2051">
        <v>6</v>
      </c>
      <c r="BH272" s="2051">
        <v>6</v>
      </c>
      <c r="BI272" s="2045">
        <f t="shared" si="183"/>
        <v>21516.439351674373</v>
      </c>
      <c r="BJ272" s="2045">
        <f t="shared" si="184"/>
        <v>21516.439351674373</v>
      </c>
      <c r="BK272" s="2045">
        <f t="shared" si="185"/>
        <v>21516.439351674373</v>
      </c>
      <c r="BL272" s="2045">
        <f t="shared" si="186"/>
        <v>21516.439351674373</v>
      </c>
      <c r="BM272" s="2045">
        <f t="shared" si="169"/>
        <v>86065.757406697492</v>
      </c>
      <c r="BN272" s="2047">
        <v>6</v>
      </c>
      <c r="BO272" s="2047">
        <v>6</v>
      </c>
      <c r="BP272" s="2047">
        <v>6</v>
      </c>
      <c r="BQ272" s="2047">
        <v>6</v>
      </c>
      <c r="BR272" s="2048">
        <f t="shared" si="170"/>
        <v>21516.439351674373</v>
      </c>
      <c r="BS272" s="2048">
        <f t="shared" si="171"/>
        <v>21516.439351674373</v>
      </c>
      <c r="BT272" s="2048">
        <f t="shared" si="172"/>
        <v>21516.439351674373</v>
      </c>
      <c r="BU272" s="2048">
        <f t="shared" si="173"/>
        <v>21516.439351674373</v>
      </c>
      <c r="BV272" s="1840">
        <f t="shared" si="174"/>
        <v>86065.757406697492</v>
      </c>
      <c r="BW272" s="2064" t="e">
        <f>INT(#REF!)=INT(BA272)</f>
        <v>#REF!</v>
      </c>
      <c r="BX272" s="2064">
        <v>265</v>
      </c>
      <c r="BY272" s="2064" t="s">
        <v>512</v>
      </c>
    </row>
    <row r="273" spans="1:77" s="1976" customFormat="1" ht="62" x14ac:dyDescent="0.35">
      <c r="A273" s="1372" t="s">
        <v>3046</v>
      </c>
      <c r="B273" s="1372" t="s">
        <v>192</v>
      </c>
      <c r="C273" s="1637">
        <v>0</v>
      </c>
      <c r="D273" s="2053" t="str">
        <f>+'[9]4.4.16'!$A$1</f>
        <v>4.4.16</v>
      </c>
      <c r="E273" s="1372" t="s">
        <v>163</v>
      </c>
      <c r="F273" s="1638">
        <v>2</v>
      </c>
      <c r="G273" s="1638">
        <v>2</v>
      </c>
      <c r="H273" s="1638">
        <v>2</v>
      </c>
      <c r="I273" s="1638">
        <v>2</v>
      </c>
      <c r="J273" s="1372" t="str">
        <f>+'[9]4.4.16'!$B$22</f>
        <v>CI-HVC-STRE-V05-180101</v>
      </c>
      <c r="K273" s="1372" t="str">
        <f t="shared" si="150"/>
        <v>Nicor Gas PY7-PY10 Adjustable Goals Template_2017-06-30, Tab 4.4.16</v>
      </c>
      <c r="L273" s="1639">
        <v>3992.2149052500004</v>
      </c>
      <c r="M273" s="1639">
        <v>3992.2149052500004</v>
      </c>
      <c r="N273" s="1639">
        <v>3992.2149052500004</v>
      </c>
      <c r="O273" s="1639">
        <v>3992.2149052500004</v>
      </c>
      <c r="P273" s="1637">
        <v>0.81</v>
      </c>
      <c r="Q273" s="1637">
        <v>0.81</v>
      </c>
      <c r="R273" s="1637">
        <v>0.81</v>
      </c>
      <c r="S273" s="1637">
        <v>0.81</v>
      </c>
      <c r="T273" s="1640">
        <f t="shared" si="151"/>
        <v>6467.3881465050008</v>
      </c>
      <c r="U273" s="1640">
        <f t="shared" si="152"/>
        <v>6467.3881465050008</v>
      </c>
      <c r="V273" s="1640">
        <f t="shared" si="153"/>
        <v>6467.3881465050008</v>
      </c>
      <c r="W273" s="1640">
        <f t="shared" si="154"/>
        <v>6467.3881465050008</v>
      </c>
      <c r="X273" s="1640">
        <f t="shared" si="155"/>
        <v>25869.552586020003</v>
      </c>
      <c r="Y273" s="1372" t="str">
        <f t="shared" si="187"/>
        <v>CI-HVC-STRE-V05-180101</v>
      </c>
      <c r="Z273" s="1372" t="str">
        <f t="shared" si="178"/>
        <v>Nicor Gas PY7-PY10 Adjustable Goals Template_2017-06-30, Tab 4.4.16</v>
      </c>
      <c r="AA273" s="1840">
        <f t="shared" si="179"/>
        <v>3992.2149052500004</v>
      </c>
      <c r="AB273" s="2028"/>
      <c r="AC273" s="1840">
        <f t="shared" si="156"/>
        <v>6467.3881465050008</v>
      </c>
      <c r="AD273" s="1840">
        <f t="shared" si="157"/>
        <v>0</v>
      </c>
      <c r="AE273" s="1372" t="s">
        <v>2796</v>
      </c>
      <c r="AF273" s="1372" t="s">
        <v>3382</v>
      </c>
      <c r="AG273" s="1639">
        <v>3992.2149052500004</v>
      </c>
      <c r="AH273" s="1372" t="s">
        <v>3445</v>
      </c>
      <c r="AI273" s="1640">
        <f t="shared" si="158"/>
        <v>6467.3881465050008</v>
      </c>
      <c r="AJ273" s="1638">
        <f t="shared" si="159"/>
        <v>0</v>
      </c>
      <c r="AK273" s="1372" t="s">
        <v>2796</v>
      </c>
      <c r="AL273" s="1372" t="s">
        <v>3382</v>
      </c>
      <c r="AM273" s="1639">
        <v>3992.2149052500004</v>
      </c>
      <c r="AN273" s="1372" t="str">
        <f t="shared" si="188"/>
        <v>No change</v>
      </c>
      <c r="AO273" s="1640">
        <f t="shared" si="160"/>
        <v>6467.3881465050008</v>
      </c>
      <c r="AP273" s="1638">
        <f t="shared" si="161"/>
        <v>0</v>
      </c>
      <c r="AQ273" s="1372" t="s">
        <v>2796</v>
      </c>
      <c r="AR273" s="1372" t="s">
        <v>3382</v>
      </c>
      <c r="AS273" s="1639">
        <v>3992.2149052500004</v>
      </c>
      <c r="AT273" s="1372" t="str">
        <f t="shared" si="189"/>
        <v>No change</v>
      </c>
      <c r="AU273" s="1640">
        <f t="shared" si="162"/>
        <v>6467.3881465050008</v>
      </c>
      <c r="AV273" s="1638">
        <f t="shared" si="163"/>
        <v>0</v>
      </c>
      <c r="AW273" s="2044">
        <f t="shared" si="164"/>
        <v>6467.3881465050008</v>
      </c>
      <c r="AX273" s="2044">
        <f t="shared" si="165"/>
        <v>6467.3881465050008</v>
      </c>
      <c r="AY273" s="2044">
        <f t="shared" si="166"/>
        <v>6467.3881465050008</v>
      </c>
      <c r="AZ273" s="2044">
        <f t="shared" si="167"/>
        <v>6467.3881465050008</v>
      </c>
      <c r="BA273" s="2045">
        <f t="shared" si="168"/>
        <v>25869.552586020003</v>
      </c>
      <c r="BB273" s="2045" t="str">
        <f>+'[9]4.4.16'!$A$1</f>
        <v>4.4.16</v>
      </c>
      <c r="BC273" s="2045" t="str">
        <f>+'[9]4.4.16'!$A$1</f>
        <v>4.4.16</v>
      </c>
      <c r="BD273" s="2045">
        <v>0</v>
      </c>
      <c r="BE273" s="2051">
        <v>6</v>
      </c>
      <c r="BF273" s="2051">
        <v>6</v>
      </c>
      <c r="BG273" s="2051">
        <v>6</v>
      </c>
      <c r="BH273" s="2051">
        <v>6</v>
      </c>
      <c r="BI273" s="2045">
        <f t="shared" si="183"/>
        <v>38804.328879030007</v>
      </c>
      <c r="BJ273" s="2045">
        <f t="shared" si="184"/>
        <v>38804.328879030007</v>
      </c>
      <c r="BK273" s="2045">
        <f t="shared" si="185"/>
        <v>38804.328879030007</v>
      </c>
      <c r="BL273" s="2045">
        <f t="shared" si="186"/>
        <v>38804.328879030007</v>
      </c>
      <c r="BM273" s="2045">
        <f t="shared" si="169"/>
        <v>155217.31551612003</v>
      </c>
      <c r="BN273" s="2047">
        <v>6</v>
      </c>
      <c r="BO273" s="2047">
        <v>6</v>
      </c>
      <c r="BP273" s="2047">
        <v>6</v>
      </c>
      <c r="BQ273" s="2047">
        <v>6</v>
      </c>
      <c r="BR273" s="2048">
        <f t="shared" si="170"/>
        <v>38804.328879030007</v>
      </c>
      <c r="BS273" s="2048">
        <f t="shared" si="171"/>
        <v>38804.328879030007</v>
      </c>
      <c r="BT273" s="2048">
        <f t="shared" si="172"/>
        <v>38804.328879030007</v>
      </c>
      <c r="BU273" s="2048">
        <f t="shared" si="173"/>
        <v>38804.328879030007</v>
      </c>
      <c r="BV273" s="1840">
        <f t="shared" si="174"/>
        <v>155217.31551612003</v>
      </c>
      <c r="BW273" s="2064" t="e">
        <f>INT(#REF!)=INT(BA273)</f>
        <v>#REF!</v>
      </c>
      <c r="BX273" s="2064">
        <v>266</v>
      </c>
      <c r="BY273" s="2064" t="s">
        <v>512</v>
      </c>
    </row>
    <row r="274" spans="1:77" s="1976" customFormat="1" ht="62" x14ac:dyDescent="0.35">
      <c r="A274" s="1372" t="s">
        <v>3046</v>
      </c>
      <c r="B274" s="1372" t="s">
        <v>193</v>
      </c>
      <c r="C274" s="1637">
        <v>0</v>
      </c>
      <c r="D274" s="2053" t="str">
        <f>+'[9]4.4.16'!$A$1</f>
        <v>4.4.16</v>
      </c>
      <c r="E274" s="1372" t="s">
        <v>163</v>
      </c>
      <c r="F274" s="1638">
        <v>2</v>
      </c>
      <c r="G274" s="1638">
        <v>2</v>
      </c>
      <c r="H274" s="1638">
        <v>2</v>
      </c>
      <c r="I274" s="1638">
        <v>2</v>
      </c>
      <c r="J274" s="1372" t="str">
        <f>+'[9]4.4.16'!$B$22</f>
        <v>CI-HVC-STRE-V05-180101</v>
      </c>
      <c r="K274" s="1372" t="str">
        <f t="shared" si="150"/>
        <v>Nicor Gas PY7-PY10 Adjustable Goals Template_2017-06-30, Tab 4.4.16</v>
      </c>
      <c r="L274" s="1639">
        <v>5412.6123143718742</v>
      </c>
      <c r="M274" s="1639">
        <v>5412.6123143718742</v>
      </c>
      <c r="N274" s="1639">
        <v>5412.6123143718742</v>
      </c>
      <c r="O274" s="1639">
        <v>5412.6123143718742</v>
      </c>
      <c r="P274" s="1637">
        <v>0.81</v>
      </c>
      <c r="Q274" s="1637">
        <v>0.81</v>
      </c>
      <c r="R274" s="1637">
        <v>0.81</v>
      </c>
      <c r="S274" s="1637">
        <v>0.81</v>
      </c>
      <c r="T274" s="1640">
        <f t="shared" si="151"/>
        <v>8768.4319492824361</v>
      </c>
      <c r="U274" s="1640">
        <f t="shared" si="152"/>
        <v>8768.4319492824361</v>
      </c>
      <c r="V274" s="1640">
        <f t="shared" si="153"/>
        <v>8768.4319492824361</v>
      </c>
      <c r="W274" s="1640">
        <f t="shared" si="154"/>
        <v>8768.4319492824361</v>
      </c>
      <c r="X274" s="1640">
        <f t="shared" si="155"/>
        <v>35073.727797129744</v>
      </c>
      <c r="Y274" s="1372" t="str">
        <f t="shared" si="187"/>
        <v>CI-HVC-STRE-V05-180101</v>
      </c>
      <c r="Z274" s="1372" t="str">
        <f t="shared" si="178"/>
        <v>Nicor Gas PY7-PY10 Adjustable Goals Template_2017-06-30, Tab 4.4.16</v>
      </c>
      <c r="AA274" s="1840">
        <f t="shared" si="179"/>
        <v>5412.6123143718742</v>
      </c>
      <c r="AB274" s="2028"/>
      <c r="AC274" s="1840">
        <f t="shared" si="156"/>
        <v>8768.4319492824361</v>
      </c>
      <c r="AD274" s="1840">
        <f t="shared" si="157"/>
        <v>0</v>
      </c>
      <c r="AE274" s="1372" t="s">
        <v>2796</v>
      </c>
      <c r="AF274" s="1372" t="s">
        <v>3382</v>
      </c>
      <c r="AG274" s="1639">
        <v>5412.6123143718742</v>
      </c>
      <c r="AH274" s="1372" t="s">
        <v>3445</v>
      </c>
      <c r="AI274" s="1640">
        <f t="shared" si="158"/>
        <v>8768.4319492824361</v>
      </c>
      <c r="AJ274" s="1638">
        <f t="shared" si="159"/>
        <v>0</v>
      </c>
      <c r="AK274" s="1372" t="s">
        <v>2796</v>
      </c>
      <c r="AL274" s="1372" t="s">
        <v>3382</v>
      </c>
      <c r="AM274" s="1639">
        <v>5412.6123143718742</v>
      </c>
      <c r="AN274" s="1372" t="str">
        <f t="shared" si="188"/>
        <v>No change</v>
      </c>
      <c r="AO274" s="1640">
        <f t="shared" si="160"/>
        <v>8768.4319492824361</v>
      </c>
      <c r="AP274" s="1638">
        <f t="shared" si="161"/>
        <v>0</v>
      </c>
      <c r="AQ274" s="1372" t="s">
        <v>2796</v>
      </c>
      <c r="AR274" s="1372" t="s">
        <v>3382</v>
      </c>
      <c r="AS274" s="1639">
        <v>5412.6123143718742</v>
      </c>
      <c r="AT274" s="1372" t="str">
        <f t="shared" si="189"/>
        <v>No change</v>
      </c>
      <c r="AU274" s="1640">
        <f t="shared" si="162"/>
        <v>8768.4319492824361</v>
      </c>
      <c r="AV274" s="1638">
        <f t="shared" si="163"/>
        <v>0</v>
      </c>
      <c r="AW274" s="2044">
        <f t="shared" si="164"/>
        <v>8768.4319492824361</v>
      </c>
      <c r="AX274" s="2044">
        <f t="shared" si="165"/>
        <v>8768.4319492824361</v>
      </c>
      <c r="AY274" s="2044">
        <f t="shared" si="166"/>
        <v>8768.4319492824361</v>
      </c>
      <c r="AZ274" s="2044">
        <f t="shared" si="167"/>
        <v>8768.4319492824361</v>
      </c>
      <c r="BA274" s="2045">
        <f t="shared" si="168"/>
        <v>35073.727797129744</v>
      </c>
      <c r="BB274" s="2045" t="str">
        <f>+'[9]4.4.16'!$A$1</f>
        <v>4.4.16</v>
      </c>
      <c r="BC274" s="2045" t="str">
        <f>+'[9]4.4.16'!$A$1</f>
        <v>4.4.16</v>
      </c>
      <c r="BD274" s="2045">
        <v>0</v>
      </c>
      <c r="BE274" s="2051">
        <v>6</v>
      </c>
      <c r="BF274" s="2051">
        <v>6</v>
      </c>
      <c r="BG274" s="2051">
        <v>6</v>
      </c>
      <c r="BH274" s="2051">
        <v>6</v>
      </c>
      <c r="BI274" s="2045">
        <f t="shared" si="183"/>
        <v>52610.591695694617</v>
      </c>
      <c r="BJ274" s="2045">
        <f t="shared" si="184"/>
        <v>52610.591695694617</v>
      </c>
      <c r="BK274" s="2045">
        <f t="shared" si="185"/>
        <v>52610.591695694617</v>
      </c>
      <c r="BL274" s="2045">
        <f t="shared" si="186"/>
        <v>52610.591695694617</v>
      </c>
      <c r="BM274" s="2045">
        <f t="shared" si="169"/>
        <v>210442.36678277847</v>
      </c>
      <c r="BN274" s="2047">
        <v>6</v>
      </c>
      <c r="BO274" s="2047">
        <v>6</v>
      </c>
      <c r="BP274" s="2047">
        <v>6</v>
      </c>
      <c r="BQ274" s="2047">
        <v>6</v>
      </c>
      <c r="BR274" s="2048">
        <f t="shared" si="170"/>
        <v>52610.591695694617</v>
      </c>
      <c r="BS274" s="2048">
        <f t="shared" si="171"/>
        <v>52610.591695694617</v>
      </c>
      <c r="BT274" s="2048">
        <f t="shared" si="172"/>
        <v>52610.591695694617</v>
      </c>
      <c r="BU274" s="2048">
        <f t="shared" si="173"/>
        <v>52610.591695694617</v>
      </c>
      <c r="BV274" s="1840">
        <f t="shared" si="174"/>
        <v>210442.36678277847</v>
      </c>
      <c r="BW274" s="2064" t="e">
        <f>INT(#REF!)=INT(BA274)</f>
        <v>#REF!</v>
      </c>
      <c r="BX274" s="2064">
        <v>267</v>
      </c>
      <c r="BY274" s="2064" t="s">
        <v>512</v>
      </c>
    </row>
    <row r="275" spans="1:77" s="1976" customFormat="1" ht="62" x14ac:dyDescent="0.35">
      <c r="A275" s="1372" t="s">
        <v>3046</v>
      </c>
      <c r="B275" s="1372" t="s">
        <v>196</v>
      </c>
      <c r="C275" s="1637">
        <v>0</v>
      </c>
      <c r="D275" s="2053" t="str">
        <f>+'[9]4.4.16'!$A$1</f>
        <v>4.4.16</v>
      </c>
      <c r="E275" s="1372" t="s">
        <v>163</v>
      </c>
      <c r="F275" s="1638">
        <v>480</v>
      </c>
      <c r="G275" s="1638">
        <v>480</v>
      </c>
      <c r="H275" s="1638">
        <v>480</v>
      </c>
      <c r="I275" s="1638">
        <v>480</v>
      </c>
      <c r="J275" s="1372" t="str">
        <f>+'[9]4.4.16'!$B$22</f>
        <v>CI-HVC-STRE-V05-180101</v>
      </c>
      <c r="K275" s="1372" t="str">
        <f t="shared" si="150"/>
        <v>Nicor Gas PY7-PY10 Adjustable Goals Template_2017-06-30, Tab 4.4.16</v>
      </c>
      <c r="L275" s="1639">
        <v>515.28218749999996</v>
      </c>
      <c r="M275" s="1639">
        <v>515.28218749999996</v>
      </c>
      <c r="N275" s="1639">
        <v>515.28218749999996</v>
      </c>
      <c r="O275" s="1639">
        <v>515.28218749999996</v>
      </c>
      <c r="P275" s="1637">
        <v>0.81</v>
      </c>
      <c r="Q275" s="1637">
        <v>0.81</v>
      </c>
      <c r="R275" s="1637">
        <v>0.81</v>
      </c>
      <c r="S275" s="1637">
        <v>0.81</v>
      </c>
      <c r="T275" s="1640">
        <f t="shared" si="151"/>
        <v>200341.7145</v>
      </c>
      <c r="U275" s="1640">
        <f t="shared" si="152"/>
        <v>200341.7145</v>
      </c>
      <c r="V275" s="1640">
        <f t="shared" si="153"/>
        <v>200341.7145</v>
      </c>
      <c r="W275" s="1640">
        <f t="shared" si="154"/>
        <v>200341.7145</v>
      </c>
      <c r="X275" s="1640">
        <f t="shared" si="155"/>
        <v>801366.85800000001</v>
      </c>
      <c r="Y275" s="1372" t="str">
        <f t="shared" si="187"/>
        <v>CI-HVC-STRE-V05-180101</v>
      </c>
      <c r="Z275" s="1372" t="str">
        <f t="shared" si="178"/>
        <v>Nicor Gas PY7-PY10 Adjustable Goals Template_2017-06-30, Tab 4.4.16</v>
      </c>
      <c r="AA275" s="1840">
        <f t="shared" si="179"/>
        <v>515.28218749999996</v>
      </c>
      <c r="AB275" s="2028"/>
      <c r="AC275" s="1840">
        <f t="shared" si="156"/>
        <v>200341.7145</v>
      </c>
      <c r="AD275" s="1840">
        <f t="shared" si="157"/>
        <v>0</v>
      </c>
      <c r="AE275" s="1372" t="s">
        <v>2796</v>
      </c>
      <c r="AF275" s="1372" t="s">
        <v>3382</v>
      </c>
      <c r="AG275" s="1639">
        <v>515.28218749999996</v>
      </c>
      <c r="AH275" s="1372" t="s">
        <v>3445</v>
      </c>
      <c r="AI275" s="1640">
        <f t="shared" si="158"/>
        <v>200341.7145</v>
      </c>
      <c r="AJ275" s="1638">
        <f t="shared" si="159"/>
        <v>0</v>
      </c>
      <c r="AK275" s="1372" t="s">
        <v>2796</v>
      </c>
      <c r="AL275" s="1372" t="s">
        <v>3382</v>
      </c>
      <c r="AM275" s="1639">
        <v>515.28218749999996</v>
      </c>
      <c r="AN275" s="1372" t="str">
        <f t="shared" si="188"/>
        <v>No change</v>
      </c>
      <c r="AO275" s="1640">
        <f t="shared" si="160"/>
        <v>200341.7145</v>
      </c>
      <c r="AP275" s="1638">
        <f t="shared" si="161"/>
        <v>0</v>
      </c>
      <c r="AQ275" s="1372" t="s">
        <v>2796</v>
      </c>
      <c r="AR275" s="1372" t="s">
        <v>3382</v>
      </c>
      <c r="AS275" s="1639">
        <v>515.28218749999996</v>
      </c>
      <c r="AT275" s="1372" t="str">
        <f t="shared" si="189"/>
        <v>No change</v>
      </c>
      <c r="AU275" s="1640">
        <f t="shared" si="162"/>
        <v>200341.7145</v>
      </c>
      <c r="AV275" s="1638">
        <f t="shared" si="163"/>
        <v>0</v>
      </c>
      <c r="AW275" s="2044">
        <f t="shared" si="164"/>
        <v>200341.7145</v>
      </c>
      <c r="AX275" s="2044">
        <f t="shared" si="165"/>
        <v>200341.7145</v>
      </c>
      <c r="AY275" s="2044">
        <f t="shared" si="166"/>
        <v>200341.7145</v>
      </c>
      <c r="AZ275" s="2044">
        <f t="shared" si="167"/>
        <v>200341.7145</v>
      </c>
      <c r="BA275" s="2045">
        <f t="shared" si="168"/>
        <v>801366.85800000001</v>
      </c>
      <c r="BB275" s="2045" t="str">
        <f>+'[9]4.4.16'!$A$1</f>
        <v>4.4.16</v>
      </c>
      <c r="BC275" s="2045" t="str">
        <f>+'[9]4.4.16'!$A$1</f>
        <v>4.4.16</v>
      </c>
      <c r="BD275" s="2045">
        <v>0</v>
      </c>
      <c r="BE275" s="2051">
        <v>6</v>
      </c>
      <c r="BF275" s="2051">
        <v>6</v>
      </c>
      <c r="BG275" s="2051">
        <v>6</v>
      </c>
      <c r="BH275" s="2051">
        <v>6</v>
      </c>
      <c r="BI275" s="2045">
        <f t="shared" si="183"/>
        <v>1202050.287</v>
      </c>
      <c r="BJ275" s="2045">
        <f t="shared" si="184"/>
        <v>1202050.287</v>
      </c>
      <c r="BK275" s="2045">
        <f t="shared" si="185"/>
        <v>1202050.287</v>
      </c>
      <c r="BL275" s="2045">
        <f t="shared" si="186"/>
        <v>1202050.287</v>
      </c>
      <c r="BM275" s="2045">
        <f t="shared" si="169"/>
        <v>4808201.148</v>
      </c>
      <c r="BN275" s="2047">
        <v>6</v>
      </c>
      <c r="BO275" s="2047">
        <v>6</v>
      </c>
      <c r="BP275" s="2047">
        <v>6</v>
      </c>
      <c r="BQ275" s="2047">
        <v>6</v>
      </c>
      <c r="BR275" s="2048">
        <f t="shared" si="170"/>
        <v>1202050.287</v>
      </c>
      <c r="BS275" s="2048">
        <f t="shared" si="171"/>
        <v>1202050.287</v>
      </c>
      <c r="BT275" s="2048">
        <f t="shared" si="172"/>
        <v>1202050.287</v>
      </c>
      <c r="BU275" s="2048">
        <f t="shared" si="173"/>
        <v>1202050.287</v>
      </c>
      <c r="BV275" s="1840">
        <f t="shared" si="174"/>
        <v>4808201.148</v>
      </c>
      <c r="BW275" s="2064" t="e">
        <f>INT(#REF!)=INT(BA275)</f>
        <v>#REF!</v>
      </c>
      <c r="BX275" s="2064">
        <v>268</v>
      </c>
      <c r="BY275" s="2064" t="s">
        <v>512</v>
      </c>
    </row>
    <row r="276" spans="1:77" s="1976" customFormat="1" ht="62" x14ac:dyDescent="0.35">
      <c r="A276" s="1372" t="s">
        <v>3046</v>
      </c>
      <c r="B276" s="1372" t="s">
        <v>170</v>
      </c>
      <c r="C276" s="1637">
        <v>0</v>
      </c>
      <c r="D276" s="2053" t="str">
        <f>+'[9]4.4.10'!$A$1</f>
        <v>4.4.10</v>
      </c>
      <c r="E276" s="1372" t="s">
        <v>163</v>
      </c>
      <c r="F276" s="1638">
        <v>16</v>
      </c>
      <c r="G276" s="1638">
        <v>16</v>
      </c>
      <c r="H276" s="1638">
        <v>16</v>
      </c>
      <c r="I276" s="1638">
        <v>16</v>
      </c>
      <c r="J276" s="1372" t="str">
        <f>+'[9]4.4.10'!$B$22</f>
        <v>CI-HVC-BOIL-V05-150601</v>
      </c>
      <c r="K276" s="1372" t="str">
        <f t="shared" si="150"/>
        <v>Nicor Gas PY7-PY10 Adjustable Goals Template_2017-06-30, Tab 4.4.10</v>
      </c>
      <c r="L276" s="1639">
        <v>447.53371592539509</v>
      </c>
      <c r="M276" s="1639">
        <v>447.53371592539509</v>
      </c>
      <c r="N276" s="1639">
        <v>447.53371592539509</v>
      </c>
      <c r="O276" s="1639">
        <v>447.53371592539509</v>
      </c>
      <c r="P276" s="1637">
        <v>0.81</v>
      </c>
      <c r="Q276" s="1637">
        <v>0.81</v>
      </c>
      <c r="R276" s="1637">
        <v>0.81</v>
      </c>
      <c r="S276" s="1637">
        <v>0.81</v>
      </c>
      <c r="T276" s="1640">
        <f t="shared" si="151"/>
        <v>5800.0369583931206</v>
      </c>
      <c r="U276" s="1640">
        <f t="shared" si="152"/>
        <v>5800.0369583931206</v>
      </c>
      <c r="V276" s="1640">
        <f t="shared" si="153"/>
        <v>5800.0369583931206</v>
      </c>
      <c r="W276" s="1640">
        <f t="shared" si="154"/>
        <v>5800.0369583931206</v>
      </c>
      <c r="X276" s="1640">
        <f t="shared" si="155"/>
        <v>23200.147833572482</v>
      </c>
      <c r="Y276" s="1372" t="str">
        <f t="shared" si="187"/>
        <v>CI-HVC-BOIL-V05-150601</v>
      </c>
      <c r="Z276" s="1372" t="str">
        <f t="shared" si="178"/>
        <v>Nicor Gas PY7-PY10 Adjustable Goals Template_2017-06-30, Tab 4.4.10</v>
      </c>
      <c r="AA276" s="1840">
        <f t="shared" si="179"/>
        <v>447.53371592539509</v>
      </c>
      <c r="AB276" s="2028"/>
      <c r="AC276" s="1840">
        <f t="shared" si="156"/>
        <v>5800.0369583931206</v>
      </c>
      <c r="AD276" s="1840">
        <f t="shared" si="157"/>
        <v>0</v>
      </c>
      <c r="AE276" s="1372" t="s">
        <v>198</v>
      </c>
      <c r="AF276" s="1372" t="s">
        <v>3359</v>
      </c>
      <c r="AG276" s="1639">
        <v>447.53371592539509</v>
      </c>
      <c r="AH276" s="1372" t="s">
        <v>3445</v>
      </c>
      <c r="AI276" s="1640">
        <f t="shared" si="158"/>
        <v>5800.0369583931206</v>
      </c>
      <c r="AJ276" s="1638">
        <f t="shared" si="159"/>
        <v>0</v>
      </c>
      <c r="AK276" s="1372" t="s">
        <v>198</v>
      </c>
      <c r="AL276" s="1372" t="s">
        <v>3359</v>
      </c>
      <c r="AM276" s="1639">
        <v>447.53371592539509</v>
      </c>
      <c r="AN276" s="1372" t="str">
        <f t="shared" si="188"/>
        <v>No change</v>
      </c>
      <c r="AO276" s="1640">
        <f t="shared" si="160"/>
        <v>5800.0369583931206</v>
      </c>
      <c r="AP276" s="1638">
        <f t="shared" si="161"/>
        <v>0</v>
      </c>
      <c r="AQ276" s="1372" t="s">
        <v>198</v>
      </c>
      <c r="AR276" s="1372" t="s">
        <v>3359</v>
      </c>
      <c r="AS276" s="1639">
        <v>447.53371592539509</v>
      </c>
      <c r="AT276" s="1372" t="str">
        <f t="shared" si="189"/>
        <v>No change</v>
      </c>
      <c r="AU276" s="1640">
        <f t="shared" si="162"/>
        <v>5800.0369583931206</v>
      </c>
      <c r="AV276" s="1638">
        <f t="shared" si="163"/>
        <v>0</v>
      </c>
      <c r="AW276" s="2044">
        <f t="shared" si="164"/>
        <v>5800.0369583931206</v>
      </c>
      <c r="AX276" s="2044">
        <f t="shared" si="165"/>
        <v>5800.0369583931206</v>
      </c>
      <c r="AY276" s="2044">
        <f t="shared" si="166"/>
        <v>5800.0369583931206</v>
      </c>
      <c r="AZ276" s="2044">
        <f t="shared" si="167"/>
        <v>5800.0369583931206</v>
      </c>
      <c r="BA276" s="2045">
        <f t="shared" si="168"/>
        <v>23200.147833572482</v>
      </c>
      <c r="BB276" s="2045" t="str">
        <f>+'[9]4.4.10'!$A$1</f>
        <v>4.4.10</v>
      </c>
      <c r="BC276" s="2045" t="str">
        <f>+'[9]4.4.10'!$A$1</f>
        <v>4.4.10</v>
      </c>
      <c r="BD276" s="2045">
        <v>0</v>
      </c>
      <c r="BE276" s="2051">
        <v>20</v>
      </c>
      <c r="BF276" s="2051">
        <v>20</v>
      </c>
      <c r="BG276" s="2051">
        <v>20</v>
      </c>
      <c r="BH276" s="2051">
        <v>20</v>
      </c>
      <c r="BI276" s="2045">
        <f t="shared" si="183"/>
        <v>116000.73916786241</v>
      </c>
      <c r="BJ276" s="2045">
        <f t="shared" si="184"/>
        <v>116000.73916786241</v>
      </c>
      <c r="BK276" s="2045">
        <f t="shared" si="185"/>
        <v>116000.73916786241</v>
      </c>
      <c r="BL276" s="2045">
        <f t="shared" si="186"/>
        <v>116000.73916786241</v>
      </c>
      <c r="BM276" s="2045">
        <f t="shared" si="169"/>
        <v>464002.95667144965</v>
      </c>
      <c r="BN276" s="2047">
        <v>20</v>
      </c>
      <c r="BO276" s="2047">
        <v>20</v>
      </c>
      <c r="BP276" s="2047">
        <v>20</v>
      </c>
      <c r="BQ276" s="2047">
        <v>20</v>
      </c>
      <c r="BR276" s="2048">
        <f t="shared" si="170"/>
        <v>116000.73916786241</v>
      </c>
      <c r="BS276" s="2048">
        <f t="shared" si="171"/>
        <v>116000.73916786241</v>
      </c>
      <c r="BT276" s="2048">
        <f t="shared" si="172"/>
        <v>116000.73916786241</v>
      </c>
      <c r="BU276" s="2048">
        <f t="shared" si="173"/>
        <v>116000.73916786241</v>
      </c>
      <c r="BV276" s="1840">
        <f t="shared" si="174"/>
        <v>464002.95667144965</v>
      </c>
      <c r="BW276" s="2064" t="e">
        <f>INT(#REF!)=INT(BA276)</f>
        <v>#REF!</v>
      </c>
      <c r="BX276" s="2064">
        <v>269</v>
      </c>
      <c r="BY276" s="2064" t="s">
        <v>512</v>
      </c>
    </row>
    <row r="277" spans="1:77" s="1976" customFormat="1" ht="62" x14ac:dyDescent="0.35">
      <c r="A277" s="1372" t="s">
        <v>3046</v>
      </c>
      <c r="B277" s="1372" t="s">
        <v>171</v>
      </c>
      <c r="C277" s="1637">
        <v>0</v>
      </c>
      <c r="D277" s="2053" t="str">
        <f>+'[9]4.4.10'!$A$1</f>
        <v>4.4.10</v>
      </c>
      <c r="E277" s="1372" t="s">
        <v>163</v>
      </c>
      <c r="F277" s="1638">
        <v>16</v>
      </c>
      <c r="G277" s="1638">
        <v>16</v>
      </c>
      <c r="H277" s="1638">
        <v>16</v>
      </c>
      <c r="I277" s="1638">
        <v>16</v>
      </c>
      <c r="J277" s="1372" t="str">
        <f>+'[9]4.4.10'!$B$22</f>
        <v>CI-HVC-BOIL-V05-150601</v>
      </c>
      <c r="K277" s="1372" t="str">
        <f t="shared" si="150"/>
        <v>Nicor Gas PY7-PY10 Adjustable Goals Template_2017-06-30, Tab 4.4.10</v>
      </c>
      <c r="L277" s="1639">
        <v>744.39774748924049</v>
      </c>
      <c r="M277" s="1639">
        <v>744.39774748924049</v>
      </c>
      <c r="N277" s="1639">
        <v>744.39774748924049</v>
      </c>
      <c r="O277" s="1639">
        <v>744.39774748924049</v>
      </c>
      <c r="P277" s="1637">
        <v>0.81</v>
      </c>
      <c r="Q277" s="1637">
        <v>0.81</v>
      </c>
      <c r="R277" s="1637">
        <v>0.81</v>
      </c>
      <c r="S277" s="1637">
        <v>0.81</v>
      </c>
      <c r="T277" s="1640">
        <f t="shared" si="151"/>
        <v>9647.3948074605578</v>
      </c>
      <c r="U277" s="1640">
        <f t="shared" si="152"/>
        <v>9647.3948074605578</v>
      </c>
      <c r="V277" s="1640">
        <f t="shared" si="153"/>
        <v>9647.3948074605578</v>
      </c>
      <c r="W277" s="1640">
        <f t="shared" si="154"/>
        <v>9647.3948074605578</v>
      </c>
      <c r="X277" s="1640">
        <f t="shared" si="155"/>
        <v>38589.579229842231</v>
      </c>
      <c r="Y277" s="1372" t="str">
        <f t="shared" si="187"/>
        <v>CI-HVC-BOIL-V05-150601</v>
      </c>
      <c r="Z277" s="1372" t="str">
        <f t="shared" si="178"/>
        <v>Nicor Gas PY7-PY10 Adjustable Goals Template_2017-06-30, Tab 4.4.10</v>
      </c>
      <c r="AA277" s="1840">
        <f t="shared" si="179"/>
        <v>744.39774748924049</v>
      </c>
      <c r="AB277" s="2028"/>
      <c r="AC277" s="1840">
        <f t="shared" si="156"/>
        <v>9647.3948074605578</v>
      </c>
      <c r="AD277" s="1840">
        <f t="shared" si="157"/>
        <v>0</v>
      </c>
      <c r="AE277" s="1372" t="s">
        <v>198</v>
      </c>
      <c r="AF277" s="1372" t="s">
        <v>3359</v>
      </c>
      <c r="AG277" s="1639">
        <v>744.39774748924049</v>
      </c>
      <c r="AH277" s="1372" t="s">
        <v>3445</v>
      </c>
      <c r="AI277" s="1640">
        <f t="shared" si="158"/>
        <v>9647.3948074605578</v>
      </c>
      <c r="AJ277" s="1638">
        <f t="shared" si="159"/>
        <v>0</v>
      </c>
      <c r="AK277" s="1372" t="s">
        <v>198</v>
      </c>
      <c r="AL277" s="1372" t="s">
        <v>3359</v>
      </c>
      <c r="AM277" s="1639">
        <v>744.39774748924049</v>
      </c>
      <c r="AN277" s="1372" t="str">
        <f t="shared" si="188"/>
        <v>No change</v>
      </c>
      <c r="AO277" s="1640">
        <f t="shared" si="160"/>
        <v>9647.3948074605578</v>
      </c>
      <c r="AP277" s="1638">
        <f t="shared" si="161"/>
        <v>0</v>
      </c>
      <c r="AQ277" s="1372" t="s">
        <v>198</v>
      </c>
      <c r="AR277" s="1372" t="s">
        <v>3359</v>
      </c>
      <c r="AS277" s="1639">
        <v>744.39774748924049</v>
      </c>
      <c r="AT277" s="1372" t="str">
        <f t="shared" si="189"/>
        <v>No change</v>
      </c>
      <c r="AU277" s="1640">
        <f t="shared" si="162"/>
        <v>9647.3948074605578</v>
      </c>
      <c r="AV277" s="1638">
        <f t="shared" si="163"/>
        <v>0</v>
      </c>
      <c r="AW277" s="2044">
        <f t="shared" si="164"/>
        <v>9647.3948074605578</v>
      </c>
      <c r="AX277" s="2044">
        <f t="shared" si="165"/>
        <v>9647.3948074605578</v>
      </c>
      <c r="AY277" s="2044">
        <f t="shared" si="166"/>
        <v>9647.3948074605578</v>
      </c>
      <c r="AZ277" s="2044">
        <f t="shared" si="167"/>
        <v>9647.3948074605578</v>
      </c>
      <c r="BA277" s="2045">
        <f t="shared" si="168"/>
        <v>38589.579229842231</v>
      </c>
      <c r="BB277" s="2045" t="str">
        <f>+'[9]4.4.10'!$A$1</f>
        <v>4.4.10</v>
      </c>
      <c r="BC277" s="2045" t="str">
        <f>+'[9]4.4.10'!$A$1</f>
        <v>4.4.10</v>
      </c>
      <c r="BD277" s="2045">
        <v>0</v>
      </c>
      <c r="BE277" s="2051">
        <v>20</v>
      </c>
      <c r="BF277" s="2051">
        <v>20</v>
      </c>
      <c r="BG277" s="2051">
        <v>20</v>
      </c>
      <c r="BH277" s="2051">
        <v>20</v>
      </c>
      <c r="BI277" s="2045">
        <f t="shared" si="183"/>
        <v>192947.89614921116</v>
      </c>
      <c r="BJ277" s="2045">
        <f t="shared" si="184"/>
        <v>192947.89614921116</v>
      </c>
      <c r="BK277" s="2045">
        <f t="shared" si="185"/>
        <v>192947.89614921116</v>
      </c>
      <c r="BL277" s="2045">
        <f t="shared" si="186"/>
        <v>192947.89614921116</v>
      </c>
      <c r="BM277" s="2045">
        <f t="shared" si="169"/>
        <v>771791.58459684462</v>
      </c>
      <c r="BN277" s="2047">
        <v>20</v>
      </c>
      <c r="BO277" s="2047">
        <v>20</v>
      </c>
      <c r="BP277" s="2047">
        <v>20</v>
      </c>
      <c r="BQ277" s="2047">
        <v>20</v>
      </c>
      <c r="BR277" s="2048">
        <f t="shared" si="170"/>
        <v>192947.89614921116</v>
      </c>
      <c r="BS277" s="2048">
        <f t="shared" si="171"/>
        <v>192947.89614921116</v>
      </c>
      <c r="BT277" s="2048">
        <f t="shared" si="172"/>
        <v>192947.89614921116</v>
      </c>
      <c r="BU277" s="2048">
        <f t="shared" si="173"/>
        <v>192947.89614921116</v>
      </c>
      <c r="BV277" s="1840">
        <f t="shared" si="174"/>
        <v>771791.58459684462</v>
      </c>
      <c r="BW277" s="2064" t="e">
        <f>INT(#REF!)=INT(BA277)</f>
        <v>#REF!</v>
      </c>
      <c r="BX277" s="2064">
        <v>270</v>
      </c>
      <c r="BY277" s="2064" t="s">
        <v>512</v>
      </c>
    </row>
    <row r="278" spans="1:77" s="1976" customFormat="1" ht="62" x14ac:dyDescent="0.35">
      <c r="A278" s="1372" t="s">
        <v>3046</v>
      </c>
      <c r="B278" s="1372" t="s">
        <v>175</v>
      </c>
      <c r="C278" s="1637">
        <v>0</v>
      </c>
      <c r="D278" s="2053" t="str">
        <f>+'[9]4.4.10'!$A$1</f>
        <v>4.4.10</v>
      </c>
      <c r="E278" s="1372" t="s">
        <v>163</v>
      </c>
      <c r="F278" s="1638">
        <v>16</v>
      </c>
      <c r="G278" s="1638">
        <v>16</v>
      </c>
      <c r="H278" s="1638">
        <v>16</v>
      </c>
      <c r="I278" s="1638">
        <v>16</v>
      </c>
      <c r="J278" s="1372" t="str">
        <f>+'[9]4.4.10'!$B$22</f>
        <v>CI-HVC-BOIL-V05-150601</v>
      </c>
      <c r="K278" s="1372" t="str">
        <f t="shared" si="150"/>
        <v>Nicor Gas PY7-PY10 Adjustable Goals Template_2017-06-30, Tab 4.4.10</v>
      </c>
      <c r="L278" s="1639">
        <v>167.82514347202314</v>
      </c>
      <c r="M278" s="1639">
        <v>167.82514347202314</v>
      </c>
      <c r="N278" s="1639">
        <v>167.82514347202314</v>
      </c>
      <c r="O278" s="1639">
        <v>167.82514347202314</v>
      </c>
      <c r="P278" s="1637">
        <v>0.81</v>
      </c>
      <c r="Q278" s="1637">
        <v>0.81</v>
      </c>
      <c r="R278" s="1637">
        <v>0.81</v>
      </c>
      <c r="S278" s="1637">
        <v>0.81</v>
      </c>
      <c r="T278" s="1640">
        <f t="shared" si="151"/>
        <v>2175.0138593974202</v>
      </c>
      <c r="U278" s="1640">
        <f t="shared" si="152"/>
        <v>2175.0138593974202</v>
      </c>
      <c r="V278" s="1640">
        <f t="shared" si="153"/>
        <v>2175.0138593974202</v>
      </c>
      <c r="W278" s="1640">
        <f t="shared" si="154"/>
        <v>2175.0138593974202</v>
      </c>
      <c r="X278" s="1640">
        <f t="shared" si="155"/>
        <v>8700.0554375896809</v>
      </c>
      <c r="Y278" s="1372" t="str">
        <f t="shared" si="187"/>
        <v>CI-HVC-BOIL-V05-150601</v>
      </c>
      <c r="Z278" s="1372" t="str">
        <f t="shared" si="178"/>
        <v>Nicor Gas PY7-PY10 Adjustable Goals Template_2017-06-30, Tab 4.4.10</v>
      </c>
      <c r="AA278" s="1840">
        <f t="shared" si="179"/>
        <v>167.82514347202314</v>
      </c>
      <c r="AB278" s="2028"/>
      <c r="AC278" s="1840">
        <f t="shared" si="156"/>
        <v>2175.0138593974202</v>
      </c>
      <c r="AD278" s="1840">
        <f t="shared" si="157"/>
        <v>0</v>
      </c>
      <c r="AE278" s="1372" t="s">
        <v>198</v>
      </c>
      <c r="AF278" s="1372" t="s">
        <v>3359</v>
      </c>
      <c r="AG278" s="1639">
        <v>167.82514347202314</v>
      </c>
      <c r="AH278" s="1372" t="s">
        <v>3445</v>
      </c>
      <c r="AI278" s="1640">
        <f t="shared" si="158"/>
        <v>2175.0138593974202</v>
      </c>
      <c r="AJ278" s="1638">
        <f t="shared" si="159"/>
        <v>0</v>
      </c>
      <c r="AK278" s="1372" t="s">
        <v>198</v>
      </c>
      <c r="AL278" s="1372" t="s">
        <v>3359</v>
      </c>
      <c r="AM278" s="1639">
        <v>167.82514347202314</v>
      </c>
      <c r="AN278" s="1372" t="str">
        <f t="shared" si="188"/>
        <v>No change</v>
      </c>
      <c r="AO278" s="1640">
        <f t="shared" si="160"/>
        <v>2175.0138593974202</v>
      </c>
      <c r="AP278" s="1638">
        <f t="shared" si="161"/>
        <v>0</v>
      </c>
      <c r="AQ278" s="1372" t="s">
        <v>198</v>
      </c>
      <c r="AR278" s="1372" t="s">
        <v>3359</v>
      </c>
      <c r="AS278" s="1639">
        <v>167.82514347202314</v>
      </c>
      <c r="AT278" s="1372" t="str">
        <f t="shared" si="189"/>
        <v>No change</v>
      </c>
      <c r="AU278" s="1640">
        <f t="shared" si="162"/>
        <v>2175.0138593974202</v>
      </c>
      <c r="AV278" s="1638">
        <f t="shared" si="163"/>
        <v>0</v>
      </c>
      <c r="AW278" s="2044">
        <f t="shared" si="164"/>
        <v>2175.0138593974202</v>
      </c>
      <c r="AX278" s="2044">
        <f t="shared" si="165"/>
        <v>2175.0138593974202</v>
      </c>
      <c r="AY278" s="2044">
        <f t="shared" si="166"/>
        <v>2175.0138593974202</v>
      </c>
      <c r="AZ278" s="2044">
        <f t="shared" si="167"/>
        <v>2175.0138593974202</v>
      </c>
      <c r="BA278" s="2045">
        <f t="shared" si="168"/>
        <v>8700.0554375896809</v>
      </c>
      <c r="BB278" s="2045" t="str">
        <f>+'[9]4.4.10'!$A$1</f>
        <v>4.4.10</v>
      </c>
      <c r="BC278" s="2045" t="str">
        <f>+'[9]4.4.10'!$A$1</f>
        <v>4.4.10</v>
      </c>
      <c r="BD278" s="2045">
        <v>0</v>
      </c>
      <c r="BE278" s="2051">
        <v>20</v>
      </c>
      <c r="BF278" s="2051">
        <v>20</v>
      </c>
      <c r="BG278" s="2051">
        <v>20</v>
      </c>
      <c r="BH278" s="2051">
        <v>20</v>
      </c>
      <c r="BI278" s="2045">
        <f t="shared" si="183"/>
        <v>43500.277187948406</v>
      </c>
      <c r="BJ278" s="2045">
        <f t="shared" si="184"/>
        <v>43500.277187948406</v>
      </c>
      <c r="BK278" s="2045">
        <f t="shared" si="185"/>
        <v>43500.277187948406</v>
      </c>
      <c r="BL278" s="2045">
        <f t="shared" si="186"/>
        <v>43500.277187948406</v>
      </c>
      <c r="BM278" s="2045">
        <f t="shared" si="169"/>
        <v>174001.10875179362</v>
      </c>
      <c r="BN278" s="2047">
        <v>20</v>
      </c>
      <c r="BO278" s="2047">
        <v>20</v>
      </c>
      <c r="BP278" s="2047">
        <v>20</v>
      </c>
      <c r="BQ278" s="2047">
        <v>20</v>
      </c>
      <c r="BR278" s="2048">
        <f t="shared" si="170"/>
        <v>43500.277187948406</v>
      </c>
      <c r="BS278" s="2048">
        <f t="shared" si="171"/>
        <v>43500.277187948406</v>
      </c>
      <c r="BT278" s="2048">
        <f t="shared" si="172"/>
        <v>43500.277187948406</v>
      </c>
      <c r="BU278" s="2048">
        <f t="shared" si="173"/>
        <v>43500.277187948406</v>
      </c>
      <c r="BV278" s="1840">
        <f t="shared" si="174"/>
        <v>174001.10875179362</v>
      </c>
      <c r="BW278" s="2064" t="e">
        <f>INT(#REF!)=INT(BA278)</f>
        <v>#REF!</v>
      </c>
      <c r="BX278" s="2064">
        <v>271</v>
      </c>
      <c r="BY278" s="2064" t="s">
        <v>512</v>
      </c>
    </row>
    <row r="279" spans="1:77" s="1976" customFormat="1" ht="61.5" customHeight="1" x14ac:dyDescent="0.35">
      <c r="A279" s="1372" t="s">
        <v>3046</v>
      </c>
      <c r="B279" s="1372" t="s">
        <v>176</v>
      </c>
      <c r="C279" s="1637">
        <v>0</v>
      </c>
      <c r="D279" s="2053" t="str">
        <f>+'[9]4.4.10'!$A$1</f>
        <v>4.4.10</v>
      </c>
      <c r="E279" s="1372" t="s">
        <v>163</v>
      </c>
      <c r="F279" s="1638">
        <v>16</v>
      </c>
      <c r="G279" s="1638">
        <v>16</v>
      </c>
      <c r="H279" s="1638">
        <v>16</v>
      </c>
      <c r="I279" s="1638">
        <v>16</v>
      </c>
      <c r="J279" s="1372" t="str">
        <f>+'[9]4.4.10'!$B$22</f>
        <v>CI-HVC-BOIL-V05-150601</v>
      </c>
      <c r="K279" s="1372" t="str">
        <f t="shared" ref="K279:K286" si="190">IF(D279&lt;&gt;"Custom",CONCATENATE($H$1,", ",$I$1," ",D279),"")</f>
        <v>Nicor Gas PY7-PY10 Adjustable Goals Template_2017-06-30, Tab 4.4.10</v>
      </c>
      <c r="L279" s="1639">
        <v>279.1491553084652</v>
      </c>
      <c r="M279" s="1639">
        <v>279.1491553084652</v>
      </c>
      <c r="N279" s="1639">
        <v>279.1491553084652</v>
      </c>
      <c r="O279" s="1639">
        <v>279.1491553084652</v>
      </c>
      <c r="P279" s="1637">
        <v>0.81</v>
      </c>
      <c r="Q279" s="1637">
        <v>0.81</v>
      </c>
      <c r="R279" s="1637">
        <v>0.81</v>
      </c>
      <c r="S279" s="1637">
        <v>0.81</v>
      </c>
      <c r="T279" s="1640">
        <f t="shared" ref="T279:T286" si="191">+F279*L279*P279</f>
        <v>3617.7730527977092</v>
      </c>
      <c r="U279" s="1640">
        <f t="shared" ref="U279:U286" si="192">+G279*M279*Q279</f>
        <v>3617.7730527977092</v>
      </c>
      <c r="V279" s="1640">
        <f t="shared" ref="V279:V286" si="193">+H279*N279*R279</f>
        <v>3617.7730527977092</v>
      </c>
      <c r="W279" s="1640">
        <f t="shared" ref="W279:W286" si="194">+I279*O279*S279</f>
        <v>3617.7730527977092</v>
      </c>
      <c r="X279" s="1640">
        <f t="shared" ref="X279:X286" si="195">+SUM(T279:W279)</f>
        <v>14471.092211190837</v>
      </c>
      <c r="Y279" s="1372" t="str">
        <f t="shared" si="187"/>
        <v>CI-HVC-BOIL-V05-150601</v>
      </c>
      <c r="Z279" s="1372" t="str">
        <f t="shared" si="178"/>
        <v>Nicor Gas PY7-PY10 Adjustable Goals Template_2017-06-30, Tab 4.4.10</v>
      </c>
      <c r="AA279" s="1840">
        <f t="shared" si="179"/>
        <v>279.1491553084652</v>
      </c>
      <c r="AB279" s="2028"/>
      <c r="AC279" s="1840">
        <f t="shared" ref="AC279:AC286" si="196">F279*AA279*P279</f>
        <v>3617.7730527977092</v>
      </c>
      <c r="AD279" s="1840">
        <f t="shared" ref="AD279:AD286" si="197">AC279-T279</f>
        <v>0</v>
      </c>
      <c r="AE279" s="1372" t="s">
        <v>198</v>
      </c>
      <c r="AF279" s="1372" t="s">
        <v>3359</v>
      </c>
      <c r="AG279" s="1639">
        <v>279.1491553084652</v>
      </c>
      <c r="AH279" s="1372" t="s">
        <v>3445</v>
      </c>
      <c r="AI279" s="1640">
        <f t="shared" ref="AI279:AI286" si="198">G279*AG279*Q279</f>
        <v>3617.7730527977092</v>
      </c>
      <c r="AJ279" s="1638">
        <f t="shared" ref="AJ279:AJ286" si="199">AI279-U279</f>
        <v>0</v>
      </c>
      <c r="AK279" s="1372" t="s">
        <v>198</v>
      </c>
      <c r="AL279" s="1372" t="s">
        <v>3359</v>
      </c>
      <c r="AM279" s="1639">
        <v>279.1491553084652</v>
      </c>
      <c r="AN279" s="1372" t="str">
        <f t="shared" si="188"/>
        <v>No change</v>
      </c>
      <c r="AO279" s="1640">
        <f t="shared" ref="AO279:AO286" si="200">H279*AM279*R279</f>
        <v>3617.7730527977092</v>
      </c>
      <c r="AP279" s="1638">
        <f t="shared" ref="AP279:AP286" si="201">AO279-V279</f>
        <v>0</v>
      </c>
      <c r="AQ279" s="1372" t="s">
        <v>198</v>
      </c>
      <c r="AR279" s="1372" t="s">
        <v>3359</v>
      </c>
      <c r="AS279" s="1639">
        <v>279.1491553084652</v>
      </c>
      <c r="AT279" s="1372" t="str">
        <f t="shared" si="189"/>
        <v>No change</v>
      </c>
      <c r="AU279" s="1640">
        <f t="shared" ref="AU279:AU286" si="202">I279*AS279*S279</f>
        <v>3617.7730527977092</v>
      </c>
      <c r="AV279" s="1638">
        <f t="shared" ref="AV279:AV286" si="203">AU279-W279</f>
        <v>0</v>
      </c>
      <c r="AW279" s="2044">
        <f t="shared" ref="AW279:AW286" si="204">IF($C279=1,AC279,T279)</f>
        <v>3617.7730527977092</v>
      </c>
      <c r="AX279" s="2044">
        <f t="shared" ref="AX279:AX286" si="205">IF($C279=1,AI279,U279)</f>
        <v>3617.7730527977092</v>
      </c>
      <c r="AY279" s="2044">
        <f t="shared" ref="AY279:AY286" si="206">IF($C279=1,AO279,V279)</f>
        <v>3617.7730527977092</v>
      </c>
      <c r="AZ279" s="2044">
        <f t="shared" ref="AZ279:AZ286" si="207">IF($C279=1,AU279,W279)</f>
        <v>3617.7730527977092</v>
      </c>
      <c r="BA279" s="2045">
        <f t="shared" ref="BA279:BA286" si="208">SUM(AW279:AZ279)</f>
        <v>14471.092211190837</v>
      </c>
      <c r="BB279" s="2045" t="str">
        <f>+'[9]4.4.10'!$A$1</f>
        <v>4.4.10</v>
      </c>
      <c r="BC279" s="2045" t="str">
        <f>+'[9]4.4.10'!$A$1</f>
        <v>4.4.10</v>
      </c>
      <c r="BD279" s="2045">
        <v>0</v>
      </c>
      <c r="BE279" s="2051">
        <v>20</v>
      </c>
      <c r="BF279" s="2051">
        <v>20</v>
      </c>
      <c r="BG279" s="2051">
        <v>20</v>
      </c>
      <c r="BH279" s="2051">
        <v>20</v>
      </c>
      <c r="BI279" s="2045">
        <f t="shared" si="183"/>
        <v>72355.461055954191</v>
      </c>
      <c r="BJ279" s="2045">
        <f t="shared" si="184"/>
        <v>72355.461055954191</v>
      </c>
      <c r="BK279" s="2045">
        <f t="shared" si="185"/>
        <v>72355.461055954191</v>
      </c>
      <c r="BL279" s="2045">
        <f t="shared" si="186"/>
        <v>72355.461055954191</v>
      </c>
      <c r="BM279" s="2045">
        <f t="shared" ref="BM279:BM286" si="209">SUM(BI279:BL279)</f>
        <v>289421.84422381676</v>
      </c>
      <c r="BN279" s="2047">
        <v>20</v>
      </c>
      <c r="BO279" s="2047">
        <v>20</v>
      </c>
      <c r="BP279" s="2047">
        <v>20</v>
      </c>
      <c r="BQ279" s="2047">
        <v>20</v>
      </c>
      <c r="BR279" s="2048">
        <f t="shared" ref="BR279:BR286" si="210">F279*P279*AA279*BN279</f>
        <v>72355.461055954191</v>
      </c>
      <c r="BS279" s="2048">
        <f t="shared" ref="BS279:BS286" si="211">G279*Q279*AG279*BO279</f>
        <v>72355.461055954191</v>
      </c>
      <c r="BT279" s="2048">
        <f t="shared" ref="BT279:BT286" si="212">H279*R279*AM279*BP279</f>
        <v>72355.461055954191</v>
      </c>
      <c r="BU279" s="2048">
        <f t="shared" ref="BU279:BU286" si="213">I279*S279*AS279*BQ279</f>
        <v>72355.461055954191</v>
      </c>
      <c r="BV279" s="1840">
        <f t="shared" ref="BV279:BV286" si="214">SUM(BR279:BU279)</f>
        <v>289421.84422381676</v>
      </c>
      <c r="BW279" s="2064" t="e">
        <f>INT(#REF!)=INT(BA279)</f>
        <v>#REF!</v>
      </c>
      <c r="BX279" s="2064">
        <v>272</v>
      </c>
      <c r="BY279" s="2064" t="s">
        <v>512</v>
      </c>
    </row>
    <row r="280" spans="1:77" s="1976" customFormat="1" ht="61.5" customHeight="1" x14ac:dyDescent="0.35">
      <c r="A280" s="1372" t="s">
        <v>3046</v>
      </c>
      <c r="B280" s="1372" t="s">
        <v>207</v>
      </c>
      <c r="C280" s="1637">
        <v>0</v>
      </c>
      <c r="D280" s="2053" t="str">
        <f>+'[9]4.4.14'!$A$1</f>
        <v>4.4.14</v>
      </c>
      <c r="E280" s="1372" t="s">
        <v>202</v>
      </c>
      <c r="F280" s="1638">
        <v>680</v>
      </c>
      <c r="G280" s="1638">
        <v>680</v>
      </c>
      <c r="H280" s="1638">
        <v>680</v>
      </c>
      <c r="I280" s="1638">
        <v>680</v>
      </c>
      <c r="J280" s="1372" t="str">
        <f>+'[9]4.4.14'!$B$27</f>
        <v>CI-HVC-PINS-V04-160601</v>
      </c>
      <c r="K280" s="1372" t="str">
        <f t="shared" si="190"/>
        <v>Nicor Gas PY7-PY10 Adjustable Goals Template_2017-06-30, Tab 4.4.14</v>
      </c>
      <c r="L280" s="1639">
        <v>1.6846271672771669</v>
      </c>
      <c r="M280" s="1639">
        <v>1.6846271672771669</v>
      </c>
      <c r="N280" s="1639">
        <v>1.6846271672771669</v>
      </c>
      <c r="O280" s="1639">
        <v>1.6846271672771669</v>
      </c>
      <c r="P280" s="1637">
        <v>0.81</v>
      </c>
      <c r="Q280" s="1637">
        <v>0.81</v>
      </c>
      <c r="R280" s="1637">
        <v>0.81</v>
      </c>
      <c r="S280" s="1637">
        <v>0.81</v>
      </c>
      <c r="T280" s="1640">
        <f t="shared" si="191"/>
        <v>927.89264373626361</v>
      </c>
      <c r="U280" s="1640">
        <f t="shared" si="192"/>
        <v>927.89264373626361</v>
      </c>
      <c r="V280" s="1640">
        <f t="shared" si="193"/>
        <v>927.89264373626361</v>
      </c>
      <c r="W280" s="1640">
        <f t="shared" si="194"/>
        <v>927.89264373626361</v>
      </c>
      <c r="X280" s="1640">
        <f t="shared" si="195"/>
        <v>3711.5705749450544</v>
      </c>
      <c r="Y280" s="1372" t="str">
        <f t="shared" si="187"/>
        <v>CI-HVC-PINS-V04-160601</v>
      </c>
      <c r="Z280" s="1372" t="str">
        <f t="shared" si="178"/>
        <v>Nicor Gas PY7-PY10 Adjustable Goals Template_2017-06-30, Tab 4.4.14</v>
      </c>
      <c r="AA280" s="1840">
        <f t="shared" si="179"/>
        <v>1.6846271672771669</v>
      </c>
      <c r="AB280" s="2028"/>
      <c r="AC280" s="1840">
        <f t="shared" si="196"/>
        <v>927.89264373626361</v>
      </c>
      <c r="AD280" s="1840">
        <f t="shared" si="197"/>
        <v>0</v>
      </c>
      <c r="AE280" s="1372" t="s">
        <v>2577</v>
      </c>
      <c r="AF280" s="1372" t="s">
        <v>3368</v>
      </c>
      <c r="AG280" s="1639">
        <v>1.6846271672771669</v>
      </c>
      <c r="AH280" s="1372" t="s">
        <v>3445</v>
      </c>
      <c r="AI280" s="1640">
        <f t="shared" si="198"/>
        <v>927.89264373626361</v>
      </c>
      <c r="AJ280" s="1638">
        <f t="shared" si="199"/>
        <v>0</v>
      </c>
      <c r="AK280" s="1372" t="s">
        <v>2577</v>
      </c>
      <c r="AL280" s="1372" t="s">
        <v>3368</v>
      </c>
      <c r="AM280" s="1639">
        <v>1.6846271672771669</v>
      </c>
      <c r="AN280" s="1372" t="str">
        <f t="shared" si="188"/>
        <v>No change</v>
      </c>
      <c r="AO280" s="1640">
        <f t="shared" si="200"/>
        <v>927.89264373626361</v>
      </c>
      <c r="AP280" s="1638">
        <f t="shared" si="201"/>
        <v>0</v>
      </c>
      <c r="AQ280" s="1372" t="s">
        <v>2577</v>
      </c>
      <c r="AR280" s="1372" t="s">
        <v>3368</v>
      </c>
      <c r="AS280" s="1639">
        <v>1.6846271672771669</v>
      </c>
      <c r="AT280" s="1372" t="str">
        <f t="shared" si="189"/>
        <v>No change</v>
      </c>
      <c r="AU280" s="1640">
        <f t="shared" si="202"/>
        <v>927.89264373626361</v>
      </c>
      <c r="AV280" s="1638">
        <f t="shared" si="203"/>
        <v>0</v>
      </c>
      <c r="AW280" s="2044">
        <f t="shared" si="204"/>
        <v>927.89264373626361</v>
      </c>
      <c r="AX280" s="2044">
        <f t="shared" si="205"/>
        <v>927.89264373626361</v>
      </c>
      <c r="AY280" s="2044">
        <f t="shared" si="206"/>
        <v>927.89264373626361</v>
      </c>
      <c r="AZ280" s="2044">
        <f t="shared" si="207"/>
        <v>927.89264373626361</v>
      </c>
      <c r="BA280" s="2045">
        <f t="shared" si="208"/>
        <v>3711.5705749450544</v>
      </c>
      <c r="BB280" s="2045" t="str">
        <f>+'[9]4.4.14'!$A$1</f>
        <v>4.4.14</v>
      </c>
      <c r="BC280" s="2045" t="str">
        <f>+'[9]4.4.14'!$A$1</f>
        <v>4.4.14</v>
      </c>
      <c r="BD280" s="2045">
        <v>0</v>
      </c>
      <c r="BE280" s="2051">
        <v>15</v>
      </c>
      <c r="BF280" s="2051">
        <v>15</v>
      </c>
      <c r="BG280" s="2051">
        <v>15</v>
      </c>
      <c r="BH280" s="2051">
        <v>15</v>
      </c>
      <c r="BI280" s="2045">
        <f t="shared" si="183"/>
        <v>13918.389656043953</v>
      </c>
      <c r="BJ280" s="2045">
        <f t="shared" si="184"/>
        <v>13918.389656043953</v>
      </c>
      <c r="BK280" s="2045">
        <f t="shared" si="185"/>
        <v>13918.389656043953</v>
      </c>
      <c r="BL280" s="2045">
        <f t="shared" si="186"/>
        <v>13918.389656043953</v>
      </c>
      <c r="BM280" s="2045">
        <f t="shared" si="209"/>
        <v>55673.558624175814</v>
      </c>
      <c r="BN280" s="2047">
        <v>15</v>
      </c>
      <c r="BO280" s="2047">
        <v>15</v>
      </c>
      <c r="BP280" s="2047">
        <v>15</v>
      </c>
      <c r="BQ280" s="2047">
        <v>15</v>
      </c>
      <c r="BR280" s="2048">
        <f t="shared" si="210"/>
        <v>13918.389656043953</v>
      </c>
      <c r="BS280" s="2048">
        <f t="shared" si="211"/>
        <v>13918.389656043953</v>
      </c>
      <c r="BT280" s="2048">
        <f t="shared" si="212"/>
        <v>13918.389656043953</v>
      </c>
      <c r="BU280" s="2048">
        <f t="shared" si="213"/>
        <v>13918.389656043953</v>
      </c>
      <c r="BV280" s="1840">
        <f t="shared" si="214"/>
        <v>55673.558624175814</v>
      </c>
      <c r="BW280" s="2064" t="e">
        <f>INT(#REF!)=INT(BA280)</f>
        <v>#REF!</v>
      </c>
      <c r="BX280" s="2064">
        <v>273</v>
      </c>
      <c r="BY280" s="2064" t="s">
        <v>512</v>
      </c>
    </row>
    <row r="281" spans="1:77" s="1976" customFormat="1" ht="61.5" customHeight="1" x14ac:dyDescent="0.35">
      <c r="A281" s="1372" t="s">
        <v>3046</v>
      </c>
      <c r="B281" s="1372" t="s">
        <v>208</v>
      </c>
      <c r="C281" s="1637">
        <v>0</v>
      </c>
      <c r="D281" s="2053" t="str">
        <f>+'[9]4.4.14'!$A$1</f>
        <v>4.4.14</v>
      </c>
      <c r="E281" s="1372" t="s">
        <v>202</v>
      </c>
      <c r="F281" s="1638">
        <v>1800</v>
      </c>
      <c r="G281" s="1638">
        <v>1800</v>
      </c>
      <c r="H281" s="1638">
        <v>1800</v>
      </c>
      <c r="I281" s="1638">
        <v>1800</v>
      </c>
      <c r="J281" s="1372" t="str">
        <f>+'[9]4.4.14'!$B$27</f>
        <v>CI-HVC-PINS-V04-160601</v>
      </c>
      <c r="K281" s="1372" t="str">
        <f t="shared" si="190"/>
        <v>Nicor Gas PY7-PY10 Adjustable Goals Template_2017-06-30, Tab 4.4.14</v>
      </c>
      <c r="L281" s="1639">
        <v>4.3477888475836428</v>
      </c>
      <c r="M281" s="1639">
        <v>4.3477888475836428</v>
      </c>
      <c r="N281" s="1639">
        <v>4.3477888475836428</v>
      </c>
      <c r="O281" s="1639">
        <v>4.3477888475836428</v>
      </c>
      <c r="P281" s="1637">
        <v>0.81</v>
      </c>
      <c r="Q281" s="1637">
        <v>0.81</v>
      </c>
      <c r="R281" s="1637">
        <v>0.81</v>
      </c>
      <c r="S281" s="1637">
        <v>0.81</v>
      </c>
      <c r="T281" s="1640">
        <f t="shared" si="191"/>
        <v>6339.0761397769511</v>
      </c>
      <c r="U281" s="1640">
        <f t="shared" si="192"/>
        <v>6339.0761397769511</v>
      </c>
      <c r="V281" s="1640">
        <f t="shared" si="193"/>
        <v>6339.0761397769511</v>
      </c>
      <c r="W281" s="1640">
        <f t="shared" si="194"/>
        <v>6339.0761397769511</v>
      </c>
      <c r="X281" s="1640">
        <f t="shared" si="195"/>
        <v>25356.304559107804</v>
      </c>
      <c r="Y281" s="1372" t="str">
        <f t="shared" si="187"/>
        <v>CI-HVC-PINS-V04-160601</v>
      </c>
      <c r="Z281" s="1372" t="str">
        <f t="shared" si="178"/>
        <v>Nicor Gas PY7-PY10 Adjustable Goals Template_2017-06-30, Tab 4.4.14</v>
      </c>
      <c r="AA281" s="1840">
        <f t="shared" si="179"/>
        <v>4.3477888475836428</v>
      </c>
      <c r="AB281" s="2028"/>
      <c r="AC281" s="1840">
        <f t="shared" si="196"/>
        <v>6339.0761397769511</v>
      </c>
      <c r="AD281" s="1840">
        <f t="shared" si="197"/>
        <v>0</v>
      </c>
      <c r="AE281" s="1372" t="s">
        <v>2577</v>
      </c>
      <c r="AF281" s="1372" t="s">
        <v>3368</v>
      </c>
      <c r="AG281" s="1639">
        <v>4.3477888475836428</v>
      </c>
      <c r="AH281" s="1372" t="s">
        <v>3445</v>
      </c>
      <c r="AI281" s="1640">
        <f t="shared" si="198"/>
        <v>6339.0761397769511</v>
      </c>
      <c r="AJ281" s="1638">
        <f t="shared" si="199"/>
        <v>0</v>
      </c>
      <c r="AK281" s="1372" t="s">
        <v>2577</v>
      </c>
      <c r="AL281" s="1372" t="s">
        <v>3368</v>
      </c>
      <c r="AM281" s="1639">
        <v>4.3477888475836428</v>
      </c>
      <c r="AN281" s="1372" t="str">
        <f t="shared" si="188"/>
        <v>No change</v>
      </c>
      <c r="AO281" s="1640">
        <f t="shared" si="200"/>
        <v>6339.0761397769511</v>
      </c>
      <c r="AP281" s="1638">
        <f t="shared" si="201"/>
        <v>0</v>
      </c>
      <c r="AQ281" s="1372" t="s">
        <v>2577</v>
      </c>
      <c r="AR281" s="1372" t="s">
        <v>3368</v>
      </c>
      <c r="AS281" s="1639">
        <v>4.3477888475836428</v>
      </c>
      <c r="AT281" s="1372" t="str">
        <f t="shared" si="189"/>
        <v>No change</v>
      </c>
      <c r="AU281" s="1640">
        <f t="shared" si="202"/>
        <v>6339.0761397769511</v>
      </c>
      <c r="AV281" s="1638">
        <f t="shared" si="203"/>
        <v>0</v>
      </c>
      <c r="AW281" s="2044">
        <f t="shared" si="204"/>
        <v>6339.0761397769511</v>
      </c>
      <c r="AX281" s="2044">
        <f t="shared" si="205"/>
        <v>6339.0761397769511</v>
      </c>
      <c r="AY281" s="2044">
        <f t="shared" si="206"/>
        <v>6339.0761397769511</v>
      </c>
      <c r="AZ281" s="2044">
        <f t="shared" si="207"/>
        <v>6339.0761397769511</v>
      </c>
      <c r="BA281" s="2045">
        <f t="shared" si="208"/>
        <v>25356.304559107804</v>
      </c>
      <c r="BB281" s="2045" t="str">
        <f>+'[9]4.4.14'!$A$1</f>
        <v>4.4.14</v>
      </c>
      <c r="BC281" s="2045" t="str">
        <f>+'[9]4.4.14'!$A$1</f>
        <v>4.4.14</v>
      </c>
      <c r="BD281" s="2045">
        <v>0</v>
      </c>
      <c r="BE281" s="2051">
        <v>15</v>
      </c>
      <c r="BF281" s="2051">
        <v>15</v>
      </c>
      <c r="BG281" s="2051">
        <v>15</v>
      </c>
      <c r="BH281" s="2051">
        <v>15</v>
      </c>
      <c r="BI281" s="2045">
        <f t="shared" si="183"/>
        <v>95086.142096654265</v>
      </c>
      <c r="BJ281" s="2045">
        <f t="shared" si="184"/>
        <v>95086.142096654265</v>
      </c>
      <c r="BK281" s="2045">
        <f t="shared" si="185"/>
        <v>95086.142096654265</v>
      </c>
      <c r="BL281" s="2045">
        <f t="shared" si="186"/>
        <v>95086.142096654265</v>
      </c>
      <c r="BM281" s="2045">
        <f t="shared" si="209"/>
        <v>380344.56838661706</v>
      </c>
      <c r="BN281" s="2047">
        <v>15</v>
      </c>
      <c r="BO281" s="2047">
        <v>15</v>
      </c>
      <c r="BP281" s="2047">
        <v>15</v>
      </c>
      <c r="BQ281" s="2047">
        <v>15</v>
      </c>
      <c r="BR281" s="2048">
        <f t="shared" si="210"/>
        <v>95086.142096654265</v>
      </c>
      <c r="BS281" s="2048">
        <f t="shared" si="211"/>
        <v>95086.142096654265</v>
      </c>
      <c r="BT281" s="2048">
        <f t="shared" si="212"/>
        <v>95086.142096654265</v>
      </c>
      <c r="BU281" s="2048">
        <f t="shared" si="213"/>
        <v>95086.142096654265</v>
      </c>
      <c r="BV281" s="1840">
        <f t="shared" si="214"/>
        <v>380344.56838661706</v>
      </c>
      <c r="BW281" s="2064" t="e">
        <f>INT(#REF!)=INT(BA281)</f>
        <v>#REF!</v>
      </c>
      <c r="BX281" s="2064">
        <v>274</v>
      </c>
      <c r="BY281" s="2064" t="s">
        <v>512</v>
      </c>
    </row>
    <row r="282" spans="1:77" s="1976" customFormat="1" ht="61.5" customHeight="1" x14ac:dyDescent="0.35">
      <c r="A282" s="1372" t="s">
        <v>3046</v>
      </c>
      <c r="B282" s="1372" t="s">
        <v>209</v>
      </c>
      <c r="C282" s="1637">
        <v>0</v>
      </c>
      <c r="D282" s="2053" t="str">
        <f>+'[9]4.4.14'!$A$1</f>
        <v>4.4.14</v>
      </c>
      <c r="E282" s="1372" t="s">
        <v>202</v>
      </c>
      <c r="F282" s="1638">
        <v>168</v>
      </c>
      <c r="G282" s="1638">
        <v>168</v>
      </c>
      <c r="H282" s="1638">
        <v>168</v>
      </c>
      <c r="I282" s="1638">
        <v>168</v>
      </c>
      <c r="J282" s="1372" t="str">
        <f>+'[9]4.4.14'!$B$27</f>
        <v>CI-HVC-PINS-V04-160601</v>
      </c>
      <c r="K282" s="1372" t="str">
        <f t="shared" si="190"/>
        <v>Nicor Gas PY7-PY10 Adjustable Goals Template_2017-06-30, Tab 4.4.14</v>
      </c>
      <c r="L282" s="1639">
        <v>6.2725912019826513</v>
      </c>
      <c r="M282" s="1639">
        <v>6.2725912019826513</v>
      </c>
      <c r="N282" s="1639">
        <v>6.2725912019826513</v>
      </c>
      <c r="O282" s="1639">
        <v>6.2725912019826513</v>
      </c>
      <c r="P282" s="1637">
        <v>0.81</v>
      </c>
      <c r="Q282" s="1637">
        <v>0.81</v>
      </c>
      <c r="R282" s="1637">
        <v>0.81</v>
      </c>
      <c r="S282" s="1637">
        <v>0.81</v>
      </c>
      <c r="T282" s="1640">
        <f t="shared" si="191"/>
        <v>853.57421076579931</v>
      </c>
      <c r="U282" s="1640">
        <f t="shared" si="192"/>
        <v>853.57421076579931</v>
      </c>
      <c r="V282" s="1640">
        <f t="shared" si="193"/>
        <v>853.57421076579931</v>
      </c>
      <c r="W282" s="1640">
        <f t="shared" si="194"/>
        <v>853.57421076579931</v>
      </c>
      <c r="X282" s="1640">
        <f t="shared" si="195"/>
        <v>3414.2968430631972</v>
      </c>
      <c r="Y282" s="1372" t="str">
        <f t="shared" si="187"/>
        <v>CI-HVC-PINS-V04-160601</v>
      </c>
      <c r="Z282" s="1372" t="str">
        <f t="shared" si="178"/>
        <v>Nicor Gas PY7-PY10 Adjustable Goals Template_2017-06-30, Tab 4.4.14</v>
      </c>
      <c r="AA282" s="1840">
        <f t="shared" si="179"/>
        <v>6.2725912019826513</v>
      </c>
      <c r="AB282" s="2028"/>
      <c r="AC282" s="1840">
        <f t="shared" si="196"/>
        <v>853.57421076579931</v>
      </c>
      <c r="AD282" s="1840">
        <f t="shared" si="197"/>
        <v>0</v>
      </c>
      <c r="AE282" s="1372" t="s">
        <v>2577</v>
      </c>
      <c r="AF282" s="1372" t="s">
        <v>3368</v>
      </c>
      <c r="AG282" s="1639">
        <v>6.2725912019826513</v>
      </c>
      <c r="AH282" s="1372" t="s">
        <v>3445</v>
      </c>
      <c r="AI282" s="1640">
        <f t="shared" si="198"/>
        <v>853.57421076579931</v>
      </c>
      <c r="AJ282" s="1638">
        <f t="shared" si="199"/>
        <v>0</v>
      </c>
      <c r="AK282" s="1372" t="s">
        <v>2577</v>
      </c>
      <c r="AL282" s="1372" t="s">
        <v>3368</v>
      </c>
      <c r="AM282" s="1639">
        <v>6.2725912019826513</v>
      </c>
      <c r="AN282" s="1372" t="str">
        <f t="shared" si="188"/>
        <v>No change</v>
      </c>
      <c r="AO282" s="1640">
        <f t="shared" si="200"/>
        <v>853.57421076579931</v>
      </c>
      <c r="AP282" s="1638">
        <f t="shared" si="201"/>
        <v>0</v>
      </c>
      <c r="AQ282" s="1372" t="s">
        <v>2577</v>
      </c>
      <c r="AR282" s="1372" t="s">
        <v>3368</v>
      </c>
      <c r="AS282" s="1639">
        <v>6.2725912019826513</v>
      </c>
      <c r="AT282" s="1372" t="str">
        <f t="shared" si="189"/>
        <v>No change</v>
      </c>
      <c r="AU282" s="1640">
        <f t="shared" si="202"/>
        <v>853.57421076579931</v>
      </c>
      <c r="AV282" s="1638">
        <f t="shared" si="203"/>
        <v>0</v>
      </c>
      <c r="AW282" s="2044">
        <f t="shared" si="204"/>
        <v>853.57421076579931</v>
      </c>
      <c r="AX282" s="2044">
        <f t="shared" si="205"/>
        <v>853.57421076579931</v>
      </c>
      <c r="AY282" s="2044">
        <f t="shared" si="206"/>
        <v>853.57421076579931</v>
      </c>
      <c r="AZ282" s="2044">
        <f t="shared" si="207"/>
        <v>853.57421076579931</v>
      </c>
      <c r="BA282" s="2045">
        <f t="shared" si="208"/>
        <v>3414.2968430631972</v>
      </c>
      <c r="BB282" s="2045" t="str">
        <f>+'[9]4.4.14'!$A$1</f>
        <v>4.4.14</v>
      </c>
      <c r="BC282" s="2045" t="str">
        <f>+'[9]4.4.14'!$A$1</f>
        <v>4.4.14</v>
      </c>
      <c r="BD282" s="2045">
        <v>0</v>
      </c>
      <c r="BE282" s="2051">
        <v>15</v>
      </c>
      <c r="BF282" s="2051">
        <v>15</v>
      </c>
      <c r="BG282" s="2051">
        <v>15</v>
      </c>
      <c r="BH282" s="2051">
        <v>15</v>
      </c>
      <c r="BI282" s="2045">
        <f t="shared" si="183"/>
        <v>12803.61316148699</v>
      </c>
      <c r="BJ282" s="2045">
        <f t="shared" si="184"/>
        <v>12803.61316148699</v>
      </c>
      <c r="BK282" s="2045">
        <f t="shared" si="185"/>
        <v>12803.61316148699</v>
      </c>
      <c r="BL282" s="2045">
        <f t="shared" si="186"/>
        <v>12803.61316148699</v>
      </c>
      <c r="BM282" s="2045">
        <f t="shared" si="209"/>
        <v>51214.45264594796</v>
      </c>
      <c r="BN282" s="2047">
        <v>15</v>
      </c>
      <c r="BO282" s="2047">
        <v>15</v>
      </c>
      <c r="BP282" s="2047">
        <v>15</v>
      </c>
      <c r="BQ282" s="2047">
        <v>15</v>
      </c>
      <c r="BR282" s="2048">
        <f t="shared" si="210"/>
        <v>12803.61316148699</v>
      </c>
      <c r="BS282" s="2048">
        <f t="shared" si="211"/>
        <v>12803.61316148699</v>
      </c>
      <c r="BT282" s="2048">
        <f t="shared" si="212"/>
        <v>12803.61316148699</v>
      </c>
      <c r="BU282" s="2048">
        <f t="shared" si="213"/>
        <v>12803.61316148699</v>
      </c>
      <c r="BV282" s="1840">
        <f t="shared" si="214"/>
        <v>51214.45264594796</v>
      </c>
      <c r="BW282" s="2064" t="e">
        <f>INT(#REF!)=INT(BA282)</f>
        <v>#REF!</v>
      </c>
      <c r="BX282" s="2064">
        <v>275</v>
      </c>
      <c r="BY282" s="2064" t="s">
        <v>512</v>
      </c>
    </row>
    <row r="283" spans="1:77" s="1976" customFormat="1" ht="62" x14ac:dyDescent="0.35">
      <c r="A283" s="1372" t="s">
        <v>3046</v>
      </c>
      <c r="B283" s="1372" t="s">
        <v>276</v>
      </c>
      <c r="C283" s="1637">
        <v>0</v>
      </c>
      <c r="D283" s="1372" t="s">
        <v>3516</v>
      </c>
      <c r="E283" s="1843" t="s">
        <v>202</v>
      </c>
      <c r="F283" s="1845">
        <v>11000</v>
      </c>
      <c r="G283" s="1845">
        <v>11000</v>
      </c>
      <c r="H283" s="1845">
        <v>11000</v>
      </c>
      <c r="I283" s="1845">
        <v>11000</v>
      </c>
      <c r="J283" s="1843" t="s">
        <v>295</v>
      </c>
      <c r="K283" s="1843" t="str">
        <f t="shared" si="190"/>
        <v>Nicor Gas PY7-PY10 Adjustable Goals Template_2017-06-30, Tab Customized TRM</v>
      </c>
      <c r="L283" s="1846">
        <v>4.3835520298577908</v>
      </c>
      <c r="M283" s="1846">
        <v>4.3835520298577908</v>
      </c>
      <c r="N283" s="1846">
        <v>4.3835520298577908</v>
      </c>
      <c r="O283" s="1846">
        <v>4.3835520298577908</v>
      </c>
      <c r="P283" s="1844">
        <v>0.81</v>
      </c>
      <c r="Q283" s="1844">
        <v>0.81</v>
      </c>
      <c r="R283" s="1844">
        <v>0.81</v>
      </c>
      <c r="S283" s="1844">
        <v>0.81</v>
      </c>
      <c r="T283" s="1847">
        <f t="shared" si="191"/>
        <v>39057.448586032922</v>
      </c>
      <c r="U283" s="1847">
        <f t="shared" si="192"/>
        <v>39057.448586032922</v>
      </c>
      <c r="V283" s="1847">
        <f t="shared" si="193"/>
        <v>39057.448586032922</v>
      </c>
      <c r="W283" s="1847">
        <f t="shared" si="194"/>
        <v>39057.448586032922</v>
      </c>
      <c r="X283" s="1847">
        <f t="shared" si="195"/>
        <v>156229.79434413169</v>
      </c>
      <c r="Y283" s="1843"/>
      <c r="Z283" s="1843" t="str">
        <f t="shared" si="178"/>
        <v>Nicor Gas PY7-PY10 Adjustable Goals Template_2017-06-30, Tab Customized TRM</v>
      </c>
      <c r="AA283" s="1848">
        <f t="shared" si="179"/>
        <v>4.3835520298577908</v>
      </c>
      <c r="AB283" s="1848"/>
      <c r="AC283" s="1848">
        <f t="shared" si="196"/>
        <v>39057.448586032922</v>
      </c>
      <c r="AD283" s="1848">
        <f t="shared" si="197"/>
        <v>0</v>
      </c>
      <c r="AE283" s="1843"/>
      <c r="AF283" s="1843" t="s">
        <v>3361</v>
      </c>
      <c r="AG283" s="1846">
        <v>4.3835520298577908</v>
      </c>
      <c r="AH283" s="1843"/>
      <c r="AI283" s="1847">
        <f t="shared" si="198"/>
        <v>39057.448586032922</v>
      </c>
      <c r="AJ283" s="1845">
        <f t="shared" si="199"/>
        <v>0</v>
      </c>
      <c r="AK283" s="1843"/>
      <c r="AL283" s="1843" t="s">
        <v>3361</v>
      </c>
      <c r="AM283" s="1846">
        <v>4.3835520298577908</v>
      </c>
      <c r="AN283" s="1843"/>
      <c r="AO283" s="1847">
        <f t="shared" si="200"/>
        <v>39057.448586032922</v>
      </c>
      <c r="AP283" s="1845">
        <f t="shared" si="201"/>
        <v>0</v>
      </c>
      <c r="AQ283" s="1843"/>
      <c r="AR283" s="1843" t="s">
        <v>3361</v>
      </c>
      <c r="AS283" s="1846">
        <v>4.3835520298577908</v>
      </c>
      <c r="AT283" s="1843"/>
      <c r="AU283" s="1847">
        <f t="shared" si="202"/>
        <v>39057.448586032922</v>
      </c>
      <c r="AV283" s="1845">
        <f t="shared" si="203"/>
        <v>0</v>
      </c>
      <c r="AW283" s="2123">
        <f t="shared" si="204"/>
        <v>39057.448586032922</v>
      </c>
      <c r="AX283" s="2123">
        <f t="shared" si="205"/>
        <v>39057.448586032922</v>
      </c>
      <c r="AY283" s="2123">
        <f t="shared" si="206"/>
        <v>39057.448586032922</v>
      </c>
      <c r="AZ283" s="2123">
        <f t="shared" si="207"/>
        <v>39057.448586032922</v>
      </c>
      <c r="BA283" s="2051">
        <f t="shared" si="208"/>
        <v>156229.79434413169</v>
      </c>
      <c r="BB283" s="2051"/>
      <c r="BC283" s="2051"/>
      <c r="BD283" s="2045">
        <v>0</v>
      </c>
      <c r="BE283" s="2051">
        <v>15</v>
      </c>
      <c r="BF283" s="2051">
        <v>15</v>
      </c>
      <c r="BG283" s="2051">
        <v>15</v>
      </c>
      <c r="BH283" s="2051">
        <v>15</v>
      </c>
      <c r="BI283" s="2045">
        <f t="shared" si="183"/>
        <v>585861.72879049368</v>
      </c>
      <c r="BJ283" s="2045">
        <f t="shared" si="184"/>
        <v>585861.72879049368</v>
      </c>
      <c r="BK283" s="2045">
        <f t="shared" si="185"/>
        <v>585861.72879049368</v>
      </c>
      <c r="BL283" s="2045">
        <f t="shared" si="186"/>
        <v>585861.72879049368</v>
      </c>
      <c r="BM283" s="2045">
        <f t="shared" si="209"/>
        <v>2343446.9151619747</v>
      </c>
      <c r="BN283" s="2047">
        <v>15</v>
      </c>
      <c r="BO283" s="2047">
        <v>15</v>
      </c>
      <c r="BP283" s="2047">
        <v>15</v>
      </c>
      <c r="BQ283" s="2047">
        <v>15</v>
      </c>
      <c r="BR283" s="2048">
        <f t="shared" si="210"/>
        <v>585861.72879049368</v>
      </c>
      <c r="BS283" s="2048">
        <f t="shared" si="211"/>
        <v>585861.72879049368</v>
      </c>
      <c r="BT283" s="2048">
        <f t="shared" si="212"/>
        <v>585861.72879049368</v>
      </c>
      <c r="BU283" s="2048">
        <f t="shared" si="213"/>
        <v>585861.72879049368</v>
      </c>
      <c r="BV283" s="1840">
        <f t="shared" si="214"/>
        <v>2343446.9151619747</v>
      </c>
      <c r="BW283" s="2064" t="e">
        <f>INT(#REF!)=INT(BA283)</f>
        <v>#REF!</v>
      </c>
      <c r="BX283" s="2064">
        <v>276</v>
      </c>
      <c r="BY283" s="2064" t="s">
        <v>3485</v>
      </c>
    </row>
    <row r="284" spans="1:77" s="1976" customFormat="1" ht="62" x14ac:dyDescent="0.35">
      <c r="A284" s="1372" t="s">
        <v>3046</v>
      </c>
      <c r="B284" s="1372" t="s">
        <v>271</v>
      </c>
      <c r="C284" s="1637">
        <v>0</v>
      </c>
      <c r="D284" s="1372" t="s">
        <v>3516</v>
      </c>
      <c r="E284" s="1843" t="s">
        <v>163</v>
      </c>
      <c r="F284" s="1845">
        <v>70</v>
      </c>
      <c r="G284" s="1845">
        <v>70</v>
      </c>
      <c r="H284" s="1845">
        <v>70</v>
      </c>
      <c r="I284" s="1845">
        <v>70</v>
      </c>
      <c r="J284" s="1843" t="s">
        <v>295</v>
      </c>
      <c r="K284" s="1843" t="str">
        <f t="shared" si="190"/>
        <v>Nicor Gas PY7-PY10 Adjustable Goals Template_2017-06-30, Tab Customized TRM</v>
      </c>
      <c r="L284" s="1846">
        <v>34.269173553719007</v>
      </c>
      <c r="M284" s="1846">
        <v>34.269173553719007</v>
      </c>
      <c r="N284" s="1846">
        <v>34.269173553719007</v>
      </c>
      <c r="O284" s="1846">
        <v>34.269173553719007</v>
      </c>
      <c r="P284" s="1844">
        <v>0.81</v>
      </c>
      <c r="Q284" s="1844">
        <v>0.81</v>
      </c>
      <c r="R284" s="1844">
        <v>0.81</v>
      </c>
      <c r="S284" s="1844">
        <v>0.81</v>
      </c>
      <c r="T284" s="1847">
        <f t="shared" si="191"/>
        <v>1943.0621404958679</v>
      </c>
      <c r="U284" s="1847">
        <f t="shared" si="192"/>
        <v>1943.0621404958679</v>
      </c>
      <c r="V284" s="1847">
        <f t="shared" si="193"/>
        <v>1943.0621404958679</v>
      </c>
      <c r="W284" s="1847">
        <f t="shared" si="194"/>
        <v>1943.0621404958679</v>
      </c>
      <c r="X284" s="1847">
        <f t="shared" si="195"/>
        <v>7772.2485619834715</v>
      </c>
      <c r="Y284" s="1843"/>
      <c r="Z284" s="1843" t="str">
        <f t="shared" si="178"/>
        <v>Nicor Gas PY7-PY10 Adjustable Goals Template_2017-06-30, Tab Customized TRM</v>
      </c>
      <c r="AA284" s="1848">
        <f t="shared" si="179"/>
        <v>34.269173553719007</v>
      </c>
      <c r="AB284" s="1848"/>
      <c r="AC284" s="1848">
        <f t="shared" si="196"/>
        <v>1943.0621404958679</v>
      </c>
      <c r="AD284" s="1848">
        <f t="shared" si="197"/>
        <v>0</v>
      </c>
      <c r="AE284" s="1843"/>
      <c r="AF284" s="1843" t="s">
        <v>3361</v>
      </c>
      <c r="AG284" s="1846">
        <v>34.269173553719007</v>
      </c>
      <c r="AH284" s="1843"/>
      <c r="AI284" s="1847">
        <f t="shared" si="198"/>
        <v>1943.0621404958679</v>
      </c>
      <c r="AJ284" s="1845">
        <f t="shared" si="199"/>
        <v>0</v>
      </c>
      <c r="AK284" s="1843"/>
      <c r="AL284" s="1843" t="s">
        <v>3361</v>
      </c>
      <c r="AM284" s="1846">
        <v>34.269173553719007</v>
      </c>
      <c r="AN284" s="1843"/>
      <c r="AO284" s="1847">
        <f t="shared" si="200"/>
        <v>1943.0621404958679</v>
      </c>
      <c r="AP284" s="1845">
        <f t="shared" si="201"/>
        <v>0</v>
      </c>
      <c r="AQ284" s="1843"/>
      <c r="AR284" s="1843" t="s">
        <v>3361</v>
      </c>
      <c r="AS284" s="1846">
        <v>34.269173553719007</v>
      </c>
      <c r="AT284" s="1843"/>
      <c r="AU284" s="1847">
        <f t="shared" si="202"/>
        <v>1943.0621404958679</v>
      </c>
      <c r="AV284" s="1845">
        <f t="shared" si="203"/>
        <v>0</v>
      </c>
      <c r="AW284" s="2123">
        <f t="shared" si="204"/>
        <v>1943.0621404958679</v>
      </c>
      <c r="AX284" s="2123">
        <f t="shared" si="205"/>
        <v>1943.0621404958679</v>
      </c>
      <c r="AY284" s="2123">
        <f t="shared" si="206"/>
        <v>1943.0621404958679</v>
      </c>
      <c r="AZ284" s="2123">
        <f t="shared" si="207"/>
        <v>1943.0621404958679</v>
      </c>
      <c r="BA284" s="2051">
        <f t="shared" si="208"/>
        <v>7772.2485619834715</v>
      </c>
      <c r="BB284" s="2051"/>
      <c r="BC284" s="2051"/>
      <c r="BD284" s="2121">
        <v>1</v>
      </c>
      <c r="BE284" s="2051">
        <v>4</v>
      </c>
      <c r="BF284" s="2051">
        <v>4</v>
      </c>
      <c r="BG284" s="2051">
        <v>4</v>
      </c>
      <c r="BH284" s="2051">
        <v>4</v>
      </c>
      <c r="BI284" s="2045">
        <f t="shared" si="183"/>
        <v>7772.2485619834715</v>
      </c>
      <c r="BJ284" s="2045">
        <f t="shared" si="184"/>
        <v>7772.2485619834715</v>
      </c>
      <c r="BK284" s="2045">
        <f t="shared" si="185"/>
        <v>7772.2485619834715</v>
      </c>
      <c r="BL284" s="2045">
        <f t="shared" si="186"/>
        <v>7772.2485619834715</v>
      </c>
      <c r="BM284" s="2045">
        <f t="shared" si="209"/>
        <v>31088.994247933886</v>
      </c>
      <c r="BN284" s="2047">
        <v>4</v>
      </c>
      <c r="BO284" s="2050">
        <v>8</v>
      </c>
      <c r="BP284" s="2050">
        <v>8</v>
      </c>
      <c r="BQ284" s="2050">
        <v>8</v>
      </c>
      <c r="BR284" s="2048">
        <f t="shared" si="210"/>
        <v>7772.2485619834715</v>
      </c>
      <c r="BS284" s="2048">
        <f t="shared" si="211"/>
        <v>15544.497123966943</v>
      </c>
      <c r="BT284" s="2048">
        <f t="shared" si="212"/>
        <v>15544.497123966943</v>
      </c>
      <c r="BU284" s="2048">
        <f t="shared" si="213"/>
        <v>15544.497123966943</v>
      </c>
      <c r="BV284" s="1840">
        <f t="shared" si="214"/>
        <v>54405.739933884295</v>
      </c>
      <c r="BW284" s="2064" t="e">
        <f>INT(#REF!)=INT(BA284)</f>
        <v>#REF!</v>
      </c>
      <c r="BX284" s="2064">
        <v>277</v>
      </c>
      <c r="BY284" s="2064" t="s">
        <v>3485</v>
      </c>
    </row>
    <row r="285" spans="1:77" s="1976" customFormat="1" ht="61.5" customHeight="1" x14ac:dyDescent="0.35">
      <c r="A285" s="1372" t="s">
        <v>3046</v>
      </c>
      <c r="B285" s="1372" t="s">
        <v>2657</v>
      </c>
      <c r="C285" s="1637">
        <v>0</v>
      </c>
      <c r="D285" s="2053" t="str">
        <f>+'[9]4.2.5'!$A$1</f>
        <v>4.2.5</v>
      </c>
      <c r="E285" s="1372" t="s">
        <v>163</v>
      </c>
      <c r="F285" s="1638">
        <v>2</v>
      </c>
      <c r="G285" s="1638">
        <v>2</v>
      </c>
      <c r="H285" s="1638">
        <v>2</v>
      </c>
      <c r="I285" s="1638">
        <v>2</v>
      </c>
      <c r="J285" s="1372" t="str">
        <f>'[9]4.2.5'!$B$11</f>
        <v>CI-FSE-ESCV-V02-180101</v>
      </c>
      <c r="K285" s="1372" t="str">
        <f t="shared" si="190"/>
        <v>Nicor Gas PY7-PY10 Adjustable Goals Template_2017-06-30, Tab 4.2.5</v>
      </c>
      <c r="L285" s="1639">
        <v>353.45688664596281</v>
      </c>
      <c r="M285" s="1639">
        <v>353.45688664596281</v>
      </c>
      <c r="N285" s="1639">
        <v>353.45688664596281</v>
      </c>
      <c r="O285" s="1639">
        <v>353.45688664596281</v>
      </c>
      <c r="P285" s="1637">
        <v>0.81</v>
      </c>
      <c r="Q285" s="1637">
        <v>0.81</v>
      </c>
      <c r="R285" s="1637">
        <v>0.81</v>
      </c>
      <c r="S285" s="1637">
        <v>0.81</v>
      </c>
      <c r="T285" s="1640">
        <f t="shared" si="191"/>
        <v>572.60015636645983</v>
      </c>
      <c r="U285" s="1640">
        <f t="shared" si="192"/>
        <v>572.60015636645983</v>
      </c>
      <c r="V285" s="1640">
        <f t="shared" si="193"/>
        <v>572.60015636645983</v>
      </c>
      <c r="W285" s="1640">
        <f t="shared" si="194"/>
        <v>572.60015636645983</v>
      </c>
      <c r="X285" s="1640">
        <f t="shared" si="195"/>
        <v>2290.4006254658393</v>
      </c>
      <c r="Y285" s="1372" t="str">
        <f>J285</f>
        <v>CI-FSE-ESCV-V02-180101</v>
      </c>
      <c r="Z285" s="1372" t="str">
        <f t="shared" si="178"/>
        <v>Nicor Gas PY7-PY10 Adjustable Goals Template_2017-06-30, Tab 4.2.5</v>
      </c>
      <c r="AA285" s="1840">
        <f t="shared" si="179"/>
        <v>353.45688664596281</v>
      </c>
      <c r="AB285" s="2028"/>
      <c r="AC285" s="1840">
        <f t="shared" si="196"/>
        <v>572.60015636645983</v>
      </c>
      <c r="AD285" s="1840">
        <f t="shared" si="197"/>
        <v>0</v>
      </c>
      <c r="AE285" s="1372" t="s">
        <v>2782</v>
      </c>
      <c r="AF285" s="1372" t="s">
        <v>3376</v>
      </c>
      <c r="AG285" s="1639">
        <v>353.45688664596281</v>
      </c>
      <c r="AH285" s="1372" t="s">
        <v>3445</v>
      </c>
      <c r="AI285" s="1640">
        <f t="shared" si="198"/>
        <v>572.60015636645983</v>
      </c>
      <c r="AJ285" s="1638">
        <f t="shared" si="199"/>
        <v>0</v>
      </c>
      <c r="AK285" s="1372" t="s">
        <v>2782</v>
      </c>
      <c r="AL285" s="1372" t="s">
        <v>3376</v>
      </c>
      <c r="AM285" s="1639">
        <v>353.45688664596281</v>
      </c>
      <c r="AN285" s="1372" t="str">
        <f>$AH285</f>
        <v>No change</v>
      </c>
      <c r="AO285" s="1640">
        <f t="shared" si="200"/>
        <v>572.60015636645983</v>
      </c>
      <c r="AP285" s="1638">
        <f t="shared" si="201"/>
        <v>0</v>
      </c>
      <c r="AQ285" s="1372" t="s">
        <v>2782</v>
      </c>
      <c r="AR285" s="1372" t="s">
        <v>3376</v>
      </c>
      <c r="AS285" s="1639">
        <v>353.45688664596281</v>
      </c>
      <c r="AT285" s="1372" t="str">
        <f>$AH285</f>
        <v>No change</v>
      </c>
      <c r="AU285" s="1640">
        <f t="shared" si="202"/>
        <v>572.60015636645983</v>
      </c>
      <c r="AV285" s="1638">
        <f t="shared" si="203"/>
        <v>0</v>
      </c>
      <c r="AW285" s="2044">
        <f t="shared" si="204"/>
        <v>572.60015636645983</v>
      </c>
      <c r="AX285" s="2044">
        <f t="shared" si="205"/>
        <v>572.60015636645983</v>
      </c>
      <c r="AY285" s="2044">
        <f t="shared" si="206"/>
        <v>572.60015636645983</v>
      </c>
      <c r="AZ285" s="2044">
        <f t="shared" si="207"/>
        <v>572.60015636645983</v>
      </c>
      <c r="BA285" s="2045">
        <f t="shared" si="208"/>
        <v>2290.4006254658393</v>
      </c>
      <c r="BB285" s="2045" t="str">
        <f>+'[9]4.2.5'!$A$1</f>
        <v>4.2.5</v>
      </c>
      <c r="BC285" s="2045" t="str">
        <f>+'[9]4.2.5'!$A$1</f>
        <v>4.2.5</v>
      </c>
      <c r="BD285" s="2045">
        <v>0</v>
      </c>
      <c r="BE285" s="2051">
        <v>12</v>
      </c>
      <c r="BF285" s="2051">
        <v>12</v>
      </c>
      <c r="BG285" s="2051">
        <v>12</v>
      </c>
      <c r="BH285" s="2051">
        <v>12</v>
      </c>
      <c r="BI285" s="2045">
        <f t="shared" si="183"/>
        <v>6871.2018763975175</v>
      </c>
      <c r="BJ285" s="2045">
        <f t="shared" si="184"/>
        <v>6871.2018763975175</v>
      </c>
      <c r="BK285" s="2045">
        <f t="shared" si="185"/>
        <v>6871.2018763975175</v>
      </c>
      <c r="BL285" s="2045">
        <f t="shared" si="186"/>
        <v>6871.2018763975175</v>
      </c>
      <c r="BM285" s="2045">
        <f t="shared" si="209"/>
        <v>27484.80750559007</v>
      </c>
      <c r="BN285" s="2047">
        <v>12</v>
      </c>
      <c r="BO285" s="2047">
        <v>12</v>
      </c>
      <c r="BP285" s="2047">
        <v>12</v>
      </c>
      <c r="BQ285" s="2047">
        <v>12</v>
      </c>
      <c r="BR285" s="2048">
        <f t="shared" si="210"/>
        <v>6871.2018763975175</v>
      </c>
      <c r="BS285" s="2048">
        <f t="shared" si="211"/>
        <v>6871.2018763975175</v>
      </c>
      <c r="BT285" s="2048">
        <f t="shared" si="212"/>
        <v>6871.2018763975175</v>
      </c>
      <c r="BU285" s="2048">
        <f t="shared" si="213"/>
        <v>6871.2018763975175</v>
      </c>
      <c r="BV285" s="1840">
        <f t="shared" si="214"/>
        <v>27484.80750559007</v>
      </c>
      <c r="BW285" s="2064" t="e">
        <f>INT(#REF!)=INT(BA285)</f>
        <v>#REF!</v>
      </c>
      <c r="BX285" s="2064">
        <v>278</v>
      </c>
      <c r="BY285" s="2064" t="s">
        <v>512</v>
      </c>
    </row>
    <row r="286" spans="1:77" s="1976" customFormat="1" ht="62" x14ac:dyDescent="0.35">
      <c r="A286" s="1372" t="s">
        <v>3046</v>
      </c>
      <c r="B286" s="1372" t="s">
        <v>273</v>
      </c>
      <c r="C286" s="1637">
        <v>0</v>
      </c>
      <c r="D286" s="1372" t="s">
        <v>3516</v>
      </c>
      <c r="E286" s="1843" t="s">
        <v>163</v>
      </c>
      <c r="F286" s="1845">
        <v>8</v>
      </c>
      <c r="G286" s="1845">
        <v>8</v>
      </c>
      <c r="H286" s="1845">
        <v>8</v>
      </c>
      <c r="I286" s="1845">
        <v>8</v>
      </c>
      <c r="J286" s="1843" t="s">
        <v>295</v>
      </c>
      <c r="K286" s="1843" t="str">
        <f t="shared" si="190"/>
        <v>Nicor Gas PY7-PY10 Adjustable Goals Template_2017-06-30, Tab Customized TRM</v>
      </c>
      <c r="L286" s="1846">
        <v>578</v>
      </c>
      <c r="M286" s="1846">
        <v>578</v>
      </c>
      <c r="N286" s="1846">
        <v>578</v>
      </c>
      <c r="O286" s="1846">
        <v>578</v>
      </c>
      <c r="P286" s="1844">
        <v>0.81</v>
      </c>
      <c r="Q286" s="1844">
        <v>0.81</v>
      </c>
      <c r="R286" s="1844">
        <v>0.81</v>
      </c>
      <c r="S286" s="1844">
        <v>0.81</v>
      </c>
      <c r="T286" s="1847">
        <f t="shared" si="191"/>
        <v>3745.44</v>
      </c>
      <c r="U286" s="1847">
        <f t="shared" si="192"/>
        <v>3745.44</v>
      </c>
      <c r="V286" s="1847">
        <f t="shared" si="193"/>
        <v>3745.44</v>
      </c>
      <c r="W286" s="1847">
        <f t="shared" si="194"/>
        <v>3745.44</v>
      </c>
      <c r="X286" s="1847">
        <f t="shared" si="195"/>
        <v>14981.76</v>
      </c>
      <c r="Y286" s="1843"/>
      <c r="Z286" s="1843" t="str">
        <f t="shared" si="178"/>
        <v>Nicor Gas PY7-PY10 Adjustable Goals Template_2017-06-30, Tab Customized TRM</v>
      </c>
      <c r="AA286" s="1848">
        <f t="shared" si="179"/>
        <v>578</v>
      </c>
      <c r="AB286" s="1848"/>
      <c r="AC286" s="1848">
        <f t="shared" si="196"/>
        <v>3745.44</v>
      </c>
      <c r="AD286" s="1848">
        <f t="shared" si="197"/>
        <v>0</v>
      </c>
      <c r="AE286" s="1843"/>
      <c r="AF286" s="1843" t="s">
        <v>3361</v>
      </c>
      <c r="AG286" s="1846">
        <v>578</v>
      </c>
      <c r="AH286" s="1843"/>
      <c r="AI286" s="1847">
        <f t="shared" si="198"/>
        <v>3745.44</v>
      </c>
      <c r="AJ286" s="1845">
        <f t="shared" si="199"/>
        <v>0</v>
      </c>
      <c r="AK286" s="1843"/>
      <c r="AL286" s="1843" t="s">
        <v>3361</v>
      </c>
      <c r="AM286" s="1846">
        <v>578</v>
      </c>
      <c r="AN286" s="1843"/>
      <c r="AO286" s="1847">
        <f t="shared" si="200"/>
        <v>3745.44</v>
      </c>
      <c r="AP286" s="1845">
        <f t="shared" si="201"/>
        <v>0</v>
      </c>
      <c r="AQ286" s="1843"/>
      <c r="AR286" s="1843" t="s">
        <v>3361</v>
      </c>
      <c r="AS286" s="1846">
        <v>578</v>
      </c>
      <c r="AT286" s="1843"/>
      <c r="AU286" s="1847">
        <f t="shared" si="202"/>
        <v>3745.44</v>
      </c>
      <c r="AV286" s="1845">
        <f t="shared" si="203"/>
        <v>0</v>
      </c>
      <c r="AW286" s="2123">
        <f t="shared" si="204"/>
        <v>3745.44</v>
      </c>
      <c r="AX286" s="2123">
        <f t="shared" si="205"/>
        <v>3745.44</v>
      </c>
      <c r="AY286" s="2123">
        <f t="shared" si="206"/>
        <v>3745.44</v>
      </c>
      <c r="AZ286" s="2123">
        <f t="shared" si="207"/>
        <v>3745.44</v>
      </c>
      <c r="BA286" s="2051">
        <f t="shared" si="208"/>
        <v>14981.76</v>
      </c>
      <c r="BB286" s="2051"/>
      <c r="BC286" s="2051"/>
      <c r="BD286" s="2045">
        <v>0</v>
      </c>
      <c r="BE286" s="2051">
        <v>12</v>
      </c>
      <c r="BF286" s="2051">
        <v>12</v>
      </c>
      <c r="BG286" s="2051">
        <v>12</v>
      </c>
      <c r="BH286" s="2051">
        <v>12</v>
      </c>
      <c r="BI286" s="2045">
        <f t="shared" si="183"/>
        <v>44945.279999999999</v>
      </c>
      <c r="BJ286" s="2045">
        <f t="shared" si="184"/>
        <v>44945.279999999999</v>
      </c>
      <c r="BK286" s="2045">
        <f t="shared" si="185"/>
        <v>44945.279999999999</v>
      </c>
      <c r="BL286" s="2045">
        <f t="shared" si="186"/>
        <v>44945.279999999999</v>
      </c>
      <c r="BM286" s="2045">
        <f t="shared" si="209"/>
        <v>179781.12</v>
      </c>
      <c r="BN286" s="2047">
        <v>12</v>
      </c>
      <c r="BO286" s="2047">
        <v>12</v>
      </c>
      <c r="BP286" s="2047">
        <v>12</v>
      </c>
      <c r="BQ286" s="2047">
        <v>12</v>
      </c>
      <c r="BR286" s="2048">
        <f t="shared" si="210"/>
        <v>44945.279999999999</v>
      </c>
      <c r="BS286" s="2048">
        <f t="shared" si="211"/>
        <v>44945.279999999999</v>
      </c>
      <c r="BT286" s="2048">
        <f t="shared" si="212"/>
        <v>44945.279999999999</v>
      </c>
      <c r="BU286" s="2048">
        <f t="shared" si="213"/>
        <v>44945.279999999999</v>
      </c>
      <c r="BV286" s="1840">
        <f t="shared" si="214"/>
        <v>179781.12</v>
      </c>
      <c r="BW286" s="2064" t="e">
        <f>INT(#REF!)=INT(BA286)</f>
        <v>#REF!</v>
      </c>
      <c r="BX286" s="2064">
        <v>279</v>
      </c>
      <c r="BY286" s="2064" t="s">
        <v>3485</v>
      </c>
    </row>
    <row r="287" spans="1:77" s="1976" customFormat="1" ht="61.5" customHeight="1" x14ac:dyDescent="0.35">
      <c r="A287" s="1372" t="s">
        <v>3046</v>
      </c>
      <c r="B287" s="1372" t="s">
        <v>150</v>
      </c>
      <c r="C287" s="1637">
        <v>0</v>
      </c>
      <c r="D287" s="2053" t="str">
        <f>+'[9]4.2.8'!$A$1</f>
        <v>4.2.8</v>
      </c>
      <c r="E287" s="1372" t="s">
        <v>163</v>
      </c>
      <c r="F287" s="1638">
        <v>0</v>
      </c>
      <c r="G287" s="1638">
        <v>0</v>
      </c>
      <c r="H287" s="1638">
        <v>0</v>
      </c>
      <c r="I287" s="1638">
        <v>0</v>
      </c>
      <c r="J287" s="1372" t="str">
        <f>'[9]4.2.8'!$B$16</f>
        <v>CI-FSE-ESGR-V02-160601</v>
      </c>
      <c r="K287" s="1372" t="str">
        <f t="shared" ref="K287:K307" si="215">IF(D287&lt;&gt;"Custom",CONCATENATE($H$1,", ",$I$1," ",D287),"")</f>
        <v>Nicor Gas PY7-PY10 Adjustable Goals Template_2017-06-30, Tab 4.2.8</v>
      </c>
      <c r="L287" s="1639">
        <v>0</v>
      </c>
      <c r="M287" s="1639">
        <v>0</v>
      </c>
      <c r="N287" s="1639">
        <v>0</v>
      </c>
      <c r="O287" s="1639">
        <v>0</v>
      </c>
      <c r="P287" s="1637">
        <v>0.87</v>
      </c>
      <c r="Q287" s="1637">
        <v>0.87</v>
      </c>
      <c r="R287" s="1637">
        <v>0.87</v>
      </c>
      <c r="S287" s="1637">
        <v>0.87</v>
      </c>
      <c r="T287" s="1640">
        <f t="shared" ref="T287:W307" si="216">+F287*L287*P287</f>
        <v>0</v>
      </c>
      <c r="U287" s="1640">
        <f t="shared" si="216"/>
        <v>0</v>
      </c>
      <c r="V287" s="1640">
        <f t="shared" si="216"/>
        <v>0</v>
      </c>
      <c r="W287" s="1640">
        <f t="shared" si="216"/>
        <v>0</v>
      </c>
      <c r="X287" s="1640">
        <f t="shared" ref="X287:X308" si="217">+SUM(T287:W287)</f>
        <v>0</v>
      </c>
      <c r="Y287" s="1372" t="str">
        <f t="shared" ref="Y287:Y293" si="218">J287</f>
        <v>CI-FSE-ESGR-V02-160601</v>
      </c>
      <c r="Z287" s="1372" t="str">
        <f t="shared" ref="Z287:AA307" si="219">K287</f>
        <v>Nicor Gas PY7-PY10 Adjustable Goals Template_2017-06-30, Tab 4.2.8</v>
      </c>
      <c r="AA287" s="1840">
        <f t="shared" si="219"/>
        <v>0</v>
      </c>
      <c r="AB287" s="2028"/>
      <c r="AC287" s="1840">
        <f t="shared" ref="AC287:AC307" si="220">F287*AA287*P287</f>
        <v>0</v>
      </c>
      <c r="AD287" s="1840">
        <f t="shared" ref="AD287:AD307" si="221">AC287-T287</f>
        <v>0</v>
      </c>
      <c r="AE287" s="1372" t="s">
        <v>2576</v>
      </c>
      <c r="AF287" s="1372" t="s">
        <v>3380</v>
      </c>
      <c r="AG287" s="1639">
        <v>0</v>
      </c>
      <c r="AH287" s="1372" t="s">
        <v>3445</v>
      </c>
      <c r="AI287" s="1640">
        <f t="shared" ref="AI287:AI307" si="222">G287*AG287*Q287</f>
        <v>0</v>
      </c>
      <c r="AJ287" s="1638">
        <f t="shared" ref="AJ287:AJ307" si="223">AI287-U287</f>
        <v>0</v>
      </c>
      <c r="AK287" s="1372" t="s">
        <v>2576</v>
      </c>
      <c r="AL287" s="1372" t="s">
        <v>3380</v>
      </c>
      <c r="AM287" s="1639">
        <v>0</v>
      </c>
      <c r="AN287" s="1372" t="str">
        <f t="shared" ref="AN287:AN291" si="224">$AH287</f>
        <v>No change</v>
      </c>
      <c r="AO287" s="1640">
        <f t="shared" ref="AO287:AO307" si="225">H287*AM287*R287</f>
        <v>0</v>
      </c>
      <c r="AP287" s="1638">
        <f t="shared" ref="AP287:AP307" si="226">AO287-V287</f>
        <v>0</v>
      </c>
      <c r="AQ287" s="1372" t="s">
        <v>2576</v>
      </c>
      <c r="AR287" s="1372" t="s">
        <v>3380</v>
      </c>
      <c r="AS287" s="1639">
        <v>0</v>
      </c>
      <c r="AT287" s="1372" t="str">
        <f t="shared" ref="AT287:AT291" si="227">$AH287</f>
        <v>No change</v>
      </c>
      <c r="AU287" s="1640">
        <f t="shared" ref="AU287:AU307" si="228">I287*AS287*S287</f>
        <v>0</v>
      </c>
      <c r="AV287" s="1638">
        <f t="shared" ref="AV287:AV307" si="229">AU287-W287</f>
        <v>0</v>
      </c>
      <c r="AW287" s="2044">
        <f t="shared" ref="AW287:AW307" si="230">IF($C287=1,AC287,T287)</f>
        <v>0</v>
      </c>
      <c r="AX287" s="2044">
        <f t="shared" ref="AX287:AX307" si="231">IF($C287=1,AI287,U287)</f>
        <v>0</v>
      </c>
      <c r="AY287" s="2044">
        <f t="shared" ref="AY287:AY307" si="232">IF($C287=1,AO287,V287)</f>
        <v>0</v>
      </c>
      <c r="AZ287" s="2044">
        <f t="shared" ref="AZ287:AZ307" si="233">IF($C287=1,AU287,W287)</f>
        <v>0</v>
      </c>
      <c r="BA287" s="2045">
        <f t="shared" ref="BA287:BA307" si="234">SUM(AW287:AZ287)</f>
        <v>0</v>
      </c>
      <c r="BB287" s="2045" t="str">
        <f>+'[9]4.2.8'!$A$1</f>
        <v>4.2.8</v>
      </c>
      <c r="BC287" s="2045" t="str">
        <f>+'[9]4.2.8'!$A$1</f>
        <v>4.2.8</v>
      </c>
      <c r="BD287" s="2045">
        <v>0</v>
      </c>
      <c r="BE287" s="2051">
        <v>12</v>
      </c>
      <c r="BF287" s="2051">
        <v>12</v>
      </c>
      <c r="BG287" s="2051">
        <v>12</v>
      </c>
      <c r="BH287" s="2051">
        <v>12</v>
      </c>
      <c r="BI287" s="2045">
        <f t="shared" ref="BI287:BI307" si="235">F287*P287*L287*BE287</f>
        <v>0</v>
      </c>
      <c r="BJ287" s="2045">
        <f t="shared" ref="BJ287:BJ307" si="236">G287*Q287*M287*BF287</f>
        <v>0</v>
      </c>
      <c r="BK287" s="2045">
        <f t="shared" ref="BK287:BK307" si="237">H287*R287*N287*BG287</f>
        <v>0</v>
      </c>
      <c r="BL287" s="2045">
        <f t="shared" ref="BL287:BL307" si="238">I287*S287*O287*BH287</f>
        <v>0</v>
      </c>
      <c r="BM287" s="2045">
        <f t="shared" ref="BM287:BM307" si="239">SUM(BI287:BL287)</f>
        <v>0</v>
      </c>
      <c r="BN287" s="2047">
        <v>12</v>
      </c>
      <c r="BO287" s="2047">
        <v>12</v>
      </c>
      <c r="BP287" s="2047">
        <v>12</v>
      </c>
      <c r="BQ287" s="2047">
        <v>12</v>
      </c>
      <c r="BR287" s="2048">
        <f t="shared" ref="BR287:BR307" si="240">F287*P287*AA287*BN287</f>
        <v>0</v>
      </c>
      <c r="BS287" s="2048">
        <f t="shared" ref="BS287:BS307" si="241">G287*Q287*AG287*BO287</f>
        <v>0</v>
      </c>
      <c r="BT287" s="2048">
        <f t="shared" ref="BT287:BT307" si="242">H287*R287*AM287*BP287</f>
        <v>0</v>
      </c>
      <c r="BU287" s="2048">
        <f t="shared" ref="BU287:BU307" si="243">I287*S287*AS287*BQ287</f>
        <v>0</v>
      </c>
      <c r="BV287" s="1840">
        <f t="shared" ref="BV287:BV307" si="244">SUM(BR287:BU287)</f>
        <v>0</v>
      </c>
      <c r="BW287" s="2064" t="e">
        <f>INT(#REF!)=INT(BA287)</f>
        <v>#REF!</v>
      </c>
      <c r="BX287" s="2064">
        <v>280</v>
      </c>
      <c r="BY287" s="2064" t="s">
        <v>512</v>
      </c>
    </row>
    <row r="288" spans="1:77" s="1976" customFormat="1" ht="61.5" customHeight="1" x14ac:dyDescent="0.35">
      <c r="A288" s="1372" t="s">
        <v>3046</v>
      </c>
      <c r="B288" s="1372" t="s">
        <v>181</v>
      </c>
      <c r="C288" s="1637">
        <v>0</v>
      </c>
      <c r="D288" s="2053" t="str">
        <f>+'[9]4.4.11'!$A$1</f>
        <v>4.4.11</v>
      </c>
      <c r="E288" s="1372" t="s">
        <v>163</v>
      </c>
      <c r="F288" s="1638">
        <v>19</v>
      </c>
      <c r="G288" s="1638">
        <v>19</v>
      </c>
      <c r="H288" s="1638">
        <v>19</v>
      </c>
      <c r="I288" s="1638">
        <v>19</v>
      </c>
      <c r="J288" s="1372" t="str">
        <f>+'[9]4.4.11'!$B$14</f>
        <v>CI-HVC-FRNC-V07-180101</v>
      </c>
      <c r="K288" s="1372" t="str">
        <f t="shared" si="215"/>
        <v>Nicor Gas PY7-PY10 Adjustable Goals Template_2017-06-30, Tab 4.4.11</v>
      </c>
      <c r="L288" s="1639">
        <v>387.0687784090909</v>
      </c>
      <c r="M288" s="1639">
        <v>387.0687784090909</v>
      </c>
      <c r="N288" s="1639">
        <v>387.0687784090909</v>
      </c>
      <c r="O288" s="1639">
        <v>387.0687784090909</v>
      </c>
      <c r="P288" s="1637">
        <v>0.87</v>
      </c>
      <c r="Q288" s="1637">
        <v>0.87</v>
      </c>
      <c r="R288" s="1637">
        <v>0.87</v>
      </c>
      <c r="S288" s="1637">
        <v>0.87</v>
      </c>
      <c r="T288" s="1640">
        <f t="shared" si="216"/>
        <v>6398.2469071022724</v>
      </c>
      <c r="U288" s="1640">
        <f t="shared" si="216"/>
        <v>6398.2469071022724</v>
      </c>
      <c r="V288" s="1640">
        <f t="shared" si="216"/>
        <v>6398.2469071022724</v>
      </c>
      <c r="W288" s="1640">
        <f t="shared" si="216"/>
        <v>6398.2469071022724</v>
      </c>
      <c r="X288" s="1640">
        <f t="shared" si="217"/>
        <v>25592.98762840909</v>
      </c>
      <c r="Y288" s="1372" t="str">
        <f t="shared" si="218"/>
        <v>CI-HVC-FRNC-V07-180101</v>
      </c>
      <c r="Z288" s="1372" t="str">
        <f t="shared" si="219"/>
        <v>Nicor Gas PY7-PY10 Adjustable Goals Template_2017-06-30, Tab 4.4.11</v>
      </c>
      <c r="AA288" s="1840">
        <f t="shared" si="219"/>
        <v>387.0687784090909</v>
      </c>
      <c r="AB288" s="2028"/>
      <c r="AC288" s="1840">
        <f t="shared" si="220"/>
        <v>6398.2469071022724</v>
      </c>
      <c r="AD288" s="1840">
        <f t="shared" si="221"/>
        <v>0</v>
      </c>
      <c r="AE288" s="1372" t="s">
        <v>2795</v>
      </c>
      <c r="AF288" s="1372" t="s">
        <v>3362</v>
      </c>
      <c r="AG288" s="1639">
        <v>387.0687784090909</v>
      </c>
      <c r="AH288" s="1372" t="s">
        <v>3445</v>
      </c>
      <c r="AI288" s="1640">
        <f t="shared" si="222"/>
        <v>6398.2469071022724</v>
      </c>
      <c r="AJ288" s="1638">
        <f t="shared" si="223"/>
        <v>0</v>
      </c>
      <c r="AK288" s="1372" t="s">
        <v>2795</v>
      </c>
      <c r="AL288" s="1372" t="s">
        <v>3362</v>
      </c>
      <c r="AM288" s="1639">
        <v>387.0687784090909</v>
      </c>
      <c r="AN288" s="1372" t="str">
        <f t="shared" si="224"/>
        <v>No change</v>
      </c>
      <c r="AO288" s="1640">
        <f t="shared" si="225"/>
        <v>6398.2469071022724</v>
      </c>
      <c r="AP288" s="1638">
        <f t="shared" si="226"/>
        <v>0</v>
      </c>
      <c r="AQ288" s="1372" t="s">
        <v>2795</v>
      </c>
      <c r="AR288" s="1372" t="s">
        <v>3362</v>
      </c>
      <c r="AS288" s="1639">
        <v>387.0687784090909</v>
      </c>
      <c r="AT288" s="1372" t="str">
        <f t="shared" si="227"/>
        <v>No change</v>
      </c>
      <c r="AU288" s="1640">
        <f t="shared" si="228"/>
        <v>6398.2469071022724</v>
      </c>
      <c r="AV288" s="1638">
        <f t="shared" si="229"/>
        <v>0</v>
      </c>
      <c r="AW288" s="2044">
        <f t="shared" si="230"/>
        <v>6398.2469071022724</v>
      </c>
      <c r="AX288" s="2044">
        <f t="shared" si="231"/>
        <v>6398.2469071022724</v>
      </c>
      <c r="AY288" s="2044">
        <f t="shared" si="232"/>
        <v>6398.2469071022724</v>
      </c>
      <c r="AZ288" s="2044">
        <f t="shared" si="233"/>
        <v>6398.2469071022724</v>
      </c>
      <c r="BA288" s="2045">
        <f t="shared" si="234"/>
        <v>25592.98762840909</v>
      </c>
      <c r="BB288" s="2045" t="str">
        <f>+'[9]4.4.11'!$A$1</f>
        <v>4.4.11</v>
      </c>
      <c r="BC288" s="2045" t="str">
        <f>+'[9]4.4.11'!$A$1</f>
        <v>4.4.11</v>
      </c>
      <c r="BD288" s="2045">
        <v>0</v>
      </c>
      <c r="BE288" s="2051">
        <v>16.5</v>
      </c>
      <c r="BF288" s="2051">
        <v>16.5</v>
      </c>
      <c r="BG288" s="2051">
        <v>16.5</v>
      </c>
      <c r="BH288" s="2051">
        <v>16.5</v>
      </c>
      <c r="BI288" s="2045">
        <f t="shared" si="235"/>
        <v>105571.07396718751</v>
      </c>
      <c r="BJ288" s="2045">
        <f t="shared" si="236"/>
        <v>105571.07396718751</v>
      </c>
      <c r="BK288" s="2045">
        <f t="shared" si="237"/>
        <v>105571.07396718751</v>
      </c>
      <c r="BL288" s="2045">
        <f t="shared" si="238"/>
        <v>105571.07396718751</v>
      </c>
      <c r="BM288" s="2045">
        <f t="shared" si="239"/>
        <v>422284.29586875002</v>
      </c>
      <c r="BN288" s="2047">
        <v>16.5</v>
      </c>
      <c r="BO288" s="2047">
        <v>16.5</v>
      </c>
      <c r="BP288" s="2047">
        <v>16.5</v>
      </c>
      <c r="BQ288" s="2047">
        <v>16.5</v>
      </c>
      <c r="BR288" s="2048">
        <f t="shared" si="240"/>
        <v>105571.07396718751</v>
      </c>
      <c r="BS288" s="2048">
        <f t="shared" si="241"/>
        <v>105571.07396718751</v>
      </c>
      <c r="BT288" s="2048">
        <f t="shared" si="242"/>
        <v>105571.07396718751</v>
      </c>
      <c r="BU288" s="2048">
        <f t="shared" si="243"/>
        <v>105571.07396718751</v>
      </c>
      <c r="BV288" s="1840">
        <f t="shared" si="244"/>
        <v>422284.29586875002</v>
      </c>
      <c r="BW288" s="2064" t="e">
        <f>INT(#REF!)=INT(BA288)</f>
        <v>#REF!</v>
      </c>
      <c r="BX288" s="2064">
        <v>281</v>
      </c>
      <c r="BY288" s="2064" t="s">
        <v>512</v>
      </c>
    </row>
    <row r="289" spans="1:77" s="1976" customFormat="1" ht="61.5" customHeight="1" x14ac:dyDescent="0.35">
      <c r="A289" s="1372" t="s">
        <v>3046</v>
      </c>
      <c r="B289" s="1372" t="s">
        <v>182</v>
      </c>
      <c r="C289" s="1637">
        <v>0</v>
      </c>
      <c r="D289" s="2053" t="str">
        <f>+'[9]4.4.11'!$A$1</f>
        <v>4.4.11</v>
      </c>
      <c r="E289" s="1372" t="s">
        <v>163</v>
      </c>
      <c r="F289" s="1638">
        <v>80</v>
      </c>
      <c r="G289" s="1638">
        <v>80</v>
      </c>
      <c r="H289" s="1638">
        <v>80</v>
      </c>
      <c r="I289" s="1638">
        <v>80</v>
      </c>
      <c r="J289" s="1372" t="str">
        <f>+'[9]4.4.11'!$B$14</f>
        <v>CI-HVC-FRNC-V07-180101</v>
      </c>
      <c r="K289" s="1372" t="str">
        <f t="shared" si="215"/>
        <v>Nicor Gas PY7-PY10 Adjustable Goals Template_2017-06-30, Tab 4.4.11</v>
      </c>
      <c r="L289" s="1639">
        <v>458.74818181818148</v>
      </c>
      <c r="M289" s="1639">
        <v>458.74818181818148</v>
      </c>
      <c r="N289" s="1639">
        <v>458.74818181818148</v>
      </c>
      <c r="O289" s="1639">
        <v>458.74818181818148</v>
      </c>
      <c r="P289" s="1637">
        <v>0.87</v>
      </c>
      <c r="Q289" s="1637">
        <v>0.87</v>
      </c>
      <c r="R289" s="1637">
        <v>0.87</v>
      </c>
      <c r="S289" s="1637">
        <v>0.87</v>
      </c>
      <c r="T289" s="1640">
        <f t="shared" si="216"/>
        <v>31928.873454545428</v>
      </c>
      <c r="U289" s="1640">
        <f t="shared" si="216"/>
        <v>31928.873454545428</v>
      </c>
      <c r="V289" s="1640">
        <f t="shared" si="216"/>
        <v>31928.873454545428</v>
      </c>
      <c r="W289" s="1640">
        <f t="shared" si="216"/>
        <v>31928.873454545428</v>
      </c>
      <c r="X289" s="1640">
        <f t="shared" si="217"/>
        <v>127715.49381818171</v>
      </c>
      <c r="Y289" s="1372" t="str">
        <f t="shared" si="218"/>
        <v>CI-HVC-FRNC-V07-180101</v>
      </c>
      <c r="Z289" s="1372" t="str">
        <f t="shared" si="219"/>
        <v>Nicor Gas PY7-PY10 Adjustable Goals Template_2017-06-30, Tab 4.4.11</v>
      </c>
      <c r="AA289" s="1840">
        <f t="shared" si="219"/>
        <v>458.74818181818148</v>
      </c>
      <c r="AB289" s="2028"/>
      <c r="AC289" s="1840">
        <f t="shared" si="220"/>
        <v>31928.873454545428</v>
      </c>
      <c r="AD289" s="1840">
        <f t="shared" si="221"/>
        <v>0</v>
      </c>
      <c r="AE289" s="1372" t="s">
        <v>2795</v>
      </c>
      <c r="AF289" s="1372" t="s">
        <v>3362</v>
      </c>
      <c r="AG289" s="1639">
        <v>458.74818181818148</v>
      </c>
      <c r="AH289" s="1372" t="s">
        <v>3445</v>
      </c>
      <c r="AI289" s="1640">
        <f t="shared" si="222"/>
        <v>31928.873454545428</v>
      </c>
      <c r="AJ289" s="1638">
        <f t="shared" si="223"/>
        <v>0</v>
      </c>
      <c r="AK289" s="1372" t="s">
        <v>2795</v>
      </c>
      <c r="AL289" s="1372" t="s">
        <v>3362</v>
      </c>
      <c r="AM289" s="1639">
        <v>458.74818181818148</v>
      </c>
      <c r="AN289" s="1372" t="str">
        <f t="shared" si="224"/>
        <v>No change</v>
      </c>
      <c r="AO289" s="1640">
        <f t="shared" si="225"/>
        <v>31928.873454545428</v>
      </c>
      <c r="AP289" s="1638">
        <f t="shared" si="226"/>
        <v>0</v>
      </c>
      <c r="AQ289" s="1372" t="s">
        <v>2795</v>
      </c>
      <c r="AR289" s="1372" t="s">
        <v>3362</v>
      </c>
      <c r="AS289" s="1639">
        <v>458.74818181818148</v>
      </c>
      <c r="AT289" s="1372" t="str">
        <f t="shared" si="227"/>
        <v>No change</v>
      </c>
      <c r="AU289" s="1640">
        <f t="shared" si="228"/>
        <v>31928.873454545428</v>
      </c>
      <c r="AV289" s="1638">
        <f t="shared" si="229"/>
        <v>0</v>
      </c>
      <c r="AW289" s="2044">
        <f t="shared" si="230"/>
        <v>31928.873454545428</v>
      </c>
      <c r="AX289" s="2044">
        <f t="shared" si="231"/>
        <v>31928.873454545428</v>
      </c>
      <c r="AY289" s="2044">
        <f t="shared" si="232"/>
        <v>31928.873454545428</v>
      </c>
      <c r="AZ289" s="2044">
        <f t="shared" si="233"/>
        <v>31928.873454545428</v>
      </c>
      <c r="BA289" s="2045">
        <f t="shared" si="234"/>
        <v>127715.49381818171</v>
      </c>
      <c r="BB289" s="2045" t="str">
        <f>+'[9]4.4.11'!$A$1</f>
        <v>4.4.11</v>
      </c>
      <c r="BC289" s="2045" t="str">
        <f>+'[9]4.4.11'!$A$1</f>
        <v>4.4.11</v>
      </c>
      <c r="BD289" s="2045">
        <v>0</v>
      </c>
      <c r="BE289" s="2051">
        <v>16.5</v>
      </c>
      <c r="BF289" s="2051">
        <v>16.5</v>
      </c>
      <c r="BG289" s="2051">
        <v>16.5</v>
      </c>
      <c r="BH289" s="2051">
        <v>16.5</v>
      </c>
      <c r="BI289" s="2045">
        <f t="shared" si="235"/>
        <v>526826.41199999955</v>
      </c>
      <c r="BJ289" s="2045">
        <f t="shared" si="236"/>
        <v>526826.41199999955</v>
      </c>
      <c r="BK289" s="2045">
        <f t="shared" si="237"/>
        <v>526826.41199999955</v>
      </c>
      <c r="BL289" s="2045">
        <f t="shared" si="238"/>
        <v>526826.41199999955</v>
      </c>
      <c r="BM289" s="2045">
        <f t="shared" si="239"/>
        <v>2107305.6479999982</v>
      </c>
      <c r="BN289" s="2047">
        <v>16.5</v>
      </c>
      <c r="BO289" s="2047">
        <v>16.5</v>
      </c>
      <c r="BP289" s="2047">
        <v>16.5</v>
      </c>
      <c r="BQ289" s="2047">
        <v>16.5</v>
      </c>
      <c r="BR289" s="2048">
        <f t="shared" si="240"/>
        <v>526826.41199999955</v>
      </c>
      <c r="BS289" s="2048">
        <f t="shared" si="241"/>
        <v>526826.41199999955</v>
      </c>
      <c r="BT289" s="2048">
        <f t="shared" si="242"/>
        <v>526826.41199999955</v>
      </c>
      <c r="BU289" s="2048">
        <f t="shared" si="243"/>
        <v>526826.41199999955</v>
      </c>
      <c r="BV289" s="1840">
        <f t="shared" si="244"/>
        <v>2107305.6479999982</v>
      </c>
      <c r="BW289" s="2064" t="e">
        <f>INT(#REF!)=INT(BA289)</f>
        <v>#REF!</v>
      </c>
      <c r="BX289" s="2064">
        <v>282</v>
      </c>
      <c r="BY289" s="2064" t="s">
        <v>512</v>
      </c>
    </row>
    <row r="290" spans="1:77" s="1976" customFormat="1" ht="61.5" customHeight="1" x14ac:dyDescent="0.35">
      <c r="A290" s="1372" t="s">
        <v>3046</v>
      </c>
      <c r="B290" s="1372" t="s">
        <v>180</v>
      </c>
      <c r="C290" s="1637">
        <v>0</v>
      </c>
      <c r="D290" s="2053" t="str">
        <f>+'[9]4.4.5'!$A$1</f>
        <v>4.4.5</v>
      </c>
      <c r="E290" s="1372" t="s">
        <v>163</v>
      </c>
      <c r="F290" s="1638">
        <v>2</v>
      </c>
      <c r="G290" s="1638">
        <v>2</v>
      </c>
      <c r="H290" s="1638">
        <v>2</v>
      </c>
      <c r="I290" s="1638">
        <v>2</v>
      </c>
      <c r="J290" s="1372" t="str">
        <f>+'[9]4.4.5'!$B$9</f>
        <v>CI-HVC-CUHT-V01-120601</v>
      </c>
      <c r="K290" s="1372" t="str">
        <f t="shared" si="215"/>
        <v>Nicor Gas PY7-PY10 Adjustable Goals Template_2017-06-30, Tab 4.4.5</v>
      </c>
      <c r="L290" s="1639">
        <v>266</v>
      </c>
      <c r="M290" s="1639">
        <v>266</v>
      </c>
      <c r="N290" s="1639">
        <v>266</v>
      </c>
      <c r="O290" s="1639">
        <v>266</v>
      </c>
      <c r="P290" s="1637">
        <v>0.87</v>
      </c>
      <c r="Q290" s="1637">
        <v>0.87</v>
      </c>
      <c r="R290" s="1637">
        <v>0.87</v>
      </c>
      <c r="S290" s="1637">
        <v>0.87</v>
      </c>
      <c r="T290" s="1640">
        <f t="shared" si="216"/>
        <v>462.84</v>
      </c>
      <c r="U290" s="1640">
        <f t="shared" si="216"/>
        <v>462.84</v>
      </c>
      <c r="V290" s="1640">
        <f t="shared" si="216"/>
        <v>462.84</v>
      </c>
      <c r="W290" s="1640">
        <f t="shared" si="216"/>
        <v>462.84</v>
      </c>
      <c r="X290" s="1640">
        <f t="shared" si="217"/>
        <v>1851.36</v>
      </c>
      <c r="Y290" s="1372" t="str">
        <f t="shared" si="218"/>
        <v>CI-HVC-CUHT-V01-120601</v>
      </c>
      <c r="Z290" s="1372" t="str">
        <f t="shared" si="219"/>
        <v>Nicor Gas PY7-PY10 Adjustable Goals Template_2017-06-30, Tab 4.4.5</v>
      </c>
      <c r="AA290" s="1840">
        <f t="shared" si="219"/>
        <v>266</v>
      </c>
      <c r="AB290" s="2028"/>
      <c r="AC290" s="1840">
        <f t="shared" si="220"/>
        <v>462.84</v>
      </c>
      <c r="AD290" s="1840">
        <f t="shared" si="221"/>
        <v>0</v>
      </c>
      <c r="AE290" s="1372" t="s">
        <v>199</v>
      </c>
      <c r="AF290" s="1372" t="s">
        <v>3363</v>
      </c>
      <c r="AG290" s="1639">
        <v>266</v>
      </c>
      <c r="AH290" s="1372" t="s">
        <v>3445</v>
      </c>
      <c r="AI290" s="1640">
        <f t="shared" si="222"/>
        <v>462.84</v>
      </c>
      <c r="AJ290" s="1638">
        <f t="shared" si="223"/>
        <v>0</v>
      </c>
      <c r="AK290" s="1372" t="s">
        <v>199</v>
      </c>
      <c r="AL290" s="1372" t="s">
        <v>3363</v>
      </c>
      <c r="AM290" s="1639">
        <v>266</v>
      </c>
      <c r="AN290" s="1372" t="str">
        <f t="shared" si="224"/>
        <v>No change</v>
      </c>
      <c r="AO290" s="1640">
        <f t="shared" si="225"/>
        <v>462.84</v>
      </c>
      <c r="AP290" s="1638">
        <f t="shared" si="226"/>
        <v>0</v>
      </c>
      <c r="AQ290" s="1372" t="s">
        <v>199</v>
      </c>
      <c r="AR290" s="1372" t="s">
        <v>3363</v>
      </c>
      <c r="AS290" s="1639">
        <v>266</v>
      </c>
      <c r="AT290" s="1372" t="str">
        <f t="shared" si="227"/>
        <v>No change</v>
      </c>
      <c r="AU290" s="1640">
        <f t="shared" si="228"/>
        <v>462.84</v>
      </c>
      <c r="AV290" s="1638">
        <f t="shared" si="229"/>
        <v>0</v>
      </c>
      <c r="AW290" s="2044">
        <f t="shared" si="230"/>
        <v>462.84</v>
      </c>
      <c r="AX290" s="2044">
        <f t="shared" si="231"/>
        <v>462.84</v>
      </c>
      <c r="AY290" s="2044">
        <f t="shared" si="232"/>
        <v>462.84</v>
      </c>
      <c r="AZ290" s="2044">
        <f t="shared" si="233"/>
        <v>462.84</v>
      </c>
      <c r="BA290" s="2045">
        <f t="shared" si="234"/>
        <v>1851.36</v>
      </c>
      <c r="BB290" s="2045" t="str">
        <f>+'[9]4.4.5'!$A$1</f>
        <v>4.4.5</v>
      </c>
      <c r="BC290" s="2045" t="str">
        <f>+'[9]4.4.5'!$A$1</f>
        <v>4.4.5</v>
      </c>
      <c r="BD290" s="2045">
        <v>0</v>
      </c>
      <c r="BE290" s="2051">
        <v>12</v>
      </c>
      <c r="BF290" s="2051">
        <v>12</v>
      </c>
      <c r="BG290" s="2051">
        <v>12</v>
      </c>
      <c r="BH290" s="2051">
        <v>12</v>
      </c>
      <c r="BI290" s="2045">
        <f t="shared" si="235"/>
        <v>5554.08</v>
      </c>
      <c r="BJ290" s="2045">
        <f t="shared" si="236"/>
        <v>5554.08</v>
      </c>
      <c r="BK290" s="2045">
        <f t="shared" si="237"/>
        <v>5554.08</v>
      </c>
      <c r="BL290" s="2045">
        <f t="shared" si="238"/>
        <v>5554.08</v>
      </c>
      <c r="BM290" s="2045">
        <f t="shared" si="239"/>
        <v>22216.32</v>
      </c>
      <c r="BN290" s="2047">
        <v>12</v>
      </c>
      <c r="BO290" s="2047">
        <v>12</v>
      </c>
      <c r="BP290" s="2047">
        <v>12</v>
      </c>
      <c r="BQ290" s="2047">
        <v>12</v>
      </c>
      <c r="BR290" s="2048">
        <f t="shared" si="240"/>
        <v>5554.08</v>
      </c>
      <c r="BS290" s="2048">
        <f t="shared" si="241"/>
        <v>5554.08</v>
      </c>
      <c r="BT290" s="2048">
        <f t="shared" si="242"/>
        <v>5554.08</v>
      </c>
      <c r="BU290" s="2048">
        <f t="shared" si="243"/>
        <v>5554.08</v>
      </c>
      <c r="BV290" s="1840">
        <f t="shared" si="244"/>
        <v>22216.32</v>
      </c>
      <c r="BW290" s="2064" t="e">
        <f>INT(#REF!)=INT(BA290)</f>
        <v>#REF!</v>
      </c>
      <c r="BX290" s="2064">
        <v>283</v>
      </c>
      <c r="BY290" s="2064" t="s">
        <v>512</v>
      </c>
    </row>
    <row r="291" spans="1:77" s="1976" customFormat="1" ht="61.5" customHeight="1" x14ac:dyDescent="0.35">
      <c r="A291" s="1372" t="s">
        <v>3046</v>
      </c>
      <c r="B291" s="1372" t="s">
        <v>183</v>
      </c>
      <c r="C291" s="1637">
        <v>0</v>
      </c>
      <c r="D291" s="2053" t="str">
        <f>+'[9]4.4.12'!$A$1</f>
        <v>4.4.12</v>
      </c>
      <c r="E291" s="1372" t="s">
        <v>163</v>
      </c>
      <c r="F291" s="1638">
        <v>12</v>
      </c>
      <c r="G291" s="1638">
        <v>12</v>
      </c>
      <c r="H291" s="1638">
        <v>12</v>
      </c>
      <c r="I291" s="1638">
        <v>12</v>
      </c>
      <c r="J291" s="1372" t="str">
        <f>+'[9]4.4.12'!$B$16</f>
        <v>CI-HVC-IRHT-V01-120601</v>
      </c>
      <c r="K291" s="1372" t="str">
        <f t="shared" si="215"/>
        <v>Nicor Gas PY7-PY10 Adjustable Goals Template_2017-06-30, Tab 4.4.12</v>
      </c>
      <c r="L291" s="1639">
        <v>451</v>
      </c>
      <c r="M291" s="1639">
        <v>451</v>
      </c>
      <c r="N291" s="1639">
        <v>451</v>
      </c>
      <c r="O291" s="1639">
        <v>451</v>
      </c>
      <c r="P291" s="1637">
        <v>0.87</v>
      </c>
      <c r="Q291" s="1637">
        <v>0.87</v>
      </c>
      <c r="R291" s="1637">
        <v>0.87</v>
      </c>
      <c r="S291" s="1637">
        <v>0.87</v>
      </c>
      <c r="T291" s="1640">
        <f t="shared" si="216"/>
        <v>4708.4399999999996</v>
      </c>
      <c r="U291" s="1640">
        <f t="shared" si="216"/>
        <v>4708.4399999999996</v>
      </c>
      <c r="V291" s="1640">
        <f t="shared" si="216"/>
        <v>4708.4399999999996</v>
      </c>
      <c r="W291" s="1640">
        <f t="shared" si="216"/>
        <v>4708.4399999999996</v>
      </c>
      <c r="X291" s="1640">
        <f t="shared" si="217"/>
        <v>18833.759999999998</v>
      </c>
      <c r="Y291" s="1372" t="str">
        <f t="shared" si="218"/>
        <v>CI-HVC-IRHT-V01-120601</v>
      </c>
      <c r="Z291" s="1372" t="str">
        <f t="shared" si="219"/>
        <v>Nicor Gas PY7-PY10 Adjustable Goals Template_2017-06-30, Tab 4.4.12</v>
      </c>
      <c r="AA291" s="1840">
        <f t="shared" si="219"/>
        <v>451</v>
      </c>
      <c r="AB291" s="2028"/>
      <c r="AC291" s="1840">
        <f t="shared" si="220"/>
        <v>4708.4399999999996</v>
      </c>
      <c r="AD291" s="1840">
        <f t="shared" si="221"/>
        <v>0</v>
      </c>
      <c r="AE291" s="1372" t="s">
        <v>200</v>
      </c>
      <c r="AF291" s="1372" t="s">
        <v>3364</v>
      </c>
      <c r="AG291" s="1639">
        <v>451</v>
      </c>
      <c r="AH291" s="1372" t="s">
        <v>3445</v>
      </c>
      <c r="AI291" s="1640">
        <f t="shared" si="222"/>
        <v>4708.4399999999996</v>
      </c>
      <c r="AJ291" s="1638">
        <f t="shared" si="223"/>
        <v>0</v>
      </c>
      <c r="AK291" s="1372" t="s">
        <v>200</v>
      </c>
      <c r="AL291" s="1372" t="s">
        <v>3364</v>
      </c>
      <c r="AM291" s="1639">
        <v>451</v>
      </c>
      <c r="AN291" s="1372" t="str">
        <f t="shared" si="224"/>
        <v>No change</v>
      </c>
      <c r="AO291" s="1640">
        <f t="shared" si="225"/>
        <v>4708.4399999999996</v>
      </c>
      <c r="AP291" s="1638">
        <f t="shared" si="226"/>
        <v>0</v>
      </c>
      <c r="AQ291" s="1372" t="s">
        <v>200</v>
      </c>
      <c r="AR291" s="1372" t="s">
        <v>3364</v>
      </c>
      <c r="AS291" s="1639">
        <v>451</v>
      </c>
      <c r="AT291" s="1372" t="str">
        <f t="shared" si="227"/>
        <v>No change</v>
      </c>
      <c r="AU291" s="1640">
        <f t="shared" si="228"/>
        <v>4708.4399999999996</v>
      </c>
      <c r="AV291" s="1638">
        <f t="shared" si="229"/>
        <v>0</v>
      </c>
      <c r="AW291" s="2044">
        <f t="shared" si="230"/>
        <v>4708.4399999999996</v>
      </c>
      <c r="AX291" s="2044">
        <f t="shared" si="231"/>
        <v>4708.4399999999996</v>
      </c>
      <c r="AY291" s="2044">
        <f t="shared" si="232"/>
        <v>4708.4399999999996</v>
      </c>
      <c r="AZ291" s="2044">
        <f t="shared" si="233"/>
        <v>4708.4399999999996</v>
      </c>
      <c r="BA291" s="2045">
        <f t="shared" si="234"/>
        <v>18833.759999999998</v>
      </c>
      <c r="BB291" s="2045" t="str">
        <f>+'[9]4.4.12'!$A$1</f>
        <v>4.4.12</v>
      </c>
      <c r="BC291" s="2045" t="str">
        <f>+'[9]4.4.12'!$A$1</f>
        <v>4.4.12</v>
      </c>
      <c r="BD291" s="2045">
        <v>0</v>
      </c>
      <c r="BE291" s="2051">
        <v>12</v>
      </c>
      <c r="BF291" s="2051">
        <v>12</v>
      </c>
      <c r="BG291" s="2051">
        <v>12</v>
      </c>
      <c r="BH291" s="2051">
        <v>12</v>
      </c>
      <c r="BI291" s="2045">
        <f t="shared" si="235"/>
        <v>56501.279999999999</v>
      </c>
      <c r="BJ291" s="2045">
        <f t="shared" si="236"/>
        <v>56501.279999999999</v>
      </c>
      <c r="BK291" s="2045">
        <f t="shared" si="237"/>
        <v>56501.279999999999</v>
      </c>
      <c r="BL291" s="2045">
        <f t="shared" si="238"/>
        <v>56501.279999999999</v>
      </c>
      <c r="BM291" s="2045">
        <f t="shared" si="239"/>
        <v>226005.12</v>
      </c>
      <c r="BN291" s="2047">
        <v>12</v>
      </c>
      <c r="BO291" s="2047">
        <v>12</v>
      </c>
      <c r="BP291" s="2047">
        <v>12</v>
      </c>
      <c r="BQ291" s="2047">
        <v>12</v>
      </c>
      <c r="BR291" s="2048">
        <f t="shared" si="240"/>
        <v>56501.279999999999</v>
      </c>
      <c r="BS291" s="2048">
        <f t="shared" si="241"/>
        <v>56501.279999999999</v>
      </c>
      <c r="BT291" s="2048">
        <f t="shared" si="242"/>
        <v>56501.279999999999</v>
      </c>
      <c r="BU291" s="2048">
        <f t="shared" si="243"/>
        <v>56501.279999999999</v>
      </c>
      <c r="BV291" s="1840">
        <f t="shared" si="244"/>
        <v>226005.12</v>
      </c>
      <c r="BW291" s="2064" t="e">
        <f>INT(#REF!)=INT(BA291)</f>
        <v>#REF!</v>
      </c>
      <c r="BX291" s="2064">
        <v>284</v>
      </c>
      <c r="BY291" s="2064" t="s">
        <v>512</v>
      </c>
    </row>
    <row r="292" spans="1:77" s="1976" customFormat="1" ht="61.5" customHeight="1" x14ac:dyDescent="0.35">
      <c r="A292" s="1372" t="s">
        <v>3046</v>
      </c>
      <c r="B292" s="1372" t="s">
        <v>205</v>
      </c>
      <c r="C292" s="1637">
        <v>1</v>
      </c>
      <c r="D292" s="2055" t="str">
        <f>+'[9]4.3.1'!$A$1</f>
        <v>4.3.1</v>
      </c>
      <c r="E292" s="1372" t="s">
        <v>163</v>
      </c>
      <c r="F292" s="1638">
        <v>2</v>
      </c>
      <c r="G292" s="1638">
        <v>2</v>
      </c>
      <c r="H292" s="1638">
        <v>2</v>
      </c>
      <c r="I292" s="1638">
        <v>2</v>
      </c>
      <c r="J292" s="1372" t="str">
        <f>+'[9]4.3.1'!$B$18</f>
        <v>CI-HWE-STWH-V03-180101</v>
      </c>
      <c r="K292" s="1372" t="str">
        <f t="shared" si="215"/>
        <v>Nicor Gas PY7-PY10 Adjustable Goals Template_2017-06-30, Tab 4.3.1</v>
      </c>
      <c r="L292" s="1639">
        <v>29.700231654228865</v>
      </c>
      <c r="M292" s="1639">
        <v>29.700231654228865</v>
      </c>
      <c r="N292" s="1639">
        <v>29.700231654228865</v>
      </c>
      <c r="O292" s="1639">
        <v>29.700231654228865</v>
      </c>
      <c r="P292" s="1637">
        <v>0.87</v>
      </c>
      <c r="Q292" s="1637">
        <v>0.87</v>
      </c>
      <c r="R292" s="1637">
        <v>0.87</v>
      </c>
      <c r="S292" s="1637">
        <v>0.87</v>
      </c>
      <c r="T292" s="1640">
        <f t="shared" si="216"/>
        <v>51.678403078358222</v>
      </c>
      <c r="U292" s="1640">
        <f t="shared" si="216"/>
        <v>51.678403078358222</v>
      </c>
      <c r="V292" s="1640">
        <f t="shared" si="216"/>
        <v>51.678403078358222</v>
      </c>
      <c r="W292" s="1640">
        <f t="shared" si="216"/>
        <v>51.678403078358222</v>
      </c>
      <c r="X292" s="1640">
        <f t="shared" si="217"/>
        <v>206.71361231343289</v>
      </c>
      <c r="Y292" s="1372" t="str">
        <f t="shared" si="218"/>
        <v>CI-HWE-STWH-V03-180101</v>
      </c>
      <c r="Z292" s="1372" t="str">
        <f t="shared" si="219"/>
        <v>Nicor Gas PY7-PY10 Adjustable Goals Template_2017-06-30, Tab 4.3.1</v>
      </c>
      <c r="AA292" s="2024">
        <f t="shared" si="219"/>
        <v>29.700231654228865</v>
      </c>
      <c r="AB292" s="2028"/>
      <c r="AC292" s="1840">
        <f t="shared" si="220"/>
        <v>51.678403078358222</v>
      </c>
      <c r="AD292" s="1840">
        <f t="shared" si="221"/>
        <v>0</v>
      </c>
      <c r="AE292" s="1372" t="s">
        <v>2790</v>
      </c>
      <c r="AF292" s="1372" t="s">
        <v>3360</v>
      </c>
      <c r="AG292" s="1981">
        <v>48.221166861193801</v>
      </c>
      <c r="AH292" s="1372" t="s">
        <v>3446</v>
      </c>
      <c r="AI292" s="1640">
        <f t="shared" si="222"/>
        <v>83.904830338477211</v>
      </c>
      <c r="AJ292" s="1638">
        <f t="shared" si="223"/>
        <v>32.226427260118989</v>
      </c>
      <c r="AK292" s="1372" t="s">
        <v>2790</v>
      </c>
      <c r="AL292" s="1372" t="s">
        <v>3360</v>
      </c>
      <c r="AM292" s="1981">
        <v>48.221166861193801</v>
      </c>
      <c r="AN292" s="1372" t="str">
        <f t="shared" ref="AN292:AN293" si="245">$AH292</f>
        <v>Refer TRM V.7 Updates</v>
      </c>
      <c r="AO292" s="1640">
        <f t="shared" si="225"/>
        <v>83.904830338477211</v>
      </c>
      <c r="AP292" s="1638">
        <f t="shared" si="226"/>
        <v>32.226427260118989</v>
      </c>
      <c r="AQ292" s="1372" t="s">
        <v>2790</v>
      </c>
      <c r="AR292" s="1372" t="s">
        <v>3360</v>
      </c>
      <c r="AS292" s="1981">
        <v>48.221166861193801</v>
      </c>
      <c r="AT292" s="1372" t="str">
        <f t="shared" ref="AT292:AT293" si="246">AH292</f>
        <v>Refer TRM V.7 Updates</v>
      </c>
      <c r="AU292" s="1640">
        <f t="shared" si="228"/>
        <v>83.904830338477211</v>
      </c>
      <c r="AV292" s="1638">
        <f t="shared" si="229"/>
        <v>32.226427260118989</v>
      </c>
      <c r="AW292" s="2044">
        <f t="shared" si="230"/>
        <v>51.678403078358222</v>
      </c>
      <c r="AX292" s="2044">
        <f t="shared" si="231"/>
        <v>83.904830338477211</v>
      </c>
      <c r="AY292" s="2044">
        <f t="shared" si="232"/>
        <v>83.904830338477211</v>
      </c>
      <c r="AZ292" s="2044">
        <f t="shared" si="233"/>
        <v>83.904830338477211</v>
      </c>
      <c r="BA292" s="2045">
        <f t="shared" si="234"/>
        <v>303.39289409378989</v>
      </c>
      <c r="BB292" s="2045" t="str">
        <f>+'[9]4.3.1'!$A$1</f>
        <v>4.3.1</v>
      </c>
      <c r="BC292" s="2045" t="str">
        <f>+'[9]4.3.1'!$A$1</f>
        <v>4.3.1</v>
      </c>
      <c r="BD292" s="2045">
        <v>0</v>
      </c>
      <c r="BE292" s="2051">
        <v>15</v>
      </c>
      <c r="BF292" s="2051">
        <v>15</v>
      </c>
      <c r="BG292" s="2051">
        <v>15</v>
      </c>
      <c r="BH292" s="2051">
        <v>15</v>
      </c>
      <c r="BI292" s="2045">
        <f t="shared" si="235"/>
        <v>775.17604617537336</v>
      </c>
      <c r="BJ292" s="2045">
        <f t="shared" si="236"/>
        <v>775.17604617537336</v>
      </c>
      <c r="BK292" s="2045">
        <f t="shared" si="237"/>
        <v>775.17604617537336</v>
      </c>
      <c r="BL292" s="2045">
        <f t="shared" si="238"/>
        <v>775.17604617537336</v>
      </c>
      <c r="BM292" s="2045">
        <f t="shared" si="239"/>
        <v>3100.7041847014934</v>
      </c>
      <c r="BN292" s="2047">
        <v>15</v>
      </c>
      <c r="BO292" s="2047">
        <v>15</v>
      </c>
      <c r="BP292" s="2047">
        <v>15</v>
      </c>
      <c r="BQ292" s="2047">
        <v>15</v>
      </c>
      <c r="BR292" s="2048">
        <f t="shared" si="240"/>
        <v>775.17604617537336</v>
      </c>
      <c r="BS292" s="2048">
        <f t="shared" si="241"/>
        <v>1258.5724550771581</v>
      </c>
      <c r="BT292" s="2048">
        <f t="shared" si="242"/>
        <v>1258.5724550771581</v>
      </c>
      <c r="BU292" s="2048">
        <f t="shared" si="243"/>
        <v>1258.5724550771581</v>
      </c>
      <c r="BV292" s="1840">
        <f t="shared" si="244"/>
        <v>4550.8934114068479</v>
      </c>
      <c r="BW292" s="2064" t="e">
        <f>INT(#REF!)=INT(BA292)</f>
        <v>#REF!</v>
      </c>
      <c r="BX292" s="2064">
        <v>285</v>
      </c>
      <c r="BY292" s="2064" t="s">
        <v>512</v>
      </c>
    </row>
    <row r="293" spans="1:77" s="1976" customFormat="1" ht="61.5" customHeight="1" x14ac:dyDescent="0.35">
      <c r="A293" s="1372" t="s">
        <v>3046</v>
      </c>
      <c r="B293" s="1372" t="s">
        <v>206</v>
      </c>
      <c r="C293" s="1637">
        <v>1</v>
      </c>
      <c r="D293" s="2055" t="str">
        <f>+'[9]4.3.1'!$A$1</f>
        <v>4.3.1</v>
      </c>
      <c r="E293" s="1372" t="s">
        <v>163</v>
      </c>
      <c r="F293" s="1638">
        <v>2</v>
      </c>
      <c r="G293" s="1638">
        <v>2</v>
      </c>
      <c r="H293" s="1638">
        <v>2</v>
      </c>
      <c r="I293" s="1638">
        <v>2</v>
      </c>
      <c r="J293" s="1372" t="str">
        <f>+'[9]4.3.1'!$B$18</f>
        <v>CI-HWE-STWH-V03-180101</v>
      </c>
      <c r="K293" s="1372" t="str">
        <f t="shared" si="215"/>
        <v>Nicor Gas PY7-PY10 Adjustable Goals Template_2017-06-30, Tab 4.3.1</v>
      </c>
      <c r="L293" s="1639">
        <v>66.706213068181796</v>
      </c>
      <c r="M293" s="1639">
        <v>66.706213068181796</v>
      </c>
      <c r="N293" s="1639">
        <v>66.706213068181796</v>
      </c>
      <c r="O293" s="1639">
        <v>66.706213068181796</v>
      </c>
      <c r="P293" s="1637">
        <v>0.87</v>
      </c>
      <c r="Q293" s="1637">
        <v>0.87</v>
      </c>
      <c r="R293" s="1637">
        <v>0.87</v>
      </c>
      <c r="S293" s="1637">
        <v>0.87</v>
      </c>
      <c r="T293" s="1640">
        <f t="shared" si="216"/>
        <v>116.06881073863633</v>
      </c>
      <c r="U293" s="1640">
        <f t="shared" si="216"/>
        <v>116.06881073863633</v>
      </c>
      <c r="V293" s="1640">
        <f t="shared" si="216"/>
        <v>116.06881073863633</v>
      </c>
      <c r="W293" s="1640">
        <f t="shared" si="216"/>
        <v>116.06881073863633</v>
      </c>
      <c r="X293" s="1640">
        <f t="shared" si="217"/>
        <v>464.27524295454532</v>
      </c>
      <c r="Y293" s="1372" t="str">
        <f t="shared" si="218"/>
        <v>CI-HWE-STWH-V03-180101</v>
      </c>
      <c r="Z293" s="1372" t="str">
        <f t="shared" si="219"/>
        <v>Nicor Gas PY7-PY10 Adjustable Goals Template_2017-06-30, Tab 4.3.1</v>
      </c>
      <c r="AA293" s="2024">
        <f t="shared" si="219"/>
        <v>66.706213068181796</v>
      </c>
      <c r="AB293" s="2028"/>
      <c r="AC293" s="1840">
        <f t="shared" si="220"/>
        <v>116.06881073863633</v>
      </c>
      <c r="AD293" s="1840">
        <f t="shared" si="221"/>
        <v>0</v>
      </c>
      <c r="AE293" s="1372" t="s">
        <v>2790</v>
      </c>
      <c r="AF293" s="1372" t="s">
        <v>3360</v>
      </c>
      <c r="AG293" s="1981">
        <v>336.19206214763915</v>
      </c>
      <c r="AH293" s="1372" t="s">
        <v>3446</v>
      </c>
      <c r="AI293" s="1640">
        <f t="shared" si="222"/>
        <v>584.97418813689217</v>
      </c>
      <c r="AJ293" s="1638">
        <f t="shared" si="223"/>
        <v>468.90537739825584</v>
      </c>
      <c r="AK293" s="1372" t="s">
        <v>2790</v>
      </c>
      <c r="AL293" s="1372" t="s">
        <v>3360</v>
      </c>
      <c r="AM293" s="1981">
        <v>336.19206214763915</v>
      </c>
      <c r="AN293" s="1372" t="str">
        <f t="shared" si="245"/>
        <v>Refer TRM V.7 Updates</v>
      </c>
      <c r="AO293" s="1640">
        <f t="shared" si="225"/>
        <v>584.97418813689217</v>
      </c>
      <c r="AP293" s="1638">
        <f t="shared" si="226"/>
        <v>468.90537739825584</v>
      </c>
      <c r="AQ293" s="1372" t="s">
        <v>2790</v>
      </c>
      <c r="AR293" s="1372" t="s">
        <v>3360</v>
      </c>
      <c r="AS293" s="1981">
        <v>336.19206214763915</v>
      </c>
      <c r="AT293" s="1372" t="str">
        <f t="shared" si="246"/>
        <v>Refer TRM V.7 Updates</v>
      </c>
      <c r="AU293" s="1640">
        <f t="shared" si="228"/>
        <v>584.97418813689217</v>
      </c>
      <c r="AV293" s="1638">
        <f t="shared" si="229"/>
        <v>468.90537739825584</v>
      </c>
      <c r="AW293" s="2044">
        <f t="shared" si="230"/>
        <v>116.06881073863633</v>
      </c>
      <c r="AX293" s="2044">
        <f t="shared" si="231"/>
        <v>584.97418813689217</v>
      </c>
      <c r="AY293" s="2044">
        <f t="shared" si="232"/>
        <v>584.97418813689217</v>
      </c>
      <c r="AZ293" s="2044">
        <f t="shared" si="233"/>
        <v>584.97418813689217</v>
      </c>
      <c r="BA293" s="2045">
        <f t="shared" si="234"/>
        <v>1870.9913751493127</v>
      </c>
      <c r="BB293" s="2045" t="str">
        <f>+'[9]4.3.1'!$A$1</f>
        <v>4.3.1</v>
      </c>
      <c r="BC293" s="2045" t="str">
        <f>+'[9]4.3.1'!$A$1</f>
        <v>4.3.1</v>
      </c>
      <c r="BD293" s="2045">
        <v>0</v>
      </c>
      <c r="BE293" s="2051">
        <v>15</v>
      </c>
      <c r="BF293" s="2051">
        <v>15</v>
      </c>
      <c r="BG293" s="2051">
        <v>15</v>
      </c>
      <c r="BH293" s="2051">
        <v>15</v>
      </c>
      <c r="BI293" s="2045">
        <f t="shared" si="235"/>
        <v>1741.0321610795449</v>
      </c>
      <c r="BJ293" s="2045">
        <f t="shared" si="236"/>
        <v>1741.0321610795449</v>
      </c>
      <c r="BK293" s="2045">
        <f t="shared" si="237"/>
        <v>1741.0321610795449</v>
      </c>
      <c r="BL293" s="2045">
        <f t="shared" si="238"/>
        <v>1741.0321610795449</v>
      </c>
      <c r="BM293" s="2045">
        <f t="shared" si="239"/>
        <v>6964.1286443181798</v>
      </c>
      <c r="BN293" s="2047">
        <v>15</v>
      </c>
      <c r="BO293" s="2047">
        <v>15</v>
      </c>
      <c r="BP293" s="2047">
        <v>15</v>
      </c>
      <c r="BQ293" s="2047">
        <v>15</v>
      </c>
      <c r="BR293" s="2048">
        <f t="shared" si="240"/>
        <v>1741.0321610795449</v>
      </c>
      <c r="BS293" s="2048">
        <f t="shared" si="241"/>
        <v>8774.6128220533828</v>
      </c>
      <c r="BT293" s="2048">
        <f t="shared" si="242"/>
        <v>8774.6128220533828</v>
      </c>
      <c r="BU293" s="2048">
        <f t="shared" si="243"/>
        <v>8774.6128220533828</v>
      </c>
      <c r="BV293" s="1840">
        <f t="shared" si="244"/>
        <v>28064.870627239692</v>
      </c>
      <c r="BW293" s="2064" t="e">
        <f>INT(#REF!)=INT(BA293)</f>
        <v>#REF!</v>
      </c>
      <c r="BX293" s="2064">
        <v>286</v>
      </c>
      <c r="BY293" s="2064" t="s">
        <v>512</v>
      </c>
    </row>
    <row r="294" spans="1:77" s="1976" customFormat="1" ht="15.5" x14ac:dyDescent="0.35">
      <c r="A294" s="1372" t="s">
        <v>3046</v>
      </c>
      <c r="B294" s="1372" t="s">
        <v>3048</v>
      </c>
      <c r="C294" s="1637">
        <v>0</v>
      </c>
      <c r="D294" s="1372" t="s">
        <v>295</v>
      </c>
      <c r="E294" s="1372" t="s">
        <v>201</v>
      </c>
      <c r="F294" s="1638">
        <v>4</v>
      </c>
      <c r="G294" s="1638">
        <v>4</v>
      </c>
      <c r="H294" s="1638">
        <v>4</v>
      </c>
      <c r="I294" s="1638">
        <v>4</v>
      </c>
      <c r="J294" s="1372" t="s">
        <v>295</v>
      </c>
      <c r="K294" s="1372" t="str">
        <f t="shared" si="215"/>
        <v/>
      </c>
      <c r="L294" s="1639">
        <v>3000</v>
      </c>
      <c r="M294" s="1639">
        <v>3000</v>
      </c>
      <c r="N294" s="1639">
        <v>3000</v>
      </c>
      <c r="O294" s="1639">
        <v>3000</v>
      </c>
      <c r="P294" s="1637">
        <v>0.87</v>
      </c>
      <c r="Q294" s="1637">
        <v>0.87</v>
      </c>
      <c r="R294" s="1637">
        <v>0.87</v>
      </c>
      <c r="S294" s="1637">
        <v>0.87</v>
      </c>
      <c r="T294" s="1640">
        <f t="shared" si="216"/>
        <v>10440</v>
      </c>
      <c r="U294" s="1640">
        <f t="shared" si="216"/>
        <v>10440</v>
      </c>
      <c r="V294" s="1640">
        <f t="shared" si="216"/>
        <v>10440</v>
      </c>
      <c r="W294" s="1640">
        <f t="shared" si="216"/>
        <v>10440</v>
      </c>
      <c r="X294" s="1640">
        <f t="shared" si="217"/>
        <v>41760</v>
      </c>
      <c r="Y294" s="1829"/>
      <c r="Z294" s="1372" t="str">
        <f t="shared" si="219"/>
        <v/>
      </c>
      <c r="AA294" s="1840">
        <f t="shared" si="219"/>
        <v>3000</v>
      </c>
      <c r="AB294" s="2028"/>
      <c r="AC294" s="1840">
        <f t="shared" si="220"/>
        <v>10440</v>
      </c>
      <c r="AD294" s="1840">
        <f t="shared" si="221"/>
        <v>0</v>
      </c>
      <c r="AE294" s="1829"/>
      <c r="AF294" s="1829" t="s">
        <v>3361</v>
      </c>
      <c r="AG294" s="1830">
        <v>3000</v>
      </c>
      <c r="AH294" s="1829"/>
      <c r="AI294" s="1640">
        <f t="shared" si="222"/>
        <v>10440</v>
      </c>
      <c r="AJ294" s="1638">
        <f t="shared" si="223"/>
        <v>0</v>
      </c>
      <c r="AK294" s="1829"/>
      <c r="AL294" s="1829" t="s">
        <v>3361</v>
      </c>
      <c r="AM294" s="1830">
        <v>3000</v>
      </c>
      <c r="AN294" s="1829"/>
      <c r="AO294" s="1640">
        <f t="shared" si="225"/>
        <v>10440</v>
      </c>
      <c r="AP294" s="1638">
        <f t="shared" si="226"/>
        <v>0</v>
      </c>
      <c r="AQ294" s="1829"/>
      <c r="AR294" s="1829" t="s">
        <v>3361</v>
      </c>
      <c r="AS294" s="1830">
        <v>3000</v>
      </c>
      <c r="AT294" s="1829"/>
      <c r="AU294" s="1640">
        <f t="shared" si="228"/>
        <v>10440</v>
      </c>
      <c r="AV294" s="1638">
        <f t="shared" si="229"/>
        <v>0</v>
      </c>
      <c r="AW294" s="2044">
        <f t="shared" si="230"/>
        <v>10440</v>
      </c>
      <c r="AX294" s="2044">
        <f t="shared" si="231"/>
        <v>10440</v>
      </c>
      <c r="AY294" s="2044">
        <f t="shared" si="232"/>
        <v>10440</v>
      </c>
      <c r="AZ294" s="2044">
        <f t="shared" si="233"/>
        <v>10440</v>
      </c>
      <c r="BA294" s="2045">
        <f t="shared" si="234"/>
        <v>41760</v>
      </c>
      <c r="BB294" s="2049"/>
      <c r="BC294" s="2049"/>
      <c r="BD294" s="2045">
        <v>0</v>
      </c>
      <c r="BE294" s="2051">
        <v>15</v>
      </c>
      <c r="BF294" s="2051">
        <v>15</v>
      </c>
      <c r="BG294" s="2051">
        <v>15</v>
      </c>
      <c r="BH294" s="2051">
        <v>15</v>
      </c>
      <c r="BI294" s="2045">
        <f t="shared" si="235"/>
        <v>156600</v>
      </c>
      <c r="BJ294" s="2045">
        <f t="shared" si="236"/>
        <v>156600</v>
      </c>
      <c r="BK294" s="2045">
        <f t="shared" si="237"/>
        <v>156600</v>
      </c>
      <c r="BL294" s="2045">
        <f t="shared" si="238"/>
        <v>156600</v>
      </c>
      <c r="BM294" s="2045">
        <f t="shared" si="239"/>
        <v>626400</v>
      </c>
      <c r="BN294" s="2047">
        <v>15</v>
      </c>
      <c r="BO294" s="2047">
        <v>15</v>
      </c>
      <c r="BP294" s="2047">
        <v>15</v>
      </c>
      <c r="BQ294" s="2047">
        <v>15</v>
      </c>
      <c r="BR294" s="2048">
        <f t="shared" si="240"/>
        <v>156600</v>
      </c>
      <c r="BS294" s="2048">
        <f t="shared" si="241"/>
        <v>156600</v>
      </c>
      <c r="BT294" s="2048">
        <f t="shared" si="242"/>
        <v>156600</v>
      </c>
      <c r="BU294" s="2048">
        <f t="shared" si="243"/>
        <v>156600</v>
      </c>
      <c r="BV294" s="1840">
        <f t="shared" si="244"/>
        <v>626400</v>
      </c>
      <c r="BW294" s="2064" t="e">
        <f>INT(#REF!)=INT(BA294)</f>
        <v>#REF!</v>
      </c>
      <c r="BX294" s="2064">
        <v>287</v>
      </c>
      <c r="BY294" s="2064" t="s">
        <v>295</v>
      </c>
    </row>
    <row r="295" spans="1:77" s="1976" customFormat="1" ht="61.5" customHeight="1" x14ac:dyDescent="0.35">
      <c r="A295" s="1372" t="s">
        <v>3046</v>
      </c>
      <c r="B295" s="1372" t="s">
        <v>2749</v>
      </c>
      <c r="C295" s="1637">
        <v>0</v>
      </c>
      <c r="D295" s="2053" t="str">
        <f>+'[9]4.3.2'!$A$1</f>
        <v>4.3.2</v>
      </c>
      <c r="E295" s="1372" t="s">
        <v>201</v>
      </c>
      <c r="F295" s="1638">
        <v>480</v>
      </c>
      <c r="G295" s="1638">
        <v>480</v>
      </c>
      <c r="H295" s="1638">
        <v>480</v>
      </c>
      <c r="I295" s="1638">
        <v>480</v>
      </c>
      <c r="J295" s="1372" t="str">
        <f>+'[9]4.3.2'!$B$15</f>
        <v>CI-HWE-LFFA-V07-180101</v>
      </c>
      <c r="K295" s="1372" t="str">
        <f t="shared" si="215"/>
        <v>Nicor Gas PY7-PY10 Adjustable Goals Template_2017-06-30, Tab 4.3.2</v>
      </c>
      <c r="L295" s="1639">
        <v>35.43134997342311</v>
      </c>
      <c r="M295" s="1639">
        <v>35.43134997342311</v>
      </c>
      <c r="N295" s="1639">
        <v>35.43134997342311</v>
      </c>
      <c r="O295" s="1639">
        <v>35.43134997342311</v>
      </c>
      <c r="P295" s="1637">
        <v>0.87</v>
      </c>
      <c r="Q295" s="1637">
        <v>0.87</v>
      </c>
      <c r="R295" s="1637">
        <v>0.87</v>
      </c>
      <c r="S295" s="1637">
        <v>0.87</v>
      </c>
      <c r="T295" s="1640">
        <f t="shared" si="216"/>
        <v>14796.131748901489</v>
      </c>
      <c r="U295" s="1640">
        <f t="shared" si="216"/>
        <v>14796.131748901489</v>
      </c>
      <c r="V295" s="1640">
        <f t="shared" si="216"/>
        <v>14796.131748901489</v>
      </c>
      <c r="W295" s="1640">
        <f t="shared" si="216"/>
        <v>14796.131748901489</v>
      </c>
      <c r="X295" s="1640">
        <f t="shared" si="217"/>
        <v>59184.526995605956</v>
      </c>
      <c r="Y295" s="1372" t="str">
        <f>J295</f>
        <v>CI-HWE-LFFA-V07-180101</v>
      </c>
      <c r="Z295" s="1372" t="str">
        <f t="shared" si="219"/>
        <v>Nicor Gas PY7-PY10 Adjustable Goals Template_2017-06-30, Tab 4.3.2</v>
      </c>
      <c r="AA295" s="2024">
        <f t="shared" si="219"/>
        <v>35.43134997342311</v>
      </c>
      <c r="AB295" s="2028"/>
      <c r="AC295" s="1840">
        <f t="shared" si="220"/>
        <v>14796.131748901489</v>
      </c>
      <c r="AD295" s="1840">
        <f t="shared" si="221"/>
        <v>0</v>
      </c>
      <c r="AE295" s="1372" t="s">
        <v>2791</v>
      </c>
      <c r="AF295" s="1372" t="s">
        <v>3384</v>
      </c>
      <c r="AG295" s="1639">
        <v>35.43134997342311</v>
      </c>
      <c r="AH295" s="1372" t="s">
        <v>3445</v>
      </c>
      <c r="AI295" s="1640">
        <f t="shared" si="222"/>
        <v>14796.131748901489</v>
      </c>
      <c r="AJ295" s="1638">
        <f t="shared" si="223"/>
        <v>0</v>
      </c>
      <c r="AK295" s="1372" t="s">
        <v>2791</v>
      </c>
      <c r="AL295" s="1372" t="s">
        <v>3384</v>
      </c>
      <c r="AM295" s="1639">
        <v>35.43134997342311</v>
      </c>
      <c r="AN295" s="1372" t="str">
        <f t="shared" ref="AN295:AN299" si="247">$AH295</f>
        <v>No change</v>
      </c>
      <c r="AO295" s="1640">
        <f t="shared" si="225"/>
        <v>14796.131748901489</v>
      </c>
      <c r="AP295" s="1638">
        <f t="shared" si="226"/>
        <v>0</v>
      </c>
      <c r="AQ295" s="1372" t="s">
        <v>2791</v>
      </c>
      <c r="AR295" s="1372" t="s">
        <v>3384</v>
      </c>
      <c r="AS295" s="1639">
        <v>35.43134997342311</v>
      </c>
      <c r="AT295" s="1372" t="str">
        <f t="shared" ref="AT295:AT299" si="248">$AH295</f>
        <v>No change</v>
      </c>
      <c r="AU295" s="1640">
        <f t="shared" si="228"/>
        <v>14796.131748901489</v>
      </c>
      <c r="AV295" s="1638">
        <f t="shared" si="229"/>
        <v>0</v>
      </c>
      <c r="AW295" s="2044">
        <f t="shared" si="230"/>
        <v>14796.131748901489</v>
      </c>
      <c r="AX295" s="2044">
        <f t="shared" si="231"/>
        <v>14796.131748901489</v>
      </c>
      <c r="AY295" s="2044">
        <f t="shared" si="232"/>
        <v>14796.131748901489</v>
      </c>
      <c r="AZ295" s="2044">
        <f t="shared" si="233"/>
        <v>14796.131748901489</v>
      </c>
      <c r="BA295" s="2045">
        <f t="shared" si="234"/>
        <v>59184.526995605956</v>
      </c>
      <c r="BB295" s="2045" t="str">
        <f>+'[9]4.3.2'!$A$1</f>
        <v>4.3.2</v>
      </c>
      <c r="BC295" s="2045" t="str">
        <f>+'[9]4.3.2'!$A$1</f>
        <v>4.3.2</v>
      </c>
      <c r="BD295" s="2121">
        <v>1</v>
      </c>
      <c r="BE295" s="2051">
        <v>9</v>
      </c>
      <c r="BF295" s="2051">
        <v>9</v>
      </c>
      <c r="BG295" s="2051">
        <v>9</v>
      </c>
      <c r="BH295" s="2051">
        <v>9</v>
      </c>
      <c r="BI295" s="2045">
        <f t="shared" si="235"/>
        <v>133165.18574011343</v>
      </c>
      <c r="BJ295" s="2045">
        <f t="shared" si="236"/>
        <v>133165.18574011343</v>
      </c>
      <c r="BK295" s="2045">
        <f t="shared" si="237"/>
        <v>133165.18574011343</v>
      </c>
      <c r="BL295" s="2045">
        <f t="shared" si="238"/>
        <v>133165.18574011343</v>
      </c>
      <c r="BM295" s="2045">
        <f t="shared" si="239"/>
        <v>532660.74296045373</v>
      </c>
      <c r="BN295" s="2047">
        <v>9</v>
      </c>
      <c r="BO295" s="2050">
        <v>10</v>
      </c>
      <c r="BP295" s="2050">
        <v>10</v>
      </c>
      <c r="BQ295" s="2050">
        <v>10</v>
      </c>
      <c r="BR295" s="2048">
        <f t="shared" si="240"/>
        <v>133165.18574011343</v>
      </c>
      <c r="BS295" s="2048">
        <f t="shared" si="241"/>
        <v>147961.31748901491</v>
      </c>
      <c r="BT295" s="2048">
        <f t="shared" si="242"/>
        <v>147961.31748901491</v>
      </c>
      <c r="BU295" s="2048">
        <f t="shared" si="243"/>
        <v>147961.31748901491</v>
      </c>
      <c r="BV295" s="1840">
        <f t="shared" si="244"/>
        <v>577049.13820715819</v>
      </c>
      <c r="BW295" s="2064" t="e">
        <f>INT(#REF!)=INT(BA295)</f>
        <v>#REF!</v>
      </c>
      <c r="BX295" s="2064">
        <v>288</v>
      </c>
      <c r="BY295" s="2064" t="s">
        <v>512</v>
      </c>
    </row>
    <row r="296" spans="1:77" s="1976" customFormat="1" ht="61.5" customHeight="1" x14ac:dyDescent="0.35">
      <c r="A296" s="1372" t="s">
        <v>3046</v>
      </c>
      <c r="B296" s="1372" t="s">
        <v>2653</v>
      </c>
      <c r="C296" s="1637">
        <v>0</v>
      </c>
      <c r="D296" s="2053" t="str">
        <f>+'[9]4.4.24 '!$A$1</f>
        <v>4.4.24</v>
      </c>
      <c r="E296" s="1372" t="s">
        <v>202</v>
      </c>
      <c r="F296" s="1638">
        <v>20000</v>
      </c>
      <c r="G296" s="1638">
        <v>20000</v>
      </c>
      <c r="H296" s="1638">
        <v>20000</v>
      </c>
      <c r="I296" s="1638">
        <v>20000</v>
      </c>
      <c r="J296" s="1372" t="str">
        <f>+'[9]4.4.24 '!$B$14</f>
        <v>CI-HVC-SPIN-V02-160601</v>
      </c>
      <c r="K296" s="1372" t="str">
        <f t="shared" si="215"/>
        <v>Nicor Gas PY7-PY10 Adjustable Goals Template_2017-06-30, Tab 4.4.24</v>
      </c>
      <c r="L296" s="1639">
        <v>0.19418125</v>
      </c>
      <c r="M296" s="1639">
        <v>0.19418125</v>
      </c>
      <c r="N296" s="1639">
        <v>0.19418125</v>
      </c>
      <c r="O296" s="1639">
        <v>0.19418125</v>
      </c>
      <c r="P296" s="1637">
        <v>0.88</v>
      </c>
      <c r="Q296" s="1637">
        <v>0.88</v>
      </c>
      <c r="R296" s="1637">
        <v>0.88</v>
      </c>
      <c r="S296" s="1637">
        <v>0.88</v>
      </c>
      <c r="T296" s="1640">
        <f t="shared" si="216"/>
        <v>3417.59</v>
      </c>
      <c r="U296" s="1640">
        <f t="shared" si="216"/>
        <v>3417.59</v>
      </c>
      <c r="V296" s="1640">
        <f t="shared" si="216"/>
        <v>3417.59</v>
      </c>
      <c r="W296" s="1640">
        <f t="shared" si="216"/>
        <v>3417.59</v>
      </c>
      <c r="X296" s="1640">
        <f t="shared" si="217"/>
        <v>13670.36</v>
      </c>
      <c r="Y296" s="1372" t="str">
        <f>J296</f>
        <v>CI-HVC-SPIN-V02-160601</v>
      </c>
      <c r="Z296" s="1372" t="str">
        <f t="shared" si="219"/>
        <v>Nicor Gas PY7-PY10 Adjustable Goals Template_2017-06-30, Tab 4.4.24</v>
      </c>
      <c r="AA296" s="1840">
        <f t="shared" si="219"/>
        <v>0.19418125</v>
      </c>
      <c r="AB296" s="2028"/>
      <c r="AC296" s="1840">
        <f t="shared" si="220"/>
        <v>3417.59</v>
      </c>
      <c r="AD296" s="1840">
        <f t="shared" si="221"/>
        <v>0</v>
      </c>
      <c r="AE296" s="1372" t="s">
        <v>2568</v>
      </c>
      <c r="AF296" s="1372" t="s">
        <v>3403</v>
      </c>
      <c r="AG296" s="1639">
        <v>0.19418125</v>
      </c>
      <c r="AH296" s="1372" t="s">
        <v>3445</v>
      </c>
      <c r="AI296" s="1640">
        <f t="shared" si="222"/>
        <v>3417.59</v>
      </c>
      <c r="AJ296" s="1638">
        <f t="shared" si="223"/>
        <v>0</v>
      </c>
      <c r="AK296" s="1372" t="s">
        <v>2568</v>
      </c>
      <c r="AL296" s="1372" t="s">
        <v>3403</v>
      </c>
      <c r="AM296" s="1639">
        <v>0.19418125</v>
      </c>
      <c r="AN296" s="1372" t="str">
        <f t="shared" si="247"/>
        <v>No change</v>
      </c>
      <c r="AO296" s="1640">
        <f t="shared" si="225"/>
        <v>3417.59</v>
      </c>
      <c r="AP296" s="1638">
        <f t="shared" si="226"/>
        <v>0</v>
      </c>
      <c r="AQ296" s="1372" t="s">
        <v>2568</v>
      </c>
      <c r="AR296" s="1372" t="s">
        <v>3403</v>
      </c>
      <c r="AS296" s="1639">
        <v>0.19418125</v>
      </c>
      <c r="AT296" s="1372" t="str">
        <f t="shared" si="248"/>
        <v>No change</v>
      </c>
      <c r="AU296" s="1640">
        <f t="shared" si="228"/>
        <v>3417.59</v>
      </c>
      <c r="AV296" s="1638">
        <f t="shared" si="229"/>
        <v>0</v>
      </c>
      <c r="AW296" s="2044">
        <f t="shared" si="230"/>
        <v>3417.59</v>
      </c>
      <c r="AX296" s="2044">
        <f t="shared" si="231"/>
        <v>3417.59</v>
      </c>
      <c r="AY296" s="2044">
        <f t="shared" si="232"/>
        <v>3417.59</v>
      </c>
      <c r="AZ296" s="2044">
        <f t="shared" si="233"/>
        <v>3417.59</v>
      </c>
      <c r="BA296" s="2045">
        <f t="shared" si="234"/>
        <v>13670.36</v>
      </c>
      <c r="BB296" s="2045" t="str">
        <f>+'[9]4.4.24 '!$A$1</f>
        <v>4.4.24</v>
      </c>
      <c r="BC296" s="2045" t="str">
        <f>+'[9]4.4.24 '!$A$1</f>
        <v>4.4.24</v>
      </c>
      <c r="BD296" s="2045">
        <v>0</v>
      </c>
      <c r="BE296" s="2051">
        <v>15</v>
      </c>
      <c r="BF296" s="2051">
        <v>15</v>
      </c>
      <c r="BG296" s="2051">
        <v>15</v>
      </c>
      <c r="BH296" s="2051">
        <v>15</v>
      </c>
      <c r="BI296" s="2045">
        <f t="shared" si="235"/>
        <v>51263.850000000006</v>
      </c>
      <c r="BJ296" s="2045">
        <f t="shared" si="236"/>
        <v>51263.850000000006</v>
      </c>
      <c r="BK296" s="2045">
        <f t="shared" si="237"/>
        <v>51263.850000000006</v>
      </c>
      <c r="BL296" s="2045">
        <f t="shared" si="238"/>
        <v>51263.850000000006</v>
      </c>
      <c r="BM296" s="2045">
        <f t="shared" si="239"/>
        <v>205055.40000000002</v>
      </c>
      <c r="BN296" s="2047">
        <v>15</v>
      </c>
      <c r="BO296" s="2047">
        <v>15</v>
      </c>
      <c r="BP296" s="2047">
        <v>15</v>
      </c>
      <c r="BQ296" s="2047">
        <v>15</v>
      </c>
      <c r="BR296" s="2048">
        <f t="shared" si="240"/>
        <v>51263.850000000006</v>
      </c>
      <c r="BS296" s="2048">
        <f t="shared" si="241"/>
        <v>51263.850000000006</v>
      </c>
      <c r="BT296" s="2048">
        <f t="shared" si="242"/>
        <v>51263.850000000006</v>
      </c>
      <c r="BU296" s="2048">
        <f t="shared" si="243"/>
        <v>51263.850000000006</v>
      </c>
      <c r="BV296" s="1840">
        <f t="shared" si="244"/>
        <v>205055.40000000002</v>
      </c>
      <c r="BW296" s="2064" t="e">
        <f>INT(#REF!)=INT(BA296)</f>
        <v>#REF!</v>
      </c>
      <c r="BX296" s="2064">
        <v>289</v>
      </c>
      <c r="BY296" s="2064" t="s">
        <v>512</v>
      </c>
    </row>
    <row r="297" spans="1:77" s="1976" customFormat="1" ht="61.5" customHeight="1" x14ac:dyDescent="0.35">
      <c r="A297" s="1372" t="s">
        <v>3046</v>
      </c>
      <c r="B297" s="1372" t="s">
        <v>2607</v>
      </c>
      <c r="C297" s="1637">
        <v>0</v>
      </c>
      <c r="D297" s="2053" t="str">
        <f>+'[9]4.4.4'!$A$1</f>
        <v>4.4.4</v>
      </c>
      <c r="E297" s="1372" t="s">
        <v>201</v>
      </c>
      <c r="F297" s="1638">
        <v>4</v>
      </c>
      <c r="G297" s="1638">
        <v>4</v>
      </c>
      <c r="H297" s="1638">
        <v>4</v>
      </c>
      <c r="I297" s="1638">
        <v>4</v>
      </c>
      <c r="J297" s="1372" t="str">
        <f>+'[9]4.4.4'!$B$11</f>
        <v>CI-HVC-BLRC-V03-150601</v>
      </c>
      <c r="K297" s="1372" t="str">
        <f t="shared" si="215"/>
        <v>Nicor Gas PY7-PY10 Adjustable Goals Template_2017-06-30, Tab 4.4.4</v>
      </c>
      <c r="L297" s="1639">
        <v>488.03199999999998</v>
      </c>
      <c r="M297" s="1639">
        <v>488.03199999999998</v>
      </c>
      <c r="N297" s="1639">
        <v>488.03199999999998</v>
      </c>
      <c r="O297" s="1639">
        <v>488.03199999999998</v>
      </c>
      <c r="P297" s="1637">
        <v>0.81</v>
      </c>
      <c r="Q297" s="1637">
        <v>0.81</v>
      </c>
      <c r="R297" s="1637">
        <v>0.81</v>
      </c>
      <c r="S297" s="1637">
        <v>0.81</v>
      </c>
      <c r="T297" s="1640">
        <f t="shared" si="216"/>
        <v>1581.2236800000001</v>
      </c>
      <c r="U297" s="1640">
        <f t="shared" si="216"/>
        <v>1581.2236800000001</v>
      </c>
      <c r="V297" s="1640">
        <f t="shared" si="216"/>
        <v>1581.2236800000001</v>
      </c>
      <c r="W297" s="1640">
        <f t="shared" si="216"/>
        <v>1581.2236800000001</v>
      </c>
      <c r="X297" s="1640">
        <f t="shared" si="217"/>
        <v>6324.8947200000002</v>
      </c>
      <c r="Y297" s="1372" t="str">
        <f>J297</f>
        <v>CI-HVC-BLRC-V03-150601</v>
      </c>
      <c r="Z297" s="1372" t="str">
        <f t="shared" si="219"/>
        <v>Nicor Gas PY7-PY10 Adjustable Goals Template_2017-06-30, Tab 4.4.4</v>
      </c>
      <c r="AA297" s="1840">
        <f t="shared" si="219"/>
        <v>488.03199999999998</v>
      </c>
      <c r="AB297" s="2028"/>
      <c r="AC297" s="1840">
        <f t="shared" si="220"/>
        <v>1581.2236800000001</v>
      </c>
      <c r="AD297" s="1840">
        <f t="shared" si="221"/>
        <v>0</v>
      </c>
      <c r="AE297" s="1372" t="s">
        <v>197</v>
      </c>
      <c r="AF297" s="1372" t="s">
        <v>3356</v>
      </c>
      <c r="AG297" s="1639">
        <v>488.03199999999998</v>
      </c>
      <c r="AH297" s="1372" t="s">
        <v>3445</v>
      </c>
      <c r="AI297" s="1640">
        <f t="shared" si="222"/>
        <v>1581.2236800000001</v>
      </c>
      <c r="AJ297" s="1638">
        <f t="shared" si="223"/>
        <v>0</v>
      </c>
      <c r="AK297" s="1372" t="s">
        <v>197</v>
      </c>
      <c r="AL297" s="1372" t="s">
        <v>3356</v>
      </c>
      <c r="AM297" s="1639">
        <v>488.03199999999998</v>
      </c>
      <c r="AN297" s="1372" t="str">
        <f t="shared" si="247"/>
        <v>No change</v>
      </c>
      <c r="AO297" s="1640">
        <f t="shared" si="225"/>
        <v>1581.2236800000001</v>
      </c>
      <c r="AP297" s="1638">
        <f t="shared" si="226"/>
        <v>0</v>
      </c>
      <c r="AQ297" s="1372" t="s">
        <v>197</v>
      </c>
      <c r="AR297" s="1372" t="s">
        <v>3356</v>
      </c>
      <c r="AS297" s="1639">
        <v>488.03199999999998</v>
      </c>
      <c r="AT297" s="1372" t="str">
        <f t="shared" si="248"/>
        <v>No change</v>
      </c>
      <c r="AU297" s="1640">
        <f t="shared" si="228"/>
        <v>1581.2236800000001</v>
      </c>
      <c r="AV297" s="1638">
        <f t="shared" si="229"/>
        <v>0</v>
      </c>
      <c r="AW297" s="2044">
        <f t="shared" si="230"/>
        <v>1581.2236800000001</v>
      </c>
      <c r="AX297" s="2044">
        <f t="shared" si="231"/>
        <v>1581.2236800000001</v>
      </c>
      <c r="AY297" s="2044">
        <f t="shared" si="232"/>
        <v>1581.2236800000001</v>
      </c>
      <c r="AZ297" s="2044">
        <f t="shared" si="233"/>
        <v>1581.2236800000001</v>
      </c>
      <c r="BA297" s="2045">
        <f t="shared" si="234"/>
        <v>6324.8947200000002</v>
      </c>
      <c r="BB297" s="2045" t="str">
        <f>+'[9]4.4.4'!$A$1</f>
        <v>4.4.4</v>
      </c>
      <c r="BC297" s="2045" t="str">
        <f>+'[9]4.4.4'!$A$1</f>
        <v>4.4.4</v>
      </c>
      <c r="BD297" s="2045">
        <v>0</v>
      </c>
      <c r="BE297" s="2051">
        <v>20</v>
      </c>
      <c r="BF297" s="2051">
        <v>20</v>
      </c>
      <c r="BG297" s="2051">
        <v>20</v>
      </c>
      <c r="BH297" s="2051">
        <v>20</v>
      </c>
      <c r="BI297" s="2045">
        <f t="shared" si="235"/>
        <v>31624.473600000001</v>
      </c>
      <c r="BJ297" s="2045">
        <f t="shared" si="236"/>
        <v>31624.473600000001</v>
      </c>
      <c r="BK297" s="2045">
        <f t="shared" si="237"/>
        <v>31624.473600000001</v>
      </c>
      <c r="BL297" s="2045">
        <f t="shared" si="238"/>
        <v>31624.473600000001</v>
      </c>
      <c r="BM297" s="2045">
        <f t="shared" si="239"/>
        <v>126497.8944</v>
      </c>
      <c r="BN297" s="2047">
        <v>20</v>
      </c>
      <c r="BO297" s="2047">
        <v>20</v>
      </c>
      <c r="BP297" s="2047">
        <v>20</v>
      </c>
      <c r="BQ297" s="2047">
        <v>20</v>
      </c>
      <c r="BR297" s="2048">
        <f t="shared" si="240"/>
        <v>31624.473600000001</v>
      </c>
      <c r="BS297" s="2048">
        <f t="shared" si="241"/>
        <v>31624.473600000001</v>
      </c>
      <c r="BT297" s="2048">
        <f t="shared" si="242"/>
        <v>31624.473600000001</v>
      </c>
      <c r="BU297" s="2048">
        <f t="shared" si="243"/>
        <v>31624.473600000001</v>
      </c>
      <c r="BV297" s="1840">
        <f t="shared" si="244"/>
        <v>126497.8944</v>
      </c>
      <c r="BW297" s="2064" t="e">
        <f>INT(#REF!)=INT(BA297)</f>
        <v>#REF!</v>
      </c>
      <c r="BX297" s="2064">
        <v>290</v>
      </c>
      <c r="BY297" s="2064" t="s">
        <v>512</v>
      </c>
    </row>
    <row r="298" spans="1:77" s="1976" customFormat="1" ht="61.5" customHeight="1" x14ac:dyDescent="0.35">
      <c r="A298" s="1372" t="s">
        <v>3046</v>
      </c>
      <c r="B298" s="1372" t="s">
        <v>2584</v>
      </c>
      <c r="C298" s="1637">
        <v>0</v>
      </c>
      <c r="D298" s="2053" t="str">
        <f>+'[9]4.4.2'!$A$1</f>
        <v>4.4.2</v>
      </c>
      <c r="E298" s="1372" t="s">
        <v>201</v>
      </c>
      <c r="F298" s="1638">
        <v>12</v>
      </c>
      <c r="G298" s="1638">
        <v>12</v>
      </c>
      <c r="H298" s="1638">
        <v>12</v>
      </c>
      <c r="I298" s="1638">
        <v>12</v>
      </c>
      <c r="J298" s="1372" t="str">
        <f>+'[9]4.4.2'!$B$16</f>
        <v>CI-HVC-BLRT-V06-160601</v>
      </c>
      <c r="K298" s="1372" t="str">
        <f t="shared" si="215"/>
        <v>Nicor Gas PY7-PY10 Adjustable Goals Template_2017-06-30, Tab 4.4.2</v>
      </c>
      <c r="L298" s="1639">
        <v>271.90466176470613</v>
      </c>
      <c r="M298" s="1639">
        <v>271.90466176470613</v>
      </c>
      <c r="N298" s="1639">
        <v>271.90466176470613</v>
      </c>
      <c r="O298" s="1639">
        <v>271.90466176470613</v>
      </c>
      <c r="P298" s="1637">
        <v>0.81</v>
      </c>
      <c r="Q298" s="1637">
        <v>0.81</v>
      </c>
      <c r="R298" s="1637">
        <v>0.81</v>
      </c>
      <c r="S298" s="1637">
        <v>0.81</v>
      </c>
      <c r="T298" s="1640">
        <f t="shared" si="216"/>
        <v>2642.9133123529436</v>
      </c>
      <c r="U298" s="1640">
        <f t="shared" si="216"/>
        <v>2642.9133123529436</v>
      </c>
      <c r="V298" s="1640">
        <f t="shared" si="216"/>
        <v>2642.9133123529436</v>
      </c>
      <c r="W298" s="1640">
        <f t="shared" si="216"/>
        <v>2642.9133123529436</v>
      </c>
      <c r="X298" s="1640">
        <f t="shared" si="217"/>
        <v>10571.653249411775</v>
      </c>
      <c r="Y298" s="1372" t="str">
        <f>J298</f>
        <v>CI-HVC-BLRT-V06-160601</v>
      </c>
      <c r="Z298" s="1372" t="str">
        <f t="shared" si="219"/>
        <v>Nicor Gas PY7-PY10 Adjustable Goals Template_2017-06-30, Tab 4.4.2</v>
      </c>
      <c r="AA298" s="1840">
        <f t="shared" si="219"/>
        <v>271.90466176470613</v>
      </c>
      <c r="AB298" s="2028"/>
      <c r="AC298" s="1840">
        <f t="shared" si="220"/>
        <v>2642.9133123529436</v>
      </c>
      <c r="AD298" s="1840">
        <f t="shared" si="221"/>
        <v>0</v>
      </c>
      <c r="AE298" s="1372" t="s">
        <v>2567</v>
      </c>
      <c r="AF298" s="1372" t="s">
        <v>3357</v>
      </c>
      <c r="AG298" s="1639">
        <v>271.90466176470613</v>
      </c>
      <c r="AH298" s="1372" t="s">
        <v>3445</v>
      </c>
      <c r="AI298" s="1640">
        <f t="shared" si="222"/>
        <v>2642.9133123529436</v>
      </c>
      <c r="AJ298" s="1638">
        <f t="shared" si="223"/>
        <v>0</v>
      </c>
      <c r="AK298" s="1372" t="s">
        <v>2567</v>
      </c>
      <c r="AL298" s="1372" t="s">
        <v>3357</v>
      </c>
      <c r="AM298" s="1639">
        <v>271.90466176470613</v>
      </c>
      <c r="AN298" s="1372" t="str">
        <f t="shared" si="247"/>
        <v>No change</v>
      </c>
      <c r="AO298" s="1640">
        <f t="shared" si="225"/>
        <v>2642.9133123529436</v>
      </c>
      <c r="AP298" s="1638">
        <f t="shared" si="226"/>
        <v>0</v>
      </c>
      <c r="AQ298" s="1372" t="s">
        <v>2567</v>
      </c>
      <c r="AR298" s="1372" t="s">
        <v>3357</v>
      </c>
      <c r="AS298" s="1639">
        <v>271.90466176470613</v>
      </c>
      <c r="AT298" s="1372" t="str">
        <f t="shared" si="248"/>
        <v>No change</v>
      </c>
      <c r="AU298" s="1640">
        <f t="shared" si="228"/>
        <v>2642.9133123529436</v>
      </c>
      <c r="AV298" s="1638">
        <f t="shared" si="229"/>
        <v>0</v>
      </c>
      <c r="AW298" s="2044">
        <f t="shared" si="230"/>
        <v>2642.9133123529436</v>
      </c>
      <c r="AX298" s="2044">
        <f t="shared" si="231"/>
        <v>2642.9133123529436</v>
      </c>
      <c r="AY298" s="2044">
        <f t="shared" si="232"/>
        <v>2642.9133123529436</v>
      </c>
      <c r="AZ298" s="2044">
        <f t="shared" si="233"/>
        <v>2642.9133123529436</v>
      </c>
      <c r="BA298" s="2045">
        <f t="shared" si="234"/>
        <v>10571.653249411775</v>
      </c>
      <c r="BB298" s="2045" t="str">
        <f>+'[9]4.4.2'!$A$1</f>
        <v>4.4.2</v>
      </c>
      <c r="BC298" s="2045" t="str">
        <f>+'[9]4.4.2'!$A$1</f>
        <v>4.4.2</v>
      </c>
      <c r="BD298" s="2045">
        <v>0</v>
      </c>
      <c r="BE298" s="2051">
        <v>3</v>
      </c>
      <c r="BF298" s="2051">
        <v>3</v>
      </c>
      <c r="BG298" s="2051">
        <v>3</v>
      </c>
      <c r="BH298" s="2051">
        <v>3</v>
      </c>
      <c r="BI298" s="2045">
        <f t="shared" si="235"/>
        <v>7928.7399370588309</v>
      </c>
      <c r="BJ298" s="2045">
        <f t="shared" si="236"/>
        <v>7928.7399370588309</v>
      </c>
      <c r="BK298" s="2045">
        <f t="shared" si="237"/>
        <v>7928.7399370588309</v>
      </c>
      <c r="BL298" s="2045">
        <f t="shared" si="238"/>
        <v>7928.7399370588309</v>
      </c>
      <c r="BM298" s="2045">
        <f t="shared" si="239"/>
        <v>31714.959748235324</v>
      </c>
      <c r="BN298" s="2047">
        <v>3</v>
      </c>
      <c r="BO298" s="2047">
        <v>3</v>
      </c>
      <c r="BP298" s="2047">
        <v>3</v>
      </c>
      <c r="BQ298" s="2047">
        <v>3</v>
      </c>
      <c r="BR298" s="2048">
        <f t="shared" si="240"/>
        <v>7928.7399370588309</v>
      </c>
      <c r="BS298" s="2048">
        <f t="shared" si="241"/>
        <v>7928.7399370588309</v>
      </c>
      <c r="BT298" s="2048">
        <f t="shared" si="242"/>
        <v>7928.7399370588309</v>
      </c>
      <c r="BU298" s="2048">
        <f t="shared" si="243"/>
        <v>7928.7399370588309</v>
      </c>
      <c r="BV298" s="1840">
        <f t="shared" si="244"/>
        <v>31714.959748235324</v>
      </c>
      <c r="BW298" s="2064" t="e">
        <f>INT(#REF!)=INT(BA298)</f>
        <v>#REF!</v>
      </c>
      <c r="BX298" s="2064">
        <v>291</v>
      </c>
      <c r="BY298" s="2064" t="s">
        <v>512</v>
      </c>
    </row>
    <row r="299" spans="1:77" s="1976" customFormat="1" ht="61.5" customHeight="1" x14ac:dyDescent="0.35">
      <c r="A299" s="1372" t="s">
        <v>3046</v>
      </c>
      <c r="B299" s="1372" t="s">
        <v>2628</v>
      </c>
      <c r="C299" s="1637">
        <v>0</v>
      </c>
      <c r="D299" s="2053" t="str">
        <f>+'[9]4.4.11'!$A$1</f>
        <v>4.4.11</v>
      </c>
      <c r="E299" s="1372" t="s">
        <v>163</v>
      </c>
      <c r="F299" s="1638">
        <v>59</v>
      </c>
      <c r="G299" s="1638">
        <v>59</v>
      </c>
      <c r="H299" s="1638">
        <v>59</v>
      </c>
      <c r="I299" s="1638">
        <v>59</v>
      </c>
      <c r="J299" s="1372" t="str">
        <f>+'[9]4.4.11'!$B$14</f>
        <v>CI-HVC-FRNC-V07-180101</v>
      </c>
      <c r="K299" s="1372" t="str">
        <f t="shared" si="215"/>
        <v>Nicor Gas PY7-PY10 Adjustable Goals Template_2017-06-30, Tab 4.4.11</v>
      </c>
      <c r="L299" s="1639">
        <v>457.5299999999998</v>
      </c>
      <c r="M299" s="1639">
        <v>457.5299999999998</v>
      </c>
      <c r="N299" s="1639">
        <v>457.5299999999998</v>
      </c>
      <c r="O299" s="1639">
        <v>457.5299999999998</v>
      </c>
      <c r="P299" s="1637">
        <v>0.81</v>
      </c>
      <c r="Q299" s="1637">
        <v>0.81</v>
      </c>
      <c r="R299" s="1637">
        <v>0.81</v>
      </c>
      <c r="S299" s="1637">
        <v>0.81</v>
      </c>
      <c r="T299" s="1640">
        <f t="shared" si="216"/>
        <v>21865.358699999993</v>
      </c>
      <c r="U299" s="1640">
        <f t="shared" si="216"/>
        <v>21865.358699999993</v>
      </c>
      <c r="V299" s="1640">
        <f t="shared" si="216"/>
        <v>21865.358699999993</v>
      </c>
      <c r="W299" s="1640">
        <f t="shared" si="216"/>
        <v>21865.358699999993</v>
      </c>
      <c r="X299" s="1640">
        <f t="shared" si="217"/>
        <v>87461.434799999974</v>
      </c>
      <c r="Y299" s="1372" t="str">
        <f>J299</f>
        <v>CI-HVC-FRNC-V07-180101</v>
      </c>
      <c r="Z299" s="1372" t="str">
        <f t="shared" si="219"/>
        <v>Nicor Gas PY7-PY10 Adjustable Goals Template_2017-06-30, Tab 4.4.11</v>
      </c>
      <c r="AA299" s="1840">
        <f t="shared" si="219"/>
        <v>457.5299999999998</v>
      </c>
      <c r="AB299" s="2028"/>
      <c r="AC299" s="1840">
        <f t="shared" si="220"/>
        <v>21865.358699999993</v>
      </c>
      <c r="AD299" s="1840">
        <f t="shared" si="221"/>
        <v>0</v>
      </c>
      <c r="AE299" s="1372" t="s">
        <v>2795</v>
      </c>
      <c r="AF299" s="1372" t="s">
        <v>3362</v>
      </c>
      <c r="AG299" s="1639">
        <v>457.5299999999998</v>
      </c>
      <c r="AH299" s="1372" t="s">
        <v>3445</v>
      </c>
      <c r="AI299" s="1640">
        <f t="shared" si="222"/>
        <v>21865.358699999993</v>
      </c>
      <c r="AJ299" s="1638">
        <f t="shared" si="223"/>
        <v>0</v>
      </c>
      <c r="AK299" s="1372" t="s">
        <v>2795</v>
      </c>
      <c r="AL299" s="1372" t="s">
        <v>3362</v>
      </c>
      <c r="AM299" s="1639">
        <v>457.5299999999998</v>
      </c>
      <c r="AN299" s="1372" t="str">
        <f t="shared" si="247"/>
        <v>No change</v>
      </c>
      <c r="AO299" s="1640">
        <f t="shared" si="225"/>
        <v>21865.358699999993</v>
      </c>
      <c r="AP299" s="1638">
        <f t="shared" si="226"/>
        <v>0</v>
      </c>
      <c r="AQ299" s="1372" t="s">
        <v>2795</v>
      </c>
      <c r="AR299" s="1372" t="s">
        <v>3362</v>
      </c>
      <c r="AS299" s="1639">
        <v>457.5299999999998</v>
      </c>
      <c r="AT299" s="1372" t="str">
        <f t="shared" si="248"/>
        <v>No change</v>
      </c>
      <c r="AU299" s="1640">
        <f t="shared" si="228"/>
        <v>21865.358699999993</v>
      </c>
      <c r="AV299" s="1638">
        <f t="shared" si="229"/>
        <v>0</v>
      </c>
      <c r="AW299" s="2044">
        <f t="shared" si="230"/>
        <v>21865.358699999993</v>
      </c>
      <c r="AX299" s="2044">
        <f t="shared" si="231"/>
        <v>21865.358699999993</v>
      </c>
      <c r="AY299" s="2044">
        <f t="shared" si="232"/>
        <v>21865.358699999993</v>
      </c>
      <c r="AZ299" s="2044">
        <f t="shared" si="233"/>
        <v>21865.358699999993</v>
      </c>
      <c r="BA299" s="2045">
        <f t="shared" si="234"/>
        <v>87461.434799999974</v>
      </c>
      <c r="BB299" s="2045" t="str">
        <f>+'[9]4.4.11'!$A$1</f>
        <v>4.4.11</v>
      </c>
      <c r="BC299" s="2045" t="str">
        <f>+'[9]4.4.11'!$A$1</f>
        <v>4.4.11</v>
      </c>
      <c r="BD299" s="2045">
        <v>0</v>
      </c>
      <c r="BE299" s="2051">
        <v>16.5</v>
      </c>
      <c r="BF299" s="2051">
        <v>16.5</v>
      </c>
      <c r="BG299" s="2051">
        <v>16.5</v>
      </c>
      <c r="BH299" s="2051">
        <v>16.5</v>
      </c>
      <c r="BI299" s="2045">
        <f t="shared" si="235"/>
        <v>360778.41854999989</v>
      </c>
      <c r="BJ299" s="2045">
        <f t="shared" si="236"/>
        <v>360778.41854999989</v>
      </c>
      <c r="BK299" s="2045">
        <f t="shared" si="237"/>
        <v>360778.41854999989</v>
      </c>
      <c r="BL299" s="2045">
        <f t="shared" si="238"/>
        <v>360778.41854999989</v>
      </c>
      <c r="BM299" s="2045">
        <f t="shared" si="239"/>
        <v>1443113.6741999995</v>
      </c>
      <c r="BN299" s="2047">
        <v>16.5</v>
      </c>
      <c r="BO299" s="2047">
        <v>16.5</v>
      </c>
      <c r="BP299" s="2047">
        <v>16.5</v>
      </c>
      <c r="BQ299" s="2047">
        <v>16.5</v>
      </c>
      <c r="BR299" s="2048">
        <f t="shared" si="240"/>
        <v>360778.41854999989</v>
      </c>
      <c r="BS299" s="2048">
        <f t="shared" si="241"/>
        <v>360778.41854999989</v>
      </c>
      <c r="BT299" s="2048">
        <f t="shared" si="242"/>
        <v>360778.41854999989</v>
      </c>
      <c r="BU299" s="2048">
        <f t="shared" si="243"/>
        <v>360778.41854999989</v>
      </c>
      <c r="BV299" s="1840">
        <f t="shared" si="244"/>
        <v>1443113.6741999995</v>
      </c>
      <c r="BW299" s="2064" t="e">
        <f>INT(#REF!)=INT(BA299)</f>
        <v>#REF!</v>
      </c>
      <c r="BX299" s="2064">
        <v>292</v>
      </c>
      <c r="BY299" s="2064" t="s">
        <v>512</v>
      </c>
    </row>
    <row r="300" spans="1:77" s="1976" customFormat="1" ht="15.5" x14ac:dyDescent="0.35">
      <c r="A300" s="1372" t="s">
        <v>3046</v>
      </c>
      <c r="B300" s="1372" t="s">
        <v>3021</v>
      </c>
      <c r="C300" s="1637">
        <v>0</v>
      </c>
      <c r="D300" s="1372" t="s">
        <v>295</v>
      </c>
      <c r="E300" s="1372" t="s">
        <v>163</v>
      </c>
      <c r="F300" s="1638">
        <v>40</v>
      </c>
      <c r="G300" s="1638">
        <v>40</v>
      </c>
      <c r="H300" s="1638">
        <v>40</v>
      </c>
      <c r="I300" s="1638">
        <v>40</v>
      </c>
      <c r="J300" s="1372" t="s">
        <v>295</v>
      </c>
      <c r="K300" s="1372" t="str">
        <f t="shared" si="215"/>
        <v/>
      </c>
      <c r="L300" s="1639">
        <v>0</v>
      </c>
      <c r="M300" s="1639">
        <v>0</v>
      </c>
      <c r="N300" s="1639">
        <v>0</v>
      </c>
      <c r="O300" s="1639">
        <v>0</v>
      </c>
      <c r="P300" s="1637">
        <v>0.81</v>
      </c>
      <c r="Q300" s="1637">
        <v>0.81</v>
      </c>
      <c r="R300" s="1637">
        <v>0.81</v>
      </c>
      <c r="S300" s="1637">
        <v>0.81</v>
      </c>
      <c r="T300" s="1640">
        <f t="shared" si="216"/>
        <v>0</v>
      </c>
      <c r="U300" s="1640">
        <f t="shared" si="216"/>
        <v>0</v>
      </c>
      <c r="V300" s="1640">
        <f t="shared" si="216"/>
        <v>0</v>
      </c>
      <c r="W300" s="1640">
        <f t="shared" si="216"/>
        <v>0</v>
      </c>
      <c r="X300" s="1640">
        <f t="shared" si="217"/>
        <v>0</v>
      </c>
      <c r="Y300" s="1829"/>
      <c r="Z300" s="1372" t="str">
        <f t="shared" si="219"/>
        <v/>
      </c>
      <c r="AA300" s="1840">
        <f t="shared" si="219"/>
        <v>0</v>
      </c>
      <c r="AB300" s="2028"/>
      <c r="AC300" s="1840">
        <f t="shared" si="220"/>
        <v>0</v>
      </c>
      <c r="AD300" s="1840">
        <f t="shared" si="221"/>
        <v>0</v>
      </c>
      <c r="AE300" s="1829"/>
      <c r="AF300" s="1829" t="s">
        <v>3361</v>
      </c>
      <c r="AG300" s="1830">
        <v>0</v>
      </c>
      <c r="AH300" s="1829"/>
      <c r="AI300" s="1640">
        <f t="shared" si="222"/>
        <v>0</v>
      </c>
      <c r="AJ300" s="1638">
        <f t="shared" si="223"/>
        <v>0</v>
      </c>
      <c r="AK300" s="1829"/>
      <c r="AL300" s="1829" t="s">
        <v>3361</v>
      </c>
      <c r="AM300" s="1830">
        <v>0</v>
      </c>
      <c r="AN300" s="1829"/>
      <c r="AO300" s="1640">
        <f t="shared" si="225"/>
        <v>0</v>
      </c>
      <c r="AP300" s="1638">
        <f t="shared" si="226"/>
        <v>0</v>
      </c>
      <c r="AQ300" s="1829"/>
      <c r="AR300" s="1829" t="s">
        <v>3361</v>
      </c>
      <c r="AS300" s="1830">
        <v>0</v>
      </c>
      <c r="AT300" s="1829"/>
      <c r="AU300" s="1640">
        <f t="shared" si="228"/>
        <v>0</v>
      </c>
      <c r="AV300" s="1638">
        <f t="shared" si="229"/>
        <v>0</v>
      </c>
      <c r="AW300" s="2044">
        <f t="shared" si="230"/>
        <v>0</v>
      </c>
      <c r="AX300" s="2044">
        <f t="shared" si="231"/>
        <v>0</v>
      </c>
      <c r="AY300" s="2044">
        <f t="shared" si="232"/>
        <v>0</v>
      </c>
      <c r="AZ300" s="2044">
        <f t="shared" si="233"/>
        <v>0</v>
      </c>
      <c r="BA300" s="2045">
        <f t="shared" si="234"/>
        <v>0</v>
      </c>
      <c r="BB300" s="2049"/>
      <c r="BC300" s="2049"/>
      <c r="BD300" s="2045">
        <v>0</v>
      </c>
      <c r="BE300" s="2051">
        <v>1</v>
      </c>
      <c r="BF300" s="2051">
        <v>1</v>
      </c>
      <c r="BG300" s="2051">
        <v>1</v>
      </c>
      <c r="BH300" s="2051">
        <v>1</v>
      </c>
      <c r="BI300" s="2045">
        <f t="shared" si="235"/>
        <v>0</v>
      </c>
      <c r="BJ300" s="2045">
        <f t="shared" si="236"/>
        <v>0</v>
      </c>
      <c r="BK300" s="2045">
        <f t="shared" si="237"/>
        <v>0</v>
      </c>
      <c r="BL300" s="2045">
        <f t="shared" si="238"/>
        <v>0</v>
      </c>
      <c r="BM300" s="2045">
        <f t="shared" si="239"/>
        <v>0</v>
      </c>
      <c r="BN300" s="2047">
        <v>1</v>
      </c>
      <c r="BO300" s="2047">
        <v>1</v>
      </c>
      <c r="BP300" s="2047">
        <v>1</v>
      </c>
      <c r="BQ300" s="2047">
        <v>1</v>
      </c>
      <c r="BR300" s="2048">
        <f t="shared" si="240"/>
        <v>0</v>
      </c>
      <c r="BS300" s="2048">
        <f t="shared" si="241"/>
        <v>0</v>
      </c>
      <c r="BT300" s="2048">
        <f t="shared" si="242"/>
        <v>0</v>
      </c>
      <c r="BU300" s="2048">
        <f t="shared" si="243"/>
        <v>0</v>
      </c>
      <c r="BV300" s="1840">
        <f t="shared" si="244"/>
        <v>0</v>
      </c>
      <c r="BW300" s="2064" t="e">
        <f>INT(#REF!)=INT(BA300)</f>
        <v>#REF!</v>
      </c>
      <c r="BX300" s="2064">
        <v>293</v>
      </c>
      <c r="BY300" s="2064" t="s">
        <v>295</v>
      </c>
    </row>
    <row r="301" spans="1:77" s="1976" customFormat="1" ht="61.5" customHeight="1" x14ac:dyDescent="0.35">
      <c r="A301" s="1372" t="s">
        <v>3046</v>
      </c>
      <c r="B301" s="1372" t="s">
        <v>2642</v>
      </c>
      <c r="C301" s="1637">
        <v>0</v>
      </c>
      <c r="D301" s="2053" t="str">
        <f>+'[9]4.4.16'!$A$1</f>
        <v>4.4.16</v>
      </c>
      <c r="E301" s="1372" t="s">
        <v>163</v>
      </c>
      <c r="F301" s="1638">
        <v>100</v>
      </c>
      <c r="G301" s="1638">
        <v>100</v>
      </c>
      <c r="H301" s="1638">
        <v>100</v>
      </c>
      <c r="I301" s="1638">
        <v>100</v>
      </c>
      <c r="J301" s="1372" t="str">
        <f>+'[9]4.4.16'!$B$22</f>
        <v>CI-HVC-STRE-V05-180101</v>
      </c>
      <c r="K301" s="1372" t="str">
        <f t="shared" si="215"/>
        <v>Nicor Gas PY7-PY10 Adjustable Goals Template_2017-06-30, Tab 4.4.16</v>
      </c>
      <c r="L301" s="1639">
        <v>89.462647935000007</v>
      </c>
      <c r="M301" s="1639">
        <v>89.462647935000007</v>
      </c>
      <c r="N301" s="1639">
        <v>89.462647935000007</v>
      </c>
      <c r="O301" s="1639">
        <v>89.462647935000007</v>
      </c>
      <c r="P301" s="1637">
        <v>0.81</v>
      </c>
      <c r="Q301" s="1637">
        <v>0.81</v>
      </c>
      <c r="R301" s="1637">
        <v>0.81</v>
      </c>
      <c r="S301" s="1637">
        <v>0.81</v>
      </c>
      <c r="T301" s="1640">
        <f t="shared" si="216"/>
        <v>7246.4744827350005</v>
      </c>
      <c r="U301" s="1640">
        <f t="shared" si="216"/>
        <v>7246.4744827350005</v>
      </c>
      <c r="V301" s="1640">
        <f t="shared" si="216"/>
        <v>7246.4744827350005</v>
      </c>
      <c r="W301" s="1640">
        <f t="shared" si="216"/>
        <v>7246.4744827350005</v>
      </c>
      <c r="X301" s="1640">
        <f t="shared" si="217"/>
        <v>28985.897930940002</v>
      </c>
      <c r="Y301" s="1372" t="str">
        <f>J301</f>
        <v>CI-HVC-STRE-V05-180101</v>
      </c>
      <c r="Z301" s="1372" t="str">
        <f t="shared" si="219"/>
        <v>Nicor Gas PY7-PY10 Adjustable Goals Template_2017-06-30, Tab 4.4.16</v>
      </c>
      <c r="AA301" s="1840">
        <f t="shared" si="219"/>
        <v>89.462647935000007</v>
      </c>
      <c r="AB301" s="2028"/>
      <c r="AC301" s="1840">
        <f t="shared" si="220"/>
        <v>7246.4744827350005</v>
      </c>
      <c r="AD301" s="1840">
        <f t="shared" si="221"/>
        <v>0</v>
      </c>
      <c r="AE301" s="1372" t="s">
        <v>2796</v>
      </c>
      <c r="AF301" s="1372" t="s">
        <v>3382</v>
      </c>
      <c r="AG301" s="1639">
        <v>89.462647935000007</v>
      </c>
      <c r="AH301" s="1372" t="s">
        <v>3445</v>
      </c>
      <c r="AI301" s="1640">
        <f t="shared" si="222"/>
        <v>7246.4744827350005</v>
      </c>
      <c r="AJ301" s="1638">
        <f t="shared" si="223"/>
        <v>0</v>
      </c>
      <c r="AK301" s="1372" t="s">
        <v>2796</v>
      </c>
      <c r="AL301" s="1372" t="s">
        <v>3382</v>
      </c>
      <c r="AM301" s="1639">
        <v>89.462647935000007</v>
      </c>
      <c r="AN301" s="1372" t="str">
        <f t="shared" ref="AN301:AN304" si="249">$AH301</f>
        <v>No change</v>
      </c>
      <c r="AO301" s="1640">
        <f t="shared" si="225"/>
        <v>7246.4744827350005</v>
      </c>
      <c r="AP301" s="1638">
        <f t="shared" si="226"/>
        <v>0</v>
      </c>
      <c r="AQ301" s="1372" t="s">
        <v>2796</v>
      </c>
      <c r="AR301" s="1372" t="s">
        <v>3382</v>
      </c>
      <c r="AS301" s="1639">
        <v>89.462647935000007</v>
      </c>
      <c r="AT301" s="1372" t="str">
        <f t="shared" ref="AT301:AT304" si="250">$AH301</f>
        <v>No change</v>
      </c>
      <c r="AU301" s="1640">
        <f t="shared" si="228"/>
        <v>7246.4744827350005</v>
      </c>
      <c r="AV301" s="1638">
        <f t="shared" si="229"/>
        <v>0</v>
      </c>
      <c r="AW301" s="2044">
        <f t="shared" si="230"/>
        <v>7246.4744827350005</v>
      </c>
      <c r="AX301" s="2044">
        <f t="shared" si="231"/>
        <v>7246.4744827350005</v>
      </c>
      <c r="AY301" s="2044">
        <f t="shared" si="232"/>
        <v>7246.4744827350005</v>
      </c>
      <c r="AZ301" s="2044">
        <f t="shared" si="233"/>
        <v>7246.4744827350005</v>
      </c>
      <c r="BA301" s="2045">
        <f t="shared" si="234"/>
        <v>28985.897930940002</v>
      </c>
      <c r="BB301" s="2045" t="str">
        <f>+'[9]4.4.16'!$A$1</f>
        <v>4.4.16</v>
      </c>
      <c r="BC301" s="2045" t="str">
        <f>+'[9]4.4.16'!$A$1</f>
        <v>4.4.16</v>
      </c>
      <c r="BD301" s="2045">
        <v>0</v>
      </c>
      <c r="BE301" s="2051">
        <v>6</v>
      </c>
      <c r="BF301" s="2051">
        <v>6</v>
      </c>
      <c r="BG301" s="2051">
        <v>6</v>
      </c>
      <c r="BH301" s="2051">
        <v>6</v>
      </c>
      <c r="BI301" s="2045">
        <f t="shared" si="235"/>
        <v>43478.846896410003</v>
      </c>
      <c r="BJ301" s="2045">
        <f t="shared" si="236"/>
        <v>43478.846896410003</v>
      </c>
      <c r="BK301" s="2045">
        <f t="shared" si="237"/>
        <v>43478.846896410003</v>
      </c>
      <c r="BL301" s="2045">
        <f t="shared" si="238"/>
        <v>43478.846896410003</v>
      </c>
      <c r="BM301" s="2045">
        <f t="shared" si="239"/>
        <v>173915.38758564001</v>
      </c>
      <c r="BN301" s="2047">
        <v>6</v>
      </c>
      <c r="BO301" s="2047">
        <v>6</v>
      </c>
      <c r="BP301" s="2047">
        <v>6</v>
      </c>
      <c r="BQ301" s="2047">
        <v>6</v>
      </c>
      <c r="BR301" s="2048">
        <f t="shared" si="240"/>
        <v>43478.846896410003</v>
      </c>
      <c r="BS301" s="2048">
        <f t="shared" si="241"/>
        <v>43478.846896410003</v>
      </c>
      <c r="BT301" s="2048">
        <f t="shared" si="242"/>
        <v>43478.846896410003</v>
      </c>
      <c r="BU301" s="2048">
        <f t="shared" si="243"/>
        <v>43478.846896410003</v>
      </c>
      <c r="BV301" s="1840">
        <f t="shared" si="244"/>
        <v>173915.38758564001</v>
      </c>
      <c r="BW301" s="2064" t="e">
        <f>INT(#REF!)=INT(BA301)</f>
        <v>#REF!</v>
      </c>
      <c r="BX301" s="2064">
        <v>294</v>
      </c>
      <c r="BY301" s="2064" t="s">
        <v>512</v>
      </c>
    </row>
    <row r="302" spans="1:77" s="1976" customFormat="1" ht="61.5" customHeight="1" x14ac:dyDescent="0.35">
      <c r="A302" s="1372" t="s">
        <v>3046</v>
      </c>
      <c r="B302" s="1372" t="s">
        <v>2747</v>
      </c>
      <c r="C302" s="1637">
        <v>0</v>
      </c>
      <c r="D302" s="2053" t="str">
        <f>+'[9]4.3.2'!$A$1</f>
        <v>4.3.2</v>
      </c>
      <c r="E302" s="1372" t="s">
        <v>201</v>
      </c>
      <c r="F302" s="1638">
        <v>1600</v>
      </c>
      <c r="G302" s="1638">
        <v>1600</v>
      </c>
      <c r="H302" s="1638">
        <v>1600</v>
      </c>
      <c r="I302" s="1638">
        <v>1600</v>
      </c>
      <c r="J302" s="1372" t="str">
        <f>+'[9]4.3.2'!$B$15</f>
        <v>CI-HWE-LFFA-V07-180101</v>
      </c>
      <c r="K302" s="1372" t="str">
        <f t="shared" si="215"/>
        <v>Nicor Gas PY7-PY10 Adjustable Goals Template_2017-06-30, Tab 4.3.2</v>
      </c>
      <c r="L302" s="1639">
        <v>5.3328738669064739</v>
      </c>
      <c r="M302" s="1639">
        <v>5.3328738669064739</v>
      </c>
      <c r="N302" s="1639">
        <v>5.3328738669064739</v>
      </c>
      <c r="O302" s="1639">
        <v>5.3328738669064739</v>
      </c>
      <c r="P302" s="1637">
        <v>0.81</v>
      </c>
      <c r="Q302" s="1637">
        <v>0.81</v>
      </c>
      <c r="R302" s="1637">
        <v>0.81</v>
      </c>
      <c r="S302" s="1637">
        <v>0.81</v>
      </c>
      <c r="T302" s="1640">
        <f t="shared" si="216"/>
        <v>6911.4045315107905</v>
      </c>
      <c r="U302" s="1640">
        <f t="shared" si="216"/>
        <v>6911.4045315107905</v>
      </c>
      <c r="V302" s="1640">
        <f t="shared" si="216"/>
        <v>6911.4045315107905</v>
      </c>
      <c r="W302" s="1640">
        <f t="shared" si="216"/>
        <v>6911.4045315107905</v>
      </c>
      <c r="X302" s="1640">
        <f t="shared" si="217"/>
        <v>27645.618126043162</v>
      </c>
      <c r="Y302" s="1372" t="str">
        <f>J302</f>
        <v>CI-HWE-LFFA-V07-180101</v>
      </c>
      <c r="Z302" s="1372" t="str">
        <f t="shared" si="219"/>
        <v>Nicor Gas PY7-PY10 Adjustable Goals Template_2017-06-30, Tab 4.3.2</v>
      </c>
      <c r="AA302" s="2024">
        <f t="shared" si="219"/>
        <v>5.3328738669064739</v>
      </c>
      <c r="AB302" s="2028"/>
      <c r="AC302" s="1840">
        <f t="shared" si="220"/>
        <v>6911.4045315107905</v>
      </c>
      <c r="AD302" s="1840">
        <f t="shared" si="221"/>
        <v>0</v>
      </c>
      <c r="AE302" s="1372" t="s">
        <v>2791</v>
      </c>
      <c r="AF302" s="1372" t="s">
        <v>3384</v>
      </c>
      <c r="AG302" s="1639">
        <v>5.3328738669064739</v>
      </c>
      <c r="AH302" s="1372" t="s">
        <v>3445</v>
      </c>
      <c r="AI302" s="1640">
        <f t="shared" si="222"/>
        <v>6911.4045315107905</v>
      </c>
      <c r="AJ302" s="1638">
        <f t="shared" si="223"/>
        <v>0</v>
      </c>
      <c r="AK302" s="1372" t="s">
        <v>2791</v>
      </c>
      <c r="AL302" s="1372" t="s">
        <v>3384</v>
      </c>
      <c r="AM302" s="1639">
        <v>5.3328738669064739</v>
      </c>
      <c r="AN302" s="1372" t="str">
        <f t="shared" si="249"/>
        <v>No change</v>
      </c>
      <c r="AO302" s="1640">
        <f t="shared" si="225"/>
        <v>6911.4045315107905</v>
      </c>
      <c r="AP302" s="1638">
        <f t="shared" si="226"/>
        <v>0</v>
      </c>
      <c r="AQ302" s="1372" t="s">
        <v>2791</v>
      </c>
      <c r="AR302" s="1372" t="s">
        <v>3384</v>
      </c>
      <c r="AS302" s="1639">
        <v>5.3328738669064739</v>
      </c>
      <c r="AT302" s="1372" t="str">
        <f t="shared" si="250"/>
        <v>No change</v>
      </c>
      <c r="AU302" s="1640">
        <f t="shared" si="228"/>
        <v>6911.4045315107905</v>
      </c>
      <c r="AV302" s="1638">
        <f t="shared" si="229"/>
        <v>0</v>
      </c>
      <c r="AW302" s="2044">
        <f t="shared" si="230"/>
        <v>6911.4045315107905</v>
      </c>
      <c r="AX302" s="2044">
        <f t="shared" si="231"/>
        <v>6911.4045315107905</v>
      </c>
      <c r="AY302" s="2044">
        <f t="shared" si="232"/>
        <v>6911.4045315107905</v>
      </c>
      <c r="AZ302" s="2044">
        <f t="shared" si="233"/>
        <v>6911.4045315107905</v>
      </c>
      <c r="BA302" s="2045">
        <f t="shared" si="234"/>
        <v>27645.618126043162</v>
      </c>
      <c r="BB302" s="2045" t="str">
        <f>+'[9]4.3.2'!$A$1</f>
        <v>4.3.2</v>
      </c>
      <c r="BC302" s="2045" t="str">
        <f>+'[9]4.3.2'!$A$1</f>
        <v>4.3.2</v>
      </c>
      <c r="BD302" s="2121">
        <v>1</v>
      </c>
      <c r="BE302" s="2051">
        <v>9</v>
      </c>
      <c r="BF302" s="2051">
        <v>9</v>
      </c>
      <c r="BG302" s="2051">
        <v>9</v>
      </c>
      <c r="BH302" s="2051">
        <v>9</v>
      </c>
      <c r="BI302" s="2045">
        <f t="shared" si="235"/>
        <v>62202.640783597119</v>
      </c>
      <c r="BJ302" s="2045">
        <f t="shared" si="236"/>
        <v>62202.640783597119</v>
      </c>
      <c r="BK302" s="2045">
        <f t="shared" si="237"/>
        <v>62202.640783597119</v>
      </c>
      <c r="BL302" s="2045">
        <f t="shared" si="238"/>
        <v>62202.640783597119</v>
      </c>
      <c r="BM302" s="2045">
        <f t="shared" si="239"/>
        <v>248810.56313438847</v>
      </c>
      <c r="BN302" s="2047">
        <v>9</v>
      </c>
      <c r="BO302" s="2050">
        <v>10</v>
      </c>
      <c r="BP302" s="2050">
        <v>10</v>
      </c>
      <c r="BQ302" s="2050">
        <v>10</v>
      </c>
      <c r="BR302" s="2048">
        <f t="shared" si="240"/>
        <v>62202.640783597119</v>
      </c>
      <c r="BS302" s="2048">
        <f t="shared" si="241"/>
        <v>69114.045315107913</v>
      </c>
      <c r="BT302" s="2048">
        <f t="shared" si="242"/>
        <v>69114.045315107913</v>
      </c>
      <c r="BU302" s="2048">
        <f t="shared" si="243"/>
        <v>69114.045315107913</v>
      </c>
      <c r="BV302" s="1840">
        <f t="shared" si="244"/>
        <v>269544.77672892087</v>
      </c>
      <c r="BW302" s="2064" t="e">
        <f>INT(#REF!)=INT(BA302)</f>
        <v>#REF!</v>
      </c>
      <c r="BX302" s="2064">
        <v>295</v>
      </c>
      <c r="BY302" s="2064" t="s">
        <v>512</v>
      </c>
    </row>
    <row r="303" spans="1:77" s="1976" customFormat="1" ht="61.5" customHeight="1" x14ac:dyDescent="0.35">
      <c r="A303" s="1372" t="s">
        <v>3046</v>
      </c>
      <c r="B303" s="1372" t="s">
        <v>2754</v>
      </c>
      <c r="C303" s="1637">
        <v>0</v>
      </c>
      <c r="D303" s="2053" t="str">
        <f>+'[9]4.3.3'!$A$1</f>
        <v>4.3.3</v>
      </c>
      <c r="E303" s="1372" t="s">
        <v>201</v>
      </c>
      <c r="F303" s="1638">
        <v>80</v>
      </c>
      <c r="G303" s="1638">
        <v>80</v>
      </c>
      <c r="H303" s="1638">
        <v>80</v>
      </c>
      <c r="I303" s="1638">
        <v>80</v>
      </c>
      <c r="J303" s="1372" t="str">
        <f>+'[9]4.3.1'!$B$18</f>
        <v>CI-HWE-STWH-V03-180101</v>
      </c>
      <c r="K303" s="1372" t="str">
        <f t="shared" si="215"/>
        <v>Nicor Gas PY7-PY10 Adjustable Goals Template_2017-06-30, Tab 4.3.3</v>
      </c>
      <c r="L303" s="1639">
        <v>21.634983279</v>
      </c>
      <c r="M303" s="1639">
        <v>21.634983279</v>
      </c>
      <c r="N303" s="1639">
        <v>21.634983279</v>
      </c>
      <c r="O303" s="1639">
        <v>21.634983279</v>
      </c>
      <c r="P303" s="1637">
        <v>0.81</v>
      </c>
      <c r="Q303" s="1637">
        <v>0.81</v>
      </c>
      <c r="R303" s="1637">
        <v>0.81</v>
      </c>
      <c r="S303" s="1637">
        <v>0.81</v>
      </c>
      <c r="T303" s="1640">
        <f t="shared" si="216"/>
        <v>1401.9469164792001</v>
      </c>
      <c r="U303" s="1640">
        <f t="shared" si="216"/>
        <v>1401.9469164792001</v>
      </c>
      <c r="V303" s="1640">
        <f t="shared" si="216"/>
        <v>1401.9469164792001</v>
      </c>
      <c r="W303" s="1640">
        <f t="shared" si="216"/>
        <v>1401.9469164792001</v>
      </c>
      <c r="X303" s="1640">
        <f t="shared" si="217"/>
        <v>5607.7876659168005</v>
      </c>
      <c r="Y303" s="1372" t="str">
        <f>J303</f>
        <v>CI-HWE-STWH-V03-180101</v>
      </c>
      <c r="Z303" s="1372" t="str">
        <f t="shared" si="219"/>
        <v>Nicor Gas PY7-PY10 Adjustable Goals Template_2017-06-30, Tab 4.3.3</v>
      </c>
      <c r="AA303" s="1840">
        <f t="shared" si="219"/>
        <v>21.634983279</v>
      </c>
      <c r="AB303" s="2028"/>
      <c r="AC303" s="1840">
        <f t="shared" si="220"/>
        <v>1401.9469164792001</v>
      </c>
      <c r="AD303" s="1840">
        <f t="shared" si="221"/>
        <v>0</v>
      </c>
      <c r="AE303" s="1372" t="s">
        <v>2790</v>
      </c>
      <c r="AF303" s="1372" t="s">
        <v>3385</v>
      </c>
      <c r="AG303" s="1639">
        <v>21.634983279</v>
      </c>
      <c r="AH303" s="1372" t="s">
        <v>3445</v>
      </c>
      <c r="AI303" s="1640">
        <f t="shared" si="222"/>
        <v>1401.9469164792001</v>
      </c>
      <c r="AJ303" s="1638">
        <f t="shared" si="223"/>
        <v>0</v>
      </c>
      <c r="AK303" s="1372" t="s">
        <v>2790</v>
      </c>
      <c r="AL303" s="1372" t="s">
        <v>3385</v>
      </c>
      <c r="AM303" s="1639">
        <v>21.634983279</v>
      </c>
      <c r="AN303" s="1372" t="str">
        <f t="shared" si="249"/>
        <v>No change</v>
      </c>
      <c r="AO303" s="1640">
        <f t="shared" si="225"/>
        <v>1401.9469164792001</v>
      </c>
      <c r="AP303" s="1638">
        <f t="shared" si="226"/>
        <v>0</v>
      </c>
      <c r="AQ303" s="1372" t="s">
        <v>2790</v>
      </c>
      <c r="AR303" s="1372" t="s">
        <v>3385</v>
      </c>
      <c r="AS303" s="1639">
        <v>21.634983279</v>
      </c>
      <c r="AT303" s="1372" t="str">
        <f t="shared" si="250"/>
        <v>No change</v>
      </c>
      <c r="AU303" s="1640">
        <f t="shared" si="228"/>
        <v>1401.9469164792001</v>
      </c>
      <c r="AV303" s="1638">
        <f t="shared" si="229"/>
        <v>0</v>
      </c>
      <c r="AW303" s="2044">
        <f t="shared" si="230"/>
        <v>1401.9469164792001</v>
      </c>
      <c r="AX303" s="2044">
        <f t="shared" si="231"/>
        <v>1401.9469164792001</v>
      </c>
      <c r="AY303" s="2044">
        <f t="shared" si="232"/>
        <v>1401.9469164792001</v>
      </c>
      <c r="AZ303" s="2044">
        <f t="shared" si="233"/>
        <v>1401.9469164792001</v>
      </c>
      <c r="BA303" s="2045">
        <f t="shared" si="234"/>
        <v>5607.7876659168005</v>
      </c>
      <c r="BB303" s="2045" t="str">
        <f>+'[9]4.3.3'!$A$1</f>
        <v>4.3.3</v>
      </c>
      <c r="BC303" s="2045" t="str">
        <f>+'[9]4.3.3'!$A$1</f>
        <v>4.3.3</v>
      </c>
      <c r="BD303" s="2045">
        <v>0</v>
      </c>
      <c r="BE303" s="2051">
        <v>10</v>
      </c>
      <c r="BF303" s="2051">
        <v>10</v>
      </c>
      <c r="BG303" s="2051">
        <v>10</v>
      </c>
      <c r="BH303" s="2051">
        <v>10</v>
      </c>
      <c r="BI303" s="2045">
        <f t="shared" si="235"/>
        <v>14019.469164792004</v>
      </c>
      <c r="BJ303" s="2045">
        <f t="shared" si="236"/>
        <v>14019.469164792004</v>
      </c>
      <c r="BK303" s="2045">
        <f t="shared" si="237"/>
        <v>14019.469164792004</v>
      </c>
      <c r="BL303" s="2045">
        <f t="shared" si="238"/>
        <v>14019.469164792004</v>
      </c>
      <c r="BM303" s="2045">
        <f t="shared" si="239"/>
        <v>56077.876659168018</v>
      </c>
      <c r="BN303" s="2047">
        <v>10</v>
      </c>
      <c r="BO303" s="2047">
        <v>10</v>
      </c>
      <c r="BP303" s="2047">
        <v>10</v>
      </c>
      <c r="BQ303" s="2047">
        <v>10</v>
      </c>
      <c r="BR303" s="2048">
        <f t="shared" si="240"/>
        <v>14019.469164792004</v>
      </c>
      <c r="BS303" s="2048">
        <f t="shared" si="241"/>
        <v>14019.469164792004</v>
      </c>
      <c r="BT303" s="2048">
        <f t="shared" si="242"/>
        <v>14019.469164792004</v>
      </c>
      <c r="BU303" s="2048">
        <f t="shared" si="243"/>
        <v>14019.469164792004</v>
      </c>
      <c r="BV303" s="1840">
        <f t="shared" si="244"/>
        <v>56077.876659168018</v>
      </c>
      <c r="BW303" s="2064" t="e">
        <f>INT(#REF!)=INT(BA303)</f>
        <v>#REF!</v>
      </c>
      <c r="BX303" s="2064">
        <v>296</v>
      </c>
      <c r="BY303" s="2064" t="s">
        <v>512</v>
      </c>
    </row>
    <row r="304" spans="1:77" s="1976" customFormat="1" ht="61.5" customHeight="1" x14ac:dyDescent="0.35">
      <c r="A304" s="1372" t="s">
        <v>3046</v>
      </c>
      <c r="B304" s="1372" t="s">
        <v>2617</v>
      </c>
      <c r="C304" s="1637">
        <v>0</v>
      </c>
      <c r="D304" s="2053" t="str">
        <f>+'[9]4.4.10'!$A$1</f>
        <v>4.4.10</v>
      </c>
      <c r="E304" s="1372" t="s">
        <v>163</v>
      </c>
      <c r="F304" s="1638">
        <v>31</v>
      </c>
      <c r="G304" s="1638">
        <v>31</v>
      </c>
      <c r="H304" s="1638">
        <v>31</v>
      </c>
      <c r="I304" s="1638">
        <v>31</v>
      </c>
      <c r="J304" s="1372" t="str">
        <f>+'[9]4.4.10'!$B$22</f>
        <v>CI-HVC-BOIL-V05-150601</v>
      </c>
      <c r="K304" s="1372" t="str">
        <f t="shared" si="215"/>
        <v>Nicor Gas PY7-PY10 Adjustable Goals Template_2017-06-30, Tab 4.4.10</v>
      </c>
      <c r="L304" s="1639">
        <v>876.23372130559653</v>
      </c>
      <c r="M304" s="1639">
        <v>876.23372130559653</v>
      </c>
      <c r="N304" s="1639">
        <v>876.23372130559653</v>
      </c>
      <c r="O304" s="1639">
        <v>876.23372130559653</v>
      </c>
      <c r="P304" s="1637">
        <v>0.81</v>
      </c>
      <c r="Q304" s="1637">
        <v>0.81</v>
      </c>
      <c r="R304" s="1637">
        <v>0.81</v>
      </c>
      <c r="S304" s="1637">
        <v>0.81</v>
      </c>
      <c r="T304" s="1640">
        <f t="shared" si="216"/>
        <v>22002.22874198353</v>
      </c>
      <c r="U304" s="1640">
        <f t="shared" si="216"/>
        <v>22002.22874198353</v>
      </c>
      <c r="V304" s="1640">
        <f t="shared" si="216"/>
        <v>22002.22874198353</v>
      </c>
      <c r="W304" s="1640">
        <f t="shared" si="216"/>
        <v>22002.22874198353</v>
      </c>
      <c r="X304" s="1640">
        <f t="shared" si="217"/>
        <v>88008.914967934121</v>
      </c>
      <c r="Y304" s="1372" t="str">
        <f>J304</f>
        <v>CI-HVC-BOIL-V05-150601</v>
      </c>
      <c r="Z304" s="1372" t="str">
        <f t="shared" si="219"/>
        <v>Nicor Gas PY7-PY10 Adjustable Goals Template_2017-06-30, Tab 4.4.10</v>
      </c>
      <c r="AA304" s="1840">
        <f t="shared" si="219"/>
        <v>876.23372130559653</v>
      </c>
      <c r="AB304" s="2028"/>
      <c r="AC304" s="1840">
        <f t="shared" si="220"/>
        <v>22002.22874198353</v>
      </c>
      <c r="AD304" s="1840">
        <f t="shared" si="221"/>
        <v>0</v>
      </c>
      <c r="AE304" s="1372" t="s">
        <v>198</v>
      </c>
      <c r="AF304" s="1372" t="s">
        <v>3359</v>
      </c>
      <c r="AG304" s="1639">
        <v>876.23372130559653</v>
      </c>
      <c r="AH304" s="1372" t="s">
        <v>3445</v>
      </c>
      <c r="AI304" s="1640">
        <f t="shared" si="222"/>
        <v>22002.22874198353</v>
      </c>
      <c r="AJ304" s="1638">
        <f t="shared" si="223"/>
        <v>0</v>
      </c>
      <c r="AK304" s="1372" t="s">
        <v>198</v>
      </c>
      <c r="AL304" s="1372" t="s">
        <v>3359</v>
      </c>
      <c r="AM304" s="1639">
        <v>876.23372130559653</v>
      </c>
      <c r="AN304" s="1372" t="str">
        <f t="shared" si="249"/>
        <v>No change</v>
      </c>
      <c r="AO304" s="1640">
        <f t="shared" si="225"/>
        <v>22002.22874198353</v>
      </c>
      <c r="AP304" s="1638">
        <f t="shared" si="226"/>
        <v>0</v>
      </c>
      <c r="AQ304" s="1372" t="s">
        <v>198</v>
      </c>
      <c r="AR304" s="1372" t="s">
        <v>3359</v>
      </c>
      <c r="AS304" s="1639">
        <v>876.23372130559653</v>
      </c>
      <c r="AT304" s="1372" t="str">
        <f t="shared" si="250"/>
        <v>No change</v>
      </c>
      <c r="AU304" s="1640">
        <f t="shared" si="228"/>
        <v>22002.22874198353</v>
      </c>
      <c r="AV304" s="1638">
        <f t="shared" si="229"/>
        <v>0</v>
      </c>
      <c r="AW304" s="2044">
        <f t="shared" si="230"/>
        <v>22002.22874198353</v>
      </c>
      <c r="AX304" s="2044">
        <f t="shared" si="231"/>
        <v>22002.22874198353</v>
      </c>
      <c r="AY304" s="2044">
        <f t="shared" si="232"/>
        <v>22002.22874198353</v>
      </c>
      <c r="AZ304" s="2044">
        <f t="shared" si="233"/>
        <v>22002.22874198353</v>
      </c>
      <c r="BA304" s="2045">
        <f t="shared" si="234"/>
        <v>88008.914967934121</v>
      </c>
      <c r="BB304" s="2045" t="str">
        <f>+'[9]4.4.10'!$A$1</f>
        <v>4.4.10</v>
      </c>
      <c r="BC304" s="2045" t="str">
        <f>+'[9]4.4.10'!$A$1</f>
        <v>4.4.10</v>
      </c>
      <c r="BD304" s="2045">
        <v>0</v>
      </c>
      <c r="BE304" s="2051">
        <v>20</v>
      </c>
      <c r="BF304" s="2051">
        <v>20</v>
      </c>
      <c r="BG304" s="2051">
        <v>20</v>
      </c>
      <c r="BH304" s="2051">
        <v>20</v>
      </c>
      <c r="BI304" s="2045">
        <f t="shared" si="235"/>
        <v>440044.57483967062</v>
      </c>
      <c r="BJ304" s="2045">
        <f t="shared" si="236"/>
        <v>440044.57483967062</v>
      </c>
      <c r="BK304" s="2045">
        <f t="shared" si="237"/>
        <v>440044.57483967062</v>
      </c>
      <c r="BL304" s="2045">
        <f t="shared" si="238"/>
        <v>440044.57483967062</v>
      </c>
      <c r="BM304" s="2045">
        <f t="shared" si="239"/>
        <v>1760178.2993586825</v>
      </c>
      <c r="BN304" s="2047">
        <v>20</v>
      </c>
      <c r="BO304" s="2047">
        <v>20</v>
      </c>
      <c r="BP304" s="2047">
        <v>20</v>
      </c>
      <c r="BQ304" s="2047">
        <v>20</v>
      </c>
      <c r="BR304" s="2048">
        <f t="shared" si="240"/>
        <v>440044.57483967062</v>
      </c>
      <c r="BS304" s="2048">
        <f t="shared" si="241"/>
        <v>440044.57483967062</v>
      </c>
      <c r="BT304" s="2048">
        <f t="shared" si="242"/>
        <v>440044.57483967062</v>
      </c>
      <c r="BU304" s="2048">
        <f t="shared" si="243"/>
        <v>440044.57483967062</v>
      </c>
      <c r="BV304" s="1840">
        <f t="shared" si="244"/>
        <v>1760178.2993586825</v>
      </c>
      <c r="BW304" s="2064" t="e">
        <f>INT(#REF!)=INT(BA304)</f>
        <v>#REF!</v>
      </c>
      <c r="BX304" s="2064">
        <v>297</v>
      </c>
      <c r="BY304" s="2064" t="s">
        <v>512</v>
      </c>
    </row>
    <row r="305" spans="1:77" s="1976" customFormat="1" ht="15.5" x14ac:dyDescent="0.35">
      <c r="A305" s="1372" t="s">
        <v>3049</v>
      </c>
      <c r="B305" s="1372" t="s">
        <v>3050</v>
      </c>
      <c r="C305" s="1637">
        <v>0</v>
      </c>
      <c r="D305" s="1372" t="s">
        <v>295</v>
      </c>
      <c r="E305" s="1372" t="s">
        <v>293</v>
      </c>
      <c r="F305" s="1638">
        <v>10</v>
      </c>
      <c r="G305" s="1638">
        <v>10</v>
      </c>
      <c r="H305" s="1638">
        <v>10</v>
      </c>
      <c r="I305" s="1638">
        <v>10</v>
      </c>
      <c r="J305" s="1372" t="s">
        <v>295</v>
      </c>
      <c r="K305" s="1372" t="str">
        <f t="shared" si="215"/>
        <v/>
      </c>
      <c r="L305" s="1639">
        <v>48476.9</v>
      </c>
      <c r="M305" s="1639">
        <v>48476.9</v>
      </c>
      <c r="N305" s="1639">
        <v>48476.9</v>
      </c>
      <c r="O305" s="1639">
        <v>48476.9</v>
      </c>
      <c r="P305" s="1637">
        <v>1</v>
      </c>
      <c r="Q305" s="1637">
        <v>1</v>
      </c>
      <c r="R305" s="1637">
        <v>1</v>
      </c>
      <c r="S305" s="1637">
        <v>1</v>
      </c>
      <c r="T305" s="1640">
        <f t="shared" si="216"/>
        <v>484769</v>
      </c>
      <c r="U305" s="1640">
        <f t="shared" si="216"/>
        <v>484769</v>
      </c>
      <c r="V305" s="1640">
        <f t="shared" si="216"/>
        <v>484769</v>
      </c>
      <c r="W305" s="1640">
        <f t="shared" si="216"/>
        <v>484769</v>
      </c>
      <c r="X305" s="1640">
        <f t="shared" si="217"/>
        <v>1939076</v>
      </c>
      <c r="Y305" s="1829"/>
      <c r="Z305" s="1372" t="str">
        <f t="shared" si="219"/>
        <v/>
      </c>
      <c r="AA305" s="2024">
        <f t="shared" si="219"/>
        <v>48476.9</v>
      </c>
      <c r="AB305" s="2028"/>
      <c r="AC305" s="1840">
        <f t="shared" si="220"/>
        <v>484769</v>
      </c>
      <c r="AD305" s="1840">
        <f t="shared" si="221"/>
        <v>0</v>
      </c>
      <c r="AE305" s="1829"/>
      <c r="AF305" s="1829" t="s">
        <v>3361</v>
      </c>
      <c r="AG305" s="1830">
        <v>48476.9</v>
      </c>
      <c r="AH305" s="1829"/>
      <c r="AI305" s="1640">
        <f t="shared" si="222"/>
        <v>484769</v>
      </c>
      <c r="AJ305" s="1638">
        <f t="shared" si="223"/>
        <v>0</v>
      </c>
      <c r="AK305" s="1829"/>
      <c r="AL305" s="1829" t="s">
        <v>3361</v>
      </c>
      <c r="AM305" s="1830">
        <v>48476.9</v>
      </c>
      <c r="AN305" s="1829"/>
      <c r="AO305" s="1640">
        <f t="shared" si="225"/>
        <v>484769</v>
      </c>
      <c r="AP305" s="1638">
        <f t="shared" si="226"/>
        <v>0</v>
      </c>
      <c r="AQ305" s="1829"/>
      <c r="AR305" s="1829" t="s">
        <v>3361</v>
      </c>
      <c r="AS305" s="1830">
        <v>48476.9</v>
      </c>
      <c r="AT305" s="1829"/>
      <c r="AU305" s="1640">
        <f t="shared" si="228"/>
        <v>484769</v>
      </c>
      <c r="AV305" s="1638">
        <f t="shared" si="229"/>
        <v>0</v>
      </c>
      <c r="AW305" s="2044">
        <f t="shared" si="230"/>
        <v>484769</v>
      </c>
      <c r="AX305" s="2044">
        <f t="shared" si="231"/>
        <v>484769</v>
      </c>
      <c r="AY305" s="2044">
        <f t="shared" si="232"/>
        <v>484769</v>
      </c>
      <c r="AZ305" s="2044">
        <f t="shared" si="233"/>
        <v>484769</v>
      </c>
      <c r="BA305" s="2045">
        <f t="shared" si="234"/>
        <v>1939076</v>
      </c>
      <c r="BB305" s="2049"/>
      <c r="BC305" s="2049"/>
      <c r="BD305" s="2121">
        <v>1</v>
      </c>
      <c r="BE305" s="2051">
        <v>3</v>
      </c>
      <c r="BF305" s="2051">
        <v>3</v>
      </c>
      <c r="BG305" s="2051">
        <v>3</v>
      </c>
      <c r="BH305" s="2051">
        <v>3</v>
      </c>
      <c r="BI305" s="2045">
        <f t="shared" si="235"/>
        <v>1454307</v>
      </c>
      <c r="BJ305" s="2045">
        <f t="shared" si="236"/>
        <v>1454307</v>
      </c>
      <c r="BK305" s="2045">
        <f t="shared" si="237"/>
        <v>1454307</v>
      </c>
      <c r="BL305" s="2045">
        <f t="shared" si="238"/>
        <v>1454307</v>
      </c>
      <c r="BM305" s="2045">
        <f t="shared" si="239"/>
        <v>5817228</v>
      </c>
      <c r="BN305" s="2047">
        <v>3</v>
      </c>
      <c r="BO305" s="2050">
        <v>5</v>
      </c>
      <c r="BP305" s="2050">
        <v>5</v>
      </c>
      <c r="BQ305" s="2050">
        <v>5</v>
      </c>
      <c r="BR305" s="2048">
        <f t="shared" si="240"/>
        <v>1454307</v>
      </c>
      <c r="BS305" s="2048">
        <f t="shared" si="241"/>
        <v>2423845</v>
      </c>
      <c r="BT305" s="2048">
        <f t="shared" si="242"/>
        <v>2423845</v>
      </c>
      <c r="BU305" s="2048">
        <f t="shared" si="243"/>
        <v>2423845</v>
      </c>
      <c r="BV305" s="1840">
        <f t="shared" si="244"/>
        <v>8725842</v>
      </c>
      <c r="BW305" s="2064" t="e">
        <f>INT(#REF!)=INT(BA305)</f>
        <v>#REF!</v>
      </c>
      <c r="BX305" s="2064">
        <v>298</v>
      </c>
      <c r="BY305" s="2064" t="s">
        <v>3485</v>
      </c>
    </row>
    <row r="306" spans="1:77" s="1976" customFormat="1" ht="15.5" x14ac:dyDescent="0.35">
      <c r="A306" s="1372" t="s">
        <v>3049</v>
      </c>
      <c r="B306" s="1372" t="s">
        <v>3051</v>
      </c>
      <c r="C306" s="1637">
        <v>0</v>
      </c>
      <c r="D306" s="1372" t="s">
        <v>295</v>
      </c>
      <c r="E306" s="1372" t="s">
        <v>293</v>
      </c>
      <c r="F306" s="1638">
        <v>10</v>
      </c>
      <c r="G306" s="1638">
        <v>10</v>
      </c>
      <c r="H306" s="1638">
        <v>10</v>
      </c>
      <c r="I306" s="1638">
        <v>10</v>
      </c>
      <c r="J306" s="1372" t="s">
        <v>295</v>
      </c>
      <c r="K306" s="1372" t="str">
        <f t="shared" si="215"/>
        <v/>
      </c>
      <c r="L306" s="1639">
        <v>40000</v>
      </c>
      <c r="M306" s="1639">
        <v>40000</v>
      </c>
      <c r="N306" s="1639">
        <v>40000</v>
      </c>
      <c r="O306" s="1639">
        <v>40000</v>
      </c>
      <c r="P306" s="1637">
        <v>1</v>
      </c>
      <c r="Q306" s="1637">
        <v>1</v>
      </c>
      <c r="R306" s="1637">
        <v>1</v>
      </c>
      <c r="S306" s="1637">
        <v>1</v>
      </c>
      <c r="T306" s="1640">
        <f t="shared" si="216"/>
        <v>400000</v>
      </c>
      <c r="U306" s="1640">
        <f t="shared" si="216"/>
        <v>400000</v>
      </c>
      <c r="V306" s="1640">
        <f t="shared" si="216"/>
        <v>400000</v>
      </c>
      <c r="W306" s="1640">
        <f t="shared" si="216"/>
        <v>400000</v>
      </c>
      <c r="X306" s="1640">
        <f t="shared" si="217"/>
        <v>1600000</v>
      </c>
      <c r="Y306" s="1829"/>
      <c r="Z306" s="1372" t="str">
        <f t="shared" si="219"/>
        <v/>
      </c>
      <c r="AA306" s="2024">
        <f t="shared" si="219"/>
        <v>40000</v>
      </c>
      <c r="AB306" s="2028"/>
      <c r="AC306" s="1840">
        <f t="shared" si="220"/>
        <v>400000</v>
      </c>
      <c r="AD306" s="1840">
        <f t="shared" si="221"/>
        <v>0</v>
      </c>
      <c r="AE306" s="1829"/>
      <c r="AF306" s="1829" t="s">
        <v>3361</v>
      </c>
      <c r="AG306" s="1830">
        <v>40000</v>
      </c>
      <c r="AH306" s="1829"/>
      <c r="AI306" s="1640">
        <f t="shared" si="222"/>
        <v>400000</v>
      </c>
      <c r="AJ306" s="1638">
        <f t="shared" si="223"/>
        <v>0</v>
      </c>
      <c r="AK306" s="1829"/>
      <c r="AL306" s="1829" t="s">
        <v>3361</v>
      </c>
      <c r="AM306" s="1830">
        <v>40000</v>
      </c>
      <c r="AN306" s="1829"/>
      <c r="AO306" s="1640">
        <f t="shared" si="225"/>
        <v>400000</v>
      </c>
      <c r="AP306" s="1638">
        <f t="shared" si="226"/>
        <v>0</v>
      </c>
      <c r="AQ306" s="1829"/>
      <c r="AR306" s="1829" t="s">
        <v>3361</v>
      </c>
      <c r="AS306" s="1830">
        <v>40000</v>
      </c>
      <c r="AT306" s="1829"/>
      <c r="AU306" s="1640">
        <f t="shared" si="228"/>
        <v>400000</v>
      </c>
      <c r="AV306" s="1638">
        <f t="shared" si="229"/>
        <v>0</v>
      </c>
      <c r="AW306" s="2044">
        <f t="shared" si="230"/>
        <v>400000</v>
      </c>
      <c r="AX306" s="2044">
        <f t="shared" si="231"/>
        <v>400000</v>
      </c>
      <c r="AY306" s="2044">
        <f t="shared" si="232"/>
        <v>400000</v>
      </c>
      <c r="AZ306" s="2044">
        <f t="shared" si="233"/>
        <v>400000</v>
      </c>
      <c r="BA306" s="2045">
        <f t="shared" si="234"/>
        <v>1600000</v>
      </c>
      <c r="BB306" s="2049"/>
      <c r="BC306" s="2049"/>
      <c r="BD306" s="2121">
        <v>1</v>
      </c>
      <c r="BE306" s="2051">
        <v>3</v>
      </c>
      <c r="BF306" s="2051">
        <v>3</v>
      </c>
      <c r="BG306" s="2051">
        <v>3</v>
      </c>
      <c r="BH306" s="2051">
        <v>3</v>
      </c>
      <c r="BI306" s="2045">
        <f t="shared" si="235"/>
        <v>1200000</v>
      </c>
      <c r="BJ306" s="2045">
        <f t="shared" si="236"/>
        <v>1200000</v>
      </c>
      <c r="BK306" s="2045">
        <f t="shared" si="237"/>
        <v>1200000</v>
      </c>
      <c r="BL306" s="2045">
        <f t="shared" si="238"/>
        <v>1200000</v>
      </c>
      <c r="BM306" s="2045">
        <f t="shared" si="239"/>
        <v>4800000</v>
      </c>
      <c r="BN306" s="2047">
        <v>3</v>
      </c>
      <c r="BO306" s="2050">
        <v>5</v>
      </c>
      <c r="BP306" s="2050">
        <v>5</v>
      </c>
      <c r="BQ306" s="2050">
        <v>5</v>
      </c>
      <c r="BR306" s="2048">
        <f t="shared" si="240"/>
        <v>1200000</v>
      </c>
      <c r="BS306" s="2048">
        <f t="shared" si="241"/>
        <v>2000000</v>
      </c>
      <c r="BT306" s="2048">
        <f t="shared" si="242"/>
        <v>2000000</v>
      </c>
      <c r="BU306" s="2048">
        <f t="shared" si="243"/>
        <v>2000000</v>
      </c>
      <c r="BV306" s="1840">
        <f t="shared" si="244"/>
        <v>7200000</v>
      </c>
      <c r="BW306" s="2064" t="e">
        <f>INT(#REF!)=INT(BA306)</f>
        <v>#REF!</v>
      </c>
      <c r="BX306" s="2064">
        <v>299</v>
      </c>
      <c r="BY306" s="2064" t="s">
        <v>3485</v>
      </c>
    </row>
    <row r="307" spans="1:77" s="1976" customFormat="1" ht="15.5" x14ac:dyDescent="0.35">
      <c r="A307" s="2086" t="s">
        <v>3049</v>
      </c>
      <c r="B307" s="2086" t="s">
        <v>3052</v>
      </c>
      <c r="C307" s="2087">
        <v>0</v>
      </c>
      <c r="D307" s="1372" t="s">
        <v>295</v>
      </c>
      <c r="E307" s="2086" t="s">
        <v>293</v>
      </c>
      <c r="F307" s="2088">
        <v>10</v>
      </c>
      <c r="G307" s="2088">
        <v>10</v>
      </c>
      <c r="H307" s="2088">
        <v>10</v>
      </c>
      <c r="I307" s="2088">
        <v>10</v>
      </c>
      <c r="J307" s="2086" t="s">
        <v>295</v>
      </c>
      <c r="K307" s="2086" t="str">
        <f t="shared" si="215"/>
        <v/>
      </c>
      <c r="L307" s="2089">
        <v>8103.5</v>
      </c>
      <c r="M307" s="2089">
        <v>8103.5</v>
      </c>
      <c r="N307" s="2089">
        <v>8103.5</v>
      </c>
      <c r="O307" s="2089">
        <v>8103.5</v>
      </c>
      <c r="P307" s="2087">
        <v>1</v>
      </c>
      <c r="Q307" s="2087">
        <v>1</v>
      </c>
      <c r="R307" s="2087">
        <v>1</v>
      </c>
      <c r="S307" s="2087">
        <v>1</v>
      </c>
      <c r="T307" s="2071">
        <f t="shared" si="216"/>
        <v>81035</v>
      </c>
      <c r="U307" s="2071">
        <f t="shared" si="216"/>
        <v>81035</v>
      </c>
      <c r="V307" s="2071">
        <f t="shared" si="216"/>
        <v>81035</v>
      </c>
      <c r="W307" s="2071">
        <f t="shared" si="216"/>
        <v>81035</v>
      </c>
      <c r="X307" s="2071">
        <f t="shared" si="217"/>
        <v>324140</v>
      </c>
      <c r="Y307" s="2090"/>
      <c r="Z307" s="2086" t="str">
        <f t="shared" si="219"/>
        <v/>
      </c>
      <c r="AA307" s="2126">
        <f t="shared" si="219"/>
        <v>8103.5</v>
      </c>
      <c r="AB307" s="2092"/>
      <c r="AC307" s="2091">
        <f t="shared" si="220"/>
        <v>81035</v>
      </c>
      <c r="AD307" s="2091">
        <f t="shared" si="221"/>
        <v>0</v>
      </c>
      <c r="AE307" s="2090"/>
      <c r="AF307" s="2090" t="s">
        <v>3361</v>
      </c>
      <c r="AG307" s="2093">
        <v>8103.5</v>
      </c>
      <c r="AH307" s="2090"/>
      <c r="AI307" s="2071">
        <f t="shared" si="222"/>
        <v>81035</v>
      </c>
      <c r="AJ307" s="2088">
        <f t="shared" si="223"/>
        <v>0</v>
      </c>
      <c r="AK307" s="2090"/>
      <c r="AL307" s="2090" t="s">
        <v>3361</v>
      </c>
      <c r="AM307" s="2093">
        <v>8103.5</v>
      </c>
      <c r="AN307" s="2090"/>
      <c r="AO307" s="2071">
        <f t="shared" si="225"/>
        <v>81035</v>
      </c>
      <c r="AP307" s="2088">
        <f t="shared" si="226"/>
        <v>0</v>
      </c>
      <c r="AQ307" s="2090"/>
      <c r="AR307" s="2090" t="s">
        <v>3361</v>
      </c>
      <c r="AS307" s="2093">
        <v>8103.5</v>
      </c>
      <c r="AT307" s="2090"/>
      <c r="AU307" s="2071">
        <f t="shared" si="228"/>
        <v>81035</v>
      </c>
      <c r="AV307" s="2088">
        <f t="shared" si="229"/>
        <v>0</v>
      </c>
      <c r="AW307" s="2073">
        <f t="shared" si="230"/>
        <v>81035</v>
      </c>
      <c r="AX307" s="2073">
        <f t="shared" si="231"/>
        <v>81035</v>
      </c>
      <c r="AY307" s="2073">
        <f t="shared" si="232"/>
        <v>81035</v>
      </c>
      <c r="AZ307" s="2073">
        <f t="shared" si="233"/>
        <v>81035</v>
      </c>
      <c r="BA307" s="2074">
        <f t="shared" si="234"/>
        <v>324140</v>
      </c>
      <c r="BB307" s="2094"/>
      <c r="BC307" s="2094"/>
      <c r="BD307" s="2121">
        <v>1</v>
      </c>
      <c r="BE307" s="2122">
        <v>3</v>
      </c>
      <c r="BF307" s="2122">
        <v>3</v>
      </c>
      <c r="BG307" s="2122">
        <v>3</v>
      </c>
      <c r="BH307" s="2122">
        <v>3</v>
      </c>
      <c r="BI307" s="2074">
        <f t="shared" si="235"/>
        <v>243105</v>
      </c>
      <c r="BJ307" s="2074">
        <f t="shared" si="236"/>
        <v>243105</v>
      </c>
      <c r="BK307" s="2074">
        <f t="shared" si="237"/>
        <v>243105</v>
      </c>
      <c r="BL307" s="2074">
        <f t="shared" si="238"/>
        <v>243105</v>
      </c>
      <c r="BM307" s="2074">
        <f t="shared" si="239"/>
        <v>972420</v>
      </c>
      <c r="BN307" s="2095">
        <v>3</v>
      </c>
      <c r="BO307" s="2096">
        <v>5</v>
      </c>
      <c r="BP307" s="2096">
        <v>5</v>
      </c>
      <c r="BQ307" s="2096">
        <v>5</v>
      </c>
      <c r="BR307" s="2097">
        <f t="shared" si="240"/>
        <v>243105</v>
      </c>
      <c r="BS307" s="2097">
        <f t="shared" si="241"/>
        <v>405175</v>
      </c>
      <c r="BT307" s="2097">
        <f t="shared" si="242"/>
        <v>405175</v>
      </c>
      <c r="BU307" s="2097">
        <f t="shared" si="243"/>
        <v>405175</v>
      </c>
      <c r="BV307" s="2091">
        <f t="shared" si="244"/>
        <v>1458630</v>
      </c>
      <c r="BW307" s="2064" t="e">
        <f>INT(#REF!)=INT(BA307)</f>
        <v>#REF!</v>
      </c>
      <c r="BX307" s="2064">
        <v>300</v>
      </c>
      <c r="BY307" s="2064" t="s">
        <v>3485</v>
      </c>
    </row>
    <row r="308" spans="1:77" s="1973" customFormat="1" ht="28.5" customHeight="1" x14ac:dyDescent="0.4">
      <c r="A308" s="2098" t="s">
        <v>41</v>
      </c>
      <c r="B308" s="2099"/>
      <c r="C308" s="2100"/>
      <c r="D308" s="2101"/>
      <c r="E308" s="2101"/>
      <c r="F308" s="2102"/>
      <c r="G308" s="2102"/>
      <c r="H308" s="2102"/>
      <c r="I308" s="2102"/>
      <c r="J308" s="2101"/>
      <c r="K308" s="2101"/>
      <c r="L308" s="2102"/>
      <c r="M308" s="2102"/>
      <c r="N308" s="2102"/>
      <c r="O308" s="2102"/>
      <c r="P308" s="2101"/>
      <c r="Q308" s="2101"/>
      <c r="R308" s="2101"/>
      <c r="S308" s="2101"/>
      <c r="T308" s="2103">
        <f>+SUM(T8:T307)</f>
        <v>16509650.193288313</v>
      </c>
      <c r="U308" s="2103">
        <f>+SUM(U8:U307)</f>
        <v>16509650.193288313</v>
      </c>
      <c r="V308" s="2103">
        <f>+SUM(V8:V307)</f>
        <v>16509650.193288313</v>
      </c>
      <c r="W308" s="2103">
        <f>+SUM(W8:W307)</f>
        <v>16509650.193288313</v>
      </c>
      <c r="X308" s="2103">
        <f t="shared" si="217"/>
        <v>66038600.773153253</v>
      </c>
      <c r="Y308" s="2104"/>
      <c r="Z308" s="2104"/>
      <c r="AA308" s="2104"/>
      <c r="AB308" s="2104"/>
      <c r="AC308" s="2104"/>
      <c r="AD308" s="2105">
        <f>SUM(AD8:AD307)</f>
        <v>0</v>
      </c>
      <c r="AE308" s="2104"/>
      <c r="AF308" s="2104"/>
      <c r="AG308" s="2104"/>
      <c r="AH308" s="2104"/>
      <c r="AI308" s="2109">
        <f>SUM(AI8:AI307)</f>
        <v>16397236.47318323</v>
      </c>
      <c r="AJ308" s="2110">
        <f>SUM(AJ8:AJ307)</f>
        <v>-112413.7201050716</v>
      </c>
      <c r="AK308" s="2104"/>
      <c r="AL308" s="2104"/>
      <c r="AM308" s="2104"/>
      <c r="AN308" s="2104"/>
      <c r="AO308" s="2111">
        <f>SUM(AO8:AO307)</f>
        <v>16397236.47318323</v>
      </c>
      <c r="AP308" s="2112">
        <f>SUM(AP8:AP307)</f>
        <v>-112413.7201050716</v>
      </c>
      <c r="AQ308" s="2104"/>
      <c r="AR308" s="2104"/>
      <c r="AS308" s="2104"/>
      <c r="AT308" s="2104"/>
      <c r="AU308" s="2113">
        <f>SUM(AU8:AU307)</f>
        <v>16397236.47318323</v>
      </c>
      <c r="AV308" s="2114">
        <f>SUM(AV8:AV307)</f>
        <v>-112413.7201050716</v>
      </c>
      <c r="AW308" s="2115">
        <f>SUM(AW8:AW307)</f>
        <v>16509650.193288313</v>
      </c>
      <c r="AX308" s="2116">
        <f t="shared" ref="AX308:AZ308" si="251">SUM(AX8:AX307)</f>
        <v>16397236.47318323</v>
      </c>
      <c r="AY308" s="2117">
        <f t="shared" si="251"/>
        <v>16397236.47318323</v>
      </c>
      <c r="AZ308" s="2118">
        <f t="shared" si="251"/>
        <v>16397236.47318323</v>
      </c>
      <c r="BA308" s="2119">
        <f>SUM(BA8:BA307)</f>
        <v>65701359.612838022</v>
      </c>
      <c r="BB308" s="2104"/>
      <c r="BC308" s="2104"/>
      <c r="BD308" s="2104"/>
      <c r="BE308" s="2104"/>
      <c r="BF308" s="2104"/>
      <c r="BG308" s="2104"/>
      <c r="BH308" s="2104"/>
      <c r="BI308" s="2104"/>
      <c r="BJ308" s="2104"/>
      <c r="BK308" s="2104"/>
      <c r="BL308" s="2104"/>
      <c r="BM308" s="2129">
        <f>SUM(BM8:BM307)</f>
        <v>852336113.25568771</v>
      </c>
      <c r="BN308" s="2101"/>
      <c r="BO308" s="2101"/>
      <c r="BP308" s="2101"/>
      <c r="BQ308" s="2101"/>
      <c r="BR308" s="2130">
        <f t="shared" ref="BR308:BU308" si="252">SUM(BR8:BR307)</f>
        <v>213084028.31392193</v>
      </c>
      <c r="BS308" s="2130">
        <f t="shared" si="252"/>
        <v>213522448.76343912</v>
      </c>
      <c r="BT308" s="2130">
        <f t="shared" si="252"/>
        <v>213522448.76343909</v>
      </c>
      <c r="BU308" s="2130">
        <f t="shared" si="252"/>
        <v>213522448.76343909</v>
      </c>
      <c r="BV308" s="2130">
        <f>SUM(BV8:BV307)</f>
        <v>853651374.60423946</v>
      </c>
      <c r="BW308" s="2064"/>
      <c r="BX308" s="2068"/>
      <c r="BY308" s="2064"/>
    </row>
    <row r="309" spans="1:77" s="67" customFormat="1" x14ac:dyDescent="0.45">
      <c r="T309" s="2075"/>
      <c r="X309" s="2076"/>
      <c r="AH309" s="1974"/>
      <c r="AI309" s="2072"/>
      <c r="AW309" s="2077"/>
      <c r="AX309" s="2078"/>
      <c r="AY309" s="2078"/>
      <c r="AZ309" s="2078"/>
      <c r="BA309" s="2039"/>
      <c r="BE309" s="2079"/>
      <c r="BF309" s="2079"/>
      <c r="BG309" s="2079"/>
      <c r="BH309" s="2079"/>
      <c r="BI309" s="2079"/>
      <c r="BJ309" s="2079"/>
      <c r="BK309" s="2079"/>
      <c r="BL309" s="2128" t="s">
        <v>3486</v>
      </c>
      <c r="BM309" s="2124">
        <f>BM308/SUM(T308:W308)</f>
        <v>12.906634957083901</v>
      </c>
      <c r="BN309" s="2080"/>
      <c r="BO309" s="2080"/>
      <c r="BP309" s="2080"/>
      <c r="BQ309" s="2080"/>
      <c r="BR309" s="2079"/>
      <c r="BS309" s="2079"/>
      <c r="BT309" s="2079"/>
      <c r="BU309" s="2127" t="s">
        <v>3493</v>
      </c>
      <c r="BV309" s="2124">
        <f>BV308/$BA$308</f>
        <v>12.992902728871934</v>
      </c>
      <c r="BW309" s="2082"/>
      <c r="BX309" s="2081"/>
      <c r="BY309" s="2082"/>
    </row>
    <row r="310" spans="1:77" s="67" customFormat="1" x14ac:dyDescent="0.45">
      <c r="AH310" s="1974"/>
      <c r="AI310" s="2072"/>
      <c r="AW310" s="2077"/>
      <c r="AX310" s="2078"/>
      <c r="AY310" s="2078"/>
      <c r="AZ310" s="2078"/>
      <c r="BA310" s="2039"/>
      <c r="BM310" s="2039"/>
      <c r="BN310" s="2083"/>
      <c r="BO310" s="2083"/>
      <c r="BP310" s="2083"/>
      <c r="BQ310" s="2083"/>
      <c r="BR310" s="2084"/>
      <c r="BS310" s="2084"/>
      <c r="BT310" s="2084"/>
      <c r="BU310" s="2084"/>
      <c r="BV310" s="2084"/>
      <c r="BW310" s="2082"/>
      <c r="BX310" s="2085"/>
      <c r="BY310" s="2082"/>
    </row>
    <row r="311" spans="1:77" s="67" customFormat="1" x14ac:dyDescent="0.45">
      <c r="AH311" s="2079"/>
      <c r="BN311" s="2083"/>
      <c r="BO311" s="2083"/>
      <c r="BP311" s="2083"/>
      <c r="BQ311" s="2083"/>
      <c r="BR311" s="2084"/>
      <c r="BS311" s="2084"/>
      <c r="BT311" s="2084"/>
      <c r="BU311" s="2084"/>
      <c r="BV311" s="2084"/>
      <c r="BW311" s="2085"/>
      <c r="BX311" s="2085"/>
      <c r="BY311" s="2085"/>
    </row>
  </sheetData>
  <customSheetViews>
    <customSheetView guid="{11DE45F5-F478-4ED6-8DFF-12002C22A637}" scale="53" showPageBreaks="1" printArea="1" showAutoFilter="1" view="pageBreakPreview">
      <selection activeCell="BR310" sqref="BR310"/>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1"/>
      <headerFooter>
        <oddFooter>&amp;L&amp;"Arial,Regular"&amp;14&amp;A
&amp;F&amp;C&amp;"Arial,Regular"&amp;14&amp;P</oddFooter>
      </headerFooter>
      <autoFilter ref="A7:BZ310" xr:uid="{00000000-0000-0000-0000-000000000000}"/>
    </customSheetView>
    <customSheetView guid="{ECD6FE6A-9548-414E-B8AA-6998703C57E0}" scale="55" showPageBreaks="1" printArea="1" showAutoFilter="1" view="pageBreakPreview">
      <selection activeCell="BL11" sqref="BL11"/>
      <colBreaks count="9" manualBreakCount="9">
        <brk id="15" max="310" man="1"/>
        <brk id="24" max="310" man="1"/>
        <brk id="30" max="310" man="1"/>
        <brk id="36" max="310" man="1"/>
        <brk id="42" max="310" man="1"/>
        <brk id="48" max="310" man="1"/>
        <brk id="53" max="310" man="1"/>
        <brk id="55" max="310" man="1"/>
        <brk id="65" max="310" man="1"/>
      </colBreaks>
      <pageMargins left="0.25" right="0.25" top="0.75" bottom="0.75" header="0.3" footer="0.3"/>
      <printOptions headings="1" gridLines="1"/>
      <pageSetup scale="40" fitToWidth="5" orientation="landscape" r:id="rId2"/>
      <headerFooter>
        <oddFooter>&amp;L&amp;"Arial,Regular"&amp;14&amp;A
&amp;F&amp;C&amp;"Arial,Regular"&amp;14&amp;P</oddFooter>
      </headerFooter>
      <autoFilter ref="A7:BZ310" xr:uid="{00000000-0000-0000-0000-000000000000}"/>
    </customSheetView>
  </customSheetViews>
  <mergeCells count="22">
    <mergeCell ref="Y4:AD4"/>
    <mergeCell ref="AE4:AJ4"/>
    <mergeCell ref="P5:S5"/>
    <mergeCell ref="T5:X5"/>
    <mergeCell ref="Y5:AB5"/>
    <mergeCell ref="AE5:AH5"/>
    <mergeCell ref="E5:I5"/>
    <mergeCell ref="J5:O5"/>
    <mergeCell ref="E4:I4"/>
    <mergeCell ref="J4:O4"/>
    <mergeCell ref="P4:X4"/>
    <mergeCell ref="AK4:AP4"/>
    <mergeCell ref="AQ4:AV4"/>
    <mergeCell ref="BN4:BQ5"/>
    <mergeCell ref="BR4:BV5"/>
    <mergeCell ref="AK5:AN5"/>
    <mergeCell ref="AQ5:AT5"/>
    <mergeCell ref="AW4:BA5"/>
    <mergeCell ref="BB4:BC4"/>
    <mergeCell ref="BD4:BD5"/>
    <mergeCell ref="BI4:BM5"/>
    <mergeCell ref="BE4:BH5"/>
  </mergeCells>
  <conditionalFormatting sqref="BO21">
    <cfRule type="expression" dxfId="3" priority="4">
      <formula>"IF($BE21&gt;$BF21)"</formula>
    </cfRule>
  </conditionalFormatting>
  <conditionalFormatting sqref="BO22 BO63:BO64 BO77:BO78 BO94:BO95 BO97 BO104 BO113 BO211:BO212 BO251 BO263:BO264 BO287 BO292:BO293 BO295 BO302">
    <cfRule type="expression" dxfId="2" priority="1">
      <formula>"IF($BE21&gt;$BF21)"</formula>
    </cfRule>
  </conditionalFormatting>
  <hyperlinks>
    <hyperlink ref="D8" location="'4.4.4'!A1" display="'4.4.4'!A1" xr:uid="{9C0640CA-AFF8-4A9C-B08F-54B813BF8E6D}"/>
    <hyperlink ref="D98" location="'4.4.4'!A1" display="'4.4.4'!A1" xr:uid="{EEAD08CB-0CA1-476C-83A1-088CCEE17A6C}"/>
    <hyperlink ref="D235" location="'4.4.4'!A1" display="'4.4.4'!A1" xr:uid="{81D413A7-AF28-4B71-A51A-2552B370481C}"/>
    <hyperlink ref="D268" location="'4.4.4'!A1" display="'4.4.4'!A1" xr:uid="{66649B29-A3F4-493C-B7E2-88B58A697218}"/>
    <hyperlink ref="D297" location="'4.4.4'!A1" display="'4.4.4'!A1" xr:uid="{F614DDBA-7794-44E5-800B-E77BC5DB3A15}"/>
    <hyperlink ref="D9" location="'4.4.2'!A1" display="'4.4.2'!A1" xr:uid="{0AE3F815-A415-47FB-8290-7FBA5D9640F9}"/>
    <hyperlink ref="D99" location="'4.4.2'!A1" display="'4.4.2'!A1" xr:uid="{3BEA80B2-4FA6-4ED7-8393-19FBF3A656F2}"/>
    <hyperlink ref="D236" location="'4.4.2'!A1" display="'4.4.2'!A1" xr:uid="{22E2C5B3-F498-4238-BB5A-3A61C9829FEC}"/>
    <hyperlink ref="D269" location="'4.4.2'!A1" display="'4.4.2'!A1" xr:uid="{CC94F6D4-427F-4F33-A3D4-73B54E0738B4}"/>
    <hyperlink ref="D298" location="'4.4.2'!A1" display="'4.4.2'!A1" xr:uid="{45CD2BF8-C6B8-4F3C-9B67-F7CB4A910220}"/>
    <hyperlink ref="D10" location="'4.4.3'!A1" display="'4.4.3'!A1" xr:uid="{2EA1E3E4-863B-4986-A08F-9D5F68FB235F}"/>
    <hyperlink ref="D100" location="'4.4.3'!A1" display="'4.4.3'!A1" xr:uid="{3E34C11B-1205-45D9-8DCB-7C9A319BCFDF}"/>
    <hyperlink ref="D11" location="'4.4.10'!A1" display="'4.4.10'!A1" xr:uid="{1E183E3D-2ECC-4109-8F28-319F657AE7AD}"/>
    <hyperlink ref="D12" location="'4.4.10'!A1" display="'4.4.10'!A1" xr:uid="{9AEF9629-62AF-4188-88A6-3FFA30CBD423}"/>
    <hyperlink ref="D13" location="'4.4.10'!A1" display="'4.4.10'!A1" xr:uid="{3E93AD8E-1B8B-43C7-9FE7-1A6514738D60}"/>
    <hyperlink ref="D14" location="'4.4.10'!A1" display="'4.4.10'!A1" xr:uid="{176AD19A-E1FF-4A3D-A3BD-50C9A2359520}"/>
    <hyperlink ref="D15" location="'4.4.10'!A1" display="'4.4.10'!A1" xr:uid="{384F0A6B-B9C1-48EB-AB63-CF039A9C5F4E}"/>
    <hyperlink ref="D102" location="'4.4.10'!A1" display="'4.4.10'!A1" xr:uid="{3B0EE14F-8E79-4730-AF94-035945A10632}"/>
    <hyperlink ref="D189" location="'4.4.10'!A1" display="'4.4.10'!A1" xr:uid="{E5554862-214F-4334-9173-E07AAD1D9323}"/>
    <hyperlink ref="D243" location="'4.4.10'!A1" display="'4.4.10'!A1" xr:uid="{56F0E567-42AD-43B7-BF1D-4DEB9E57D717}"/>
    <hyperlink ref="D244" location="'4.4.10'!A1" display="'4.4.10'!A1" xr:uid="{53A6CB4B-E572-4224-9558-160655AA3D0E}"/>
    <hyperlink ref="D245" location="'4.4.10'!A1" display="'4.4.10'!A1" xr:uid="{F6DEF4A6-CB91-4AD1-9649-B02B9529E140}"/>
    <hyperlink ref="D246" location="'4.4.10'!A1" display="'4.4.10'!A1" xr:uid="{BAACFD3D-7048-47BD-9879-97C1AFD362DD}"/>
    <hyperlink ref="D276" location="'4.4.10'!A1" display="'4.4.10'!A1" xr:uid="{541F2B3C-4873-4784-9DFA-2F1E9294AA94}"/>
    <hyperlink ref="D277" location="'4.4.10'!A1" display="'4.4.10'!A1" xr:uid="{A8C89F24-B1C4-46C0-BAD8-AFF0C0F723E0}"/>
    <hyperlink ref="D16" location="'4.4.10'!A1" display="'4.4.10'!A1" xr:uid="{B275E29D-5442-43DC-9768-FAD8A2A040F2}"/>
    <hyperlink ref="D17" location="'4.4.10'!A1" display="'4.4.10'!A1" xr:uid="{92E17103-F145-4895-812C-989AC285B477}"/>
    <hyperlink ref="D18" location="'4.4.10'!A1" display="'4.4.10'!A1" xr:uid="{AB101A0B-8DC8-429B-B537-0C1E850B1C38}"/>
    <hyperlink ref="D19" location="'4.4.10'!A1" display="'4.4.10'!A1" xr:uid="{4348C03C-5862-4E39-830A-5DBB20AA23F2}"/>
    <hyperlink ref="D20" location="'4.4.10'!A1" display="'4.4.10'!A1" xr:uid="{C0619AA5-83D7-493B-B48F-D751C7E6A8F6}"/>
    <hyperlink ref="D101" location="'4.4.10'!A1" display="'4.4.10'!A1" xr:uid="{CE63B09D-5606-4B83-9640-2AA7D66FCB6F}"/>
    <hyperlink ref="D247" location="'4.4.10'!A1" display="'4.4.10'!A1" xr:uid="{89E4376B-F468-4005-8622-61A4C44D0931}"/>
    <hyperlink ref="D248" location="'4.4.10'!A1" display="'4.4.10'!A1" xr:uid="{E191F936-2E02-460C-B3EF-E091B89F037A}"/>
    <hyperlink ref="D278" location="'4.4.10'!A1" display="'4.4.10'!A1" xr:uid="{2CE91C7A-EDBB-498F-8648-1808ED10C761}"/>
    <hyperlink ref="D279" location="'4.4.10'!A1" display="'4.4.10'!A1" xr:uid="{BCACC742-D18E-4022-ADEE-A5DE85F54D23}"/>
    <hyperlink ref="D304" location="'4.4.10'!A1" display="'4.4.10'!A1" xr:uid="{E6B92F63-32BF-4A28-AA58-18953A4029E4}"/>
    <hyperlink ref="D21" location="'4.3.1'!A1" display="'4.3.1'!A1" xr:uid="{82307AFB-0128-4089-BD2D-00F96953B1E4}"/>
    <hyperlink ref="D22" location="'4.3.1'!A1" display="'4.3.1'!A1" xr:uid="{702C2B9B-ADEF-4D69-8E9E-D89A7C2DB3A3}"/>
    <hyperlink ref="D104" location="'4.3.1'!A1" display="'4.3.1'!A1" xr:uid="{0FF27513-4658-4C7D-AB3C-01A5630BD045}"/>
    <hyperlink ref="D211" location="'4.3.1'!A1" display="'4.3.1'!A1" xr:uid="{E2909F4E-337F-44F5-B97F-60FE57F4D771}"/>
    <hyperlink ref="D212" location="'4.3.1'!A1" display="'4.3.1'!A1" xr:uid="{5B2354BD-4089-42F5-B446-97E1E203F44C}"/>
    <hyperlink ref="D251" location="'4.3.1'!A1" display="'4.3.1'!A1" xr:uid="{1274C23E-BE26-4C53-AAB7-E8A7CEC56F23}"/>
    <hyperlink ref="D292" location="'4.3.1'!A1" display="'4.3.1'!A1" xr:uid="{46615B53-6462-4022-AC80-11F6C006A797}"/>
    <hyperlink ref="D293" location="'4.3.1'!A1" display="'4.3.1'!A1" xr:uid="{D2354AD2-A6BB-48F9-8656-49AC4345B67A}"/>
    <hyperlink ref="D24" location="'4.4.11'!A1" display="'4.4.11'!A1" xr:uid="{6EC60323-0EA2-4817-8D05-84164156AB3A}"/>
    <hyperlink ref="D25" location="'4.4.11'!A1" display="'4.4.11'!A1" xr:uid="{A33BB7CE-852D-4AFF-BC64-123902F06810}"/>
    <hyperlink ref="D106" location="'4.4.11'!A1" display="'4.4.11'!A1" xr:uid="{2E376251-90F5-4CE7-9BC2-2DBEEF189970}"/>
    <hyperlink ref="D288" location="'4.4.11'!A1" display="'4.4.11'!A1" xr:uid="{622177F2-DF27-4928-8B41-D00CE195FAC0}"/>
    <hyperlink ref="D289" location="'4.4.11'!A1" display="'4.4.11'!A1" xr:uid="{0500F969-8D39-455E-8206-B2CE74F00F08}"/>
    <hyperlink ref="D299" location="'4.4.11'!A1" display="'4.4.11'!A1" xr:uid="{38551A65-BCBD-4434-BE0C-C3433B4E66FD}"/>
    <hyperlink ref="D26" location="'4.4.5'!A1" display="'4.4.5'!A1" xr:uid="{68553CAE-D1D2-4BDC-82D0-43DDBF8C2C86}"/>
    <hyperlink ref="D107" location="'4.4.5'!A1" display="'4.4.5'!A1" xr:uid="{303C3E2C-1017-4235-B038-7BFD6DD0FE26}"/>
    <hyperlink ref="D290" location="'4.4.5'!A1" display="'4.4.5'!A1" xr:uid="{94A94081-B9A6-4F78-A63A-3496EEB6C0BC}"/>
    <hyperlink ref="D27" location="'4.4.12'!A1" display="'4.4.12'!A1" xr:uid="{080AF377-1C04-49EA-8B12-3F0C7942CC19}"/>
    <hyperlink ref="D28" location="'4.3.6'!A1" display="'4.3.6'!A1" xr:uid="{711FB6CD-A9FC-491C-8A46-9F103322EAE8}"/>
    <hyperlink ref="D109" location="'4.3.6'!A1" display="'4.3.6'!A1" xr:uid="{E4717408-6859-4503-B136-FD4C5E73E69E}"/>
    <hyperlink ref="D253" location="'4.3.6'!A1" display="'4.3.6'!A1" xr:uid="{A894DEED-6718-4E5A-A671-38AFDFE4CCDF}"/>
    <hyperlink ref="D35" location="'4.4.14'!A1" display="'4.4.14'!A1" xr:uid="{E7473120-A9F4-47F4-AB47-713D418FCC36}"/>
    <hyperlink ref="D36" location="'4.4.14'!A1" display="'4.4.14'!A1" xr:uid="{741DF0D4-4E00-4C64-9A71-E701551D4FC9}"/>
    <hyperlink ref="D37" location="'4.4.14'!A1" display="'4.4.14'!A1" xr:uid="{235553EC-42C0-46C8-BC9E-BFA21E173061}"/>
    <hyperlink ref="D38" location="'4.4.14'!A1" display="'4.4.14'!A1" xr:uid="{FB63CFC5-61BA-4710-BB89-8272ECE2D935}"/>
    <hyperlink ref="D39" location="'4.4.14'!A1" display="'4.4.14'!A1" xr:uid="{50E3D44C-137F-4D24-A381-12DFF9B9DBF4}"/>
    <hyperlink ref="D40" location="'4.4.14'!A1" display="'4.4.14'!A1" xr:uid="{4B831B0E-4DC0-4600-96D9-F0BA24FF97D8}"/>
    <hyperlink ref="D41" location="'4.4.14'!A1" display="'4.4.14'!A1" xr:uid="{B86B1DA5-39CE-4171-A1D4-C58DBD11424C}"/>
    <hyperlink ref="D42" location="'4.4.14'!A1" display="'4.4.14'!A1" xr:uid="{17AE83C0-1661-4B0B-96D2-A830A63FA729}"/>
    <hyperlink ref="D43" location="'4.4.14'!A1" display="'4.4.14'!A1" xr:uid="{30FDC6C7-2AE4-438C-B315-9A435BFB9E2F}"/>
    <hyperlink ref="D44" location="'4.4.14'!A1" display="'4.4.14'!A1" xr:uid="{F3C5B226-3CB1-467E-8C19-225FEAFB4EFE}"/>
    <hyperlink ref="D45" location="'4.4.14'!A1" display="'4.4.14'!A1" xr:uid="{1C0AFA6A-CDDF-433C-BB37-F7120F966009}"/>
    <hyperlink ref="D46" location="'4.4.14'!A1" display="'4.4.14'!A1" xr:uid="{522103CE-BE88-4944-9D1F-6AAD94770346}"/>
    <hyperlink ref="D47" location="'4.4.14'!A1" display="'4.4.14'!A1" xr:uid="{8F3514D6-CFBB-4507-AC78-95BF7F4219C8}"/>
    <hyperlink ref="D48" location="'4.4.14'!A1" display="'4.4.14'!A1" xr:uid="{B9C3A3CB-6C09-4256-9B8A-F21554608D2D}"/>
    <hyperlink ref="D49" location="'4.4.14'!A1" display="'4.4.14'!A1" xr:uid="{F71E7F4C-B2B4-4842-A808-F5752894BBE0}"/>
    <hyperlink ref="D115" location="'4.4.14'!A1" display="'4.4.14'!A1" xr:uid="{81A12227-7916-440B-A546-6EC94139EBA2}"/>
    <hyperlink ref="D116" location="'4.4.14'!A1" display="'4.4.14'!A1" xr:uid="{2F5CEF33-23BC-4C5E-A8C2-C29D3B2ACA33}"/>
    <hyperlink ref="D117" location="'4.4.14'!A1" display="'4.4.14'!A1" xr:uid="{2BE3898E-516C-4ECB-8180-09385D961132}"/>
    <hyperlink ref="D199" location="'4.4.14'!A1" display="'4.4.14'!A1" xr:uid="{5D00E56C-36D4-4181-AF59-F063097807DB}"/>
    <hyperlink ref="D200" location="'4.4.14'!A1" display="'4.4.14'!A1" xr:uid="{2A15BF77-72B1-4094-81D1-D9657E16FF2E}"/>
    <hyperlink ref="D201" location="'4.4.14'!A1" display="'4.4.14'!A1" xr:uid="{93D6755C-B31B-496C-B4A1-2EDD3C70E35D}"/>
    <hyperlink ref="D202" location="'4.4.14'!A1" display="'4.4.14'!A1" xr:uid="{17047579-54E4-4467-9096-4B8A5BFB40E4}"/>
    <hyperlink ref="D237" location="'4.4.14'!A1" display="'4.4.14'!A1" xr:uid="{F89115C5-36BB-43F8-AD03-76961AD31DAE}"/>
    <hyperlink ref="D238" location="'4.4.14'!A1" display="'4.4.14'!A1" xr:uid="{B4962B93-1DB2-45A4-8DC2-8387C777D82E}"/>
    <hyperlink ref="D239" location="'4.4.14'!A1" display="'4.4.14'!A1" xr:uid="{482F913D-C1E7-46A6-AC3E-D34B819B741B}"/>
    <hyperlink ref="D240" location="'4.4.14'!A1" display="'4.4.14'!A1" xr:uid="{9E03F2F4-5148-4DAB-817F-F911C03AEC2D}"/>
    <hyperlink ref="D280" location="'4.4.14'!A1" display="'4.4.14'!A1" xr:uid="{8BF34466-440D-4235-9113-69AF89E99EF6}"/>
    <hyperlink ref="D281" location="'4.4.14'!A1" display="'4.4.14'!A1" xr:uid="{F64433C2-8EA3-4391-8AC5-5B1E115C104B}"/>
    <hyperlink ref="D282" location="'4.4.14'!A1" display="'4.4.14'!A1" xr:uid="{6AC47D25-D1C1-40B3-B1C9-FF28FAF814DD}"/>
    <hyperlink ref="D203" location="'4.4.24 '!A1" display="'4.4.24 '!A1" xr:uid="{1E3A7D22-720B-46EF-BDB7-41CBEA675974}"/>
    <hyperlink ref="D204" location="'4.4.24 '!A1" display="'4.4.24 '!A1" xr:uid="{AACE8904-F24E-4DC9-A152-F9F598D8E0CC}"/>
    <hyperlink ref="D205" location="'4.4.24 '!A1" display="'4.4.24 '!A1" xr:uid="{1842139C-A4F7-49F0-93DF-47147977FF2D}"/>
    <hyperlink ref="D206" location="'4.4.24 '!A1" display="'4.4.24 '!A1" xr:uid="{2A334D53-E176-4FC3-9F81-C981958D52FB}"/>
    <hyperlink ref="D241" location="'4.4.24 '!A1" display="'4.4.24 '!A1" xr:uid="{39AF54FA-21D9-474D-B876-71DA266402CC}"/>
    <hyperlink ref="D242" location="'4.4.24 '!A1" display="'4.4.24 '!A1" xr:uid="{E7494006-2864-4BB1-9575-621427D4B774}"/>
    <hyperlink ref="D296" location="'4.4.24 '!A1" display="'4.4.24 '!A1" xr:uid="{A5DECD1E-2BC7-45C6-AD7A-9B19E3772A43}"/>
    <hyperlink ref="D50" location="'4.3.4'!A1" display="'4.3.4'!A1" xr:uid="{7D4C44AC-D84A-4161-AC62-5B8B50CE1F58}"/>
    <hyperlink ref="D51" location="'4.3.4'!A1" display="'4.3.4'!A1" xr:uid="{3A9BD47A-D22D-4716-A56F-2603FA423AC6}"/>
    <hyperlink ref="D252" location="'4.3.4'!A1" display="'4.3.4'!A1" xr:uid="{E80F7168-1E71-497A-857A-F33C9D44A63A}"/>
    <hyperlink ref="D52" location="'4.2.15'!A1" display="'4.2.15'!A1" xr:uid="{18BD35EA-59F4-41C7-8F81-CCD676C9BA84}"/>
    <hyperlink ref="D81" location="'4.2.15'!A1" display="'4.2.15'!A1" xr:uid="{66367041-EC3E-4F9C-8912-BB01C7AE87DA}"/>
    <hyperlink ref="D53" location="'4.2.12'!A1" display="'4.2.12'!A1" xr:uid="{B1E725FC-2F5F-49AC-8453-0E74A3A21369}"/>
    <hyperlink ref="D82" location="'4.2.12'!A1" display="'4.2.12'!A1" xr:uid="{38D88DB3-D717-4C01-9199-B95317CDB3A8}"/>
    <hyperlink ref="D54" location="'4.2.17'!A1" display="'4.2.17'!A1" xr:uid="{75D26E3C-99F5-4BBE-90F0-524E54426625}"/>
    <hyperlink ref="D83" location="'4.2.17'!A1" display="'4.2.17'!A1" xr:uid="{C39768B1-8704-45A9-841B-3618F1AC94B9}"/>
    <hyperlink ref="D55" location="'4.2.13'!A1" display="'4.2.13'!A1" xr:uid="{98DB178E-A792-4095-9B3C-E0E6373C9844}"/>
    <hyperlink ref="D84" location="'4.2.13'!A1" display="'4.2.13'!A1" xr:uid="{3B42EC32-932C-4053-B10D-11218BF5D24B}"/>
    <hyperlink ref="D56" location="'4.2.14'!A1" display="'4.2.14'!A1" xr:uid="{4BA875BF-EBE3-42F8-8888-C2F4168010AF}"/>
    <hyperlink ref="D85" location="'4.2.14'!A1" display="'4.2.14'!A1" xr:uid="{EDE4E55E-DD80-433B-83AA-C9848937849F}"/>
    <hyperlink ref="D57" location="'4.2.3'!A1" display="'4.2.3'!A1" xr:uid="{FCBAB80A-3B70-48EC-8DE2-2E35491FFB47}"/>
    <hyperlink ref="D86" location="'4.2.3'!A1" display="'4.2.3'!A1" xr:uid="{82FE153D-65E4-4BB9-8A28-933D7364D327}"/>
    <hyperlink ref="D58" location="'4.2.5'!A1" display="'4.2.5'!A1" xr:uid="{2A347F9E-388D-4549-AA1E-E18821276EB3}"/>
    <hyperlink ref="D76" location="'4.2.5'!A1" display="'4.2.5'!A1" xr:uid="{9C82962A-7960-4EA0-A137-BA08D4980C16}"/>
    <hyperlink ref="D285" location="'4.2.5'!A1" display="'4.2.5'!A1" xr:uid="{63198A62-6D7F-475F-804C-4AE1FC80C7E6}"/>
    <hyperlink ref="D59" location="'4.2.1'!A1" display="'4.2.1'!A1" xr:uid="{D53A2C7C-112D-4301-9E73-BF3012EEC3A4}"/>
    <hyperlink ref="D79" location="'4.2.1'!A1" display="'4.2.1'!A1" xr:uid="{A392895D-B344-4C26-A63D-1B82462D685F}"/>
    <hyperlink ref="D61" location="'4.2.18'!A1" display="'4.2.18'!A1" xr:uid="{48B55F56-91F1-48EA-A73B-201A0B84B307}"/>
    <hyperlink ref="D80" location="'4.2.18'!A1" display="'4.2.18'!A1" xr:uid="{1BF2B862-0551-4FDF-AD7E-58A9B636C93D}"/>
    <hyperlink ref="D63" location="'4.2.7'!A1" display="'4.2.7'!A1" xr:uid="{568A0F78-4E08-4156-B4FD-3A217EA06401}"/>
    <hyperlink ref="D77" location="'4.2.7'!A1" display="'4.2.7'!A1" xr:uid="{238CCC41-8C4B-44FA-A785-9D59F4248FE3}"/>
    <hyperlink ref="D64" location="'4.2.8'!A1" display="'4.2.8'!A1" xr:uid="{DF17E2CA-86B2-4C54-A9CB-67A66FADEB09}"/>
    <hyperlink ref="D78" location="'4.2.8'!A1" display="'4.2.8'!A1" xr:uid="{8B998A91-5CF5-4BE6-A21A-1EA255E2C7D5}"/>
    <hyperlink ref="D287" location="'4.2.8'!A1" display="'4.2.8'!A1" xr:uid="{156B8DA6-F209-4280-A2CD-7F125DA889BB}"/>
    <hyperlink ref="D65" location="'4.2.4'!A1" display="'4.2.4'!A1" xr:uid="{E9A99513-DDE8-405F-BFBC-03EB51607B77}"/>
    <hyperlink ref="D87" location="'4.2.4'!A1" display="'4.2.4'!A1" xr:uid="{92455ED8-8F2C-46A5-A40D-BF1E09A98289}"/>
    <hyperlink ref="D68" location="'4.4.16'!A1" display="'4.4.16'!A1" xr:uid="{0EEC8B7B-241D-4A4F-8E2C-504135DCBE3F}"/>
    <hyperlink ref="D69" location="'4.4.16'!A1" display="'4.4.16'!A1" xr:uid="{42D2E2C9-82D6-40BE-8662-69756263F1D1}"/>
    <hyperlink ref="D70" location="'4.4.16'!A1" display="'4.4.16'!A1" xr:uid="{7859A2C8-0486-431B-85E6-A8A5C1414130}"/>
    <hyperlink ref="D71" location="'4.4.16'!A1" display="'4.4.16'!A1" xr:uid="{7D88E243-CFC3-48FE-B09B-0DFB52C73248}"/>
    <hyperlink ref="D72" location="'4.4.16'!A1" display="'4.4.16'!A1" xr:uid="{C2D6AB79-2111-4168-8F96-463497D5A1FA}"/>
    <hyperlink ref="D73" location="'4.4.16'!A1" display="'4.4.16'!A1" xr:uid="{DA9F266F-18D5-4EDA-8A1A-ECED5E5057E1}"/>
    <hyperlink ref="D74" location="'4.4.16'!A1" display="'4.4.16'!A1" xr:uid="{28DF4B3F-494C-4C21-8441-FA810504058B}"/>
    <hyperlink ref="D75" location="'4.4.16'!A1" display="'4.4.16'!A1" xr:uid="{E5F706F8-64D4-4BFE-A19F-B1064393AA5B}"/>
    <hyperlink ref="D110" location="'4.4.16'!A1" display="'4.4.16'!A1" xr:uid="{033E3261-32D5-4B1C-BE93-F3F9F1674F36}"/>
    <hyperlink ref="D111" location="'4.4.16'!A1" display="'4.4.16'!A1" xr:uid="{95B07CC9-384C-462D-BECA-ABBC35B12338}"/>
    <hyperlink ref="D254" location="'4.4.16'!A1" display="'4.4.16'!A1" xr:uid="{75A08B38-CA0F-48E1-ABE6-A83E74DA7BCA}"/>
    <hyperlink ref="D270" location="'4.4.16'!A1" display="'4.4.16'!A1" xr:uid="{368E0971-FCF5-46D1-8C2F-DC1FED78729A}"/>
    <hyperlink ref="D271" location="'4.4.16'!A1" display="'4.4.16'!A1" xr:uid="{6B84D7FE-F311-4AD4-9B78-EA40F966F483}"/>
    <hyperlink ref="D272" location="'4.4.16'!A1" display="'4.4.16'!A1" xr:uid="{A7507DC7-D49D-4060-BA11-57B9D8D33A72}"/>
    <hyperlink ref="D273" location="'4.4.16'!A1" display="'4.4.16'!A1" xr:uid="{99CF79BF-7DEE-44DB-A51E-D19237869F24}"/>
    <hyperlink ref="D274" location="'4.4.16'!A1" display="'4.4.16'!A1" xr:uid="{ECADFC24-C52C-4C94-B1A5-6A0F588F7B92}"/>
    <hyperlink ref="D275" location="'4.4.16'!A1" display="'4.4.16'!A1" xr:uid="{ED3A8E86-496C-492A-A8BC-CBBE034D9359}"/>
    <hyperlink ref="D301" location="'4.4.16'!A1" display="'4.4.16'!A1" xr:uid="{D34E77EB-D5DD-4C2A-9B08-A748F51A4D1F}"/>
    <hyperlink ref="D91" location="'4.2.11'!A1" display="'4.2.11'!A1" xr:uid="{D6A644D0-AD36-4D75-82BB-1DF09BAA13CE}"/>
    <hyperlink ref="D92" location="'4.2.11'!A1" display="'4.2.11'!A1" xr:uid="{58050004-DD3E-4054-B4CF-D21B0D57B0A4}"/>
    <hyperlink ref="D93" location="'4.2.11'!A1" display="'4.2.11'!A1" xr:uid="{05062F60-747B-4C4A-AEC5-A82DBDCDCD1B}"/>
    <hyperlink ref="D118" location="'4.2.11'!A1" display="'4.2.11'!A1" xr:uid="{79A4C206-F8CA-4327-BEEA-7351D13EC4DA}"/>
    <hyperlink ref="D226" location="'4.2.11'!A1" display="'4.2.11'!A1" xr:uid="{D563C7F5-319B-4EE6-98AC-610BE6A24C19}"/>
    <hyperlink ref="D259" location="'4.2.11'!A1" display="'4.2.11'!A1" xr:uid="{8CDF2BD7-0AA0-4FE7-9D6F-BFB54AED951F}"/>
    <hyperlink ref="D260" location="'4.2.11'!A1" display="'4.2.11'!A1" xr:uid="{DED55E30-EEBF-4721-BDD1-EDFF5874F377}"/>
    <hyperlink ref="D94" location="'4.3.2'!A1" display="'4.3.2'!A1" xr:uid="{A240806F-AB37-4CE2-9ABE-5D84691122A0}"/>
    <hyperlink ref="D95" location="'4.3.2'!A1" display="'4.3.2'!A1" xr:uid="{443950B9-13CE-4181-9F27-51D3BC591F96}"/>
    <hyperlink ref="D263" location="'4.3.2'!A1" display="'4.3.2'!A1" xr:uid="{A92ECB9E-B4B9-48BF-B626-9B8419E172C3}"/>
    <hyperlink ref="D264" location="'4.3.2'!A1" display="'4.3.2'!A1" xr:uid="{EF7ACA14-E432-4B45-84CC-2D13F1CA6F3B}"/>
    <hyperlink ref="D302" location="'4.3.2'!A1" display="'4.3.2'!A1" xr:uid="{DEF88AD8-88E4-4DC8-A199-61F5FA350B05}"/>
    <hyperlink ref="D96" location="'4.3.3'!A1" display="'4.3.3'!A1" xr:uid="{F1F8A532-88C0-49B7-A2EC-E8A521C7C054}"/>
    <hyperlink ref="D265" location="'4.3.3'!A1" display="'4.3.3'!A1" xr:uid="{9B680F45-CA2E-4C71-93D9-7C93A1392EF9}"/>
    <hyperlink ref="D303" location="'4.3.3'!A1" display="'4.3.3'!A1" xr:uid="{F5DD62E8-EC93-4D10-9E45-35998B1A8030}"/>
    <hyperlink ref="D97" location="'4.3.2'!A1" display="'4.3.2'!A1" xr:uid="{B4696388-1CDC-4BCE-9D49-FDB557C9E1E9}"/>
    <hyperlink ref="D113" location="'4.3.2'!A1" display="'4.3.2'!A1" xr:uid="{76D19469-844C-4753-AED0-0137D0FB984F}"/>
    <hyperlink ref="D295" location="'4.3.2'!A1" display="'4.3.2'!A1" xr:uid="{C2CCE5DD-C48D-40C9-9163-76C01440980B}"/>
    <hyperlink ref="D103" location="'4.4.10'!A1" display="'4.4.10'!A1" xr:uid="{F5E65FD8-E2CE-4F2F-98CE-E68B6524CAA3}"/>
    <hyperlink ref="D142" location="'5.3.7'!A1" display="'5.3.7'!A1" xr:uid="{42476E7E-D6A9-41EF-A65D-8E05EA1941A3}"/>
    <hyperlink ref="D143" location="'5.3.7'!A1" display="'5.3.7'!A1" xr:uid="{123696F0-07FC-48A5-882A-BB580DC76C34}"/>
    <hyperlink ref="D144" location="'5.3.7'!A1" display="'5.3.7'!A1" xr:uid="{7A47B8DD-5CF4-4D13-9755-A55047095A00}"/>
    <hyperlink ref="D145" location="'5.3.7'!A1" display="'5.3.7'!A1" xr:uid="{F384AB57-D54D-4407-9737-5ED4BD98D1F6}"/>
    <hyperlink ref="D148" location="'5.3.7'!A1" display="'5.3.7'!A1" xr:uid="{EDB7BE3E-4F64-4B85-8CF3-5AE09575A6EA}"/>
    <hyperlink ref="D149" location="'5.3.7'!A1" display="'5.3.7'!A1" xr:uid="{3E6E4410-2C5D-48AD-8ABC-71F56B37E225}"/>
    <hyperlink ref="D190" location="'5.3.7'!A1" display="'5.3.7'!A1" xr:uid="{25826A1E-E880-4921-B793-20BCD4731B78}"/>
    <hyperlink ref="D249" location="'5.3.7'!A1" display="'5.3.7'!A1" xr:uid="{EDAED50B-1788-4434-A507-EB30ABFD7B92}"/>
    <hyperlink ref="D150" location="'5.3.16'!A1" display="'5.3.16'!A1" xr:uid="{F9A7523A-347F-4D5E-99EB-2EBEA818430F}"/>
    <hyperlink ref="D151" location="'5.3.16'!A1" display="'5.3.16'!A1" xr:uid="{066C843A-3F6D-4840-BDA5-70AE636B3917}"/>
    <hyperlink ref="D160" location="'5.3.16'!A1" display="'5.3.16'!A1" xr:uid="{3D564B48-C877-4E57-A288-22EBE6CDB076}"/>
    <hyperlink ref="D161" location="'5.3.16'!A1" display="'5.3.16'!A1" xr:uid="{CD08A974-C944-4A1B-8DA3-3AB7E526A27F}"/>
    <hyperlink ref="D185" location="'5.3.16'!A1" display="'5.3.16'!A1" xr:uid="{2FD766D4-4B75-4760-BEC4-F4A133A76291}"/>
    <hyperlink ref="D163" location="'5.6.1'!A1" display="'5.6.1'!A1" xr:uid="{D6BB57DE-6D2B-47E0-B964-17F388194050}"/>
    <hyperlink ref="D171" location="'5.6.1'!A1" display="'5.6.1'!A1" xr:uid="{1785CE88-092D-475D-B12B-3B88E236FAF0}"/>
    <hyperlink ref="D181" location="'5.6.1'!A1" display="'5.6.1'!A1" xr:uid="{B6834C11-5A04-49F4-B1B7-FAE2C64D62E1}"/>
    <hyperlink ref="D164" location="'5.6.4'!A1" display="'5.6.4'!A1" xr:uid="{B29C2B63-9343-4791-A146-558ADF1AE53D}"/>
    <hyperlink ref="D165" location="'5.6.4'!A1" display="'5.6.4'!A1" xr:uid="{53AFC259-4617-4216-AFE0-231B6D8C21E6}"/>
    <hyperlink ref="D166" location="'5.6.4'!A1" display="'5.6.4'!A1" xr:uid="{368CAC95-9AD3-4C43-880A-BD73C0CE5156}"/>
    <hyperlink ref="D167" location="'5.6.4'!A1" display="'5.6.4'!A1" xr:uid="{23FE7CFF-3BB2-410C-9A83-90AE3BD52296}"/>
    <hyperlink ref="D172" location="'5.6.4'!A1" display="'5.6.4'!A1" xr:uid="{8BE42D00-930C-4047-BA66-BC597A708D4A}"/>
    <hyperlink ref="D173" location="'5.6.4'!A1" display="'5.6.4'!A1" xr:uid="{B67ECD91-2F00-4398-9814-B31BC89F504F}"/>
    <hyperlink ref="D174" location="'5.6.4'!A1" display="'5.6.4'!A1" xr:uid="{4FFE5E16-ACE2-4247-8F10-FDE59BC1A3B2}"/>
    <hyperlink ref="D175" location="'5.6.4'!A1" display="'5.6.4'!A1" xr:uid="{B8ED3B48-CD24-452F-8EA4-76E9DA6265F1}"/>
    <hyperlink ref="D182" location="'5.6.4'!A1" display="'5.6.4'!A1" xr:uid="{47BA9705-0FCD-4701-ABB1-79F1897C0F23}"/>
    <hyperlink ref="D183" location="'5.6.4'!A1" display="'5.6.4'!A1" xr:uid="{F38D9E0A-44E1-43D3-BD30-D2CBBE4B8349}"/>
    <hyperlink ref="D184" location="'5.6.4'!A1" display="'5.6.4'!A1" xr:uid="{75CBBEE1-9B3A-4271-A549-B5A234AF67A1}"/>
    <hyperlink ref="D168" location="'5.3.4'!A1" display="'5.3.4'!A1" xr:uid="{C38897FC-D95E-470B-994F-C7158A2727F8}"/>
    <hyperlink ref="D176" location="'5.3.4'!A1" display="'5.3.4'!A1" xr:uid="{3B7C79FF-E3F5-419F-9208-9EB3D51A2136}"/>
    <hyperlink ref="D214" location="'5.3.4'!A1" display="'5.3.4'!A1" xr:uid="{E51A4AC6-FC75-43F1-AB98-76A0DBA3DCFF}"/>
    <hyperlink ref="D169" location="'5.6.4'!A1" display="'5.6.4'!A1" xr:uid="{CF8AEB29-2D4A-49EC-AC77-C3854C64D26F}"/>
    <hyperlink ref="D177" location="'5.6.4'!A1" display="'5.6.4'!A1" xr:uid="{F8C86511-05B0-43F5-91C6-3E66684E941F}"/>
    <hyperlink ref="D186" location="'5.6.4'!A1" display="'5.6.4'!A1" xr:uid="{B8535CE3-DC32-42C7-93D8-E7E55FA63F31}"/>
    <hyperlink ref="D170" location="'5.6.2'!A1" display="'5.6.2'!A1" xr:uid="{479B253D-F39E-498F-95A8-F560CCB6C180}"/>
    <hyperlink ref="D178" location="'5.6.2'!A1" display="'5.6.2'!A1" xr:uid="{C66C97AE-A752-4F06-8A41-5E494F3F1802}"/>
    <hyperlink ref="D187" location="'5.6.2'!A1" display="'5.6.2'!A1" xr:uid="{7A198661-488E-419B-B675-432DADAD2555}"/>
    <hyperlink ref="D192" location="'5.4.4'!A1" display="'5.4.4'!A1" xr:uid="{BF0656E2-D94C-4F75-B313-6266CB54C113}"/>
    <hyperlink ref="D193" location="'5.4.4'!A1" display="'5.4.4'!A1" xr:uid="{5BA06FD6-A5AE-40AA-8ED3-16FCCB40708B}"/>
    <hyperlink ref="D194" location="'5.4.4'!A1" display="'5.4.4'!A1" xr:uid="{CF921306-0E14-4916-96BF-BE21CEA3CE2A}"/>
    <hyperlink ref="D195" location="'5.4.4'!A1" display="'5.4.4'!A1" xr:uid="{346F5549-3241-4394-B370-00A27944885F}"/>
    <hyperlink ref="D218" location="'5.4.4'!A1" display="'5.4.4'!A1" xr:uid="{6D741D9E-C925-43F9-A315-F67FD45C9847}"/>
    <hyperlink ref="D219" location="'5.4.4'!A1" display="'5.4.4'!A1" xr:uid="{6E134157-2559-486B-A370-E562E40747A4}"/>
    <hyperlink ref="D220" location="'5.4.4'!A1" display="'5.4.4'!A1" xr:uid="{E2AE905F-7847-42E1-A400-7900761C4E0D}"/>
    <hyperlink ref="D221" location="'5.4.4'!A1" display="'5.4.4'!A1" xr:uid="{07D3ED8E-06CF-42CF-B98C-657F22243CD0}"/>
    <hyperlink ref="D146" location="'5.3.6'!A1" display="'5.3.6'!A1" xr:uid="{FBEE7791-5A6D-4D60-8995-5C88CFB21430}"/>
    <hyperlink ref="D153" location="'5.4.4'!A1" display="'5.4.4'!A1" xr:uid="{2F4BB338-FDCA-4688-B14E-CD8A5971DF21}"/>
    <hyperlink ref="D152" location="'5.4.4'!A1" display="'5.4.4'!A1" xr:uid="{7DB5AED3-0B28-4C03-8D2D-900B86E8C22E}"/>
    <hyperlink ref="D154" location="'5.4.5'!A1" display="'5.4.5'!A1" xr:uid="{23485534-E619-4006-8005-7EC7AE253A33}"/>
    <hyperlink ref="D155" location="'5.4.5'!A1" display="'5.4.5'!A1" xr:uid="{C4065F18-00B9-46C0-A3CA-BEDD1A63E53B}"/>
    <hyperlink ref="D196" location="'5.4.5'!A1" display="'5.4.5'!A1" xr:uid="{2DEC307F-6FD7-4B9C-9BB3-7C1D213CFBDC}"/>
    <hyperlink ref="D197" location="'5.4.5'!A1" display="'5.4.5'!A1" xr:uid="{CD847B65-616B-486B-9094-407D0EC8EB20}"/>
    <hyperlink ref="D222" location="'5.4.5'!A1" display="'5.4.5'!A1" xr:uid="{48A6551C-CD78-4A3F-8137-C37672F7D80B}"/>
    <hyperlink ref="D223" location="'5.4.5'!A1" display="'5.4.5'!A1" xr:uid="{D76711E4-FBAA-4541-9162-70AE7B230BA8}"/>
    <hyperlink ref="D224" location="'5.4.5'!A1" display="'5.4.5'!A1" xr:uid="{840CC55C-5299-4563-B6EA-9ADFB6E6BB27}"/>
    <hyperlink ref="D225" location="'5.4.5'!A1" display="'5.4.5'!A1" xr:uid="{4664F926-4B29-4771-9467-2CDBAA7608F5}"/>
    <hyperlink ref="D156" location="'5.4.6'!A1" display="'5.4.6'!A1" xr:uid="{A84DC3DD-2630-44DD-B0D9-89DCA3D48E98}"/>
    <hyperlink ref="D230" location="'5.4.6'!A1" display="'5.4.6'!A1" xr:uid="{45DD6AEA-0F74-4666-8D7C-6F631CC7CF2E}"/>
    <hyperlink ref="D159" location="'5.3.11'!A1" display="'5.3.11'!A1" xr:uid="{CB64CE55-4379-42CD-AAD6-A3281173FF96}"/>
    <hyperlink ref="D227" location="'5.3.11'!A1" display="'5.3.11'!A1" xr:uid="{BBFF1EA7-C234-4699-8888-66CA93E8BA99}"/>
    <hyperlink ref="D228" location="'5.3.11'!A1" display="'5.3.11'!A1" xr:uid="{60CA8B79-0F2B-46CB-918E-114D4955EF9E}"/>
    <hyperlink ref="D229" location="'5.3.11'!A1" display="'5.3.11'!A1" xr:uid="{897AA70A-1B5A-4044-8D19-ACAAF7D312F7}"/>
    <hyperlink ref="D157" location="'5.4.1'!A1" display="'5.4.1'!A1" xr:uid="{9E8EDC91-AD50-45A6-B788-14A66CE51730}"/>
    <hyperlink ref="D108" location="'4.4.12'!A1" display="'4.4.12'!A1" xr:uid="{AE86377C-3FFB-4A3F-A514-4D6D83E2AA99}"/>
    <hyperlink ref="D291" location="'4.4.12'!A1" display="'4.4.12'!A1" xr:uid="{90D4E6C1-0C63-4B12-96BA-505440068A1B}"/>
    <hyperlink ref="D105" location="'4.4.18'!A1" display="'4.4.18'!A1" xr:uid="{5658B123-8E50-4DFE-BC52-CA52311817B9}"/>
    <hyperlink ref="D250" location="'4.4.18'!A1" display="'4.4.18'!A1" xr:uid="{92313232-C643-490B-B268-B8C98CFD0839}"/>
    <hyperlink ref="D33" location="'4.4.19'!A1" display="'4.4.19'!A1" xr:uid="{5CED2F82-7C09-4E04-BA75-B684990288D6}"/>
    <hyperlink ref="D34" location="'4.8.4'!A1" display="'4.8.4'!A1" xr:uid="{79DA6583-4A59-4AE2-9D81-D4DF929EA962}"/>
    <hyperlink ref="D114" location="'4.8.4'!A1" display="'4.8.4'!A1" xr:uid="{F9D15174-5185-4668-9774-60E3BD1CF2BA}"/>
    <hyperlink ref="D255" location="'4.8.4'!A1" display="'4.8.4'!A1" xr:uid="{91860540-2B03-40D3-8529-6F127419C237}"/>
    <hyperlink ref="D147" location="'5.3.13'!A1" display="'5.3.13'!A1" xr:uid="{6650A62C-1D0C-4049-A7DC-C16103356A7D}"/>
    <hyperlink ref="D213" location="'5.4.2'!A1" display="'5.4.2'!A1" xr:uid="{30D8D8DF-B115-44B8-BAC2-E48367332B33}"/>
    <hyperlink ref="D188" location="'5.6.3'!A1" display="'5.6.3'!A1" xr:uid="{FD3F72E5-6F4B-4C91-8336-4F576020B1C8}"/>
    <hyperlink ref="D136" location="Kits!A1" display="5.4.4, 5.4.5, 5.4.6, 5.4.9" xr:uid="{20FDF3DE-8064-432F-B32E-D7747389F1D1}"/>
    <hyperlink ref="D137" location="Kits!A1" display="5.4.4, 5.4.5, 5.4.6, 5.4.9" xr:uid="{691CC20F-B027-4A32-A896-1553AEA3DB4F}"/>
    <hyperlink ref="D138" location="Kits!A1" display="5.4.4, 5.4.5, 5.4.6, 5.4.9" xr:uid="{A26AAA58-0CA5-4EDB-AD7C-1D34963F7EB6}"/>
    <hyperlink ref="D139" location="Kits!A1" display="5.4.4, 5.4.5, 5.4.6, 5.4.9" xr:uid="{F65678C2-A8B1-4E01-B4E1-4E3B29091925}"/>
    <hyperlink ref="D140" location="Kits!A1" display="5.4.4, 5.4.5, 5.4.6, 5.4.9" xr:uid="{D91838B2-0711-472C-A4DB-F253C3DF10C2}"/>
    <hyperlink ref="D141" location="Kits!A1" display="5.4.4, 5.4.5, 5.4.6, 5.4.9" xr:uid="{EC17BE4C-824E-4672-8CE6-106519BF4CAB}"/>
    <hyperlink ref="BB8" location="'4.4.4'!A1" display="'4.4.4'!A1" xr:uid="{9059F5CB-90AC-4D67-A7E2-9C7EE1702BDA}"/>
    <hyperlink ref="BB98" location="'4.4.4'!A1" display="'4.4.4'!A1" xr:uid="{A536ABC6-C489-4B24-89F6-94CF063E10A7}"/>
    <hyperlink ref="BB235" location="'4.4.4'!A1" display="'4.4.4'!A1" xr:uid="{29348FB0-27B5-42EF-917D-903D7DB8E0F2}"/>
    <hyperlink ref="BB268" location="'4.4.4'!A1" display="'4.4.4'!A1" xr:uid="{5392B0E2-F69B-4658-ACDD-3BAB06DA10F4}"/>
    <hyperlink ref="BB297" location="'4.4.4'!A1" display="'4.4.4'!A1" xr:uid="{70B019C3-DE8B-4006-964A-6D329B92E630}"/>
    <hyperlink ref="BB9" location="'4.4.2'!A1" display="'4.4.2'!A1" xr:uid="{EB7888E1-55DC-4C39-A06F-504FDB0AAB2D}"/>
    <hyperlink ref="BB99" location="'4.4.2'!A1" display="'4.4.2'!A1" xr:uid="{667228ED-C1FA-401F-819D-59875BC5C4A1}"/>
    <hyperlink ref="BB236" location="'4.4.2'!A1" display="'4.4.2'!A1" xr:uid="{EED38E84-2866-4B14-9566-535E6EC82D5D}"/>
    <hyperlink ref="BB269" location="'4.4.2'!A1" display="'4.4.2'!A1" xr:uid="{D8A3277A-D448-45AA-94D5-5375B1C3FD63}"/>
    <hyperlink ref="BB298" location="'4.4.2'!A1" display="'4.4.2'!A1" xr:uid="{EE869BAB-63E4-4DBE-BA0F-61BA0C14062E}"/>
    <hyperlink ref="BB10" location="'4.4.3'!A1" display="'4.4.3'!A1" xr:uid="{CEFDF691-FCD6-4F67-B717-72C027CAACDC}"/>
    <hyperlink ref="BB100" location="'4.4.3'!A1" display="'4.4.3'!A1" xr:uid="{783A1EB9-FC70-4C82-9FB2-B8703C7FA981}"/>
    <hyperlink ref="BB11" location="'4.4.10'!A1" display="'4.4.10'!A1" xr:uid="{3FA47745-BEC9-4EBD-B732-964F32D8D970}"/>
    <hyperlink ref="BB12" location="'4.4.10'!A1" display="'4.4.10'!A1" xr:uid="{24667FE7-BEAA-4C0E-9F8D-94A8D99AD740}"/>
    <hyperlink ref="BB13" location="'4.4.10'!A1" display="'4.4.10'!A1" xr:uid="{2BFD0A43-E9B1-4ACF-9197-5CD770B58B5C}"/>
    <hyperlink ref="BB14" location="'4.4.10'!A1" display="'4.4.10'!A1" xr:uid="{3715993E-26CE-461B-8DA9-2931138E8A44}"/>
    <hyperlink ref="BB15" location="'4.4.10'!A1" display="'4.4.10'!A1" xr:uid="{D9FC7FB4-222C-4D77-866E-0CA56EEBFF36}"/>
    <hyperlink ref="BB102" location="'4.4.10'!A1" display="'4.4.10'!A1" xr:uid="{468D77E5-638C-495F-8893-5699E53F308D}"/>
    <hyperlink ref="BB189" location="'4.4.10'!A1" display="'4.4.10'!A1" xr:uid="{38833FC9-F256-41E0-AD96-5D3322F11815}"/>
    <hyperlink ref="BB243" location="'4.4.10'!A1" display="'4.4.10'!A1" xr:uid="{E79E7768-01E2-4566-B918-F3ABEBDC4855}"/>
    <hyperlink ref="BB244" location="'4.4.10'!A1" display="'4.4.10'!A1" xr:uid="{99A3BB74-FA0C-4018-9B0C-FF511999B05B}"/>
    <hyperlink ref="BB245" location="'4.4.10'!A1" display="'4.4.10'!A1" xr:uid="{52003019-558E-4582-BDC6-B97837958B57}"/>
    <hyperlink ref="BB246" location="'4.4.10'!A1" display="'4.4.10'!A1" xr:uid="{93C5E2DC-25F9-4849-B6E2-A9040CBD3409}"/>
    <hyperlink ref="BB276" location="'4.4.10'!A1" display="'4.4.10'!A1" xr:uid="{F9A29C48-5B96-49E7-A26C-FC780DEB9F42}"/>
    <hyperlink ref="BB277" location="'4.4.10'!A1" display="'4.4.10'!A1" xr:uid="{93EB3E17-29B2-4290-ADE4-A0D37D6FB545}"/>
    <hyperlink ref="BB16" location="'4.4.10'!A1" display="'4.4.10'!A1" xr:uid="{12C214CD-F44D-478F-9F84-DEB460544D56}"/>
    <hyperlink ref="BB17" location="'4.4.10'!A1" display="'4.4.10'!A1" xr:uid="{0442F710-C3E5-4EF1-A6F1-1AC34C117567}"/>
    <hyperlink ref="BB18" location="'4.4.10'!A1" display="'4.4.10'!A1" xr:uid="{A2D7970D-861A-4E69-ADC3-26DE31F737B1}"/>
    <hyperlink ref="BB19" location="'4.4.10'!A1" display="'4.4.10'!A1" xr:uid="{24202697-9846-4AE9-A037-818750E926EB}"/>
    <hyperlink ref="BB20" location="'4.4.10'!A1" display="'4.4.10'!A1" xr:uid="{3BBD9961-6EE4-49D7-9D73-2D687BBF282A}"/>
    <hyperlink ref="BB101" location="'4.4.10'!A1" display="'4.4.10'!A1" xr:uid="{4E7D6931-84AB-4A44-9AE9-415AAA9776F9}"/>
    <hyperlink ref="BB247" location="'4.4.10'!A1" display="'4.4.10'!A1" xr:uid="{7E35604D-C893-4DFB-A3BB-38FC1644F183}"/>
    <hyperlink ref="BB248" location="'4.4.10'!A1" display="'4.4.10'!A1" xr:uid="{6DEA2B6D-6146-4E21-8CE7-4F03B1A982E2}"/>
    <hyperlink ref="BB278" location="'4.4.10'!A1" display="'4.4.10'!A1" xr:uid="{57806EFE-5348-40FC-8B45-F71D6FB34107}"/>
    <hyperlink ref="BB279" location="'4.4.10'!A1" display="'4.4.10'!A1" xr:uid="{A7405B40-D5EC-4A52-9EB6-527DF3ED3DE1}"/>
    <hyperlink ref="BB304" location="'4.4.10'!A1" display="'4.4.10'!A1" xr:uid="{E9C41B5E-049D-4B3A-8F6D-1A4FB5BB76AE}"/>
    <hyperlink ref="BB21" location="'4.3.1'!A1" display="'4.3.1'!A1" xr:uid="{DE26EE01-942D-4418-8BB7-FE42A468A83F}"/>
    <hyperlink ref="BB22" location="'4.3.1'!A1" display="'4.3.1'!A1" xr:uid="{E75AAE3A-5D32-4ACC-B3A4-580EEAFBDC69}"/>
    <hyperlink ref="BB104" location="'4.3.1'!A1" display="'4.3.1'!A1" xr:uid="{7E3CE1BF-58F9-47DB-94EB-BDFB77C49310}"/>
    <hyperlink ref="BB211" location="'4.3.1'!A1" display="'4.3.1'!A1" xr:uid="{F95B0248-7F61-406D-AF40-54776F1860DB}"/>
    <hyperlink ref="BB212" location="'4.3.1'!A1" display="'4.3.1'!A1" xr:uid="{AE8B4B73-C5EF-4C20-8BF0-9D056CFB3977}"/>
    <hyperlink ref="BB251" location="'4.3.1'!A1" display="'4.3.1'!A1" xr:uid="{512071A0-57FC-4B23-A31F-3D2A8510367A}"/>
    <hyperlink ref="BB292" location="'4.3.1'!A1" display="'4.3.1'!A1" xr:uid="{17D354E8-56F2-41E6-B5FB-1E3BB2CF5878}"/>
    <hyperlink ref="BB293" location="'4.3.1'!A1" display="'4.3.1'!A1" xr:uid="{4B482AEE-ED07-4264-8836-0EB02823C99D}"/>
    <hyperlink ref="BB24" location="'4.4.11'!A1" display="'4.4.11'!A1" xr:uid="{5E284232-8961-461B-8CAC-7B88D0ED0353}"/>
    <hyperlink ref="BB25" location="'4.4.11'!A1" display="'4.4.11'!A1" xr:uid="{5D6A7A8D-5AE8-47DA-9694-43C9B0999BE4}"/>
    <hyperlink ref="BB106" location="'4.4.11'!A1" display="'4.4.11'!A1" xr:uid="{5DE6B5D7-85E1-4D47-8200-8D049C521E74}"/>
    <hyperlink ref="BB288" location="'4.4.11'!A1" display="'4.4.11'!A1" xr:uid="{BB024475-49DF-4ED3-8D2E-C390F78D7386}"/>
    <hyperlink ref="BB289" location="'4.4.11'!A1" display="'4.4.11'!A1" xr:uid="{1F45DD09-A975-4A62-9361-F1C713FA143F}"/>
    <hyperlink ref="BB299" location="'4.4.11'!A1" display="'4.4.11'!A1" xr:uid="{0D7A5B1E-0165-47D5-8284-753FCD70B56C}"/>
    <hyperlink ref="BB26" location="'4.4.5'!A1" display="'4.4.5'!A1" xr:uid="{4E44FFE5-7228-4055-A4CE-BD9D9EBFD49F}"/>
    <hyperlink ref="BB107" location="'4.4.5'!A1" display="'4.4.5'!A1" xr:uid="{4362555B-7CCA-48C4-8145-2721D74BF791}"/>
    <hyperlink ref="BB290" location="'4.4.5'!A1" display="'4.4.5'!A1" xr:uid="{5938B0A7-43C4-4761-AEB0-38C62B0C6E7A}"/>
    <hyperlink ref="BB27" location="'4.4.12'!A1" display="'4.4.12'!A1" xr:uid="{74DB5EEA-7C25-4DAE-B94C-8CCE238D46E4}"/>
    <hyperlink ref="BB28" location="'4.3.6'!A1" display="'4.3.6'!A1" xr:uid="{3CD0404B-C007-4729-9A11-6415E82FF42E}"/>
    <hyperlink ref="BB109" location="'4.3.6'!A1" display="'4.3.6'!A1" xr:uid="{A22F859B-709D-41CE-BE16-CFD6DC7B4B80}"/>
    <hyperlink ref="BB253" location="'4.3.6'!A1" display="'4.3.6'!A1" xr:uid="{27F51320-9650-4B56-814F-1854A3C6D027}"/>
    <hyperlink ref="BB35" location="'4.4.14'!A1" display="'4.4.14'!A1" xr:uid="{64B2A6CD-686D-4923-8F7B-3DEC7AF8F276}"/>
    <hyperlink ref="BB36" location="'4.4.14'!A1" display="'4.4.14'!A1" xr:uid="{B262814E-A15E-43CC-80DC-9396741FB1AE}"/>
    <hyperlink ref="BB37" location="'4.4.14'!A1" display="'4.4.14'!A1" xr:uid="{B079FEA0-E58E-4D1D-BDDD-69996BF50765}"/>
    <hyperlink ref="BB38" location="'4.4.14'!A1" display="'4.4.14'!A1" xr:uid="{273648FE-2144-4E72-8CCF-7ECF18368ADA}"/>
    <hyperlink ref="BB39" location="'4.4.14'!A1" display="'4.4.14'!A1" xr:uid="{D975240F-7375-4196-AB28-C27F54CF4233}"/>
    <hyperlink ref="BB40" location="'4.4.14'!A1" display="'4.4.14'!A1" xr:uid="{E7513705-A3EB-4FFD-8BA2-1912E4CBCA4D}"/>
    <hyperlink ref="BB41" location="'4.4.14'!A1" display="'4.4.14'!A1" xr:uid="{E6B91986-1C5E-46A4-81F2-10EE710BEE1C}"/>
    <hyperlink ref="BB42" location="'4.4.14'!A1" display="'4.4.14'!A1" xr:uid="{6D079957-9F83-46EC-B775-845DA52C8906}"/>
    <hyperlink ref="BB43" location="'4.4.14'!A1" display="'4.4.14'!A1" xr:uid="{66987C4A-D889-4810-A228-A3BCCA215487}"/>
    <hyperlink ref="BB44" location="'4.4.14'!A1" display="'4.4.14'!A1" xr:uid="{D5E8175B-6E15-46AB-B3B9-94DFF28A18AE}"/>
    <hyperlink ref="BB45" location="'4.4.14'!A1" display="'4.4.14'!A1" xr:uid="{B6623909-AF00-4BD2-A817-562BAB6703DC}"/>
    <hyperlink ref="BB46" location="'4.4.14'!A1" display="'4.4.14'!A1" xr:uid="{4D8DBB78-C6A5-4BAB-B12A-9A76E71A2B51}"/>
    <hyperlink ref="BB47" location="'4.4.14'!A1" display="'4.4.14'!A1" xr:uid="{16B3B4CB-96B7-4049-BC46-326C01D03C6A}"/>
    <hyperlink ref="BB48" location="'4.4.14'!A1" display="'4.4.14'!A1" xr:uid="{55511361-06BF-45A5-B3DE-7015E5F34384}"/>
    <hyperlink ref="BB49" location="'4.4.14'!A1" display="'4.4.14'!A1" xr:uid="{0C5B2B35-D3E1-4FFC-9DC1-5B29528BE424}"/>
    <hyperlink ref="BB115" location="'4.4.14'!A1" display="'4.4.14'!A1" xr:uid="{2E8C2A61-6EE4-46C6-8F68-8F3B3481D9F6}"/>
    <hyperlink ref="BB116" location="'4.4.14'!A1" display="'4.4.14'!A1" xr:uid="{9AD9E7E6-249C-487B-B178-EC9622CDD8E9}"/>
    <hyperlink ref="BB117" location="'4.4.14'!A1" display="'4.4.14'!A1" xr:uid="{F0C8B268-8658-45A7-B16B-38AB87D9996C}"/>
    <hyperlink ref="BB199" location="'4.4.14'!A1" display="'4.4.14'!A1" xr:uid="{E7807309-0061-4E01-8C66-C022783939DD}"/>
    <hyperlink ref="BB200" location="'4.4.14'!A1" display="'4.4.14'!A1" xr:uid="{AD2EDCA5-E392-451C-8D79-8FF98E1E8924}"/>
    <hyperlink ref="BB201" location="'4.4.14'!A1" display="'4.4.14'!A1" xr:uid="{6430470D-48AA-4869-B17B-36318D7EA255}"/>
    <hyperlink ref="BB202" location="'4.4.14'!A1" display="'4.4.14'!A1" xr:uid="{00D0B8AE-1518-4661-AB9F-A07470312945}"/>
    <hyperlink ref="BB237" location="'4.4.14'!A1" display="'4.4.14'!A1" xr:uid="{7BD1878B-CE63-4C93-88EA-54AEF766E527}"/>
    <hyperlink ref="BB238" location="'4.4.14'!A1" display="'4.4.14'!A1" xr:uid="{E766AF94-3CE2-4ABE-8548-87BB45DEC3CD}"/>
    <hyperlink ref="BB239" location="'4.4.14'!A1" display="'4.4.14'!A1" xr:uid="{27C5BE2C-E945-4CC6-8799-74E8206A64BD}"/>
    <hyperlink ref="BB240" location="'4.4.14'!A1" display="'4.4.14'!A1" xr:uid="{4D586847-7C2A-4519-9649-6D656E7BDCD3}"/>
    <hyperlink ref="BB280" location="'4.4.14'!A1" display="'4.4.14'!A1" xr:uid="{23A5DE75-0B15-49E5-97B9-6DEE8FCBA3FB}"/>
    <hyperlink ref="BB281" location="'4.4.14'!A1" display="'4.4.14'!A1" xr:uid="{27F225B4-6A5F-40D4-BDB6-2D0068233EDA}"/>
    <hyperlink ref="BB282" location="'4.4.14'!A1" display="'4.4.14'!A1" xr:uid="{BD1AB3C9-EC36-4F5F-A4AB-82319D5B0982}"/>
    <hyperlink ref="BB203" location="'4.4.24 '!A1" display="'4.4.24 '!A1" xr:uid="{66332052-0423-4494-B615-4CB2F23F9C1B}"/>
    <hyperlink ref="BB204" location="'4.4.24 '!A1" display="'4.4.24 '!A1" xr:uid="{B3733D2B-0AFA-40DF-A63A-B180E4E93DA7}"/>
    <hyperlink ref="BB205" location="'4.4.24 '!A1" display="'4.4.24 '!A1" xr:uid="{1A8D749B-E4B6-49C8-936C-CB942CC0DAC5}"/>
    <hyperlink ref="BB206" location="'4.4.24 '!A1" display="'4.4.24 '!A1" xr:uid="{A4773FAB-0890-493D-9E22-1D6C52BEFAC3}"/>
    <hyperlink ref="BB241" location="'4.4.24 '!A1" display="'4.4.24 '!A1" xr:uid="{4EB52802-C6A7-4DD8-BEFD-3ED7ABCF2456}"/>
    <hyperlink ref="BB242" location="'4.4.24 '!A1" display="'4.4.24 '!A1" xr:uid="{AB21DBA5-85ED-4A61-B582-030D184AF625}"/>
    <hyperlink ref="BB296" location="'4.4.24 '!A1" display="'4.4.24 '!A1" xr:uid="{2E3D328D-B7CF-4028-AA67-7A56390C0BB6}"/>
    <hyperlink ref="BB50" location="'4.3.4'!A1" display="'4.3.4'!A1" xr:uid="{8AF21A78-C5D7-43AC-8F7A-5A7A92AB0D66}"/>
    <hyperlink ref="BB51" location="'4.3.4'!A1" display="'4.3.4'!A1" xr:uid="{2235FFB6-57B3-4FA2-8F54-640C4FC145DD}"/>
    <hyperlink ref="BB252" location="'4.3.4'!A1" display="'4.3.4'!A1" xr:uid="{904AC427-96A4-4A9E-9370-38A311FABAF3}"/>
    <hyperlink ref="BB52" location="'4.2.15'!A1" display="'4.2.15'!A1" xr:uid="{B89B4252-CB8A-4F63-B04A-5E33E62DFEED}"/>
    <hyperlink ref="BB81" location="'4.2.15'!A1" display="'4.2.15'!A1" xr:uid="{5952AA1B-245B-45DC-A30E-76E6E1DF3358}"/>
    <hyperlink ref="BB53" location="'4.2.12'!A1" display="'4.2.12'!A1" xr:uid="{6ADCA0BB-6079-4E29-B580-1E2F7B83C932}"/>
    <hyperlink ref="BB82" location="'4.2.12'!A1" display="'4.2.12'!A1" xr:uid="{4F236D1D-EADB-42D7-8A02-4248C029713A}"/>
    <hyperlink ref="BB54" location="'4.2.17'!A1" display="'4.2.17'!A1" xr:uid="{ED6AF55A-4FD5-44AE-935D-1DA644840051}"/>
    <hyperlink ref="BB83" location="'4.2.17'!A1" display="'4.2.17'!A1" xr:uid="{2557120B-F7F2-430B-93E6-6AEE547BD82C}"/>
    <hyperlink ref="BB55" location="'4.2.13'!A1" display="'4.2.13'!A1" xr:uid="{7EBEB680-0D5A-48D7-87AC-773C1B042898}"/>
    <hyperlink ref="BB84" location="'4.2.13'!A1" display="'4.2.13'!A1" xr:uid="{3698142D-58E7-4D1D-B4DC-91D9FCD3C1E5}"/>
    <hyperlink ref="BB56" location="'4.2.14'!A1" display="'4.2.14'!A1" xr:uid="{213B6D52-E2A5-4704-BCA1-0B8BC1B15EB4}"/>
    <hyperlink ref="BB85" location="'4.2.14'!A1" display="'4.2.14'!A1" xr:uid="{D6100CC8-2273-47CD-A150-DF7E5296A145}"/>
    <hyperlink ref="BB57" location="'4.2.3'!A1" display="'4.2.3'!A1" xr:uid="{CEAC6A4C-BF0E-4237-B13A-5550E6CCDAFF}"/>
    <hyperlink ref="BB86" location="'4.2.3'!A1" display="'4.2.3'!A1" xr:uid="{6DA23B7D-DD7D-475C-B1BC-BD0850249E2C}"/>
    <hyperlink ref="BB58" location="'4.2.5'!A1" display="'4.2.5'!A1" xr:uid="{4BD64455-4AA1-4379-A631-17B6DAA6D86A}"/>
    <hyperlink ref="BB76" location="'4.2.5'!A1" display="'4.2.5'!A1" xr:uid="{D587D6F8-741F-49A3-A8C7-D9638FE81FA7}"/>
    <hyperlink ref="BB285" location="'4.2.5'!A1" display="'4.2.5'!A1" xr:uid="{70721F1D-3900-4F20-B962-295D828DA26C}"/>
    <hyperlink ref="BB59" location="'4.2.1'!A1" display="'4.2.1'!A1" xr:uid="{2998B143-8CF7-435D-9A5B-ED68A92768F3}"/>
    <hyperlink ref="BB79" location="'4.2.1'!A1" display="'4.2.1'!A1" xr:uid="{FE1BBCB5-B812-4732-9D27-76E0D2BF3A06}"/>
    <hyperlink ref="BB61" location="'4.2.18'!A1" display="'4.2.18'!A1" xr:uid="{BC7219C2-E10D-487F-9233-2D0699FF83CB}"/>
    <hyperlink ref="BB80" location="'4.2.18'!A1" display="'4.2.18'!A1" xr:uid="{AACA39E0-7C2F-4B88-99FB-1655708AFC9F}"/>
    <hyperlink ref="BB63" location="'4.2.7'!A1" display="'4.2.7'!A1" xr:uid="{10A9DEBF-105D-4C09-BEFF-24E17C112700}"/>
    <hyperlink ref="BB77" location="'4.2.7'!A1" display="'4.2.7'!A1" xr:uid="{89629341-90DB-45D1-AF46-76E3F611992D}"/>
    <hyperlink ref="BB64" location="'4.2.8'!A1" display="'4.2.8'!A1" xr:uid="{20738B95-6A03-490C-ACA0-6F30A2B7EE4A}"/>
    <hyperlink ref="BB78" location="'4.2.8'!A1" display="'4.2.8'!A1" xr:uid="{284ABC34-2426-40BA-BDED-15724CD6C243}"/>
    <hyperlink ref="BB287" location="'4.2.8'!A1" display="'4.2.8'!A1" xr:uid="{3B642D77-5D81-464B-AF49-8BD477F531C5}"/>
    <hyperlink ref="BB65" location="'4.2.4'!A1" display="'4.2.4'!A1" xr:uid="{90ECBAA5-6AF1-41F3-9D79-1AE27D0B725B}"/>
    <hyperlink ref="BB87" location="'4.2.4'!A1" display="'4.2.4'!A1" xr:uid="{21A23D06-D7CF-4E52-B824-022BA73EC603}"/>
    <hyperlink ref="BB68" location="'4.4.16'!A1" display="'4.4.16'!A1" xr:uid="{132896C2-D2EE-4618-BC63-F316EC9B90FE}"/>
    <hyperlink ref="BB69" location="'4.4.16'!A1" display="'4.4.16'!A1" xr:uid="{3B0E162C-CE96-4180-86C4-9CAB584FF66B}"/>
    <hyperlink ref="BB70" location="'4.4.16'!A1" display="'4.4.16'!A1" xr:uid="{6A6B1736-E167-44AC-9E0D-B1F598088B7D}"/>
    <hyperlink ref="BB71" location="'4.4.16'!A1" display="'4.4.16'!A1" xr:uid="{53FC4B4B-2742-488C-83EC-F6E443B091A3}"/>
    <hyperlink ref="BB72" location="'4.4.16'!A1" display="'4.4.16'!A1" xr:uid="{303DEC0E-979C-4098-9C6C-52B77EA721CF}"/>
    <hyperlink ref="BB73" location="'4.4.16'!A1" display="'4.4.16'!A1" xr:uid="{2F4309A7-9649-47CC-A5A7-DF80DC696CED}"/>
    <hyperlink ref="BB74" location="'4.4.16'!A1" display="'4.4.16'!A1" xr:uid="{795EEFAE-0C20-425E-BE09-B34D6359178E}"/>
    <hyperlink ref="BB75" location="'4.4.16'!A1" display="'4.4.16'!A1" xr:uid="{B1881319-FDEC-4A83-8F0A-14EEEADD3CDB}"/>
    <hyperlink ref="BB110" location="'4.4.16'!A1" display="'4.4.16'!A1" xr:uid="{F7B29661-C4D3-4CCF-86AB-2B6072914AE2}"/>
    <hyperlink ref="BB111" location="'4.4.16'!A1" display="'4.4.16'!A1" xr:uid="{A03339A4-EE5D-4AED-A32B-1A778E2C1618}"/>
    <hyperlink ref="BB254" location="'4.4.16'!A1" display="'4.4.16'!A1" xr:uid="{33E464C8-4D69-4DE2-9376-D7D28D721B81}"/>
    <hyperlink ref="BB270" location="'4.4.16'!A1" display="'4.4.16'!A1" xr:uid="{2FEB5FB1-9040-445D-BEB3-8F052F95A783}"/>
    <hyperlink ref="BB271" location="'4.4.16'!A1" display="'4.4.16'!A1" xr:uid="{5F8957A1-8A70-41A4-88FF-F24577995102}"/>
    <hyperlink ref="BB272" location="'4.4.16'!A1" display="'4.4.16'!A1" xr:uid="{420A73D5-6142-47EE-8877-7935DFEC2021}"/>
    <hyperlink ref="BB273" location="'4.4.16'!A1" display="'4.4.16'!A1" xr:uid="{25B14D4F-F8C7-4D45-93AD-F756C783C981}"/>
    <hyperlink ref="BB274" location="'4.4.16'!A1" display="'4.4.16'!A1" xr:uid="{F9C80626-BA24-4E76-A1B2-1B18991C0DA3}"/>
    <hyperlink ref="BB275" location="'4.4.16'!A1" display="'4.4.16'!A1" xr:uid="{8A3F3F22-9B3F-4A77-B969-F8860B5FB46C}"/>
    <hyperlink ref="BB301" location="'4.4.16'!A1" display="'4.4.16'!A1" xr:uid="{B53F5A92-ED57-4C8C-9F90-68339D166E4B}"/>
    <hyperlink ref="BB91" location="'4.2.11'!A1" display="'4.2.11'!A1" xr:uid="{01F1EC06-FD9A-4257-8944-A361EA793D2F}"/>
    <hyperlink ref="BB92" location="'4.2.11'!A1" display="'4.2.11'!A1" xr:uid="{35A1931B-0F97-4F2B-B963-7B5403170F30}"/>
    <hyperlink ref="BB93" location="'4.2.11'!A1" display="'4.2.11'!A1" xr:uid="{7ADD7995-F445-4DAA-A697-F1C61C0BE543}"/>
    <hyperlink ref="BB118" location="'4.2.11'!A1" display="'4.2.11'!A1" xr:uid="{6A5E9C1A-7FCF-40D0-B0F4-D3D5D82CB91B}"/>
    <hyperlink ref="BB226" location="'4.2.11'!A1" display="'4.2.11'!A1" xr:uid="{0CFECE5C-3366-4BBE-902A-223F5399E746}"/>
    <hyperlink ref="BB259" location="'4.2.11'!A1" display="'4.2.11'!A1" xr:uid="{0F58C8D3-7CBD-4259-8E81-F382AD6438DD}"/>
    <hyperlink ref="BB260" location="'4.2.11'!A1" display="'4.2.11'!A1" xr:uid="{635A8381-CBE6-4D68-84B8-F69932AE417F}"/>
    <hyperlink ref="BB94" location="'4.3.2'!A1" display="'4.3.2'!A1" xr:uid="{399BEB02-41B9-4DC4-BE57-A403F68386A9}"/>
    <hyperlink ref="BB95" location="'4.3.2'!A1" display="'4.3.2'!A1" xr:uid="{A3476EE7-DB84-4064-80A6-62A4422425B9}"/>
    <hyperlink ref="BB263" location="'4.3.2'!A1" display="'4.3.2'!A1" xr:uid="{100BC3CE-FF43-447D-9C2D-4B59194D158D}"/>
    <hyperlink ref="BB264" location="'4.3.2'!A1" display="'4.3.2'!A1" xr:uid="{7318B655-468B-47A1-BFD5-0A324422E8B7}"/>
    <hyperlink ref="BB302" location="'4.3.2'!A1" display="'4.3.2'!A1" xr:uid="{C0D3A0F8-E667-4DD5-93C1-59B64B5E8091}"/>
    <hyperlink ref="BB96" location="'4.3.3'!A1" display="'4.3.3'!A1" xr:uid="{386B5169-F8E1-42A8-B9CB-D5ADB2E70DCD}"/>
    <hyperlink ref="BB265" location="'4.3.3'!A1" display="'4.3.3'!A1" xr:uid="{A105735B-69B8-4416-831D-FB7CB778BAD0}"/>
    <hyperlink ref="BB303" location="'4.3.3'!A1" display="'4.3.3'!A1" xr:uid="{B8297C8A-7CD4-4F31-BDEE-8EC778554E61}"/>
    <hyperlink ref="BB97" location="'4.3.2'!A1" display="'4.3.2'!A1" xr:uid="{DBFD4EF8-F3BF-4201-9042-2772691C4933}"/>
    <hyperlink ref="BB113" location="'4.3.2'!A1" display="'4.3.2'!A1" xr:uid="{5D2308D6-DFDF-4B2F-8236-090A51105D03}"/>
    <hyperlink ref="BB295" location="'4.3.2'!A1" display="'4.3.2'!A1" xr:uid="{555CCD0D-0CA5-4E8B-8213-9591E00B2508}"/>
    <hyperlink ref="BB103" location="'4.4.10'!A1" display="'4.4.10'!A1" xr:uid="{464FA3C9-19E8-4B31-B012-EDC1D9BAA11B}"/>
    <hyperlink ref="BB142" location="'5.3.7'!A1" display="'5.3.7'!A1" xr:uid="{E2575CB6-B2FB-47F4-8626-ABFCEB80CFE5}"/>
    <hyperlink ref="BB143" location="'5.3.7'!A1" display="'5.3.7'!A1" xr:uid="{D4AFB6BD-51EA-428C-85A3-D130296D0D3E}"/>
    <hyperlink ref="BB144" location="'5.3.7'!A1" display="'5.3.7'!A1" xr:uid="{7BF70540-4B0A-437E-A3C5-CCF64CD5C533}"/>
    <hyperlink ref="BB145" location="'5.3.7'!A1" display="'5.3.7'!A1" xr:uid="{008F3C0D-4EB3-45C8-8A7B-0922F78A1A2A}"/>
    <hyperlink ref="BB148" location="'5.3.7'!A1" display="'5.3.7'!A1" xr:uid="{6510FA7B-BBA5-41C1-9CA8-24082F15EA00}"/>
    <hyperlink ref="BB149" location="'5.3.7'!A1" display="'5.3.7'!A1" xr:uid="{0E6B6B9D-EDDA-484F-9487-4DF5E27B5260}"/>
    <hyperlink ref="BB190" location="'5.3.7'!A1" display="'5.3.7'!A1" xr:uid="{2F91AF6E-31F5-4F7C-A935-595A2A073499}"/>
    <hyperlink ref="BB249" location="'5.3.7'!A1" display="'5.3.7'!A1" xr:uid="{F7E4CA38-A9C8-4F1F-AEBD-0E9FC0761792}"/>
    <hyperlink ref="BB150" location="'5.3.16'!A1" display="'5.3.16'!A1" xr:uid="{D7222C9C-1E72-436C-BE43-1D96195DB00C}"/>
    <hyperlink ref="BB151" location="'5.3.16'!A1" display="'5.3.16'!A1" xr:uid="{58CACB37-8CAD-4C53-B849-553BD562ED13}"/>
    <hyperlink ref="BB160" location="'5.3.16'!A1" display="'5.3.16'!A1" xr:uid="{880EEC4E-DF21-45CB-BAFA-3CCA261A5983}"/>
    <hyperlink ref="BB161" location="'5.3.16'!A1" display="'5.3.16'!A1" xr:uid="{F345209C-81CD-4D02-BE60-48E767B7717E}"/>
    <hyperlink ref="BB185" location="'5.3.16'!A1" display="'5.3.16'!A1" xr:uid="{5C0BCE2B-CF52-497F-8C4D-FF3547542B6E}"/>
    <hyperlink ref="BB163" location="'5.6.1'!A1" display="'5.6.1'!A1" xr:uid="{3707B499-1776-45ED-830C-F0C5DF1A9A8B}"/>
    <hyperlink ref="BB171" location="'5.6.1'!A1" display="'5.6.1'!A1" xr:uid="{048E86BD-ABF8-436E-B7FE-EB8DC5723788}"/>
    <hyperlink ref="BB181" location="'5.6.1'!A1" display="'5.6.1'!A1" xr:uid="{DC8D67D3-6B1C-419E-BE58-445DEFA027E5}"/>
    <hyperlink ref="BB164" location="'5.6.4'!A1" display="'5.6.4'!A1" xr:uid="{CCB9C54E-AE58-4EA1-B894-F4E48D4C193B}"/>
    <hyperlink ref="BB165" location="'5.6.4'!A1" display="'5.6.4'!A1" xr:uid="{58FACF8E-35AA-4DA0-BDC0-807B01F9E9F2}"/>
    <hyperlink ref="BB166" location="'5.6.4'!A1" display="'5.6.4'!A1" xr:uid="{989A5B0B-14F1-4E6A-933E-9E47306052D7}"/>
    <hyperlink ref="BB167" location="'5.6.4'!A1" display="'5.6.4'!A1" xr:uid="{0B776DB2-FA81-485A-9F67-5F6B83B69186}"/>
    <hyperlink ref="BB172" location="'5.6.4'!A1" display="'5.6.4'!A1" xr:uid="{5DA4105E-FB55-4EA6-AF9F-8849381EBDA2}"/>
    <hyperlink ref="BB173" location="'5.6.4'!A1" display="'5.6.4'!A1" xr:uid="{4133B58D-77DF-4C7E-861F-21C7D58ADA41}"/>
    <hyperlink ref="BB174" location="'5.6.4'!A1" display="'5.6.4'!A1" xr:uid="{148BB003-2D12-4789-8A85-AD107FA9E318}"/>
    <hyperlink ref="BB175" location="'5.6.4'!A1" display="'5.6.4'!A1" xr:uid="{DA969225-4084-4E07-8126-023FDCB17F63}"/>
    <hyperlink ref="BB182" location="'5.6.4'!A1" display="'5.6.4'!A1" xr:uid="{12F594CF-59AA-4DB8-9333-97BF66110D43}"/>
    <hyperlink ref="BB183" location="'5.6.4'!A1" display="'5.6.4'!A1" xr:uid="{8100BB49-3E67-429D-A138-1E15FEC3CF74}"/>
    <hyperlink ref="BB184" location="'5.6.4'!A1" display="'5.6.4'!A1" xr:uid="{54AE45BF-6BD7-4A61-BC8D-F8A317238D04}"/>
    <hyperlink ref="BB168" location="'5.3.4'!A1" display="'5.3.4'!A1" xr:uid="{E6ED0EC0-99B0-4633-9427-5C5B2AB7E3DD}"/>
    <hyperlink ref="BB176" location="'5.3.4'!A1" display="'5.3.4'!A1" xr:uid="{903CF182-C850-4395-BEE0-37EF4169A9AF}"/>
    <hyperlink ref="BB214" location="'5.3.4'!A1" display="'5.3.4'!A1" xr:uid="{BAA8F8E7-3C59-465A-8266-D2FCC758CEF7}"/>
    <hyperlink ref="BB169" location="'5.6.4'!A1" display="'5.6.4'!A1" xr:uid="{D02579AA-DE7B-406F-9190-B53285EE8FA5}"/>
    <hyperlink ref="BB177" location="'5.6.4'!A1" display="'5.6.4'!A1" xr:uid="{3FAB4918-2472-452A-8B44-7CD6FBB232ED}"/>
    <hyperlink ref="BB186" location="'5.6.4'!A1" display="'5.6.4'!A1" xr:uid="{FEA931A2-8941-4314-8D1D-E2369B5C497B}"/>
    <hyperlink ref="BB170" location="'5.6.2'!A1" display="'5.6.2'!A1" xr:uid="{4508F459-2C6A-45A1-B1FC-12F90AED34F0}"/>
    <hyperlink ref="BB178" location="'5.6.2'!A1" display="'5.6.2'!A1" xr:uid="{7B2EE12A-7239-497A-8922-6770B6A31617}"/>
    <hyperlink ref="BB187" location="'5.6.2'!A1" display="'5.6.2'!A1" xr:uid="{D076ED07-5041-4E23-9B19-4518A90486F1}"/>
    <hyperlink ref="BB192" location="'5.4.4'!A1" display="'5.4.4'!A1" xr:uid="{38BF3EDF-8D4D-4C65-A144-6FA86A9A646E}"/>
    <hyperlink ref="BB193" location="'5.4.4'!A1" display="'5.4.4'!A1" xr:uid="{3E9610D9-C2DD-4F20-8D76-BF79C43216E2}"/>
    <hyperlink ref="BB194" location="'5.4.4'!A1" display="'5.4.4'!A1" xr:uid="{BB2C20A4-99E4-4AE3-B6E3-DD8D8FE57D47}"/>
    <hyperlink ref="BB195" location="'5.4.4'!A1" display="'5.4.4'!A1" xr:uid="{466E1463-EF34-4DDC-B4D0-D8AE36126F90}"/>
    <hyperlink ref="BB218" location="'5.4.4'!A1" display="'5.4.4'!A1" xr:uid="{CFC66480-A098-449D-A962-909F32A63EF8}"/>
    <hyperlink ref="BB219" location="'5.4.4'!A1" display="'5.4.4'!A1" xr:uid="{08BF5CB9-8584-42A9-9096-9762B5862FCD}"/>
    <hyperlink ref="BB220" location="'5.4.4'!A1" display="'5.4.4'!A1" xr:uid="{DB2C59AD-4392-41ED-9337-CCD9ECE7F9B2}"/>
    <hyperlink ref="BB221" location="'5.4.4'!A1" display="'5.4.4'!A1" xr:uid="{E97C69EB-709D-45A4-8611-299247D4BD35}"/>
    <hyperlink ref="BB146" location="'5.3.6'!A1" display="'5.3.6'!A1" xr:uid="{95C64C3B-4526-4834-9AE6-B88743F8BD11}"/>
    <hyperlink ref="BB153" location="'5.4.4'!A1" display="'5.4.4'!A1" xr:uid="{6CD3FFE5-0927-42E3-A08F-95CD40E380C7}"/>
    <hyperlink ref="BB152" location="'5.4.4'!A1" display="'5.4.4'!A1" xr:uid="{94F860A4-A139-4032-93C3-B466FB627B9B}"/>
    <hyperlink ref="BB154" location="'5.4.5'!A1" display="'5.4.5'!A1" xr:uid="{5647307B-1387-4DAD-A18A-DEB44C4F3124}"/>
    <hyperlink ref="BB155" location="'5.4.5'!A1" display="'5.4.5'!A1" xr:uid="{65E18001-E90A-4A74-B9D2-1229CE93E3EE}"/>
    <hyperlink ref="BB196" location="'5.4.5'!A1" display="'5.4.5'!A1" xr:uid="{1351944B-2A53-4FC7-8D4D-6F17AE2586C6}"/>
    <hyperlink ref="BB197" location="'5.4.5'!A1" display="'5.4.5'!A1" xr:uid="{8F31C3ED-2C5C-46C6-9E55-ECE236859499}"/>
    <hyperlink ref="BB222" location="'5.4.5'!A1" display="'5.4.5'!A1" xr:uid="{87B5054C-82F6-4DE5-A549-C3B4282AC834}"/>
    <hyperlink ref="BB223" location="'5.4.5'!A1" display="'5.4.5'!A1" xr:uid="{1BCE9E2F-06ED-4C3C-8C84-F80D627F2FCD}"/>
    <hyperlink ref="BB224" location="'5.4.5'!A1" display="'5.4.5'!A1" xr:uid="{5D2E725A-B553-4BCE-B02A-D34DB8D555FC}"/>
    <hyperlink ref="BB225" location="'5.4.5'!A1" display="'5.4.5'!A1" xr:uid="{5C8D89F3-1527-4CA7-8DF0-866B87F50364}"/>
    <hyperlink ref="BB156" location="'5.4.6'!A1" display="'5.4.6'!A1" xr:uid="{821485EB-1B4C-4ECF-AD8A-4F4D19BACC01}"/>
    <hyperlink ref="BB230" location="'5.4.6'!A1" display="'5.4.6'!A1" xr:uid="{CC2F87EB-0695-4D41-BC51-9584CFFEABB1}"/>
    <hyperlink ref="BB159" location="'5.3.11'!A1" display="'5.3.11'!A1" xr:uid="{121D180C-7869-4C8F-8E61-E5130F519EFE}"/>
    <hyperlink ref="BB227" location="'5.3.11'!A1" display="'5.3.11'!A1" xr:uid="{A24DD277-00CB-47DA-BBAA-B4E69C027E83}"/>
    <hyperlink ref="BB228" location="'5.3.11'!A1" display="'5.3.11'!A1" xr:uid="{45105DF6-E1A0-486A-8AAB-04104EA51D28}"/>
    <hyperlink ref="BB229" location="'5.3.11'!A1" display="'5.3.11'!A1" xr:uid="{9A290627-86EA-48EC-8332-05706DC2D7B5}"/>
    <hyperlink ref="BB157" location="'5.4.1'!A1" display="'5.4.1'!A1" xr:uid="{1DA8F8A9-3E27-4DF4-AE27-2CB7FB0957EE}"/>
    <hyperlink ref="BB108" location="'4.4.12'!A1" display="'4.4.12'!A1" xr:uid="{D233DFC3-8364-4DA7-8249-65B3879A35DB}"/>
    <hyperlink ref="BB291" location="'4.4.12'!A1" display="'4.4.12'!A1" xr:uid="{B9149F6B-2B56-4AE4-B82C-F2E14306FE2B}"/>
    <hyperlink ref="BB105" location="'4.4.18'!A1" display="'4.4.18'!A1" xr:uid="{8C6F2D8A-21CC-47E3-81E2-382F61BC5B96}"/>
    <hyperlink ref="BB250" location="'4.4.18'!A1" display="'4.4.18'!A1" xr:uid="{82EF2DF6-5A86-4D2C-93CA-86B930E9D838}"/>
    <hyperlink ref="BB33" location="'4.4.19'!A1" display="'4.4.19'!A1" xr:uid="{EA94D5C2-D19B-4E47-998E-5EF3F657093E}"/>
    <hyperlink ref="BB34" location="'4.8.4'!A1" display="'4.8.4'!A1" xr:uid="{275B745A-2386-4277-963B-563A0BA71AFD}"/>
    <hyperlink ref="BB114" location="'4.8.4'!A1" display="'4.8.4'!A1" xr:uid="{B792C32B-1AA0-4DC7-9F61-556390905DB0}"/>
    <hyperlink ref="BB255" location="'4.8.4'!A1" display="'4.8.4'!A1" xr:uid="{94987D39-0754-4C22-B5F2-93AF955B3028}"/>
    <hyperlink ref="BB147" location="'5.3.13'!A1" display="'5.3.13'!A1" xr:uid="{8587C20D-78A3-4A10-8E16-18B0C3D95BD8}"/>
    <hyperlink ref="BB213" location="'5.4.2'!A1" display="'5.4.2'!A1" xr:uid="{DCC21F22-99D9-4D26-A88E-93EB6B4603A8}"/>
    <hyperlink ref="BB188" location="'5.6.3'!A1" display="'5.6.3'!A1" xr:uid="{2D567AB4-428C-40B8-8AC7-E847B6BEE9AF}"/>
    <hyperlink ref="BB136" location="Kits!A1" display="5.4.4, 5.4.5, 5.4.6, 5.4.9" xr:uid="{4F2B3252-E0AD-411C-AC18-9222EA47D494}"/>
    <hyperlink ref="BB137" location="Kits!A1" display="5.4.4, 5.4.5, 5.4.6, 5.4.9" xr:uid="{73716470-8D43-4D69-907E-2655D2473165}"/>
    <hyperlink ref="BB138" location="Kits!A1" display="5.4.4, 5.4.5, 5.4.6, 5.4.9" xr:uid="{76DFEEBB-93E7-43FB-AF16-31936FAEB88E}"/>
    <hyperlink ref="BB139" location="Kits!A1" display="5.4.4, 5.4.5, 5.4.6, 5.4.9" xr:uid="{C888FCCF-F2AF-40DA-852D-96648EB7CB1D}"/>
    <hyperlink ref="BB140" location="Kits!A1" display="5.4.4, 5.4.5, 5.4.6, 5.4.9" xr:uid="{BF75F20E-DE82-4DE6-9CD4-D95C5509E6D2}"/>
    <hyperlink ref="BB141" location="Kits!A1" display="5.4.4, 5.4.5, 5.4.6, 5.4.9" xr:uid="{9EEBCD1C-C5AC-48F6-8070-29117B53D4FA}"/>
    <hyperlink ref="BC8" location="'4.4.4'!A1" display="'4.4.4'!A1" xr:uid="{A07BDC09-5600-47FE-81C1-0D208F1FE6F6}"/>
    <hyperlink ref="BC98" location="'4.4.4'!A1" display="'4.4.4'!A1" xr:uid="{0A210E62-C682-4A0B-B83A-A9A6B5DBA468}"/>
    <hyperlink ref="BC235" location="'4.4.4'!A1" display="'4.4.4'!A1" xr:uid="{BE070B66-D0FE-47A0-A13A-852E056F1C21}"/>
    <hyperlink ref="BC268" location="'4.4.4'!A1" display="'4.4.4'!A1" xr:uid="{0684724D-52B5-4C36-98E7-A9879C0F50EC}"/>
    <hyperlink ref="BC297" location="'4.4.4'!A1" display="'4.4.4'!A1" xr:uid="{3B3313D2-9922-4D76-8118-BA1DCC77778C}"/>
    <hyperlink ref="BC9" location="'4.4.2'!A1" display="'4.4.2'!A1" xr:uid="{F22580CC-DA9F-4F90-BF6F-AE7E04D6C977}"/>
    <hyperlink ref="BC99" location="'4.4.2'!A1" display="'4.4.2'!A1" xr:uid="{7714C292-547B-47B4-A616-792BB8C2D0E6}"/>
    <hyperlink ref="BC236" location="'4.4.2'!A1" display="'4.4.2'!A1" xr:uid="{7961D387-1584-4E6C-A8B5-7073AC378835}"/>
    <hyperlink ref="BC269" location="'4.4.2'!A1" display="'4.4.2'!A1" xr:uid="{7F5A85E0-3D32-4038-9BBB-454101F189AF}"/>
    <hyperlink ref="BC298" location="'4.4.2'!A1" display="'4.4.2'!A1" xr:uid="{17754CE4-4F8D-4182-B1EA-3E9209CC21A5}"/>
    <hyperlink ref="BC10" location="'4.4.3'!A1" display="'4.4.3'!A1" xr:uid="{6D62C594-7B33-44DF-850E-8097498DE3D4}"/>
    <hyperlink ref="BC100" location="'4.4.3'!A1" display="'4.4.3'!A1" xr:uid="{3E44962E-45CD-4D43-9BB2-077CDE960359}"/>
    <hyperlink ref="BC11" location="'4.4.10'!A1" display="'4.4.10'!A1" xr:uid="{8CE01AF9-34D5-4907-8E38-D1CC8BF2262B}"/>
    <hyperlink ref="BC12" location="'4.4.10'!A1" display="'4.4.10'!A1" xr:uid="{D0E0391E-73DE-41E7-B820-1421BC6AE97A}"/>
    <hyperlink ref="BC13" location="'4.4.10'!A1" display="'4.4.10'!A1" xr:uid="{8D31496F-3337-4B2A-9FB1-7A6298D71C4F}"/>
    <hyperlink ref="BC14" location="'4.4.10'!A1" display="'4.4.10'!A1" xr:uid="{9FD40250-3705-457B-BAB6-519BB0C72ECA}"/>
    <hyperlink ref="BC15" location="'4.4.10'!A1" display="'4.4.10'!A1" xr:uid="{AA3AF5A8-0F07-4165-8958-5DAEA869BF42}"/>
    <hyperlink ref="BC102" location="'4.4.10'!A1" display="'4.4.10'!A1" xr:uid="{105585F1-5858-49E9-9BD5-685FCAC6879F}"/>
    <hyperlink ref="BC189" location="'4.4.10'!A1" display="'4.4.10'!A1" xr:uid="{2075FB08-F1D1-4897-9450-7BE99951C4A6}"/>
    <hyperlink ref="BC243" location="'4.4.10'!A1" display="'4.4.10'!A1" xr:uid="{4C98E435-751E-47D3-BB03-27A49430104F}"/>
    <hyperlink ref="BC244" location="'4.4.10'!A1" display="'4.4.10'!A1" xr:uid="{43BFFA9E-77FF-49FE-9BAE-16BE15AFEC04}"/>
    <hyperlink ref="BC245" location="'4.4.10'!A1" display="'4.4.10'!A1" xr:uid="{0A4CE304-064D-4292-B08E-EAA1CE94068B}"/>
    <hyperlink ref="BC246" location="'4.4.10'!A1" display="'4.4.10'!A1" xr:uid="{A78E8536-DCA2-4F30-A427-0EFB360D8318}"/>
    <hyperlink ref="BC276" location="'4.4.10'!A1" display="'4.4.10'!A1" xr:uid="{78103C5C-FA47-4B21-AEC2-1A60CE56E155}"/>
    <hyperlink ref="BC277" location="'4.4.10'!A1" display="'4.4.10'!A1" xr:uid="{3853AA23-8181-4624-9A62-1E6D685CE847}"/>
    <hyperlink ref="BC16" location="'4.4.10'!A1" display="'4.4.10'!A1" xr:uid="{FD7F8989-E54A-44DA-B8EF-82A0AD6C9535}"/>
    <hyperlink ref="BC17" location="'4.4.10'!A1" display="'4.4.10'!A1" xr:uid="{9D0C01F6-6FB5-4A0B-A827-FCF928A24DC4}"/>
    <hyperlink ref="BC18" location="'4.4.10'!A1" display="'4.4.10'!A1" xr:uid="{E3AD9561-E137-4E00-A25C-61E4E6A3385C}"/>
    <hyperlink ref="BC19" location="'4.4.10'!A1" display="'4.4.10'!A1" xr:uid="{158F4C62-E7EC-4DD8-A3B9-740EABDA2303}"/>
    <hyperlink ref="BC20" location="'4.4.10'!A1" display="'4.4.10'!A1" xr:uid="{CE5635BD-D301-4557-BCB0-734748F52590}"/>
    <hyperlink ref="BC101" location="'4.4.10'!A1" display="'4.4.10'!A1" xr:uid="{B2AB2089-67ED-4440-B747-AC901E624D86}"/>
    <hyperlink ref="BC247" location="'4.4.10'!A1" display="'4.4.10'!A1" xr:uid="{2B4CC220-3705-4781-A827-A94927D4E67B}"/>
    <hyperlink ref="BC248" location="'4.4.10'!A1" display="'4.4.10'!A1" xr:uid="{52A64CFF-74EB-4B44-9CC9-78091D988E62}"/>
    <hyperlink ref="BC278" location="'4.4.10'!A1" display="'4.4.10'!A1" xr:uid="{D7AB3641-5BC5-4F37-9338-576A2F7C7286}"/>
    <hyperlink ref="BC279" location="'4.4.10'!A1" display="'4.4.10'!A1" xr:uid="{05FA922F-1F91-4415-B701-02283DFEC6C2}"/>
    <hyperlink ref="BC304" location="'4.4.10'!A1" display="'4.4.10'!A1" xr:uid="{44D990EB-7038-4D26-9FE3-34B5E5312145}"/>
    <hyperlink ref="BC21" location="'4.3.1'!A1" display="'4.3.1'!A1" xr:uid="{1FC8DF2D-64A3-423A-BDD3-38A18947D256}"/>
    <hyperlink ref="BC22" location="'4.3.1'!A1" display="'4.3.1'!A1" xr:uid="{98876884-C0E2-47D6-BE96-73E82A863F65}"/>
    <hyperlink ref="BC104" location="'4.3.1'!A1" display="'4.3.1'!A1" xr:uid="{E69E2063-1C05-43E1-932A-A805C950CC2E}"/>
    <hyperlink ref="BC211" location="'4.3.1'!A1" display="'4.3.1'!A1" xr:uid="{04B0C6F6-20D1-4D88-951D-69ED796B5FA3}"/>
    <hyperlink ref="BC212" location="'4.3.1'!A1" display="'4.3.1'!A1" xr:uid="{022971A8-1BA4-450A-9151-F30E907EFA96}"/>
    <hyperlink ref="BC251" location="'4.3.1'!A1" display="'4.3.1'!A1" xr:uid="{273DCCD8-D6E7-4257-8529-ECA8328B9494}"/>
    <hyperlink ref="BC292" location="'4.3.1'!A1" display="'4.3.1'!A1" xr:uid="{10021CE6-DB85-409D-A80E-642B9539FF6B}"/>
    <hyperlink ref="BC293" location="'4.3.1'!A1" display="'4.3.1'!A1" xr:uid="{16ACEB69-4674-41B6-B80D-72CE10B57A41}"/>
    <hyperlink ref="BC24" location="'4.4.11'!A1" display="'4.4.11'!A1" xr:uid="{EBE66A30-580C-489D-8403-AD623B22B0F7}"/>
    <hyperlink ref="BC25" location="'4.4.11'!A1" display="'4.4.11'!A1" xr:uid="{89598CFC-EEFE-4BD1-A715-A3CD49B0CAEA}"/>
    <hyperlink ref="BC106" location="'4.4.11'!A1" display="'4.4.11'!A1" xr:uid="{7E83D8F1-9FAE-47D9-94AF-E5FDC045CE49}"/>
    <hyperlink ref="BC288" location="'4.4.11'!A1" display="'4.4.11'!A1" xr:uid="{10510497-4DA1-404C-B955-A91170229968}"/>
    <hyperlink ref="BC289" location="'4.4.11'!A1" display="'4.4.11'!A1" xr:uid="{F423A67D-79D9-4035-8CAC-26A6089D4150}"/>
    <hyperlink ref="BC299" location="'4.4.11'!A1" display="'4.4.11'!A1" xr:uid="{0D5ECF88-0A56-462B-AB74-B6C28DB78CFC}"/>
    <hyperlink ref="BC26" location="'4.4.5'!A1" display="'4.4.5'!A1" xr:uid="{EF0BC085-A7F5-4F11-A448-B79FDC7EF089}"/>
    <hyperlink ref="BC107" location="'4.4.5'!A1" display="'4.4.5'!A1" xr:uid="{6FAB1722-B615-40B6-BA1B-3755FE7FD287}"/>
    <hyperlink ref="BC290" location="'4.4.5'!A1" display="'4.4.5'!A1" xr:uid="{E4490F80-7B77-4D29-8E12-4E80E64B6CB4}"/>
    <hyperlink ref="BC27" location="'4.4.12'!A1" display="'4.4.12'!A1" xr:uid="{D7A02353-0DD2-46D9-B02C-313A37C625FE}"/>
    <hyperlink ref="BC28" location="'4.3.6'!A1" display="'4.3.6'!A1" xr:uid="{10AA1572-5749-466E-B2C5-33AC80266609}"/>
    <hyperlink ref="BC109" location="'4.3.6'!A1" display="'4.3.6'!A1" xr:uid="{B533EB34-28ED-4E2F-BAEE-086602DC8F3B}"/>
    <hyperlink ref="BC253" location="'4.3.6'!A1" display="'4.3.6'!A1" xr:uid="{48F02DCA-D3C7-40CC-9ABF-BFA42E88465A}"/>
    <hyperlink ref="BC35" location="'4.4.14'!A1" display="'4.4.14'!A1" xr:uid="{00D8A5E5-1032-481C-901B-3E02DCEBE510}"/>
    <hyperlink ref="BC36" location="'4.4.14'!A1" display="'4.4.14'!A1" xr:uid="{17D9EAFD-9287-48C0-8334-355EEEF5B323}"/>
    <hyperlink ref="BC37" location="'4.4.14'!A1" display="'4.4.14'!A1" xr:uid="{5C58F85C-59B9-4902-B7D9-ADCCE81005E5}"/>
    <hyperlink ref="BC38" location="'4.4.14'!A1" display="'4.4.14'!A1" xr:uid="{D0F74D2E-3AD7-464C-AB8C-47B62A1867FA}"/>
    <hyperlink ref="BC39" location="'4.4.14'!A1" display="'4.4.14'!A1" xr:uid="{3E9E8D28-A8F5-4E90-AF88-DC267CBF4DBA}"/>
    <hyperlink ref="BC40" location="'4.4.14'!A1" display="'4.4.14'!A1" xr:uid="{1EFB6883-4C24-45C4-B077-3BBE2B6D8425}"/>
    <hyperlink ref="BC41" location="'4.4.14'!A1" display="'4.4.14'!A1" xr:uid="{78707A3B-4011-4968-A747-E253C4A93D6E}"/>
    <hyperlink ref="BC42" location="'4.4.14'!A1" display="'4.4.14'!A1" xr:uid="{6D23947F-BE2D-4B6A-97F4-D18F25173D24}"/>
    <hyperlink ref="BC43" location="'4.4.14'!A1" display="'4.4.14'!A1" xr:uid="{4EBAAB74-9BC0-4D60-8550-BAA85E9BDA03}"/>
    <hyperlink ref="BC44" location="'4.4.14'!A1" display="'4.4.14'!A1" xr:uid="{9328105F-1FC9-4E9E-A137-311B31CAA114}"/>
    <hyperlink ref="BC45" location="'4.4.14'!A1" display="'4.4.14'!A1" xr:uid="{250FF534-DD47-49A0-BE31-F155A110BAE5}"/>
    <hyperlink ref="BC46" location="'4.4.14'!A1" display="'4.4.14'!A1" xr:uid="{EB5DCFAD-034D-4A7D-9129-EF12DCF62727}"/>
    <hyperlink ref="BC47" location="'4.4.14'!A1" display="'4.4.14'!A1" xr:uid="{6E61B8DA-8B2F-4B6F-B821-14FA2D978815}"/>
    <hyperlink ref="BC48" location="'4.4.14'!A1" display="'4.4.14'!A1" xr:uid="{6C79013A-1FB9-491A-918A-EA46932C4ECE}"/>
    <hyperlink ref="BC49" location="'4.4.14'!A1" display="'4.4.14'!A1" xr:uid="{AC8CD79B-64E6-4160-A51B-737CCAF0E8F9}"/>
    <hyperlink ref="BC115" location="'4.4.14'!A1" display="'4.4.14'!A1" xr:uid="{6A612093-E0CC-4440-8391-9F17E8556C1F}"/>
    <hyperlink ref="BC116" location="'4.4.14'!A1" display="'4.4.14'!A1" xr:uid="{CA00E376-DE93-4526-AF87-9BCC75FBAD58}"/>
    <hyperlink ref="BC117" location="'4.4.14'!A1" display="'4.4.14'!A1" xr:uid="{AF4D9B74-0D03-4B13-A20F-EBAAD8A1F772}"/>
    <hyperlink ref="BC199" location="'4.4.14'!A1" display="'4.4.14'!A1" xr:uid="{592ECDF5-547F-410E-B80C-F854B992B27C}"/>
    <hyperlink ref="BC200" location="'4.4.14'!A1" display="'4.4.14'!A1" xr:uid="{2088557B-71EB-45C7-A3BD-C5F6DF3DC511}"/>
    <hyperlink ref="BC201" location="'4.4.14'!A1" display="'4.4.14'!A1" xr:uid="{7E7EF4F2-FD90-4FF5-B913-6C99393A19FA}"/>
    <hyperlink ref="BC202" location="'4.4.14'!A1" display="'4.4.14'!A1" xr:uid="{4E24E061-F5C8-4129-86C8-99E26E86CE28}"/>
    <hyperlink ref="BC237" location="'4.4.14'!A1" display="'4.4.14'!A1" xr:uid="{889BD2E0-AAE6-4BEF-AE98-A19B1B225483}"/>
    <hyperlink ref="BC238" location="'4.4.14'!A1" display="'4.4.14'!A1" xr:uid="{5B971B23-F778-4D4A-BB51-6D87C2E6A4E3}"/>
    <hyperlink ref="BC239" location="'4.4.14'!A1" display="'4.4.14'!A1" xr:uid="{954B05FF-EAF9-47F8-92E1-4745277B1A12}"/>
    <hyperlink ref="BC240" location="'4.4.14'!A1" display="'4.4.14'!A1" xr:uid="{0D4AB4BA-3DEC-42CF-A215-C291BE7D1783}"/>
    <hyperlink ref="BC280" location="'4.4.14'!A1" display="'4.4.14'!A1" xr:uid="{E7C98B15-3885-4F72-83C7-F5B5D9CA8444}"/>
    <hyperlink ref="BC281" location="'4.4.14'!A1" display="'4.4.14'!A1" xr:uid="{24399959-A237-41C7-9D38-9C0F4C7C6637}"/>
    <hyperlink ref="BC282" location="'4.4.14'!A1" display="'4.4.14'!A1" xr:uid="{D5856019-95AC-4457-84DB-D58BEA88F320}"/>
    <hyperlink ref="BC203" location="'4.4.24 '!A1" display="'4.4.24 '!A1" xr:uid="{E05E64A5-0C07-4E5A-8C19-8CFD54D71058}"/>
    <hyperlink ref="BC204" location="'4.4.24 '!A1" display="'4.4.24 '!A1" xr:uid="{8DD23350-672F-4DE3-83B6-1977AAFCC1FB}"/>
    <hyperlink ref="BC205" location="'4.4.24 '!A1" display="'4.4.24 '!A1" xr:uid="{4C83121B-854E-4C47-B2CE-8A81E62D8F4E}"/>
    <hyperlink ref="BC206" location="'4.4.24 '!A1" display="'4.4.24 '!A1" xr:uid="{1278A481-A321-4DB9-96AC-39605157AB5D}"/>
    <hyperlink ref="BC241" location="'4.4.24 '!A1" display="'4.4.24 '!A1" xr:uid="{2F90036F-2CDD-4CAD-8679-A6E8EBD6F518}"/>
    <hyperlink ref="BC242" location="'4.4.24 '!A1" display="'4.4.24 '!A1" xr:uid="{C251EFCE-F898-4CDE-9833-059D03DF38BD}"/>
    <hyperlink ref="BC296" location="'4.4.24 '!A1" display="'4.4.24 '!A1" xr:uid="{D04A6B21-AE76-44D4-A66F-9133A0269B0E}"/>
    <hyperlink ref="BC50" location="'4.3.4'!A1" display="'4.3.4'!A1" xr:uid="{8E182CEF-0345-4DFF-B8B7-FE938F0A104F}"/>
    <hyperlink ref="BC51" location="'4.3.4'!A1" display="'4.3.4'!A1" xr:uid="{FDA02458-D6A3-4C2B-8E5F-CCD38EEC8B93}"/>
    <hyperlink ref="BC252" location="'4.3.4'!A1" display="'4.3.4'!A1" xr:uid="{68F153A9-6D89-4D37-BE01-9D95D9E0BF1F}"/>
    <hyperlink ref="BC52" location="'4.2.15'!A1" display="'4.2.15'!A1" xr:uid="{6965310E-5965-43DE-9137-A1A752959EF1}"/>
    <hyperlink ref="BC81" location="'4.2.15'!A1" display="'4.2.15'!A1" xr:uid="{EE3FD23E-0152-4384-95B5-40F68886F11D}"/>
    <hyperlink ref="BC53" location="'4.2.12'!A1" display="'4.2.12'!A1" xr:uid="{E5978BF8-A83C-4D6C-8A45-F7ECA63918A6}"/>
    <hyperlink ref="BC82" location="'4.2.12'!A1" display="'4.2.12'!A1" xr:uid="{E9CD0CDF-96AC-4086-954B-CDA20EC354EB}"/>
    <hyperlink ref="BC54" location="'4.2.17'!A1" display="'4.2.17'!A1" xr:uid="{940CEF6B-DBFD-497E-BC1F-5D2BBF3E8577}"/>
    <hyperlink ref="BC83" location="'4.2.17'!A1" display="'4.2.17'!A1" xr:uid="{843DEBB1-CB45-45CC-9EBD-19B01AC04FEB}"/>
    <hyperlink ref="BC55" location="'4.2.13'!A1" display="'4.2.13'!A1" xr:uid="{1E430481-7198-4A31-BE6B-3B008D6D38DC}"/>
    <hyperlink ref="BC84" location="'4.2.13'!A1" display="'4.2.13'!A1" xr:uid="{2E9DDFC4-F3E0-4761-9EF5-F118BC51E2F0}"/>
    <hyperlink ref="BC56" location="'4.2.14'!A1" display="'4.2.14'!A1" xr:uid="{9DBE490D-7AB0-4185-896C-B2C352AE34D5}"/>
    <hyperlink ref="BC85" location="'4.2.14'!A1" display="'4.2.14'!A1" xr:uid="{2570FA5A-2FB7-459E-9318-A38EC3ACECE1}"/>
    <hyperlink ref="BC57" location="'4.2.3'!A1" display="'4.2.3'!A1" xr:uid="{4F7144AF-DE39-4911-B67E-6A660048FDC7}"/>
    <hyperlink ref="BC86" location="'4.2.3'!A1" display="'4.2.3'!A1" xr:uid="{CD5A15EA-CA8C-4D32-981D-87A2CBCAF823}"/>
    <hyperlink ref="BC58" location="'4.2.5'!A1" display="'4.2.5'!A1" xr:uid="{8AC876AB-CE81-4D0C-B500-4C850F204C89}"/>
    <hyperlink ref="BC76" location="'4.2.5'!A1" display="'4.2.5'!A1" xr:uid="{373817FD-12FC-4D23-BFF0-4FB12D7F53C5}"/>
    <hyperlink ref="BC285" location="'4.2.5'!A1" display="'4.2.5'!A1" xr:uid="{5D37E860-C73A-4E74-9D11-8ABF4A6D33A9}"/>
    <hyperlink ref="BC59" location="'4.2.1'!A1" display="'4.2.1'!A1" xr:uid="{1BAD3F8E-B67D-4848-8EC8-5945A1D9645F}"/>
    <hyperlink ref="BC79" location="'4.2.1'!A1" display="'4.2.1'!A1" xr:uid="{22B782F6-2D3F-48EF-B693-40F08A8C6A77}"/>
    <hyperlink ref="BC61" location="'4.2.18'!A1" display="'4.2.18'!A1" xr:uid="{F956F5CA-DA04-4F1F-901B-0B0564FDA05A}"/>
    <hyperlink ref="BC80" location="'4.2.18'!A1" display="'4.2.18'!A1" xr:uid="{242021A6-BBFD-4204-8348-DBF5A377D5E6}"/>
    <hyperlink ref="BC63" location="'4.2.7'!A1" display="'4.2.7'!A1" xr:uid="{70DE8123-B6D4-4DE1-A1F0-40CD1DCEF93A}"/>
    <hyperlink ref="BC77" location="'4.2.7'!A1" display="'4.2.7'!A1" xr:uid="{864CF72B-E227-4E36-9AEB-063640630B84}"/>
    <hyperlink ref="BC64" location="'4.2.8'!A1" display="'4.2.8'!A1" xr:uid="{3201BE57-5A0E-43F9-8DF2-88DF7A952E04}"/>
    <hyperlink ref="BC78" location="'4.2.8'!A1" display="'4.2.8'!A1" xr:uid="{AFD9EB30-1838-45EE-815F-7816587CB06C}"/>
    <hyperlink ref="BC287" location="'4.2.8'!A1" display="'4.2.8'!A1" xr:uid="{8382A597-F833-4C09-B978-A651F5CA8272}"/>
    <hyperlink ref="BC65" location="'4.2.4'!A1" display="'4.2.4'!A1" xr:uid="{091BC120-C1D0-4776-B270-179FCF52B27A}"/>
    <hyperlink ref="BC87" location="'4.2.4'!A1" display="'4.2.4'!A1" xr:uid="{D82F9ACF-1FC9-4197-9715-E92643A211CE}"/>
    <hyperlink ref="BC68" location="'4.4.16'!A1" display="'4.4.16'!A1" xr:uid="{210936A5-7B38-45E3-8B44-73CF05650093}"/>
    <hyperlink ref="BC69" location="'4.4.16'!A1" display="'4.4.16'!A1" xr:uid="{C99A88E8-A96F-4CA3-A1AF-0EE8A2014991}"/>
    <hyperlink ref="BC70" location="'4.4.16'!A1" display="'4.4.16'!A1" xr:uid="{F6E24150-6C98-4097-99C9-6FAD7B158A68}"/>
    <hyperlink ref="BC71" location="'4.4.16'!A1" display="'4.4.16'!A1" xr:uid="{5B1FBEE4-B337-434C-A6FF-56EB8A30D354}"/>
    <hyperlink ref="BC72" location="'4.4.16'!A1" display="'4.4.16'!A1" xr:uid="{6B37EC22-8C63-4C79-AFB5-351833C2BC46}"/>
    <hyperlink ref="BC73" location="'4.4.16'!A1" display="'4.4.16'!A1" xr:uid="{6D28E638-EF46-4238-96C7-E4B8FA5577BF}"/>
    <hyperlink ref="BC74" location="'4.4.16'!A1" display="'4.4.16'!A1" xr:uid="{F248136D-B40E-4C7D-8E2E-874529091158}"/>
    <hyperlink ref="BC75" location="'4.4.16'!A1" display="'4.4.16'!A1" xr:uid="{95B602B4-3F33-4043-B27B-AD1F059253D4}"/>
    <hyperlink ref="BC110" location="'4.4.16'!A1" display="'4.4.16'!A1" xr:uid="{42ECB955-D6FE-4B51-84E3-B42E4FB67D1E}"/>
    <hyperlink ref="BC111" location="'4.4.16'!A1" display="'4.4.16'!A1" xr:uid="{288623E4-68D1-4AEE-BCC8-B5493B64C041}"/>
    <hyperlink ref="BC254" location="'4.4.16'!A1" display="'4.4.16'!A1" xr:uid="{88E0B687-FF4C-4D0B-BA90-D0BF1ADBD60D}"/>
    <hyperlink ref="BC270" location="'4.4.16'!A1" display="'4.4.16'!A1" xr:uid="{920CB3CF-71E8-42ED-9F03-D2377E40CD59}"/>
    <hyperlink ref="BC271" location="'4.4.16'!A1" display="'4.4.16'!A1" xr:uid="{B5CF97E8-1186-4D1F-8967-A68FAF1C5319}"/>
    <hyperlink ref="BC272" location="'4.4.16'!A1" display="'4.4.16'!A1" xr:uid="{40E06788-50D5-4E73-871D-951212824C3C}"/>
    <hyperlink ref="BC273" location="'4.4.16'!A1" display="'4.4.16'!A1" xr:uid="{B42ED0BE-493A-4666-98EB-7722D1598937}"/>
    <hyperlink ref="BC274" location="'4.4.16'!A1" display="'4.4.16'!A1" xr:uid="{3052BE47-3BD0-4DA6-8ED3-183571173BF6}"/>
    <hyperlink ref="BC275" location="'4.4.16'!A1" display="'4.4.16'!A1" xr:uid="{C7155693-AECB-42B9-A0F0-485880A0D495}"/>
    <hyperlink ref="BC301" location="'4.4.16'!A1" display="'4.4.16'!A1" xr:uid="{7E32081C-FC57-4753-BE3D-585782C18AB6}"/>
    <hyperlink ref="BC91" location="'4.2.11'!A1" display="'4.2.11'!A1" xr:uid="{905450F0-318C-47F2-AA43-BC7BA46CC4CB}"/>
    <hyperlink ref="BC92" location="'4.2.11'!A1" display="'4.2.11'!A1" xr:uid="{FF05A52F-7D57-48F6-9459-BA8950E0B1A2}"/>
    <hyperlink ref="BC93" location="'4.2.11'!A1" display="'4.2.11'!A1" xr:uid="{B1E7711C-ECA9-436F-8D97-E83A7167E4BF}"/>
    <hyperlink ref="BC118" location="'4.2.11'!A1" display="'4.2.11'!A1" xr:uid="{567C96B0-C80D-4657-A754-E98ACFC1FBBF}"/>
    <hyperlink ref="BC226" location="'4.2.11'!A1" display="'4.2.11'!A1" xr:uid="{5E3EC014-B22F-4565-ABBB-ED2314AFD63A}"/>
    <hyperlink ref="BC259" location="'4.2.11'!A1" display="'4.2.11'!A1" xr:uid="{1D6207BF-EFEA-4CCB-98C2-A14F5B147EBC}"/>
    <hyperlink ref="BC260" location="'4.2.11'!A1" display="'4.2.11'!A1" xr:uid="{3C64FB43-2095-4239-9BD3-B7F0B5972015}"/>
    <hyperlink ref="BC94" location="'4.3.2'!A1" display="'4.3.2'!A1" xr:uid="{5722E23E-CD0F-47A3-AAD8-C78419B00E1A}"/>
    <hyperlink ref="BC95" location="'4.3.2'!A1" display="'4.3.2'!A1" xr:uid="{0633D234-5F73-4123-BF3B-8E2B1763FFC9}"/>
    <hyperlink ref="BC263" location="'4.3.2'!A1" display="'4.3.2'!A1" xr:uid="{D13BDF44-4202-4773-A835-FCF67AE553D7}"/>
    <hyperlink ref="BC264" location="'4.3.2'!A1" display="'4.3.2'!A1" xr:uid="{F63AC249-65B0-4B27-96B3-1B54F84720B9}"/>
    <hyperlink ref="BC302" location="'4.3.2'!A1" display="'4.3.2'!A1" xr:uid="{E1BB14AB-CFC4-4077-ACD6-7A37AFEFDDD1}"/>
    <hyperlink ref="BC96" location="'4.3.3'!A1" display="'4.3.3'!A1" xr:uid="{9C4D9CFA-B986-4577-BD0A-0CE9A2B4582C}"/>
    <hyperlink ref="BC265" location="'4.3.3'!A1" display="'4.3.3'!A1" xr:uid="{359FF505-19C4-4C10-AED7-10493055E5AF}"/>
    <hyperlink ref="BC303" location="'4.3.3'!A1" display="'4.3.3'!A1" xr:uid="{A6BF5831-4E6F-42C0-AA13-FD012BBD002A}"/>
    <hyperlink ref="BC97" location="'4.3.2'!A1" display="'4.3.2'!A1" xr:uid="{56A0C699-6D0F-42A1-B665-03A72E1042B3}"/>
    <hyperlink ref="BC113" location="'4.3.2'!A1" display="'4.3.2'!A1" xr:uid="{67B775F8-F2C2-4A4D-B9C1-002C1CD1DC07}"/>
    <hyperlink ref="BC295" location="'4.3.2'!A1" display="'4.3.2'!A1" xr:uid="{4BC0894A-3E2B-46BC-A78E-5EB9A2525A13}"/>
    <hyperlink ref="BC103" location="'4.4.10'!A1" display="'4.4.10'!A1" xr:uid="{84C71A8B-7DD7-4F36-B632-658357A4D99D}"/>
    <hyperlink ref="BC142" location="'5.3.7'!A1" display="'5.3.7'!A1" xr:uid="{7D36AA2B-E3A3-42FE-AC2F-E334C379AC77}"/>
    <hyperlink ref="BC143" location="'5.3.7'!A1" display="'5.3.7'!A1" xr:uid="{64961358-5485-46F4-81CA-A0DDEFB759D8}"/>
    <hyperlink ref="BC144" location="'5.3.7'!A1" display="'5.3.7'!A1" xr:uid="{A1C6C82A-EA4A-4542-863C-DB9E827A5B49}"/>
    <hyperlink ref="BC145" location="'5.3.7'!A1" display="'5.3.7'!A1" xr:uid="{FC952F01-4EF3-4B0B-8CCB-A4A70331633D}"/>
    <hyperlink ref="BC148" location="'5.3.7'!A1" display="'5.3.7'!A1" xr:uid="{2ECF2914-EBE6-4022-A697-32A0B9818ACA}"/>
    <hyperlink ref="BC149" location="'5.3.7'!A1" display="'5.3.7'!A1" xr:uid="{80E61D22-4F6A-4C29-820E-B4A1D33C0DC2}"/>
    <hyperlink ref="BC190" location="'5.3.7'!A1" display="'5.3.7'!A1" xr:uid="{C90A8167-D54B-462F-BF56-80311A1FA693}"/>
    <hyperlink ref="BC249" location="'5.3.7'!A1" display="'5.3.7'!A1" xr:uid="{A6301019-19E2-435C-BB27-0FEB6C8EACA2}"/>
    <hyperlink ref="BC150" location="'5.3.16'!A1" display="'5.3.16'!A1" xr:uid="{B67C2E9F-BDEE-4951-8B43-AB9EB57267C1}"/>
    <hyperlink ref="BC151" location="'5.3.16'!A1" display="'5.3.16'!A1" xr:uid="{4486E768-77CD-4294-8044-1221B91377BE}"/>
    <hyperlink ref="BC160" location="'5.3.16'!A1" display="'5.3.16'!A1" xr:uid="{A7091726-C623-4B30-AAF6-EEAC325630BF}"/>
    <hyperlink ref="BC161" location="'5.3.16'!A1" display="'5.3.16'!A1" xr:uid="{0D475F6F-235A-4155-90D8-16646CF69AF6}"/>
    <hyperlink ref="BC185" location="'5.3.16'!A1" display="'5.3.16'!A1" xr:uid="{8A6D80E5-D4CC-4206-9F04-F003E66CCA4A}"/>
    <hyperlink ref="BC163" location="'5.6.1'!A1" display="'5.6.1'!A1" xr:uid="{FADA85A8-38D5-44ED-B0C8-600145BF49CB}"/>
    <hyperlink ref="BC171" location="'5.6.1'!A1" display="'5.6.1'!A1" xr:uid="{8D93D239-7E1D-4FF8-9491-5EDFAF5F4E87}"/>
    <hyperlink ref="BC181" location="'5.6.1'!A1" display="'5.6.1'!A1" xr:uid="{938D138E-B3D8-4E0F-A97D-C56D0F498700}"/>
    <hyperlink ref="BC164" location="'5.6.4'!A1" display="'5.6.4'!A1" xr:uid="{5E3C2323-5AC2-42D0-9215-B6EED554B29F}"/>
    <hyperlink ref="BC165" location="'5.6.4'!A1" display="'5.6.4'!A1" xr:uid="{6616C111-1A69-40B7-9672-A73443A86806}"/>
    <hyperlink ref="BC166" location="'5.6.4'!A1" display="'5.6.4'!A1" xr:uid="{3F23627C-A55A-49B9-A565-266535640FCB}"/>
    <hyperlink ref="BC167" location="'5.6.4'!A1" display="'5.6.4'!A1" xr:uid="{6B89524F-515B-4E2B-A670-F6F9FCD01E4E}"/>
    <hyperlink ref="BC172" location="'5.6.4'!A1" display="'5.6.4'!A1" xr:uid="{6F77D3A3-9B8F-4977-8715-517128C4FB03}"/>
    <hyperlink ref="BC173" location="'5.6.4'!A1" display="'5.6.4'!A1" xr:uid="{4359BFDA-C4F7-4307-AF0C-004BD37BA528}"/>
    <hyperlink ref="BC174" location="'5.6.4'!A1" display="'5.6.4'!A1" xr:uid="{3C654B39-CDFE-4F56-8C59-ECA7088EAAEB}"/>
    <hyperlink ref="BC175" location="'5.6.4'!A1" display="'5.6.4'!A1" xr:uid="{727FB231-C172-403C-9CF9-CFB0B4CB7527}"/>
    <hyperlink ref="BC182" location="'5.6.4'!A1" display="'5.6.4'!A1" xr:uid="{2539A501-252F-43FC-B39E-5BB11A6CA42F}"/>
    <hyperlink ref="BC183" location="'5.6.4'!A1" display="'5.6.4'!A1" xr:uid="{EFC1CE4F-1D1A-40C3-B29B-2506B5EB5A41}"/>
    <hyperlink ref="BC184" location="'5.6.4'!A1" display="'5.6.4'!A1" xr:uid="{11818819-4B17-48B9-B73E-988C0EF3C514}"/>
    <hyperlink ref="BC168" location="'5.3.4'!A1" display="'5.3.4'!A1" xr:uid="{4D40B258-1F2A-4B96-9618-32A50756346F}"/>
    <hyperlink ref="BC176" location="'5.3.4'!A1" display="'5.3.4'!A1" xr:uid="{36C624CE-6CF7-48D1-A885-8693C78E231C}"/>
    <hyperlink ref="BC214" location="'5.3.4'!A1" display="'5.3.4'!A1" xr:uid="{817C1C68-1F3E-4547-85D8-386B5B90E500}"/>
    <hyperlink ref="BC169" location="'5.6.4'!A1" display="'5.6.4'!A1" xr:uid="{E4BD494D-7044-4844-BCD2-2046854997D9}"/>
    <hyperlink ref="BC177" location="'5.6.4'!A1" display="'5.6.4'!A1" xr:uid="{09A1F522-B983-427C-96B7-753A39844AE5}"/>
    <hyperlink ref="BC186" location="'5.6.4'!A1" display="'5.6.4'!A1" xr:uid="{33DB50EE-2784-439A-8783-D540164149FC}"/>
    <hyperlink ref="BC170" location="'5.6.2'!A1" display="'5.6.2'!A1" xr:uid="{C32A7FB2-BE2A-4221-BB2E-5DBD833D23CB}"/>
    <hyperlink ref="BC178" location="'5.6.2'!A1" display="'5.6.2'!A1" xr:uid="{E934844E-842B-4BDE-A877-A0C15F60F2F3}"/>
    <hyperlink ref="BC187" location="'5.6.2'!A1" display="'5.6.2'!A1" xr:uid="{12105A55-3746-4537-B202-4275425855FC}"/>
    <hyperlink ref="BC192" location="'5.4.4'!A1" display="'5.4.4'!A1" xr:uid="{D8AB2900-5AF7-45F6-AC1B-88FCE4E3EF94}"/>
    <hyperlink ref="BC193" location="'5.4.4'!A1" display="'5.4.4'!A1" xr:uid="{3366F7DF-2E98-4B55-887E-6DB12AA19648}"/>
    <hyperlink ref="BC194" location="'5.4.4'!A1" display="'5.4.4'!A1" xr:uid="{1CD58C14-D5DF-47F8-9B68-3AFA245BA11F}"/>
    <hyperlink ref="BC195" location="'5.4.4'!A1" display="'5.4.4'!A1" xr:uid="{F22E4AC4-B730-4C99-9140-9FD3D2F6349D}"/>
    <hyperlink ref="BC218" location="'5.4.4'!A1" display="'5.4.4'!A1" xr:uid="{4ADD93F0-65A5-48BB-8897-EDC45BAF3E72}"/>
    <hyperlink ref="BC219" location="'5.4.4'!A1" display="'5.4.4'!A1" xr:uid="{7AEF56BC-6018-4547-B6FF-4748F8B8715E}"/>
    <hyperlink ref="BC220" location="'5.4.4'!A1" display="'5.4.4'!A1" xr:uid="{010E9529-CC8B-47B9-A6DF-535BEC4A3F68}"/>
    <hyperlink ref="BC221" location="'5.4.4'!A1" display="'5.4.4'!A1" xr:uid="{E5E4200E-B97B-4FE4-8247-B00844ADAAB3}"/>
    <hyperlink ref="BC146" location="'5.3.6'!A1" display="'5.3.6'!A1" xr:uid="{C09F165B-50D9-42D7-8D83-F5F37F13365B}"/>
    <hyperlink ref="BC153" location="'5.4.4'!A1" display="'5.4.4'!A1" xr:uid="{83F55EBC-A83B-436C-A76E-8114D242B045}"/>
    <hyperlink ref="BC152" location="'5.4.4'!A1" display="'5.4.4'!A1" xr:uid="{ADCC2E20-75F9-47D0-AAA2-AF02FC8FAE17}"/>
    <hyperlink ref="BC154" location="'5.4.5'!A1" display="'5.4.5'!A1" xr:uid="{07FCD4D8-E84D-4EBF-9158-D1E13786CF25}"/>
    <hyperlink ref="BC155" location="'5.4.5'!A1" display="'5.4.5'!A1" xr:uid="{0178BC30-DFE7-4DFE-BE12-8A7A44E281EC}"/>
    <hyperlink ref="BC196" location="'5.4.5'!A1" display="'5.4.5'!A1" xr:uid="{D80136D9-B979-49C0-A6FF-02CD1ABCB84D}"/>
    <hyperlink ref="BC197" location="'5.4.5'!A1" display="'5.4.5'!A1" xr:uid="{0ECBFB6C-620A-456C-A6B8-D6FE21C39D07}"/>
    <hyperlink ref="BC222" location="'5.4.5'!A1" display="'5.4.5'!A1" xr:uid="{E0CE7131-C7CC-42B9-83A2-7CDA4A1DD52C}"/>
    <hyperlink ref="BC223" location="'5.4.5'!A1" display="'5.4.5'!A1" xr:uid="{FC28296B-A85C-4498-A399-EDBB6F2566C1}"/>
    <hyperlink ref="BC224" location="'5.4.5'!A1" display="'5.4.5'!A1" xr:uid="{8CC98633-5CD7-444E-BE01-A722AC2147F2}"/>
    <hyperlink ref="BC225" location="'5.4.5'!A1" display="'5.4.5'!A1" xr:uid="{17465AEE-8AE5-410A-8A12-BC1A1114DF8E}"/>
    <hyperlink ref="BC156" location="'5.4.6'!A1" display="'5.4.6'!A1" xr:uid="{5893421B-DE91-456C-A138-66E62CAA1A40}"/>
    <hyperlink ref="BC230" location="'5.4.6'!A1" display="'5.4.6'!A1" xr:uid="{B3905211-28AD-45AC-B04D-1F781E3B6594}"/>
    <hyperlink ref="BC159" location="'5.3.11'!A1" display="'5.3.11'!A1" xr:uid="{1B43132A-9739-42CE-9C15-5AF55909976D}"/>
    <hyperlink ref="BC227" location="'5.3.11'!A1" display="'5.3.11'!A1" xr:uid="{0A40C834-39AD-43CD-937B-76A14A4F56FE}"/>
    <hyperlink ref="BC228" location="'5.3.11'!A1" display="'5.3.11'!A1" xr:uid="{E81E24FE-D99C-4833-B31D-C82BFF8EB58A}"/>
    <hyperlink ref="BC229" location="'5.3.11'!A1" display="'5.3.11'!A1" xr:uid="{317B733A-E682-48DE-AADA-04A042F5F0D5}"/>
    <hyperlink ref="BC157" location="'5.4.1'!A1" display="'5.4.1'!A1" xr:uid="{6C394F8F-9484-4374-B383-2FEA400085EC}"/>
    <hyperlink ref="BC108" location="'4.4.12'!A1" display="'4.4.12'!A1" xr:uid="{8B426ED4-68A0-49F2-A313-743582A38486}"/>
    <hyperlink ref="BC291" location="'4.4.12'!A1" display="'4.4.12'!A1" xr:uid="{69D993C7-0B7C-4177-ADC0-D4BD16446A5F}"/>
    <hyperlink ref="BC105" location="'4.4.18'!A1" display="'4.4.18'!A1" xr:uid="{76D6C29D-10A1-41BD-9BF0-7CAFFF82384F}"/>
    <hyperlink ref="BC250" location="'4.4.18'!A1" display="'4.4.18'!A1" xr:uid="{9D48FA3D-DC7B-4C05-AF47-89DF6CAC1995}"/>
    <hyperlink ref="BC33" location="'4.4.19'!A1" display="'4.4.19'!A1" xr:uid="{C5FCD338-62D3-43D0-84CD-B1DFE8601175}"/>
    <hyperlink ref="BC34" location="'4.8.4'!A1" display="'4.8.4'!A1" xr:uid="{050DD1BC-68A7-42A7-B57E-B02D606EA221}"/>
    <hyperlink ref="BC114" location="'4.8.4'!A1" display="'4.8.4'!A1" xr:uid="{54AA57DB-C625-4D1F-9288-938F21224B9C}"/>
    <hyperlink ref="BC255" location="'4.8.4'!A1" display="'4.8.4'!A1" xr:uid="{D322633D-9B97-435C-8562-20E36FF776A5}"/>
    <hyperlink ref="BC147" location="'5.3.13'!A1" display="'5.3.13'!A1" xr:uid="{3F3116B5-B123-4F6C-9B42-3EEB3F4892C7}"/>
    <hyperlink ref="BC213" location="'5.4.2'!A1" display="'5.4.2'!A1" xr:uid="{E630DA19-1A67-4BDC-9852-467C97EF6462}"/>
    <hyperlink ref="BC188" location="'5.6.3'!A1" display="'5.6.3'!A1" xr:uid="{0C10405E-CD47-472D-A7B0-876EB2485B62}"/>
    <hyperlink ref="BC136" location="Kits!A1" display="5.4.4, 5.4.5, 5.4.6, 5.4.9" xr:uid="{9DC073A0-45BC-40B3-886B-110BC2DC441C}"/>
    <hyperlink ref="BC137" location="Kits!A1" display="5.4.4, 5.4.5, 5.4.6, 5.4.9" xr:uid="{9F787676-EA7A-49F8-8BB9-EF72D7F9FAC5}"/>
    <hyperlink ref="BC138" location="Kits!A1" display="5.4.4, 5.4.5, 5.4.6, 5.4.9" xr:uid="{45334DEA-E990-454A-A105-6242304DDAFF}"/>
    <hyperlink ref="BC139" location="Kits!A1" display="5.4.4, 5.4.5, 5.4.6, 5.4.9" xr:uid="{BFABC9E0-AB78-4D37-A44D-7238247EBA17}"/>
    <hyperlink ref="BC140" location="Kits!A1" display="5.4.4, 5.4.5, 5.4.6, 5.4.9" xr:uid="{D2D7E13C-E6FE-4AEF-9E5D-610F307539F1}"/>
    <hyperlink ref="BC141" location="Kits!A1" display="5.4.4, 5.4.5, 5.4.6, 5.4.9" xr:uid="{165AE7B8-60D6-4873-A31A-0E0BAAC305E3}"/>
  </hyperlinks>
  <printOptions headings="1" gridLines="1"/>
  <pageMargins left="0.25" right="0.25" top="0.75" bottom="0.75" header="0.3" footer="0.3"/>
  <pageSetup scale="20" fitToWidth="5" orientation="landscape" r:id="rId3"/>
  <headerFooter>
    <oddFooter>&amp;L&amp;"Arial,Regular"&amp;14&amp;A
&amp;F&amp;C&amp;"Arial,Regular"&amp;14&amp;P</oddFooter>
  </headerFooter>
  <colBreaks count="8" manualBreakCount="8">
    <brk id="15" max="310" man="1"/>
    <brk id="24" max="310" man="1"/>
    <brk id="30" max="310" man="1"/>
    <brk id="36" max="310" man="1"/>
    <brk id="42" max="310" man="1"/>
    <brk id="48" max="310" man="1"/>
    <brk id="53" max="310" man="1"/>
    <brk id="74" max="310" man="1"/>
  </colBreaks>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79998168889431442"/>
    <pageSetUpPr fitToPage="1"/>
  </sheetPr>
  <dimension ref="A1:AG116"/>
  <sheetViews>
    <sheetView view="pageBreakPreview" zoomScale="85" zoomScaleNormal="85" zoomScaleSheetLayoutView="85" workbookViewId="0"/>
  </sheetViews>
  <sheetFormatPr defaultRowHeight="14.5" x14ac:dyDescent="0.35"/>
  <cols>
    <col min="1" max="1" width="15.7265625" customWidth="1"/>
    <col min="2" max="2" width="101.81640625" customWidth="1"/>
    <col min="3" max="3" width="48.81640625" customWidth="1"/>
    <col min="4" max="4" width="17.453125" customWidth="1"/>
    <col min="5" max="5" width="19.453125" customWidth="1"/>
    <col min="6" max="6" width="32.26953125" customWidth="1"/>
    <col min="7" max="7" width="16.1796875" bestFit="1" customWidth="1"/>
    <col min="8" max="8" width="42.1796875" customWidth="1"/>
    <col min="9" max="9" width="11.26953125" customWidth="1"/>
    <col min="10" max="10" width="10.7265625" customWidth="1"/>
    <col min="12" max="12" width="9.1796875" customWidth="1"/>
    <col min="13" max="13" width="11" bestFit="1" customWidth="1"/>
    <col min="15" max="15" width="10" bestFit="1" customWidth="1"/>
    <col min="16" max="16" width="12.54296875" bestFit="1" customWidth="1"/>
    <col min="18" max="18" width="12.54296875" customWidth="1"/>
  </cols>
  <sheetData>
    <row r="1" spans="1:33" x14ac:dyDescent="0.35">
      <c r="A1" s="268" t="s">
        <v>306</v>
      </c>
    </row>
    <row r="2" spans="1:33" x14ac:dyDescent="0.35">
      <c r="A2" s="1123"/>
      <c r="B2" s="1172" t="s">
        <v>1040</v>
      </c>
      <c r="C2" s="1176"/>
      <c r="D2" s="1176"/>
      <c r="E2" s="1124"/>
      <c r="F2" s="1124"/>
      <c r="G2" s="1177"/>
      <c r="H2" s="1177"/>
      <c r="I2" s="1177"/>
      <c r="J2" s="1177"/>
      <c r="K2" s="1177"/>
      <c r="L2" s="1177"/>
      <c r="M2" s="2248" t="s">
        <v>335</v>
      </c>
      <c r="N2" s="2248"/>
      <c r="O2" s="2248"/>
      <c r="P2" s="2248" t="s">
        <v>336</v>
      </c>
      <c r="Q2" s="2248"/>
      <c r="R2" s="2216"/>
      <c r="S2" s="2270" t="s">
        <v>337</v>
      </c>
      <c r="T2" s="2271"/>
      <c r="U2" s="2271"/>
      <c r="V2" s="2271"/>
      <c r="W2" s="2271"/>
      <c r="X2" s="2271"/>
      <c r="Y2" s="2271"/>
      <c r="Z2" s="2271"/>
      <c r="AA2" s="2271"/>
      <c r="AB2" s="2271"/>
      <c r="AC2" s="2271"/>
      <c r="AD2" s="2271"/>
      <c r="AE2" s="2271"/>
      <c r="AF2" s="2271"/>
      <c r="AG2" t="s">
        <v>1041</v>
      </c>
    </row>
    <row r="3" spans="1:33" ht="29" x14ac:dyDescent="0.35">
      <c r="A3" s="1145" t="s">
        <v>338</v>
      </c>
      <c r="B3" s="1129" t="s">
        <v>1</v>
      </c>
      <c r="C3" s="1129" t="s">
        <v>339</v>
      </c>
      <c r="D3" s="1129" t="s">
        <v>688</v>
      </c>
      <c r="E3" s="1177" t="s">
        <v>342</v>
      </c>
      <c r="F3" s="1177" t="s">
        <v>1042</v>
      </c>
      <c r="G3" s="1177" t="s">
        <v>343</v>
      </c>
      <c r="H3" s="1177" t="s">
        <v>1043</v>
      </c>
      <c r="I3" s="1177" t="s">
        <v>1044</v>
      </c>
      <c r="J3" s="1177" t="s">
        <v>345</v>
      </c>
      <c r="K3" s="1177" t="s">
        <v>839</v>
      </c>
      <c r="L3" s="1177" t="s">
        <v>1045</v>
      </c>
      <c r="M3" s="1177" t="s">
        <v>347</v>
      </c>
      <c r="N3" s="1177" t="s">
        <v>348</v>
      </c>
      <c r="O3" s="1177" t="s">
        <v>349</v>
      </c>
      <c r="P3" s="1177" t="s">
        <v>347</v>
      </c>
      <c r="Q3" s="1177" t="s">
        <v>348</v>
      </c>
      <c r="R3" s="1177" t="s">
        <v>349</v>
      </c>
      <c r="S3" s="424" t="s">
        <v>1046</v>
      </c>
      <c r="T3" s="424" t="s">
        <v>1047</v>
      </c>
      <c r="U3" s="62" t="s">
        <v>1048</v>
      </c>
      <c r="V3" s="62" t="s">
        <v>1049</v>
      </c>
      <c r="W3" s="62" t="s">
        <v>1050</v>
      </c>
      <c r="X3" s="62" t="s">
        <v>1051</v>
      </c>
      <c r="Y3" s="62" t="s">
        <v>1052</v>
      </c>
      <c r="Z3" s="62" t="s">
        <v>1053</v>
      </c>
      <c r="AA3" s="62" t="s">
        <v>1054</v>
      </c>
      <c r="AB3" s="62" t="s">
        <v>1055</v>
      </c>
      <c r="AC3" s="62" t="s">
        <v>614</v>
      </c>
      <c r="AD3" s="62" t="s">
        <v>1056</v>
      </c>
      <c r="AE3" s="424" t="s">
        <v>1057</v>
      </c>
      <c r="AF3" s="62" t="s">
        <v>1058</v>
      </c>
      <c r="AG3" s="1219" t="s">
        <v>1059</v>
      </c>
    </row>
    <row r="4" spans="1:33" x14ac:dyDescent="0.35">
      <c r="A4" s="1131" t="s">
        <v>1060</v>
      </c>
      <c r="B4" s="1131" t="str">
        <f>$B$2&amp;" - "&amp;H4&amp;", "&amp;F4</f>
        <v>Steam Trap Replacement or Repair  - Industrial Medium Pressure &gt;15 psig &lt; 30 psig, Custom Survey</v>
      </c>
      <c r="C4" s="1132" t="s">
        <v>190</v>
      </c>
      <c r="D4" s="1133" t="s">
        <v>1061</v>
      </c>
      <c r="E4" s="135" t="s">
        <v>356</v>
      </c>
      <c r="F4" s="1148" t="s">
        <v>1062</v>
      </c>
      <c r="G4" s="1179">
        <f t="shared" ref="G4:G15" si="0">+$B$54</f>
        <v>6</v>
      </c>
      <c r="H4" s="1148" t="s">
        <v>1063</v>
      </c>
      <c r="I4" s="1148" t="s">
        <v>295</v>
      </c>
      <c r="J4" s="1179" t="s">
        <v>357</v>
      </c>
      <c r="K4" s="1204"/>
      <c r="L4" s="1182"/>
      <c r="M4" s="1182"/>
      <c r="N4" s="1184"/>
      <c r="O4" s="1182">
        <f>T4*(AA4/AB4)*AC4*AE4/100000</f>
        <v>639.19118528437491</v>
      </c>
      <c r="P4" s="1182"/>
      <c r="Q4" s="1182"/>
      <c r="R4" s="1205">
        <f t="shared" ref="R4:R9" si="1">O4*G4</f>
        <v>3835.1471117062492</v>
      </c>
      <c r="S4" s="62">
        <f t="shared" ref="S4:S12" si="2">VLOOKUP(I4, $C$60:$D$65, 2, FALSE)</f>
        <v>13</v>
      </c>
      <c r="T4" s="153">
        <f t="shared" ref="T4:T9" si="3">+($B$52*$U4*($X4^2)*$Y4*$Z4)</f>
        <v>6.5405390624999988</v>
      </c>
      <c r="U4" s="463">
        <f>+V4+W4</f>
        <v>30.7</v>
      </c>
      <c r="V4" s="463">
        <f t="shared" ref="V4:V9" si="4">VLOOKUP($H4,$B$103:$G$112,2,FALSE)</f>
        <v>16</v>
      </c>
      <c r="W4" s="463">
        <f t="shared" ref="W4:W9" si="5">+$B$44</f>
        <v>14.7</v>
      </c>
      <c r="X4" s="62">
        <f t="shared" ref="X4:X9" si="6">VLOOKUP($H4,$B$103:$G$112,3,FALSE)</f>
        <v>0.1875</v>
      </c>
      <c r="Y4" s="62">
        <f t="shared" ref="Y4:Y9" si="7">VLOOKUP($H4,$B$103:$G$112,4,FALSE)</f>
        <v>0.5</v>
      </c>
      <c r="Z4" s="62">
        <f t="shared" ref="Z4:Z9" si="8">VLOOKUP($H4,$B$103:$G$112,5,FALSE)</f>
        <v>0.5</v>
      </c>
      <c r="AA4" s="62">
        <f t="shared" ref="AA4:AA12" si="9">VLOOKUP(H4,$B$74:$F$82,5,FALSE)</f>
        <v>944</v>
      </c>
      <c r="AB4" s="324">
        <f t="shared" ref="AB4:AB12" si="10">VLOOKUP(H4,$B$74:$G$82,6,FALSE)</f>
        <v>0.8</v>
      </c>
      <c r="AC4" s="62">
        <f t="shared" ref="AC4:AC12" si="11">VLOOKUP(H4,$B$74:$N$82,S4,FALSE)</f>
        <v>8282</v>
      </c>
      <c r="AD4" s="75">
        <f t="shared" ref="AD4:AD13" si="12">+$B$48</f>
        <v>0.5</v>
      </c>
      <c r="AE4" s="62">
        <f t="shared" ref="AE4:AE12" si="13">VLOOKUP(F4,$B$87:$K$89,AF4,FALSE)</f>
        <v>1</v>
      </c>
      <c r="AF4" s="62">
        <f t="shared" ref="AF4:AF12" si="14">VLOOKUP(H4,$B$92:$C$100,2,FALSE)</f>
        <v>5</v>
      </c>
      <c r="AG4" t="s">
        <v>1064</v>
      </c>
    </row>
    <row r="5" spans="1:33" x14ac:dyDescent="0.35">
      <c r="A5" s="1131" t="s">
        <v>1065</v>
      </c>
      <c r="B5" s="1131" t="str">
        <f t="shared" ref="B5:B10" si="15">$B$2&amp;" - "&amp;H5&amp;", "&amp;F5</f>
        <v>Steam Trap Replacement or Repair  - Industrial Medium Pressure ≥30 &lt;75 psig, Custom Survey</v>
      </c>
      <c r="C5" s="1132" t="s">
        <v>191</v>
      </c>
      <c r="D5" s="1133" t="s">
        <v>1061</v>
      </c>
      <c r="E5" s="135" t="s">
        <v>356</v>
      </c>
      <c r="F5" s="1148" t="s">
        <v>1062</v>
      </c>
      <c r="G5" s="1179">
        <f t="shared" si="0"/>
        <v>6</v>
      </c>
      <c r="H5" s="1148" t="s">
        <v>1066</v>
      </c>
      <c r="I5" s="1148" t="s">
        <v>295</v>
      </c>
      <c r="J5" s="1179" t="s">
        <v>357</v>
      </c>
      <c r="K5" s="1204"/>
      <c r="L5" s="1182"/>
      <c r="M5" s="1182"/>
      <c r="N5" s="1184"/>
      <c r="O5" s="1182">
        <f t="shared" ref="O5:O12" si="16">T5*(AA5/AB5)*AC5*AE5/100000</f>
        <v>2213.6254477031248</v>
      </c>
      <c r="P5" s="1182"/>
      <c r="Q5" s="1182"/>
      <c r="R5" s="1205">
        <f t="shared" si="1"/>
        <v>13281.752686218748</v>
      </c>
      <c r="S5" s="62">
        <f t="shared" si="2"/>
        <v>13</v>
      </c>
      <c r="T5" s="153">
        <f t="shared" si="3"/>
        <v>23.368874999999999</v>
      </c>
      <c r="U5" s="62">
        <f t="shared" ref="U5:U9" si="17">+V5+W5</f>
        <v>61.7</v>
      </c>
      <c r="V5" s="62">
        <f t="shared" si="4"/>
        <v>47</v>
      </c>
      <c r="W5" s="62">
        <f t="shared" si="5"/>
        <v>14.7</v>
      </c>
      <c r="X5" s="62">
        <f t="shared" si="6"/>
        <v>0.25</v>
      </c>
      <c r="Y5" s="62">
        <f t="shared" si="7"/>
        <v>0.5</v>
      </c>
      <c r="Z5" s="62">
        <f t="shared" si="8"/>
        <v>0.5</v>
      </c>
      <c r="AA5" s="62">
        <f t="shared" si="9"/>
        <v>915</v>
      </c>
      <c r="AB5" s="324">
        <f t="shared" si="10"/>
        <v>0.8</v>
      </c>
      <c r="AC5" s="62">
        <f t="shared" si="11"/>
        <v>8282</v>
      </c>
      <c r="AD5" s="75">
        <f t="shared" si="12"/>
        <v>0.5</v>
      </c>
      <c r="AE5" s="62">
        <f t="shared" si="13"/>
        <v>1</v>
      </c>
      <c r="AF5" s="62">
        <f t="shared" si="14"/>
        <v>6</v>
      </c>
    </row>
    <row r="6" spans="1:33" x14ac:dyDescent="0.35">
      <c r="A6" s="1131" t="s">
        <v>1067</v>
      </c>
      <c r="B6" s="1131" t="str">
        <f t="shared" si="15"/>
        <v>Steam Trap Replacement or Repair  - Industrial High Pressure ≥75 &lt;125 psig, Custom Survey</v>
      </c>
      <c r="C6" s="1132" t="s">
        <v>192</v>
      </c>
      <c r="D6" s="1133" t="s">
        <v>1061</v>
      </c>
      <c r="E6" s="135" t="s">
        <v>356</v>
      </c>
      <c r="F6" s="1148" t="s">
        <v>1062</v>
      </c>
      <c r="G6" s="1179">
        <f t="shared" si="0"/>
        <v>6</v>
      </c>
      <c r="H6" s="1148" t="s">
        <v>1068</v>
      </c>
      <c r="I6" s="1148" t="s">
        <v>295</v>
      </c>
      <c r="J6" s="1179" t="s">
        <v>357</v>
      </c>
      <c r="K6" s="1204"/>
      <c r="L6" s="1182"/>
      <c r="M6" s="1182"/>
      <c r="N6" s="1184"/>
      <c r="O6" s="1182">
        <f t="shared" si="16"/>
        <v>3992.2149052499999</v>
      </c>
      <c r="P6" s="1182"/>
      <c r="Q6" s="1182"/>
      <c r="R6" s="1205">
        <f t="shared" si="1"/>
        <v>23953.289431500001</v>
      </c>
      <c r="S6" s="62">
        <f t="shared" si="2"/>
        <v>13</v>
      </c>
      <c r="T6" s="153">
        <f t="shared" si="3"/>
        <v>43.821374999999996</v>
      </c>
      <c r="U6" s="62">
        <f t="shared" si="17"/>
        <v>115.7</v>
      </c>
      <c r="V6" s="62">
        <f t="shared" si="4"/>
        <v>101</v>
      </c>
      <c r="W6" s="62">
        <f t="shared" si="5"/>
        <v>14.7</v>
      </c>
      <c r="X6" s="62">
        <f t="shared" si="6"/>
        <v>0.25</v>
      </c>
      <c r="Y6" s="62">
        <f t="shared" si="7"/>
        <v>0.5</v>
      </c>
      <c r="Z6" s="62">
        <f t="shared" si="8"/>
        <v>0.5</v>
      </c>
      <c r="AA6" s="62">
        <f t="shared" si="9"/>
        <v>880</v>
      </c>
      <c r="AB6" s="324">
        <f t="shared" si="10"/>
        <v>0.8</v>
      </c>
      <c r="AC6" s="62">
        <f t="shared" si="11"/>
        <v>8282</v>
      </c>
      <c r="AD6" s="75">
        <f t="shared" si="12"/>
        <v>0.5</v>
      </c>
      <c r="AE6" s="62">
        <f t="shared" si="13"/>
        <v>1</v>
      </c>
      <c r="AF6" s="62">
        <f t="shared" si="14"/>
        <v>7</v>
      </c>
    </row>
    <row r="7" spans="1:33" x14ac:dyDescent="0.35">
      <c r="A7" s="1131" t="s">
        <v>1069</v>
      </c>
      <c r="B7" s="1131" t="str">
        <f t="shared" si="15"/>
        <v>Steam Trap Replacement or Repair  - Industrial High Pressure ≥125 &lt;175 psig, Custom Survey</v>
      </c>
      <c r="C7" s="1132" t="s">
        <v>193</v>
      </c>
      <c r="D7" s="1133" t="s">
        <v>1061</v>
      </c>
      <c r="E7" s="135" t="s">
        <v>356</v>
      </c>
      <c r="F7" s="1148" t="s">
        <v>1062</v>
      </c>
      <c r="G7" s="1179">
        <f t="shared" si="0"/>
        <v>6</v>
      </c>
      <c r="H7" s="1148" t="s">
        <v>1070</v>
      </c>
      <c r="I7" s="1148" t="s">
        <v>295</v>
      </c>
      <c r="J7" s="1179" t="s">
        <v>357</v>
      </c>
      <c r="K7" s="1204"/>
      <c r="L7" s="1182"/>
      <c r="M7" s="1182"/>
      <c r="N7" s="1184"/>
      <c r="O7" s="1182">
        <f t="shared" si="16"/>
        <v>5412.6123143718742</v>
      </c>
      <c r="P7" s="1182"/>
      <c r="Q7" s="1182"/>
      <c r="R7" s="1205">
        <f t="shared" si="1"/>
        <v>32475.673886231245</v>
      </c>
      <c r="S7" s="62">
        <f t="shared" si="2"/>
        <v>13</v>
      </c>
      <c r="T7" s="153">
        <f t="shared" si="3"/>
        <v>60.865124999999992</v>
      </c>
      <c r="U7" s="62">
        <f t="shared" si="17"/>
        <v>160.69999999999999</v>
      </c>
      <c r="V7" s="62">
        <f t="shared" si="4"/>
        <v>146</v>
      </c>
      <c r="W7" s="62">
        <f t="shared" si="5"/>
        <v>14.7</v>
      </c>
      <c r="X7" s="62">
        <f t="shared" si="6"/>
        <v>0.25</v>
      </c>
      <c r="Y7" s="62">
        <f t="shared" si="7"/>
        <v>0.5</v>
      </c>
      <c r="Z7" s="62">
        <f t="shared" si="8"/>
        <v>0.5</v>
      </c>
      <c r="AA7" s="62">
        <f t="shared" si="9"/>
        <v>859</v>
      </c>
      <c r="AB7" s="324">
        <f t="shared" si="10"/>
        <v>0.8</v>
      </c>
      <c r="AC7" s="62">
        <f t="shared" si="11"/>
        <v>8282</v>
      </c>
      <c r="AD7" s="75">
        <f t="shared" si="12"/>
        <v>0.5</v>
      </c>
      <c r="AE7" s="62">
        <f t="shared" si="13"/>
        <v>1</v>
      </c>
      <c r="AF7" s="62">
        <f t="shared" si="14"/>
        <v>8</v>
      </c>
    </row>
    <row r="8" spans="1:33" x14ac:dyDescent="0.35">
      <c r="A8" s="1131" t="s">
        <v>1071</v>
      </c>
      <c r="B8" s="1131" t="str">
        <f t="shared" si="15"/>
        <v>Steam Trap Replacement or Repair  - Industrial High Pressure ≥175 &lt;250 psig, Custom Survey</v>
      </c>
      <c r="C8" s="1132" t="s">
        <v>194</v>
      </c>
      <c r="D8" s="1133" t="s">
        <v>1061</v>
      </c>
      <c r="E8" s="135" t="s">
        <v>356</v>
      </c>
      <c r="F8" s="1148" t="s">
        <v>1062</v>
      </c>
      <c r="G8" s="1179">
        <f t="shared" si="0"/>
        <v>6</v>
      </c>
      <c r="H8" s="1148" t="s">
        <v>1072</v>
      </c>
      <c r="I8" s="1148" t="s">
        <v>295</v>
      </c>
      <c r="J8" s="1179" t="s">
        <v>357</v>
      </c>
      <c r="K8" s="1204"/>
      <c r="L8" s="1182"/>
      <c r="M8" s="1182"/>
      <c r="N8" s="1184"/>
      <c r="O8" s="1182">
        <f t="shared" si="16"/>
        <v>7111.844463178124</v>
      </c>
      <c r="P8" s="1182"/>
      <c r="Q8" s="1182"/>
      <c r="R8" s="1205">
        <f t="shared" si="1"/>
        <v>42671.066779068744</v>
      </c>
      <c r="S8" s="62">
        <f t="shared" si="2"/>
        <v>13</v>
      </c>
      <c r="T8" s="153">
        <f t="shared" si="3"/>
        <v>82.075124999999986</v>
      </c>
      <c r="U8" s="62">
        <f t="shared" si="17"/>
        <v>216.7</v>
      </c>
      <c r="V8" s="62">
        <f t="shared" si="4"/>
        <v>202</v>
      </c>
      <c r="W8" s="62">
        <f t="shared" si="5"/>
        <v>14.7</v>
      </c>
      <c r="X8" s="62">
        <f t="shared" si="6"/>
        <v>0.25</v>
      </c>
      <c r="Y8" s="62">
        <f t="shared" si="7"/>
        <v>0.5</v>
      </c>
      <c r="Z8" s="62">
        <f t="shared" si="8"/>
        <v>0.5</v>
      </c>
      <c r="AA8" s="62">
        <f t="shared" si="9"/>
        <v>837</v>
      </c>
      <c r="AB8" s="324">
        <f t="shared" si="10"/>
        <v>0.8</v>
      </c>
      <c r="AC8" s="62">
        <f t="shared" si="11"/>
        <v>8282</v>
      </c>
      <c r="AD8" s="75">
        <f t="shared" si="12"/>
        <v>0.5</v>
      </c>
      <c r="AE8" s="62">
        <f t="shared" si="13"/>
        <v>1</v>
      </c>
      <c r="AF8" s="62">
        <f t="shared" si="14"/>
        <v>9</v>
      </c>
    </row>
    <row r="9" spans="1:33" x14ac:dyDescent="0.35">
      <c r="A9" s="1131" t="s">
        <v>1073</v>
      </c>
      <c r="B9" s="1131" t="str">
        <f t="shared" si="15"/>
        <v>Steam Trap Replacement or Repair  - Industrial High Pressure ≥250 psig, Custom Survey</v>
      </c>
      <c r="C9" s="1132" t="s">
        <v>195</v>
      </c>
      <c r="D9" s="1133" t="s">
        <v>1061</v>
      </c>
      <c r="E9" s="135" t="s">
        <v>356</v>
      </c>
      <c r="F9" s="1148" t="s">
        <v>1062</v>
      </c>
      <c r="G9" s="1179">
        <f t="shared" si="0"/>
        <v>6</v>
      </c>
      <c r="H9" s="1148" t="s">
        <v>1074</v>
      </c>
      <c r="I9" s="1148" t="s">
        <v>295</v>
      </c>
      <c r="J9" s="1179" t="s">
        <v>357</v>
      </c>
      <c r="K9" s="1204"/>
      <c r="L9" s="1182"/>
      <c r="M9" s="1182"/>
      <c r="N9" s="1184"/>
      <c r="O9" s="1182">
        <f t="shared" si="16"/>
        <v>8885.1327160499986</v>
      </c>
      <c r="P9" s="1182"/>
      <c r="Q9" s="1182"/>
      <c r="R9" s="1205">
        <f t="shared" si="1"/>
        <v>53310.796296299988</v>
      </c>
      <c r="S9" s="62">
        <f t="shared" si="2"/>
        <v>13</v>
      </c>
      <c r="T9" s="153">
        <f t="shared" si="3"/>
        <v>105.17887499999999</v>
      </c>
      <c r="U9" s="62">
        <f t="shared" si="17"/>
        <v>277.7</v>
      </c>
      <c r="V9" s="62">
        <f t="shared" si="4"/>
        <v>263</v>
      </c>
      <c r="W9" s="62">
        <f t="shared" si="5"/>
        <v>14.7</v>
      </c>
      <c r="X9" s="62">
        <f t="shared" si="6"/>
        <v>0.25</v>
      </c>
      <c r="Y9" s="62">
        <f t="shared" si="7"/>
        <v>0.5</v>
      </c>
      <c r="Z9" s="62">
        <f t="shared" si="8"/>
        <v>0.5</v>
      </c>
      <c r="AA9" s="62">
        <f t="shared" si="9"/>
        <v>816</v>
      </c>
      <c r="AB9" s="324">
        <f t="shared" si="10"/>
        <v>0.8</v>
      </c>
      <c r="AC9" s="62">
        <f t="shared" si="11"/>
        <v>8282</v>
      </c>
      <c r="AD9" s="75">
        <f t="shared" si="12"/>
        <v>0.5</v>
      </c>
      <c r="AE9" s="62">
        <f t="shared" si="13"/>
        <v>1</v>
      </c>
      <c r="AF9" s="62">
        <f t="shared" si="14"/>
        <v>10</v>
      </c>
    </row>
    <row r="10" spans="1:33" ht="29" x14ac:dyDescent="0.35">
      <c r="A10" s="1131" t="s">
        <v>1075</v>
      </c>
      <c r="B10" s="1131" t="str">
        <f t="shared" si="15"/>
        <v>Steam Trap Replacement or Repair  - Commercial Heating , (including Multifamily) low pressure steam, all replaced</v>
      </c>
      <c r="C10" s="1132" t="s">
        <v>189</v>
      </c>
      <c r="D10" s="1133" t="s">
        <v>1061</v>
      </c>
      <c r="E10" s="135" t="s">
        <v>356</v>
      </c>
      <c r="F10" s="1148" t="s">
        <v>1076</v>
      </c>
      <c r="G10" s="1179">
        <f t="shared" si="0"/>
        <v>6</v>
      </c>
      <c r="H10" s="1148" t="s">
        <v>1077</v>
      </c>
      <c r="I10" s="1148" t="s">
        <v>295</v>
      </c>
      <c r="J10" s="1179" t="s">
        <v>357</v>
      </c>
      <c r="K10" s="1204"/>
      <c r="L10" s="1182"/>
      <c r="M10" s="1182"/>
      <c r="N10" s="1184"/>
      <c r="O10" s="1182">
        <f t="shared" si="16"/>
        <v>89.462647935000007</v>
      </c>
      <c r="P10" s="1182"/>
      <c r="Q10" s="1182"/>
      <c r="R10" s="1205">
        <f>O10*G10</f>
        <v>536.77588761000004</v>
      </c>
      <c r="S10" s="62">
        <f t="shared" si="2"/>
        <v>13</v>
      </c>
      <c r="T10" s="153">
        <f>+$G$104</f>
        <v>6.9</v>
      </c>
      <c r="U10" s="62"/>
      <c r="V10" s="62"/>
      <c r="W10" s="62"/>
      <c r="X10" s="62"/>
      <c r="Y10" s="62"/>
      <c r="Z10" s="62"/>
      <c r="AA10" s="62">
        <f t="shared" si="9"/>
        <v>951</v>
      </c>
      <c r="AB10" s="324">
        <f t="shared" si="10"/>
        <v>0.8</v>
      </c>
      <c r="AC10" s="62">
        <f t="shared" si="11"/>
        <v>4039.6</v>
      </c>
      <c r="AD10" s="75">
        <f t="shared" si="12"/>
        <v>0.5</v>
      </c>
      <c r="AE10" s="62">
        <f t="shared" si="13"/>
        <v>0.27</v>
      </c>
      <c r="AF10" s="62">
        <f t="shared" si="14"/>
        <v>3</v>
      </c>
    </row>
    <row r="11" spans="1:33" hidden="1" x14ac:dyDescent="0.35">
      <c r="A11" s="1131" t="s">
        <v>1075</v>
      </c>
      <c r="B11" s="1131" t="s">
        <v>2649</v>
      </c>
      <c r="C11" s="1132" t="s">
        <v>2650</v>
      </c>
      <c r="D11" s="1133" t="s">
        <v>1061</v>
      </c>
      <c r="E11" s="135" t="s">
        <v>356</v>
      </c>
      <c r="F11" s="1148" t="s">
        <v>1078</v>
      </c>
      <c r="G11" s="1179">
        <f t="shared" si="0"/>
        <v>6</v>
      </c>
      <c r="H11" s="1148" t="s">
        <v>1079</v>
      </c>
      <c r="I11" s="1148" t="s">
        <v>295</v>
      </c>
      <c r="J11" s="1179" t="s">
        <v>357</v>
      </c>
      <c r="K11" s="1204"/>
      <c r="L11" s="1182"/>
      <c r="M11" s="1182"/>
      <c r="N11" s="1184"/>
      <c r="O11" s="1182">
        <f>T11*(AA11/AB11)*AC11*AE11/100000</f>
        <v>502.69731615000001</v>
      </c>
      <c r="P11" s="1182"/>
      <c r="Q11" s="1182"/>
      <c r="R11" s="1205">
        <f>O11*G11</f>
        <v>3016.1838969</v>
      </c>
      <c r="S11" s="62">
        <f t="shared" ref="S11" si="18">VLOOKUP(I11, $C$60:$D$65, 2, FALSE)</f>
        <v>13</v>
      </c>
      <c r="T11" s="153">
        <f>+$G$104</f>
        <v>6.9</v>
      </c>
      <c r="U11" s="62"/>
      <c r="V11" s="62"/>
      <c r="W11" s="62"/>
      <c r="X11" s="62"/>
      <c r="Y11" s="62"/>
      <c r="Z11" s="62"/>
      <c r="AA11" s="62">
        <f t="shared" ref="AA11" si="19">VLOOKUP(H11,$B$74:$F$82,5,FALSE)</f>
        <v>951</v>
      </c>
      <c r="AB11" s="324">
        <f t="shared" ref="AB11" si="20">VLOOKUP(H11,$B$74:$G$82,6,FALSE)</f>
        <v>0.8</v>
      </c>
      <c r="AC11" s="62">
        <f t="shared" ref="AC11" si="21">VLOOKUP(H11,$B$74:$N$82,S11,FALSE)</f>
        <v>8282</v>
      </c>
      <c r="AD11" s="75">
        <f t="shared" si="12"/>
        <v>0.5</v>
      </c>
      <c r="AE11" s="151">
        <f t="shared" ref="AE11" si="22">VLOOKUP(F11,$B$87:$K$89,AF11,FALSE)</f>
        <v>0.74</v>
      </c>
      <c r="AF11" s="62">
        <f t="shared" ref="AF11" si="23">VLOOKUP(H11,$B$92:$C$100,2,FALSE)</f>
        <v>4</v>
      </c>
    </row>
    <row r="12" spans="1:33" x14ac:dyDescent="0.35">
      <c r="A12" s="1131" t="s">
        <v>1080</v>
      </c>
      <c r="B12" s="1131" t="str">
        <f t="shared" ref="B12" si="24">$B$2&amp;" - "&amp;H12&amp;", "&amp;F12</f>
        <v>Steam Trap Replacement or Repair  - Commercial Dry Cleaners, Custom Survey</v>
      </c>
      <c r="C12" s="1132" t="s">
        <v>196</v>
      </c>
      <c r="D12" s="1133" t="s">
        <v>1061</v>
      </c>
      <c r="E12" s="135" t="s">
        <v>356</v>
      </c>
      <c r="F12" s="1148" t="s">
        <v>1062</v>
      </c>
      <c r="G12" s="1179">
        <f t="shared" si="0"/>
        <v>6</v>
      </c>
      <c r="H12" s="1148" t="s">
        <v>1081</v>
      </c>
      <c r="I12" s="1148" t="s">
        <v>295</v>
      </c>
      <c r="J12" s="1179" t="s">
        <v>357</v>
      </c>
      <c r="K12" s="1204"/>
      <c r="L12" s="1182"/>
      <c r="M12" s="1182"/>
      <c r="N12" s="1184"/>
      <c r="O12" s="1182">
        <f t="shared" si="16"/>
        <v>515.28218749999996</v>
      </c>
      <c r="P12" s="1182"/>
      <c r="Q12" s="1182"/>
      <c r="R12" s="1205">
        <f t="shared" ref="R12" si="25">O12*G12</f>
        <v>3091.6931249999998</v>
      </c>
      <c r="S12" s="62">
        <f t="shared" si="2"/>
        <v>13</v>
      </c>
      <c r="T12" s="464">
        <f>+$G$103</f>
        <v>19.100000000000001</v>
      </c>
      <c r="U12" s="62"/>
      <c r="V12" s="62"/>
      <c r="W12" s="62"/>
      <c r="X12" s="62"/>
      <c r="Y12" s="62"/>
      <c r="Z12" s="62"/>
      <c r="AA12" s="62">
        <f t="shared" si="9"/>
        <v>890</v>
      </c>
      <c r="AB12" s="324">
        <f t="shared" si="10"/>
        <v>0.8</v>
      </c>
      <c r="AC12" s="62">
        <f t="shared" si="11"/>
        <v>2425</v>
      </c>
      <c r="AD12" s="75">
        <f t="shared" si="12"/>
        <v>0.5</v>
      </c>
      <c r="AE12" s="62">
        <f t="shared" si="13"/>
        <v>1</v>
      </c>
      <c r="AF12" s="62">
        <f t="shared" si="14"/>
        <v>2</v>
      </c>
    </row>
    <row r="13" spans="1:33" ht="29" x14ac:dyDescent="0.35">
      <c r="A13" s="1131" t="s">
        <v>2638</v>
      </c>
      <c r="B13" s="1131" t="s">
        <v>2641</v>
      </c>
      <c r="C13" s="1132" t="s">
        <v>2642</v>
      </c>
      <c r="D13" s="1133" t="s">
        <v>1061</v>
      </c>
      <c r="E13" s="135" t="s">
        <v>356</v>
      </c>
      <c r="F13" s="1148" t="s">
        <v>1076</v>
      </c>
      <c r="G13" s="1179">
        <f t="shared" si="0"/>
        <v>6</v>
      </c>
      <c r="H13" s="1148" t="s">
        <v>1077</v>
      </c>
      <c r="I13" s="1148" t="s">
        <v>295</v>
      </c>
      <c r="J13" s="1179" t="s">
        <v>357</v>
      </c>
      <c r="K13" s="1204"/>
      <c r="L13" s="1182"/>
      <c r="M13" s="1182"/>
      <c r="N13" s="1184"/>
      <c r="O13" s="1182">
        <f t="shared" ref="O13" si="26">T13*(AA13/AB13)*AC13*AE13/100000</f>
        <v>89.462647935000007</v>
      </c>
      <c r="P13" s="1182"/>
      <c r="Q13" s="1182"/>
      <c r="R13" s="1205">
        <f>O13*G13</f>
        <v>536.77588761000004</v>
      </c>
      <c r="S13" s="62">
        <f t="shared" ref="S13" si="27">VLOOKUP(I13, $C$60:$D$65, 2, FALSE)</f>
        <v>13</v>
      </c>
      <c r="T13" s="153">
        <f>+$G$104</f>
        <v>6.9</v>
      </c>
      <c r="U13" s="62"/>
      <c r="V13" s="62"/>
      <c r="W13" s="62"/>
      <c r="X13" s="62"/>
      <c r="Y13" s="62"/>
      <c r="Z13" s="62"/>
      <c r="AA13" s="62">
        <f t="shared" ref="AA13" si="28">VLOOKUP(H13,$B$74:$F$82,5,FALSE)</f>
        <v>951</v>
      </c>
      <c r="AB13" s="324">
        <f t="shared" ref="AB13" si="29">VLOOKUP(H13,$B$74:$G$82,6,FALSE)</f>
        <v>0.8</v>
      </c>
      <c r="AC13" s="62">
        <f t="shared" ref="AC13" si="30">VLOOKUP(H13,$B$74:$N$82,S13,FALSE)</f>
        <v>4039.6</v>
      </c>
      <c r="AD13" s="75">
        <f t="shared" si="12"/>
        <v>0.5</v>
      </c>
      <c r="AE13" s="62">
        <f t="shared" ref="AE13" si="31">VLOOKUP(F13,$B$87:$K$89,AF13,FALSE)</f>
        <v>0.27</v>
      </c>
      <c r="AF13" s="62">
        <f t="shared" ref="AF13" si="32">VLOOKUP(H13,$B$92:$C$100,2,FALSE)</f>
        <v>3</v>
      </c>
    </row>
    <row r="14" spans="1:33" x14ac:dyDescent="0.35">
      <c r="A14" s="1131" t="s">
        <v>2639</v>
      </c>
      <c r="B14" s="1131" t="s">
        <v>2643</v>
      </c>
      <c r="C14" s="1132" t="s">
        <v>2644</v>
      </c>
      <c r="D14" s="1133" t="s">
        <v>1061</v>
      </c>
      <c r="E14" s="135" t="s">
        <v>356</v>
      </c>
      <c r="F14" s="1148" t="s">
        <v>1076</v>
      </c>
      <c r="G14" s="1179">
        <f t="shared" si="0"/>
        <v>6</v>
      </c>
      <c r="H14" s="1148" t="s">
        <v>2647</v>
      </c>
      <c r="I14" s="1148" t="s">
        <v>295</v>
      </c>
      <c r="J14" s="1179" t="s">
        <v>357</v>
      </c>
      <c r="K14" s="1204"/>
      <c r="L14" s="1148"/>
      <c r="M14" s="1182"/>
      <c r="N14" s="1184"/>
      <c r="O14" s="1182">
        <f>+AVERAGE(O4:O6,O11)</f>
        <v>1836.9322135968748</v>
      </c>
      <c r="P14" s="1182"/>
      <c r="Q14" s="1182"/>
      <c r="R14" s="1205">
        <f t="shared" ref="R14:R15" si="33">O14*G14</f>
        <v>11021.593281581248</v>
      </c>
      <c r="S14" t="s">
        <v>2651</v>
      </c>
    </row>
    <row r="15" spans="1:33" x14ac:dyDescent="0.35">
      <c r="A15" s="1131" t="s">
        <v>2640</v>
      </c>
      <c r="B15" s="1131" t="s">
        <v>2645</v>
      </c>
      <c r="C15" s="1132" t="s">
        <v>2646</v>
      </c>
      <c r="D15" s="1133" t="s">
        <v>1061</v>
      </c>
      <c r="E15" s="135" t="s">
        <v>356</v>
      </c>
      <c r="F15" s="1148" t="s">
        <v>1076</v>
      </c>
      <c r="G15" s="1179">
        <f t="shared" si="0"/>
        <v>6</v>
      </c>
      <c r="H15" s="1148" t="s">
        <v>2648</v>
      </c>
      <c r="I15" s="1148" t="s">
        <v>295</v>
      </c>
      <c r="J15" s="1179" t="s">
        <v>357</v>
      </c>
      <c r="K15" s="1204"/>
      <c r="L15" s="1148"/>
      <c r="M15" s="1182"/>
      <c r="N15" s="1184"/>
      <c r="O15" s="1182">
        <f>+AVERAGE(O7:O9)</f>
        <v>7136.5298311999986</v>
      </c>
      <c r="P15" s="1182"/>
      <c r="Q15" s="1182"/>
      <c r="R15" s="1205">
        <f t="shared" si="33"/>
        <v>42819.178987199994</v>
      </c>
      <c r="S15" t="s">
        <v>2651</v>
      </c>
    </row>
    <row r="16" spans="1:33" ht="15" thickBot="1" x14ac:dyDescent="0.4"/>
    <row r="17" spans="1:13" ht="15" thickBot="1" x14ac:dyDescent="0.4">
      <c r="A17" s="88" t="s">
        <v>408</v>
      </c>
      <c r="B17" s="465"/>
      <c r="C17" s="466"/>
    </row>
    <row r="18" spans="1:13" x14ac:dyDescent="0.35">
      <c r="A18" s="467" t="s">
        <v>1082</v>
      </c>
      <c r="B18" s="468"/>
      <c r="C18" s="469"/>
      <c r="M18" s="68"/>
    </row>
    <row r="19" spans="1:13" x14ac:dyDescent="0.35">
      <c r="A19" s="124" t="s">
        <v>2354</v>
      </c>
      <c r="B19" s="470" t="s">
        <v>1083</v>
      </c>
      <c r="C19" s="125"/>
      <c r="M19" s="68"/>
    </row>
    <row r="20" spans="1:13" ht="15" thickBot="1" x14ac:dyDescent="0.4">
      <c r="A20" s="471" t="s">
        <v>1059</v>
      </c>
      <c r="B20" s="201"/>
      <c r="C20" s="203"/>
      <c r="M20" s="68"/>
    </row>
    <row r="21" spans="1:13" ht="15" thickBot="1" x14ac:dyDescent="0.4">
      <c r="A21" s="188" t="s">
        <v>2571</v>
      </c>
      <c r="B21" s="1384" t="e">
        <f>+#REF!</f>
        <v>#REF!</v>
      </c>
      <c r="M21" s="68"/>
    </row>
    <row r="22" spans="1:13" ht="15" thickBot="1" x14ac:dyDescent="0.4">
      <c r="A22" s="188" t="s">
        <v>2572</v>
      </c>
      <c r="B22" s="701" t="s">
        <v>2796</v>
      </c>
      <c r="M22" s="68"/>
    </row>
    <row r="23" spans="1:13" ht="15" thickBot="1" x14ac:dyDescent="0.4">
      <c r="M23" s="68"/>
    </row>
    <row r="24" spans="1:13" ht="15" thickBot="1" x14ac:dyDescent="0.4">
      <c r="A24" s="88" t="s">
        <v>413</v>
      </c>
      <c r="B24" s="89" t="s">
        <v>414</v>
      </c>
      <c r="C24" s="90" t="s">
        <v>415</v>
      </c>
      <c r="D24" s="472"/>
      <c r="E24" s="473"/>
      <c r="F24" s="474"/>
      <c r="G24" s="474"/>
    </row>
    <row r="25" spans="1:13" s="474" customFormat="1" x14ac:dyDescent="0.35">
      <c r="A25" s="392" t="s">
        <v>1084</v>
      </c>
      <c r="B25" s="475" t="s">
        <v>1085</v>
      </c>
      <c r="C25" s="383" t="s">
        <v>1086</v>
      </c>
      <c r="D25" s="186"/>
      <c r="E25" s="187"/>
    </row>
    <row r="26" spans="1:13" s="474" customFormat="1" ht="15" thickBot="1" x14ac:dyDescent="0.4">
      <c r="A26" s="189"/>
      <c r="B26" s="190"/>
      <c r="C26" s="205" t="s">
        <v>1087</v>
      </c>
      <c r="D26" s="190"/>
      <c r="E26" s="191"/>
      <c r="I26" s="476"/>
    </row>
    <row r="27" spans="1:13" s="474" customFormat="1" x14ac:dyDescent="0.35">
      <c r="A27" s="185" t="s">
        <v>1054</v>
      </c>
      <c r="B27" s="475" t="s">
        <v>1085</v>
      </c>
      <c r="C27" s="383" t="s">
        <v>1088</v>
      </c>
      <c r="D27" s="186"/>
      <c r="E27" s="187"/>
    </row>
    <row r="28" spans="1:13" s="474" customFormat="1" ht="15" thickBot="1" x14ac:dyDescent="0.4">
      <c r="A28" s="189"/>
      <c r="B28" s="190"/>
      <c r="C28" s="391" t="s">
        <v>1089</v>
      </c>
      <c r="D28" s="190"/>
      <c r="E28" s="191"/>
    </row>
    <row r="29" spans="1:13" s="474" customFormat="1" x14ac:dyDescent="0.35">
      <c r="A29" s="185" t="s">
        <v>1055</v>
      </c>
      <c r="B29" s="477">
        <v>0.8</v>
      </c>
      <c r="C29" s="478" t="s">
        <v>1090</v>
      </c>
      <c r="D29" s="186"/>
      <c r="E29" s="187"/>
    </row>
    <row r="30" spans="1:13" s="474" customFormat="1" ht="29" x14ac:dyDescent="0.35">
      <c r="A30" s="206"/>
      <c r="B30" s="207"/>
      <c r="C30" s="479" t="s">
        <v>1091</v>
      </c>
      <c r="D30" s="207"/>
      <c r="E30" s="208"/>
    </row>
    <row r="31" spans="1:13" s="474" customFormat="1" ht="29.5" thickBot="1" x14ac:dyDescent="0.4">
      <c r="A31" s="189"/>
      <c r="B31" s="190"/>
      <c r="C31" s="480" t="s">
        <v>1092</v>
      </c>
      <c r="D31" s="190"/>
      <c r="E31" s="191"/>
    </row>
    <row r="32" spans="1:13" s="474" customFormat="1" x14ac:dyDescent="0.35">
      <c r="A32" s="185" t="s">
        <v>614</v>
      </c>
      <c r="B32" s="475" t="s">
        <v>1085</v>
      </c>
      <c r="C32" s="383" t="s">
        <v>1093</v>
      </c>
      <c r="D32" s="186"/>
      <c r="E32" s="187"/>
    </row>
    <row r="33" spans="1:7" ht="15" thickBot="1" x14ac:dyDescent="0.4">
      <c r="A33" s="111"/>
      <c r="B33" s="99"/>
      <c r="C33" s="108" t="s">
        <v>1089</v>
      </c>
      <c r="D33" s="99"/>
      <c r="E33" s="100"/>
      <c r="F33" s="474"/>
      <c r="G33" s="474"/>
    </row>
    <row r="34" spans="1:7" x14ac:dyDescent="0.35">
      <c r="A34" s="442" t="s">
        <v>1057</v>
      </c>
      <c r="B34" s="481" t="s">
        <v>1085</v>
      </c>
      <c r="C34" s="434" t="s">
        <v>1094</v>
      </c>
      <c r="D34" s="94"/>
      <c r="E34" s="95"/>
      <c r="F34" s="474"/>
      <c r="G34" s="474"/>
    </row>
    <row r="35" spans="1:7" x14ac:dyDescent="0.35">
      <c r="A35" s="482"/>
      <c r="B35" s="326"/>
      <c r="C35" s="154" t="s">
        <v>1089</v>
      </c>
      <c r="D35" s="67"/>
      <c r="E35" s="310"/>
      <c r="F35" s="474"/>
      <c r="G35" s="474"/>
    </row>
    <row r="36" spans="1:7" ht="78.5" thickBot="1" x14ac:dyDescent="0.4">
      <c r="A36" s="444"/>
      <c r="B36" s="97"/>
      <c r="C36" s="483" t="s">
        <v>1095</v>
      </c>
      <c r="D36" s="483"/>
      <c r="E36" s="484"/>
      <c r="F36" s="474"/>
      <c r="G36" s="474"/>
    </row>
    <row r="37" spans="1:7" x14ac:dyDescent="0.35">
      <c r="A37" s="485" t="s">
        <v>1096</v>
      </c>
      <c r="B37" s="104">
        <v>24.42</v>
      </c>
      <c r="C37" s="486" t="s">
        <v>1097</v>
      </c>
      <c r="D37" s="104"/>
      <c r="E37" s="105"/>
      <c r="F37" s="474"/>
      <c r="G37" s="474"/>
    </row>
    <row r="38" spans="1:7" ht="15" customHeight="1" x14ac:dyDescent="0.35">
      <c r="A38" s="345"/>
      <c r="B38" s="184"/>
      <c r="C38" s="264" t="s">
        <v>1098</v>
      </c>
      <c r="D38" s="184"/>
      <c r="E38" s="347"/>
      <c r="F38" s="474"/>
      <c r="G38" s="474"/>
    </row>
    <row r="39" spans="1:7" ht="15" thickBot="1" x14ac:dyDescent="0.4">
      <c r="A39" s="450"/>
      <c r="B39" s="109"/>
      <c r="C39" s="346" t="s">
        <v>1099</v>
      </c>
      <c r="D39" s="109"/>
      <c r="E39" s="110"/>
      <c r="F39" s="474"/>
      <c r="G39" s="474"/>
    </row>
    <row r="40" spans="1:7" x14ac:dyDescent="0.35">
      <c r="A40" s="487" t="s">
        <v>1100</v>
      </c>
      <c r="B40" s="488" t="s">
        <v>1101</v>
      </c>
      <c r="C40" s="489" t="s">
        <v>1102</v>
      </c>
      <c r="D40" s="490"/>
      <c r="E40" s="491"/>
      <c r="F40" s="474"/>
      <c r="G40" s="474"/>
    </row>
    <row r="41" spans="1:7" ht="15" thickBot="1" x14ac:dyDescent="0.4">
      <c r="A41" s="492"/>
      <c r="B41" s="107" t="s">
        <v>1103</v>
      </c>
      <c r="C41" s="493"/>
      <c r="D41" s="494"/>
      <c r="E41" s="495"/>
      <c r="F41" s="474"/>
      <c r="G41" s="474"/>
    </row>
    <row r="42" spans="1:7" x14ac:dyDescent="0.35">
      <c r="A42" s="496" t="s">
        <v>1049</v>
      </c>
      <c r="B42" s="497" t="s">
        <v>1104</v>
      </c>
      <c r="C42" s="498" t="s">
        <v>1105</v>
      </c>
      <c r="D42" s="499"/>
      <c r="E42" s="500"/>
      <c r="F42" s="474"/>
      <c r="G42" s="474"/>
    </row>
    <row r="43" spans="1:7" ht="15" thickBot="1" x14ac:dyDescent="0.4">
      <c r="A43" s="501"/>
      <c r="B43" s="107"/>
      <c r="C43" s="493"/>
      <c r="D43" s="494"/>
      <c r="E43" s="495"/>
      <c r="F43" s="474"/>
      <c r="G43" s="474"/>
    </row>
    <row r="44" spans="1:7" x14ac:dyDescent="0.35">
      <c r="A44" s="487" t="s">
        <v>1050</v>
      </c>
      <c r="B44" s="488">
        <v>14.7</v>
      </c>
      <c r="C44" s="489" t="s">
        <v>1106</v>
      </c>
      <c r="D44" s="490"/>
      <c r="E44" s="491"/>
      <c r="F44" s="474"/>
      <c r="G44" s="474"/>
    </row>
    <row r="45" spans="1:7" ht="15" thickBot="1" x14ac:dyDescent="0.4">
      <c r="A45" s="501"/>
      <c r="B45" s="502"/>
      <c r="C45" s="493" t="s">
        <v>1107</v>
      </c>
      <c r="D45" s="494"/>
      <c r="E45" s="495"/>
      <c r="F45" s="474"/>
      <c r="G45" s="474"/>
    </row>
    <row r="46" spans="1:7" x14ac:dyDescent="0.35">
      <c r="A46" s="496" t="s">
        <v>1108</v>
      </c>
      <c r="B46" s="117" t="s">
        <v>1103</v>
      </c>
      <c r="C46" s="489" t="s">
        <v>1109</v>
      </c>
      <c r="D46" s="490"/>
      <c r="E46" s="491"/>
      <c r="F46" s="474"/>
      <c r="G46" s="474"/>
    </row>
    <row r="47" spans="1:7" ht="27" thickBot="1" x14ac:dyDescent="0.4">
      <c r="A47" s="503"/>
      <c r="B47" s="107"/>
      <c r="C47" s="493" t="s">
        <v>1110</v>
      </c>
      <c r="D47" s="494"/>
      <c r="E47" s="495"/>
      <c r="F47" s="474"/>
      <c r="G47" s="474"/>
    </row>
    <row r="48" spans="1:7" ht="54" customHeight="1" x14ac:dyDescent="0.35">
      <c r="A48" s="487" t="s">
        <v>1056</v>
      </c>
      <c r="B48" s="117">
        <v>0.5</v>
      </c>
      <c r="C48" s="489" t="s">
        <v>1111</v>
      </c>
      <c r="D48" s="490"/>
      <c r="E48" s="491"/>
      <c r="F48" s="474"/>
      <c r="G48" s="474"/>
    </row>
    <row r="49" spans="1:17" ht="40" thickBot="1" x14ac:dyDescent="0.4">
      <c r="A49" s="492"/>
      <c r="B49" s="107"/>
      <c r="C49" s="493" t="s">
        <v>1112</v>
      </c>
      <c r="D49" s="494"/>
      <c r="E49" s="495"/>
      <c r="F49" s="474"/>
      <c r="G49" s="474"/>
    </row>
    <row r="50" spans="1:17" ht="65.5" x14ac:dyDescent="0.35">
      <c r="A50" s="496" t="s">
        <v>1113</v>
      </c>
      <c r="B50" s="497">
        <v>0.5</v>
      </c>
      <c r="C50" s="489" t="s">
        <v>1114</v>
      </c>
      <c r="D50" s="504"/>
      <c r="E50" s="505"/>
      <c r="F50" s="474"/>
      <c r="G50" s="474"/>
    </row>
    <row r="51" spans="1:17" ht="15" thickBot="1" x14ac:dyDescent="0.4">
      <c r="A51" s="503"/>
      <c r="B51" s="107"/>
      <c r="C51" s="493" t="s">
        <v>1115</v>
      </c>
      <c r="D51" s="506"/>
      <c r="E51" s="507"/>
      <c r="F51" s="474"/>
      <c r="G51" s="474"/>
    </row>
    <row r="52" spans="1:17" ht="15" thickBot="1" x14ac:dyDescent="0.4">
      <c r="A52" s="503" t="s">
        <v>796</v>
      </c>
      <c r="B52" s="502">
        <v>24.24</v>
      </c>
      <c r="C52" s="493" t="s">
        <v>1116</v>
      </c>
      <c r="D52" s="506"/>
      <c r="E52" s="507"/>
      <c r="F52" s="474"/>
      <c r="G52" s="474"/>
    </row>
    <row r="53" spans="1:17" ht="15" thickBot="1" x14ac:dyDescent="0.4">
      <c r="A53" s="503"/>
      <c r="B53" s="107"/>
      <c r="C53" s="493"/>
      <c r="D53" s="506"/>
      <c r="E53" s="507"/>
      <c r="F53" s="474"/>
      <c r="G53" s="474"/>
    </row>
    <row r="54" spans="1:17" ht="15" thickBot="1" x14ac:dyDescent="0.4">
      <c r="A54" s="508" t="s">
        <v>1117</v>
      </c>
      <c r="B54" s="509">
        <v>6</v>
      </c>
      <c r="C54" s="510" t="s">
        <v>636</v>
      </c>
      <c r="D54" s="510"/>
      <c r="E54" s="511"/>
      <c r="F54" s="474"/>
      <c r="G54" s="474"/>
    </row>
    <row r="55" spans="1:17" x14ac:dyDescent="0.35">
      <c r="A55" s="448" t="s">
        <v>344</v>
      </c>
      <c r="B55" s="512"/>
      <c r="C55" s="490"/>
      <c r="D55" s="490"/>
      <c r="E55" s="491"/>
      <c r="F55" s="474"/>
      <c r="G55" s="474"/>
    </row>
    <row r="56" spans="1:17" ht="15" thickBot="1" x14ac:dyDescent="0.4">
      <c r="A56" s="513"/>
      <c r="B56" s="107"/>
      <c r="C56" s="494"/>
      <c r="D56" s="494"/>
      <c r="E56" s="495"/>
      <c r="F56" s="474"/>
      <c r="G56" s="474"/>
    </row>
    <row r="57" spans="1:17" ht="15" thickBot="1" x14ac:dyDescent="0.4">
      <c r="A57" s="309"/>
      <c r="B57" s="326"/>
      <c r="C57" s="514"/>
      <c r="D57" s="514"/>
      <c r="E57" s="514"/>
    </row>
    <row r="58" spans="1:17" ht="15" thickBot="1" x14ac:dyDescent="0.4">
      <c r="A58" s="122" t="s">
        <v>539</v>
      </c>
      <c r="B58" s="78"/>
      <c r="C58" s="515"/>
      <c r="D58" s="472"/>
      <c r="E58" s="78"/>
      <c r="F58" s="78"/>
      <c r="G58" s="78"/>
      <c r="H58" s="78"/>
      <c r="I58" s="78"/>
      <c r="J58" s="78"/>
      <c r="K58" s="78"/>
      <c r="L58" s="78"/>
      <c r="M58" s="78"/>
      <c r="N58" s="78"/>
      <c r="O58" s="78"/>
      <c r="P58" s="78"/>
      <c r="Q58" s="79"/>
    </row>
    <row r="59" spans="1:17" x14ac:dyDescent="0.35">
      <c r="A59" s="124"/>
      <c r="B59" s="83"/>
      <c r="C59" s="363" t="s">
        <v>1118</v>
      </c>
      <c r="D59" s="363"/>
      <c r="E59" s="83"/>
      <c r="F59" s="83"/>
      <c r="G59" s="83"/>
      <c r="H59" s="83"/>
      <c r="I59" s="83"/>
      <c r="J59" s="83"/>
      <c r="K59" s="83"/>
      <c r="L59" s="83"/>
      <c r="M59" s="83"/>
      <c r="N59" s="83"/>
      <c r="O59" s="83"/>
      <c r="P59" s="83"/>
      <c r="Q59" s="125"/>
    </row>
    <row r="60" spans="1:17" x14ac:dyDescent="0.35">
      <c r="A60" s="124"/>
      <c r="B60" s="83"/>
      <c r="C60" s="516" t="str">
        <f>I72</f>
        <v>1 (Rockford)</v>
      </c>
      <c r="D60" s="1">
        <v>8</v>
      </c>
      <c r="E60" s="83"/>
      <c r="F60" s="83"/>
      <c r="G60" s="83"/>
      <c r="H60" s="83"/>
      <c r="I60" s="83"/>
      <c r="J60" s="83"/>
      <c r="K60" s="83"/>
      <c r="L60" s="83"/>
      <c r="M60" s="83"/>
      <c r="N60" s="83"/>
      <c r="O60" s="83"/>
      <c r="P60" s="83"/>
      <c r="Q60" s="125"/>
    </row>
    <row r="61" spans="1:17" x14ac:dyDescent="0.35">
      <c r="A61" s="124"/>
      <c r="B61" s="83"/>
      <c r="C61" s="516" t="str">
        <f>J72</f>
        <v>2 (Chicago)</v>
      </c>
      <c r="D61" s="1">
        <v>9</v>
      </c>
      <c r="E61" s="83"/>
      <c r="F61" s="83"/>
      <c r="G61" s="83"/>
      <c r="H61" s="83"/>
      <c r="I61" s="83"/>
      <c r="J61" s="83"/>
      <c r="K61" s="83"/>
      <c r="L61" s="83"/>
      <c r="M61" s="83"/>
      <c r="N61" s="83"/>
      <c r="O61" s="83"/>
      <c r="P61" s="83"/>
      <c r="Q61" s="125"/>
    </row>
    <row r="62" spans="1:17" x14ac:dyDescent="0.35">
      <c r="A62" s="124"/>
      <c r="B62" s="83"/>
      <c r="C62" s="516" t="str">
        <f>K72</f>
        <v>3 (Springfield)</v>
      </c>
      <c r="D62" s="1">
        <v>10</v>
      </c>
      <c r="E62" s="83"/>
      <c r="F62" s="83"/>
      <c r="G62" s="83"/>
      <c r="H62" s="83"/>
      <c r="I62" s="83"/>
      <c r="J62" s="83"/>
      <c r="K62" s="83"/>
      <c r="L62" s="83"/>
      <c r="M62" s="83"/>
      <c r="N62" s="83"/>
      <c r="O62" s="83"/>
      <c r="P62" s="83"/>
      <c r="Q62" s="125"/>
    </row>
    <row r="63" spans="1:17" x14ac:dyDescent="0.35">
      <c r="A63" s="124"/>
      <c r="B63" s="83"/>
      <c r="C63" s="516" t="str">
        <f>L72</f>
        <v>4 (Belleville)</v>
      </c>
      <c r="D63" s="1">
        <v>11</v>
      </c>
      <c r="E63" s="83"/>
      <c r="F63" s="83"/>
      <c r="G63" s="83"/>
      <c r="H63" s="83"/>
      <c r="I63" s="83"/>
      <c r="J63" s="83"/>
      <c r="K63" s="83"/>
      <c r="L63" s="83"/>
      <c r="M63" s="83"/>
      <c r="N63" s="83"/>
      <c r="O63" s="83"/>
      <c r="P63" s="83"/>
      <c r="Q63" s="125"/>
    </row>
    <row r="64" spans="1:17" x14ac:dyDescent="0.35">
      <c r="A64" s="124"/>
      <c r="B64" s="83"/>
      <c r="C64" s="516" t="str">
        <f>M72</f>
        <v>5 (Marion)</v>
      </c>
      <c r="D64" s="1">
        <v>12</v>
      </c>
      <c r="E64" s="83"/>
      <c r="F64" s="83"/>
      <c r="G64" s="83"/>
      <c r="H64" s="83"/>
      <c r="I64" s="83"/>
      <c r="J64" s="83"/>
      <c r="K64" s="83"/>
      <c r="L64" s="83"/>
      <c r="M64" s="83"/>
      <c r="N64" s="83"/>
      <c r="O64" s="83"/>
      <c r="P64" s="83"/>
      <c r="Q64" s="125"/>
    </row>
    <row r="65" spans="1:17" x14ac:dyDescent="0.35">
      <c r="A65" s="124"/>
      <c r="B65" s="83"/>
      <c r="C65" s="516" t="s">
        <v>295</v>
      </c>
      <c r="D65" s="217">
        <v>13</v>
      </c>
      <c r="E65" s="83"/>
      <c r="F65" s="83"/>
      <c r="G65" s="83"/>
      <c r="H65" s="83"/>
      <c r="I65" s="83"/>
      <c r="J65" s="83"/>
      <c r="K65" s="83"/>
      <c r="L65" s="83"/>
      <c r="M65" s="83"/>
      <c r="N65" s="83"/>
      <c r="O65" s="83"/>
      <c r="P65" s="83"/>
      <c r="Q65" s="125"/>
    </row>
    <row r="66" spans="1:17" x14ac:dyDescent="0.35">
      <c r="A66" s="124"/>
      <c r="B66" s="83"/>
      <c r="C66" s="65"/>
      <c r="D66" s="83"/>
      <c r="E66" s="83"/>
      <c r="F66" s="83"/>
      <c r="G66" s="83"/>
      <c r="H66" s="83"/>
      <c r="I66" s="83"/>
      <c r="J66" s="83"/>
      <c r="K66" s="83"/>
      <c r="L66" s="83"/>
      <c r="M66" s="83"/>
      <c r="N66" s="83"/>
      <c r="O66" s="83"/>
      <c r="P66" s="83"/>
      <c r="Q66" s="125"/>
    </row>
    <row r="67" spans="1:17" x14ac:dyDescent="0.35">
      <c r="A67" s="124"/>
      <c r="B67" s="83"/>
      <c r="C67" s="363" t="s">
        <v>1119</v>
      </c>
      <c r="D67" s="363"/>
      <c r="E67" s="83"/>
      <c r="F67" s="83"/>
      <c r="G67" s="83"/>
      <c r="H67" s="83"/>
      <c r="I67" s="83"/>
      <c r="J67" s="83"/>
      <c r="K67" s="83"/>
      <c r="L67" s="83"/>
      <c r="M67" s="83"/>
      <c r="N67" s="83"/>
      <c r="O67" s="83"/>
      <c r="P67" s="83"/>
      <c r="Q67" s="125"/>
    </row>
    <row r="68" spans="1:17" x14ac:dyDescent="0.35">
      <c r="A68" s="124"/>
      <c r="B68" s="83"/>
      <c r="C68" s="1" t="s">
        <v>356</v>
      </c>
      <c r="D68" s="1" t="s">
        <v>1062</v>
      </c>
      <c r="E68" s="83"/>
      <c r="F68" s="83"/>
      <c r="G68" s="83"/>
      <c r="H68" s="83"/>
      <c r="I68" s="83"/>
      <c r="J68" s="83"/>
      <c r="K68" s="83"/>
      <c r="L68" s="83"/>
      <c r="M68" s="83"/>
      <c r="N68" s="83"/>
      <c r="O68" s="83"/>
      <c r="P68" s="83"/>
      <c r="Q68" s="125"/>
    </row>
    <row r="69" spans="1:17" x14ac:dyDescent="0.35">
      <c r="A69" s="124"/>
      <c r="B69" s="83"/>
      <c r="C69" s="1" t="s">
        <v>495</v>
      </c>
      <c r="D69" s="1" t="s">
        <v>1076</v>
      </c>
      <c r="E69" s="83"/>
      <c r="F69" s="83"/>
      <c r="G69" s="83"/>
      <c r="H69" s="83"/>
      <c r="I69" s="83"/>
      <c r="J69" s="83"/>
      <c r="K69" s="83"/>
      <c r="L69" s="83"/>
      <c r="M69" s="83"/>
      <c r="N69" s="83"/>
      <c r="O69" s="83"/>
      <c r="P69" s="83"/>
      <c r="Q69" s="125"/>
    </row>
    <row r="70" spans="1:17" x14ac:dyDescent="0.35">
      <c r="A70" s="124"/>
      <c r="B70" s="83"/>
      <c r="C70" s="1"/>
      <c r="D70" s="1" t="s">
        <v>1078</v>
      </c>
      <c r="E70" s="83"/>
      <c r="F70" s="83"/>
      <c r="G70" s="83"/>
      <c r="H70" s="83"/>
      <c r="I70" s="83"/>
      <c r="J70" s="83"/>
      <c r="K70" s="83"/>
      <c r="L70" s="83"/>
      <c r="M70" s="83"/>
      <c r="N70" s="83"/>
      <c r="O70" s="83"/>
      <c r="P70" s="83"/>
      <c r="Q70" s="125"/>
    </row>
    <row r="71" spans="1:17" x14ac:dyDescent="0.35">
      <c r="A71" s="124"/>
      <c r="B71" s="83"/>
      <c r="C71" s="65"/>
      <c r="D71" s="83"/>
      <c r="E71" s="83"/>
      <c r="F71" s="83"/>
      <c r="G71" s="83"/>
      <c r="H71" s="83"/>
      <c r="I71" s="83"/>
      <c r="J71" s="83"/>
      <c r="K71" s="83"/>
      <c r="L71" s="83"/>
      <c r="M71" s="83"/>
      <c r="N71" s="83"/>
      <c r="O71" s="83"/>
      <c r="P71" s="83"/>
      <c r="Q71" s="125"/>
    </row>
    <row r="72" spans="1:17" ht="39" x14ac:dyDescent="0.35">
      <c r="A72" s="124"/>
      <c r="B72" s="83"/>
      <c r="C72" s="2339" t="s">
        <v>1120</v>
      </c>
      <c r="D72" s="2340"/>
      <c r="E72" s="83"/>
      <c r="F72" s="83"/>
      <c r="G72" s="83"/>
      <c r="H72" s="83"/>
      <c r="I72" s="70" t="s">
        <v>457</v>
      </c>
      <c r="J72" s="70" t="s">
        <v>459</v>
      </c>
      <c r="K72" s="70" t="s">
        <v>461</v>
      </c>
      <c r="L72" s="70" t="s">
        <v>463</v>
      </c>
      <c r="M72" s="70" t="s">
        <v>464</v>
      </c>
      <c r="N72" s="70" t="s">
        <v>295</v>
      </c>
      <c r="O72" s="83"/>
      <c r="P72" s="83"/>
      <c r="Q72" s="125"/>
    </row>
    <row r="73" spans="1:17" x14ac:dyDescent="0.35">
      <c r="A73" s="124"/>
      <c r="B73" s="363" t="s">
        <v>1043</v>
      </c>
      <c r="C73" s="363" t="s">
        <v>512</v>
      </c>
      <c r="D73" s="403" t="s">
        <v>1121</v>
      </c>
      <c r="E73" s="365" t="s">
        <v>1122</v>
      </c>
      <c r="F73" s="70" t="s">
        <v>1123</v>
      </c>
      <c r="G73" s="365" t="s">
        <v>1055</v>
      </c>
      <c r="H73" s="365" t="s">
        <v>1057</v>
      </c>
      <c r="I73" s="2311" t="s">
        <v>1124</v>
      </c>
      <c r="J73" s="2311"/>
      <c r="K73" s="2311"/>
      <c r="L73" s="2311"/>
      <c r="M73" s="2311"/>
      <c r="N73" s="2311"/>
      <c r="O73" s="2341" t="s">
        <v>2347</v>
      </c>
      <c r="P73" s="2342"/>
      <c r="Q73" s="125"/>
    </row>
    <row r="74" spans="1:17" x14ac:dyDescent="0.35">
      <c r="A74" s="124"/>
      <c r="B74" s="517" t="s">
        <v>1081</v>
      </c>
      <c r="C74" s="518"/>
      <c r="D74" s="519"/>
      <c r="E74" s="520">
        <v>38.1</v>
      </c>
      <c r="F74" s="521">
        <v>890</v>
      </c>
      <c r="G74" s="522">
        <v>0.8</v>
      </c>
      <c r="H74" s="523">
        <v>0.27</v>
      </c>
      <c r="I74" s="524">
        <v>2425</v>
      </c>
      <c r="J74" s="524">
        <v>2425</v>
      </c>
      <c r="K74" s="524">
        <v>2425</v>
      </c>
      <c r="L74" s="524">
        <v>2425</v>
      </c>
      <c r="M74" s="524">
        <v>2425</v>
      </c>
      <c r="N74" s="524">
        <v>2425</v>
      </c>
      <c r="O74" s="1" t="s">
        <v>1125</v>
      </c>
      <c r="P74" s="225">
        <v>0.3</v>
      </c>
      <c r="Q74" s="125"/>
    </row>
    <row r="75" spans="1:17" ht="27" customHeight="1" x14ac:dyDescent="0.35">
      <c r="A75" s="124"/>
      <c r="B75" s="517" t="s">
        <v>1077</v>
      </c>
      <c r="C75" s="518"/>
      <c r="D75" s="525"/>
      <c r="E75" s="520">
        <v>13.8</v>
      </c>
      <c r="F75" s="521">
        <v>951</v>
      </c>
      <c r="G75" s="522">
        <v>0.8</v>
      </c>
      <c r="H75" s="523">
        <v>0.27</v>
      </c>
      <c r="I75" s="526">
        <v>4272</v>
      </c>
      <c r="J75" s="526">
        <v>4029</v>
      </c>
      <c r="K75" s="526">
        <v>3406</v>
      </c>
      <c r="L75" s="526">
        <v>2515</v>
      </c>
      <c r="M75" s="526">
        <v>2546</v>
      </c>
      <c r="N75" s="526">
        <f>((I75*P74)+(J75*P75)+(K75*P76))</f>
        <v>4039.6</v>
      </c>
      <c r="O75" s="1" t="s">
        <v>460</v>
      </c>
      <c r="P75" s="225">
        <v>0.6</v>
      </c>
      <c r="Q75" s="125"/>
    </row>
    <row r="76" spans="1:17" x14ac:dyDescent="0.35">
      <c r="A76" s="124"/>
      <c r="B76" s="527" t="s">
        <v>1079</v>
      </c>
      <c r="C76" s="528"/>
      <c r="D76" s="529"/>
      <c r="E76" s="530">
        <v>13.8</v>
      </c>
      <c r="F76" s="531">
        <v>951</v>
      </c>
      <c r="G76" s="532">
        <v>0.8</v>
      </c>
      <c r="H76" s="533">
        <v>0.16</v>
      </c>
      <c r="I76" s="534">
        <v>8282</v>
      </c>
      <c r="J76" s="534">
        <v>8282</v>
      </c>
      <c r="K76" s="534">
        <v>8282</v>
      </c>
      <c r="L76" s="534">
        <v>8282</v>
      </c>
      <c r="M76" s="534">
        <v>8282</v>
      </c>
      <c r="N76" s="534">
        <v>8282</v>
      </c>
      <c r="O76" s="1" t="s">
        <v>462</v>
      </c>
      <c r="P76" s="225">
        <v>0.1</v>
      </c>
      <c r="Q76" s="125"/>
    </row>
    <row r="77" spans="1:17" x14ac:dyDescent="0.35">
      <c r="A77" s="124"/>
      <c r="B77" s="527" t="s">
        <v>1063</v>
      </c>
      <c r="C77" s="528"/>
      <c r="D77" s="529"/>
      <c r="E77" s="530">
        <v>12.7</v>
      </c>
      <c r="F77" s="531">
        <v>944</v>
      </c>
      <c r="G77" s="532">
        <v>0.8</v>
      </c>
      <c r="H77" s="533">
        <v>0.16</v>
      </c>
      <c r="I77" s="534">
        <v>8282</v>
      </c>
      <c r="J77" s="534">
        <v>8282</v>
      </c>
      <c r="K77" s="534">
        <v>8282</v>
      </c>
      <c r="L77" s="534">
        <v>8282</v>
      </c>
      <c r="M77" s="534">
        <v>8282</v>
      </c>
      <c r="N77" s="534">
        <v>8282</v>
      </c>
      <c r="O77" s="83"/>
      <c r="P77" s="83"/>
      <c r="Q77" s="125"/>
    </row>
    <row r="78" spans="1:17" x14ac:dyDescent="0.35">
      <c r="A78" s="124"/>
      <c r="B78" s="527" t="s">
        <v>1066</v>
      </c>
      <c r="C78" s="528"/>
      <c r="D78" s="529"/>
      <c r="E78" s="530">
        <v>19</v>
      </c>
      <c r="F78" s="531">
        <v>915</v>
      </c>
      <c r="G78" s="532">
        <v>0.8</v>
      </c>
      <c r="H78" s="533">
        <v>0.16</v>
      </c>
      <c r="I78" s="534">
        <v>8282</v>
      </c>
      <c r="J78" s="534">
        <v>8282</v>
      </c>
      <c r="K78" s="534">
        <v>8282</v>
      </c>
      <c r="L78" s="534">
        <v>8282</v>
      </c>
      <c r="M78" s="534">
        <v>8282</v>
      </c>
      <c r="N78" s="534">
        <v>8282</v>
      </c>
      <c r="O78" s="83"/>
      <c r="P78" s="83"/>
      <c r="Q78" s="125"/>
    </row>
    <row r="79" spans="1:17" ht="25.5" customHeight="1" x14ac:dyDescent="0.35">
      <c r="A79" s="124"/>
      <c r="B79" s="527" t="s">
        <v>1068</v>
      </c>
      <c r="C79" s="528"/>
      <c r="D79" s="529"/>
      <c r="E79" s="530">
        <v>67.900000000000006</v>
      </c>
      <c r="F79" s="531">
        <v>880</v>
      </c>
      <c r="G79" s="532">
        <v>0.8</v>
      </c>
      <c r="H79" s="533">
        <v>0.16</v>
      </c>
      <c r="I79" s="534">
        <v>8282</v>
      </c>
      <c r="J79" s="534">
        <v>8282</v>
      </c>
      <c r="K79" s="534">
        <v>8282</v>
      </c>
      <c r="L79" s="534">
        <v>8282</v>
      </c>
      <c r="M79" s="534">
        <v>8282</v>
      </c>
      <c r="N79" s="534">
        <v>8282</v>
      </c>
      <c r="O79" s="83"/>
      <c r="P79" s="83"/>
      <c r="Q79" s="125"/>
    </row>
    <row r="80" spans="1:17" x14ac:dyDescent="0.35">
      <c r="A80" s="124"/>
      <c r="B80" s="527" t="s">
        <v>1070</v>
      </c>
      <c r="C80" s="528"/>
      <c r="D80" s="535"/>
      <c r="E80" s="530">
        <v>105.8</v>
      </c>
      <c r="F80" s="531">
        <v>859</v>
      </c>
      <c r="G80" s="532">
        <v>0.8</v>
      </c>
      <c r="H80" s="533">
        <v>0.16</v>
      </c>
      <c r="I80" s="534">
        <v>8282</v>
      </c>
      <c r="J80" s="534">
        <v>8282</v>
      </c>
      <c r="K80" s="534">
        <v>8282</v>
      </c>
      <c r="L80" s="534">
        <v>8282</v>
      </c>
      <c r="M80" s="534">
        <v>8282</v>
      </c>
      <c r="N80" s="534">
        <v>8282</v>
      </c>
      <c r="O80" s="83"/>
      <c r="P80" s="83"/>
      <c r="Q80" s="125"/>
    </row>
    <row r="81" spans="1:17" x14ac:dyDescent="0.35">
      <c r="A81" s="124"/>
      <c r="B81" s="527" t="s">
        <v>1072</v>
      </c>
      <c r="C81" s="528"/>
      <c r="D81" s="535"/>
      <c r="E81" s="530">
        <v>143.69999999999999</v>
      </c>
      <c r="F81" s="531">
        <v>837</v>
      </c>
      <c r="G81" s="532">
        <v>0.8</v>
      </c>
      <c r="H81" s="533">
        <v>0.16</v>
      </c>
      <c r="I81" s="534">
        <v>8282</v>
      </c>
      <c r="J81" s="534">
        <v>8282</v>
      </c>
      <c r="K81" s="534">
        <v>8282</v>
      </c>
      <c r="L81" s="534">
        <v>8282</v>
      </c>
      <c r="M81" s="534">
        <v>8282</v>
      </c>
      <c r="N81" s="534">
        <v>8282</v>
      </c>
      <c r="O81" s="83"/>
      <c r="P81" s="83"/>
      <c r="Q81" s="125"/>
    </row>
    <row r="82" spans="1:17" x14ac:dyDescent="0.35">
      <c r="A82" s="124"/>
      <c r="B82" s="527" t="s">
        <v>1074</v>
      </c>
      <c r="C82" s="528"/>
      <c r="D82" s="535"/>
      <c r="E82" s="530">
        <v>200.5</v>
      </c>
      <c r="F82" s="531">
        <v>816</v>
      </c>
      <c r="G82" s="532">
        <v>0.8</v>
      </c>
      <c r="H82" s="533">
        <v>0.16</v>
      </c>
      <c r="I82" s="534">
        <v>8282</v>
      </c>
      <c r="J82" s="534">
        <v>8282</v>
      </c>
      <c r="K82" s="534">
        <v>8282</v>
      </c>
      <c r="L82" s="534">
        <v>8282</v>
      </c>
      <c r="M82" s="534">
        <v>8282</v>
      </c>
      <c r="N82" s="534">
        <v>8282</v>
      </c>
      <c r="O82" s="83"/>
      <c r="P82" s="83"/>
      <c r="Q82" s="125"/>
    </row>
    <row r="83" spans="1:17" x14ac:dyDescent="0.35">
      <c r="A83" s="124"/>
      <c r="B83" s="527" t="s">
        <v>1126</v>
      </c>
      <c r="C83" s="528"/>
      <c r="D83" s="535"/>
      <c r="E83" s="530"/>
      <c r="F83" s="531"/>
      <c r="G83" s="532"/>
      <c r="H83" s="533"/>
      <c r="I83" s="534"/>
      <c r="J83" s="534"/>
      <c r="K83" s="534"/>
      <c r="L83" s="534"/>
      <c r="M83" s="534"/>
      <c r="N83" s="534"/>
      <c r="O83" s="83"/>
      <c r="P83" s="83"/>
      <c r="Q83" s="125"/>
    </row>
    <row r="84" spans="1:17" x14ac:dyDescent="0.35">
      <c r="A84" s="124"/>
      <c r="B84" s="536"/>
      <c r="C84" s="83"/>
      <c r="D84" s="83"/>
      <c r="E84" s="83"/>
      <c r="F84" s="83"/>
      <c r="G84" s="83"/>
      <c r="H84" s="83"/>
      <c r="I84" s="83"/>
      <c r="J84" s="83"/>
      <c r="K84" s="83"/>
      <c r="L84" s="83"/>
      <c r="M84" s="83"/>
      <c r="N84" s="83"/>
      <c r="O84" s="83"/>
      <c r="P84" s="83"/>
      <c r="Q84" s="125"/>
    </row>
    <row r="85" spans="1:17" x14ac:dyDescent="0.35">
      <c r="A85" s="124"/>
      <c r="B85" s="316"/>
      <c r="C85" s="83"/>
      <c r="D85" s="83"/>
      <c r="E85" s="83"/>
      <c r="F85" s="83"/>
      <c r="G85" s="83"/>
      <c r="H85" s="83"/>
      <c r="I85" s="83"/>
      <c r="J85" s="83"/>
      <c r="K85" s="83"/>
      <c r="L85" s="83"/>
      <c r="M85" s="83"/>
      <c r="N85" s="83"/>
      <c r="O85" s="83"/>
      <c r="P85" s="83"/>
      <c r="Q85" s="125"/>
    </row>
    <row r="86" spans="1:17" ht="65" x14ac:dyDescent="0.35">
      <c r="A86" s="124"/>
      <c r="B86" s="537"/>
      <c r="C86" s="538" t="s">
        <v>1081</v>
      </c>
      <c r="D86" s="538" t="s">
        <v>1077</v>
      </c>
      <c r="E86" s="538" t="s">
        <v>1079</v>
      </c>
      <c r="F86" s="538" t="s">
        <v>1063</v>
      </c>
      <c r="G86" s="538" t="s">
        <v>1127</v>
      </c>
      <c r="H86" s="538" t="s">
        <v>1128</v>
      </c>
      <c r="I86" s="538" t="s">
        <v>1129</v>
      </c>
      <c r="J86" s="538" t="s">
        <v>1130</v>
      </c>
      <c r="K86" s="538" t="s">
        <v>1131</v>
      </c>
      <c r="L86" s="83"/>
      <c r="M86" s="83"/>
      <c r="N86" s="83"/>
      <c r="O86" s="83"/>
      <c r="P86" s="83"/>
      <c r="Q86" s="125"/>
    </row>
    <row r="87" spans="1:17" x14ac:dyDescent="0.35">
      <c r="A87" s="124"/>
      <c r="B87" s="527" t="s">
        <v>1062</v>
      </c>
      <c r="C87" s="1">
        <v>1</v>
      </c>
      <c r="D87" s="1">
        <v>1</v>
      </c>
      <c r="E87" s="1">
        <v>1</v>
      </c>
      <c r="F87" s="1">
        <v>1</v>
      </c>
      <c r="G87" s="1">
        <v>1</v>
      </c>
      <c r="H87" s="1">
        <v>1</v>
      </c>
      <c r="I87" s="1">
        <v>1</v>
      </c>
      <c r="J87" s="1">
        <v>1</v>
      </c>
      <c r="K87" s="1">
        <v>1</v>
      </c>
      <c r="L87" s="83"/>
      <c r="M87" s="83"/>
      <c r="N87" s="83"/>
      <c r="O87" s="83"/>
      <c r="P87" s="83"/>
      <c r="Q87" s="125"/>
    </row>
    <row r="88" spans="1:17" x14ac:dyDescent="0.35">
      <c r="A88" s="124"/>
      <c r="B88" s="527" t="s">
        <v>1132</v>
      </c>
      <c r="C88" s="523">
        <v>0.27</v>
      </c>
      <c r="D88" s="523">
        <v>0.27</v>
      </c>
      <c r="E88" s="523">
        <v>0.16</v>
      </c>
      <c r="F88" s="523">
        <v>0.16</v>
      </c>
      <c r="G88" s="523">
        <v>0.16</v>
      </c>
      <c r="H88" s="523">
        <v>0.16</v>
      </c>
      <c r="I88" s="523">
        <v>0.16</v>
      </c>
      <c r="J88" s="523">
        <v>0.16</v>
      </c>
      <c r="K88" s="523">
        <v>0.16</v>
      </c>
      <c r="L88" s="83"/>
      <c r="M88" s="83"/>
      <c r="N88" s="83"/>
      <c r="O88" s="83"/>
      <c r="P88" s="83"/>
      <c r="Q88" s="125"/>
    </row>
    <row r="89" spans="1:17" x14ac:dyDescent="0.35">
      <c r="A89" s="124"/>
      <c r="B89" s="527" t="s">
        <v>1133</v>
      </c>
      <c r="C89" s="1">
        <v>0.74</v>
      </c>
      <c r="D89" s="1">
        <v>0.74</v>
      </c>
      <c r="E89" s="1">
        <v>0.74</v>
      </c>
      <c r="F89" s="1">
        <v>0.74</v>
      </c>
      <c r="G89" s="1">
        <v>0.74</v>
      </c>
      <c r="H89" s="1">
        <v>0.74</v>
      </c>
      <c r="I89" s="1">
        <v>0.74</v>
      </c>
      <c r="J89" s="1">
        <v>0.74</v>
      </c>
      <c r="K89" s="1">
        <v>0.74</v>
      </c>
      <c r="L89" s="83"/>
      <c r="M89" s="83"/>
      <c r="N89" s="83"/>
      <c r="O89" s="83"/>
      <c r="P89" s="83"/>
      <c r="Q89" s="125"/>
    </row>
    <row r="90" spans="1:17" x14ac:dyDescent="0.35">
      <c r="A90" s="124"/>
      <c r="B90" s="83"/>
      <c r="C90" s="83"/>
      <c r="D90" s="83"/>
      <c r="E90" s="83"/>
      <c r="F90" s="83"/>
      <c r="G90" s="83"/>
      <c r="H90" s="83"/>
      <c r="I90" s="83"/>
      <c r="J90" s="83"/>
      <c r="K90" s="83"/>
      <c r="L90" s="83"/>
      <c r="M90" s="83"/>
      <c r="N90" s="83"/>
      <c r="O90" s="83"/>
      <c r="P90" s="83"/>
      <c r="Q90" s="125"/>
    </row>
    <row r="91" spans="1:17" x14ac:dyDescent="0.35">
      <c r="A91" s="124"/>
      <c r="B91" s="537" t="s">
        <v>1134</v>
      </c>
      <c r="C91" s="537"/>
      <c r="D91" s="83"/>
      <c r="E91" s="83"/>
      <c r="F91" s="83"/>
      <c r="G91" s="83"/>
      <c r="H91" s="83"/>
      <c r="I91" s="83"/>
      <c r="J91" s="83"/>
      <c r="K91" s="83"/>
      <c r="L91" s="83"/>
      <c r="M91" s="83"/>
      <c r="N91" s="83"/>
      <c r="O91" s="83"/>
      <c r="P91" s="83"/>
      <c r="Q91" s="125"/>
    </row>
    <row r="92" spans="1:17" x14ac:dyDescent="0.35">
      <c r="A92" s="124"/>
      <c r="B92" s="517" t="s">
        <v>1081</v>
      </c>
      <c r="C92" s="1">
        <v>2</v>
      </c>
      <c r="D92" s="83"/>
      <c r="E92" s="83"/>
      <c r="F92" s="83"/>
      <c r="G92" s="83"/>
      <c r="H92" s="83"/>
      <c r="I92" s="83"/>
      <c r="J92" s="83"/>
      <c r="K92" s="83"/>
      <c r="L92" s="83"/>
      <c r="M92" s="83"/>
      <c r="N92" s="83"/>
      <c r="O92" s="83"/>
      <c r="P92" s="83"/>
      <c r="Q92" s="125"/>
    </row>
    <row r="93" spans="1:17" x14ac:dyDescent="0.35">
      <c r="A93" s="124"/>
      <c r="B93" s="517" t="s">
        <v>1077</v>
      </c>
      <c r="C93" s="1">
        <v>3</v>
      </c>
      <c r="D93" s="83"/>
      <c r="E93" s="83"/>
      <c r="F93" s="83"/>
      <c r="G93" s="83"/>
      <c r="H93" s="83"/>
      <c r="I93" s="83"/>
      <c r="J93" s="83"/>
      <c r="K93" s="83"/>
      <c r="L93" s="83"/>
      <c r="M93" s="83"/>
      <c r="N93" s="83"/>
      <c r="O93" s="83"/>
      <c r="P93" s="83"/>
      <c r="Q93" s="125"/>
    </row>
    <row r="94" spans="1:17" x14ac:dyDescent="0.35">
      <c r="A94" s="124"/>
      <c r="B94" s="517" t="s">
        <v>1079</v>
      </c>
      <c r="C94" s="1">
        <v>4</v>
      </c>
      <c r="D94" s="83"/>
      <c r="E94" s="83"/>
      <c r="F94" s="83"/>
      <c r="G94" s="83"/>
      <c r="H94" s="83"/>
      <c r="I94" s="83"/>
      <c r="J94" s="83"/>
      <c r="K94" s="83"/>
      <c r="L94" s="83"/>
      <c r="M94" s="83"/>
      <c r="N94" s="83"/>
      <c r="O94" s="83"/>
      <c r="P94" s="83"/>
      <c r="Q94" s="125"/>
    </row>
    <row r="95" spans="1:17" x14ac:dyDescent="0.35">
      <c r="A95" s="124"/>
      <c r="B95" s="517" t="s">
        <v>1063</v>
      </c>
      <c r="C95" s="1">
        <v>5</v>
      </c>
      <c r="D95" s="83"/>
      <c r="E95" s="83"/>
      <c r="F95" s="83"/>
      <c r="G95" s="83"/>
      <c r="H95" s="83"/>
      <c r="I95" s="83"/>
      <c r="J95" s="83"/>
      <c r="K95" s="83"/>
      <c r="L95" s="83"/>
      <c r="M95" s="83"/>
      <c r="N95" s="83"/>
      <c r="O95" s="83"/>
      <c r="P95" s="83"/>
      <c r="Q95" s="125"/>
    </row>
    <row r="96" spans="1:17" x14ac:dyDescent="0.35">
      <c r="A96" s="124"/>
      <c r="B96" s="517" t="s">
        <v>1066</v>
      </c>
      <c r="C96" s="1">
        <v>6</v>
      </c>
      <c r="D96" s="83"/>
      <c r="E96" s="83"/>
      <c r="F96" s="83"/>
      <c r="G96" s="83"/>
      <c r="H96" s="83"/>
      <c r="I96" s="83"/>
      <c r="J96" s="83"/>
      <c r="K96" s="83"/>
      <c r="L96" s="83"/>
      <c r="M96" s="83"/>
      <c r="N96" s="83"/>
      <c r="O96" s="83"/>
      <c r="P96" s="83"/>
      <c r="Q96" s="125"/>
    </row>
    <row r="97" spans="1:17" x14ac:dyDescent="0.35">
      <c r="A97" s="124"/>
      <c r="B97" s="517" t="s">
        <v>1068</v>
      </c>
      <c r="C97" s="1">
        <v>7</v>
      </c>
      <c r="D97" s="83"/>
      <c r="E97" s="83"/>
      <c r="F97" s="83"/>
      <c r="G97" s="83"/>
      <c r="H97" s="83"/>
      <c r="I97" s="83"/>
      <c r="J97" s="83"/>
      <c r="K97" s="83"/>
      <c r="L97" s="83"/>
      <c r="M97" s="83"/>
      <c r="N97" s="83"/>
      <c r="O97" s="83"/>
      <c r="P97" s="83"/>
      <c r="Q97" s="125"/>
    </row>
    <row r="98" spans="1:17" x14ac:dyDescent="0.35">
      <c r="A98" s="124"/>
      <c r="B98" s="517" t="s">
        <v>1070</v>
      </c>
      <c r="C98" s="1">
        <v>8</v>
      </c>
      <c r="D98" s="83"/>
      <c r="E98" s="83"/>
      <c r="F98" s="83"/>
      <c r="G98" s="83"/>
      <c r="H98" s="83"/>
      <c r="I98" s="83"/>
      <c r="J98" s="83"/>
      <c r="K98" s="83"/>
      <c r="L98" s="83"/>
      <c r="M98" s="83"/>
      <c r="N98" s="83"/>
      <c r="O98" s="83"/>
      <c r="P98" s="83"/>
      <c r="Q98" s="125"/>
    </row>
    <row r="99" spans="1:17" x14ac:dyDescent="0.35">
      <c r="A99" s="124"/>
      <c r="B99" s="517" t="s">
        <v>1072</v>
      </c>
      <c r="C99" s="1">
        <v>9</v>
      </c>
      <c r="D99" s="83"/>
      <c r="E99" s="83"/>
      <c r="F99" s="83"/>
      <c r="G99" s="83"/>
      <c r="H99" s="83"/>
      <c r="I99" s="83"/>
      <c r="J99" s="83"/>
      <c r="K99" s="83"/>
      <c r="L99" s="83"/>
      <c r="M99" s="83"/>
      <c r="N99" s="83"/>
      <c r="O99" s="83"/>
      <c r="P99" s="83"/>
      <c r="Q99" s="125"/>
    </row>
    <row r="100" spans="1:17" x14ac:dyDescent="0.35">
      <c r="A100" s="124"/>
      <c r="B100" s="517" t="s">
        <v>1074</v>
      </c>
      <c r="C100" s="1">
        <v>10</v>
      </c>
      <c r="D100" s="83"/>
      <c r="E100" s="83"/>
      <c r="F100" s="83"/>
      <c r="G100" s="83"/>
      <c r="H100" s="83"/>
      <c r="I100" s="83"/>
      <c r="J100" s="83"/>
      <c r="K100" s="83"/>
      <c r="L100" s="83"/>
      <c r="M100" s="83"/>
      <c r="N100" s="83"/>
      <c r="O100" s="83"/>
      <c r="P100" s="83"/>
      <c r="Q100" s="125"/>
    </row>
    <row r="101" spans="1:17" x14ac:dyDescent="0.35">
      <c r="A101" s="124"/>
      <c r="B101" s="83"/>
      <c r="C101" s="83"/>
      <c r="D101" s="83"/>
      <c r="E101" s="83"/>
      <c r="F101" s="83"/>
      <c r="G101" s="83"/>
      <c r="H101" s="83"/>
      <c r="I101" s="83"/>
      <c r="J101" s="83"/>
      <c r="K101" s="83"/>
      <c r="L101" s="83"/>
      <c r="M101" s="83"/>
      <c r="N101" s="83"/>
      <c r="O101" s="83"/>
      <c r="P101" s="83"/>
      <c r="Q101" s="125"/>
    </row>
    <row r="102" spans="1:17" ht="58" x14ac:dyDescent="0.35">
      <c r="A102" s="124"/>
      <c r="B102" s="539" t="s">
        <v>1043</v>
      </c>
      <c r="C102" s="539" t="s">
        <v>1135</v>
      </c>
      <c r="D102" s="539" t="s">
        <v>1136</v>
      </c>
      <c r="E102" s="539" t="s">
        <v>1137</v>
      </c>
      <c r="F102" s="539" t="s">
        <v>1138</v>
      </c>
      <c r="G102" s="539" t="s">
        <v>1139</v>
      </c>
      <c r="H102" s="83"/>
      <c r="I102" s="83"/>
      <c r="J102" s="83"/>
      <c r="K102" s="83"/>
      <c r="L102" s="83"/>
      <c r="M102" s="83"/>
      <c r="N102" s="83"/>
      <c r="O102" s="83"/>
      <c r="P102" s="83"/>
      <c r="Q102" s="125"/>
    </row>
    <row r="103" spans="1:17" x14ac:dyDescent="0.35">
      <c r="A103" s="124"/>
      <c r="B103" s="517" t="s">
        <v>1081</v>
      </c>
      <c r="C103" s="25"/>
      <c r="D103" s="25"/>
      <c r="E103" s="540">
        <v>0.5</v>
      </c>
      <c r="F103" s="540">
        <v>1</v>
      </c>
      <c r="G103" s="25">
        <v>19.100000000000001</v>
      </c>
      <c r="H103" s="83"/>
      <c r="I103" s="83"/>
      <c r="J103" s="83"/>
      <c r="K103" s="83"/>
      <c r="L103" s="83"/>
      <c r="M103" s="83"/>
      <c r="N103" s="83"/>
      <c r="O103" s="83"/>
      <c r="P103" s="83"/>
      <c r="Q103" s="125"/>
    </row>
    <row r="104" spans="1:17" x14ac:dyDescent="0.35">
      <c r="A104" s="124"/>
      <c r="B104" s="517" t="s">
        <v>1077</v>
      </c>
      <c r="C104" s="25"/>
      <c r="D104" s="25"/>
      <c r="E104" s="540">
        <v>0.5</v>
      </c>
      <c r="F104" s="540">
        <v>1</v>
      </c>
      <c r="G104" s="25">
        <v>6.9</v>
      </c>
      <c r="H104" s="83"/>
      <c r="I104" s="83"/>
      <c r="J104" s="83"/>
      <c r="K104" s="83"/>
      <c r="L104" s="83"/>
      <c r="M104" s="83"/>
      <c r="N104" s="83"/>
      <c r="O104" s="83"/>
      <c r="P104" s="83"/>
      <c r="Q104" s="125"/>
    </row>
    <row r="105" spans="1:17" x14ac:dyDescent="0.35">
      <c r="A105" s="124"/>
      <c r="B105" s="517" t="s">
        <v>1079</v>
      </c>
      <c r="C105" s="25"/>
      <c r="D105" s="25"/>
      <c r="E105" s="540">
        <v>0.5</v>
      </c>
      <c r="F105" s="540">
        <v>1</v>
      </c>
      <c r="G105" s="25">
        <v>6.9</v>
      </c>
      <c r="H105" s="83"/>
      <c r="I105" s="83"/>
      <c r="J105" s="83"/>
      <c r="K105" s="83"/>
      <c r="L105" s="83"/>
      <c r="M105" s="83"/>
      <c r="N105" s="83"/>
      <c r="O105" s="83"/>
      <c r="P105" s="83"/>
      <c r="Q105" s="125"/>
    </row>
    <row r="106" spans="1:17" x14ac:dyDescent="0.35">
      <c r="A106" s="124"/>
      <c r="B106" s="517" t="s">
        <v>1063</v>
      </c>
      <c r="C106" s="25">
        <v>16</v>
      </c>
      <c r="D106" s="25">
        <v>0.1875</v>
      </c>
      <c r="E106" s="540">
        <v>0.5</v>
      </c>
      <c r="F106" s="540">
        <v>0.5</v>
      </c>
      <c r="G106" s="25">
        <v>6.5</v>
      </c>
      <c r="H106" s="83"/>
      <c r="I106" s="83"/>
      <c r="J106" s="83"/>
      <c r="K106" s="83"/>
      <c r="L106" s="83"/>
      <c r="M106" s="83"/>
      <c r="N106" s="83"/>
      <c r="O106" s="83"/>
      <c r="P106" s="83"/>
      <c r="Q106" s="125"/>
    </row>
    <row r="107" spans="1:17" x14ac:dyDescent="0.35">
      <c r="A107" s="124"/>
      <c r="B107" s="517" t="s">
        <v>1066</v>
      </c>
      <c r="C107" s="25">
        <v>47</v>
      </c>
      <c r="D107" s="25">
        <v>0.25</v>
      </c>
      <c r="E107" s="540">
        <v>0.5</v>
      </c>
      <c r="F107" s="540">
        <v>0.5</v>
      </c>
      <c r="G107" s="25">
        <v>23.4</v>
      </c>
      <c r="H107" s="83"/>
      <c r="I107" s="83"/>
      <c r="J107" s="83"/>
      <c r="K107" s="83"/>
      <c r="L107" s="83"/>
      <c r="M107" s="83"/>
      <c r="N107" s="83"/>
      <c r="O107" s="83"/>
      <c r="P107" s="83"/>
      <c r="Q107" s="125"/>
    </row>
    <row r="108" spans="1:17" x14ac:dyDescent="0.35">
      <c r="A108" s="124"/>
      <c r="B108" s="517" t="s">
        <v>1068</v>
      </c>
      <c r="C108" s="25">
        <v>101</v>
      </c>
      <c r="D108" s="25">
        <v>0.25</v>
      </c>
      <c r="E108" s="540">
        <v>0.5</v>
      </c>
      <c r="F108" s="540">
        <v>0.5</v>
      </c>
      <c r="G108" s="25">
        <v>43.8</v>
      </c>
      <c r="H108" s="83"/>
      <c r="I108" s="83"/>
      <c r="J108" s="83"/>
      <c r="K108" s="83"/>
      <c r="L108" s="83"/>
      <c r="M108" s="83"/>
      <c r="N108" s="83"/>
      <c r="O108" s="83"/>
      <c r="P108" s="83"/>
      <c r="Q108" s="125"/>
    </row>
    <row r="109" spans="1:17" x14ac:dyDescent="0.35">
      <c r="A109" s="124"/>
      <c r="B109" s="517" t="s">
        <v>1070</v>
      </c>
      <c r="C109" s="25">
        <v>146</v>
      </c>
      <c r="D109" s="25">
        <v>0.25</v>
      </c>
      <c r="E109" s="540">
        <v>0.5</v>
      </c>
      <c r="F109" s="540">
        <v>0.5</v>
      </c>
      <c r="G109" s="25">
        <v>60.9</v>
      </c>
      <c r="H109" s="83"/>
      <c r="I109" s="83"/>
      <c r="J109" s="83"/>
      <c r="K109" s="83"/>
      <c r="L109" s="83"/>
      <c r="M109" s="83"/>
      <c r="N109" s="83"/>
      <c r="O109" s="83"/>
      <c r="P109" s="83"/>
      <c r="Q109" s="125"/>
    </row>
    <row r="110" spans="1:17" x14ac:dyDescent="0.35">
      <c r="A110" s="124"/>
      <c r="B110" s="517" t="s">
        <v>1072</v>
      </c>
      <c r="C110" s="25">
        <v>202</v>
      </c>
      <c r="D110" s="25">
        <v>0.25</v>
      </c>
      <c r="E110" s="540">
        <v>0.5</v>
      </c>
      <c r="F110" s="540">
        <v>0.5</v>
      </c>
      <c r="G110" s="25">
        <v>82.1</v>
      </c>
      <c r="H110" s="83"/>
      <c r="I110" s="83"/>
      <c r="J110" s="83"/>
      <c r="K110" s="83"/>
      <c r="L110" s="83"/>
      <c r="M110" s="83"/>
      <c r="N110" s="83"/>
      <c r="O110" s="83"/>
      <c r="P110" s="83"/>
      <c r="Q110" s="125"/>
    </row>
    <row r="111" spans="1:17" x14ac:dyDescent="0.35">
      <c r="A111" s="124"/>
      <c r="B111" s="517" t="s">
        <v>1074</v>
      </c>
      <c r="C111" s="25">
        <v>263</v>
      </c>
      <c r="D111" s="25">
        <v>0.25</v>
      </c>
      <c r="E111" s="540">
        <v>0.5</v>
      </c>
      <c r="F111" s="540">
        <v>0.5</v>
      </c>
      <c r="G111" s="25">
        <v>105.2</v>
      </c>
      <c r="H111" s="83"/>
      <c r="I111" s="83"/>
      <c r="J111" s="83"/>
      <c r="K111" s="83"/>
      <c r="L111" s="83"/>
      <c r="M111" s="83"/>
      <c r="N111" s="83"/>
      <c r="O111" s="83"/>
      <c r="P111" s="83"/>
      <c r="Q111" s="125"/>
    </row>
    <row r="112" spans="1:17" x14ac:dyDescent="0.35">
      <c r="A112" s="124"/>
      <c r="B112" s="517" t="s">
        <v>1140</v>
      </c>
      <c r="C112" s="25" t="s">
        <v>295</v>
      </c>
      <c r="D112" s="25" t="s">
        <v>295</v>
      </c>
      <c r="E112" s="540">
        <v>0.5</v>
      </c>
      <c r="F112" s="540">
        <v>0.5</v>
      </c>
      <c r="G112" s="25" t="s">
        <v>1141</v>
      </c>
      <c r="H112" s="83"/>
      <c r="I112" s="83"/>
      <c r="J112" s="83"/>
      <c r="K112" s="83"/>
      <c r="L112" s="83"/>
      <c r="M112" s="83"/>
      <c r="N112" s="83"/>
      <c r="O112" s="83"/>
      <c r="P112" s="83"/>
      <c r="Q112" s="125"/>
    </row>
    <row r="113" spans="1:17" x14ac:dyDescent="0.35">
      <c r="A113" s="124"/>
      <c r="B113" s="541"/>
      <c r="C113" s="83"/>
      <c r="D113" s="83"/>
      <c r="E113" s="83"/>
      <c r="F113" s="83"/>
      <c r="G113" s="83"/>
      <c r="H113" s="83"/>
      <c r="I113" s="83"/>
      <c r="J113" s="83"/>
      <c r="K113" s="83"/>
      <c r="L113" s="83"/>
      <c r="M113" s="83"/>
      <c r="N113" s="83"/>
      <c r="O113" s="83"/>
      <c r="P113" s="83"/>
      <c r="Q113" s="125"/>
    </row>
    <row r="114" spans="1:17" x14ac:dyDescent="0.35">
      <c r="A114" s="124"/>
      <c r="B114" s="83"/>
      <c r="C114" s="83"/>
      <c r="D114" s="83"/>
      <c r="E114" s="83"/>
      <c r="F114" s="83"/>
      <c r="G114" s="83"/>
      <c r="H114" s="83"/>
      <c r="I114" s="83"/>
      <c r="J114" s="83"/>
      <c r="K114" s="83"/>
      <c r="L114" s="83"/>
      <c r="M114" s="83"/>
      <c r="N114" s="83"/>
      <c r="O114" s="83"/>
      <c r="P114" s="83"/>
      <c r="Q114" s="125"/>
    </row>
    <row r="115" spans="1:17" x14ac:dyDescent="0.35">
      <c r="A115" s="124"/>
      <c r="B115" s="83"/>
      <c r="C115" s="83"/>
      <c r="D115" s="83"/>
      <c r="E115" s="83"/>
      <c r="F115" s="83"/>
      <c r="G115" s="83"/>
      <c r="H115" s="83"/>
      <c r="I115" s="83"/>
      <c r="J115" s="83"/>
      <c r="K115" s="83"/>
      <c r="L115" s="83"/>
      <c r="M115" s="83"/>
      <c r="N115" s="83"/>
      <c r="O115" s="83"/>
      <c r="P115" s="83"/>
      <c r="Q115" s="125"/>
    </row>
    <row r="116" spans="1:17" ht="15" thickBot="1" x14ac:dyDescent="0.4">
      <c r="A116" s="321"/>
      <c r="B116" s="201"/>
      <c r="C116" s="201"/>
      <c r="D116" s="201"/>
      <c r="E116" s="201"/>
      <c r="F116" s="201"/>
      <c r="G116" s="201"/>
      <c r="H116" s="201"/>
      <c r="I116" s="201"/>
      <c r="J116" s="201"/>
      <c r="K116" s="201"/>
      <c r="L116" s="201"/>
      <c r="M116" s="201"/>
      <c r="N116" s="201"/>
      <c r="O116" s="201"/>
      <c r="P116" s="201"/>
      <c r="Q116" s="203"/>
    </row>
  </sheetData>
  <customSheetViews>
    <customSheetView guid="{11DE45F5-F478-4ED6-8DFF-12002C22A637}" scale="85" showPageBreaks="1" fitToPage="1" printArea="1" hiddenRows="1" view="pageBreakPreview">
      <pageMargins left="0.7" right="0.7" top="0.75" bottom="0.75" header="0.3" footer="0.3"/>
      <pageSetup scale="23" orientation="landscape" r:id="rId1"/>
    </customSheetView>
    <customSheetView guid="{ECD6FE6A-9548-414E-B8AA-6998703C57E0}" scale="85" showPageBreaks="1" fitToPage="1" printArea="1" hiddenRows="1" view="pageBreakPreview">
      <pageMargins left="0.7" right="0.7" top="0.75" bottom="0.75" header="0.3" footer="0.3"/>
      <pageSetup scale="23" orientation="landscape" r:id="rId2"/>
    </customSheetView>
  </customSheetViews>
  <mergeCells count="6">
    <mergeCell ref="M2:O2"/>
    <mergeCell ref="P2:R2"/>
    <mergeCell ref="S2:AF2"/>
    <mergeCell ref="C72:D72"/>
    <mergeCell ref="I73:N73"/>
    <mergeCell ref="O73:P73"/>
  </mergeCells>
  <dataValidations count="7">
    <dataValidation type="list" allowBlank="1" showInputMessage="1" showErrorMessage="1" sqref="E4:E15" xr:uid="{00000000-0002-0000-1D00-000000000000}">
      <formula1>HEBr1</formula1>
    </dataValidation>
    <dataValidation type="list" allowBlank="1" showInputMessage="1" showErrorMessage="1" sqref="I4:I15" xr:uid="{00000000-0002-0000-1D00-000001000000}">
      <formula1>Climate1</formula1>
    </dataValidation>
    <dataValidation type="list" allowBlank="1" showInputMessage="1" showErrorMessage="1" sqref="H4:H15" xr:uid="{00000000-0002-0000-1D00-000002000000}">
      <formula1>STRRr2</formula1>
    </dataValidation>
    <dataValidation type="list" allowBlank="1" showInputMessage="1" showErrorMessage="1" sqref="L13:L15" xr:uid="{00000000-0002-0000-1D00-000003000000}">
      <formula1>$C$58:$D$58</formula1>
    </dataValidation>
    <dataValidation type="list" allowBlank="1" showInputMessage="1" showErrorMessage="1" sqref="D4:D15" xr:uid="{00000000-0002-0000-1D00-000004000000}">
      <formula1>MeasureType</formula1>
    </dataValidation>
    <dataValidation type="list" allowBlank="1" showInputMessage="1" showErrorMessage="1" sqref="F4:F15" xr:uid="{00000000-0002-0000-1D00-000005000000}">
      <formula1>$D$68:$D$70</formula1>
    </dataValidation>
    <dataValidation type="list" allowBlank="1" showInputMessage="1" showErrorMessage="1" sqref="L4:L12" xr:uid="{00000000-0002-0000-1D00-000006000000}">
      <formula1>$C$56:$C$57</formula1>
    </dataValidation>
  </dataValidations>
  <pageMargins left="0.7" right="0.7" top="0.75" bottom="0.75" header="0.3" footer="0.3"/>
  <pageSetup scale="23"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tint="0.79998168889431442"/>
    <pageSetUpPr fitToPage="1"/>
  </sheetPr>
  <dimension ref="A1:AP104"/>
  <sheetViews>
    <sheetView view="pageBreakPreview" zoomScale="85" zoomScaleNormal="100" zoomScaleSheetLayoutView="85" workbookViewId="0"/>
  </sheetViews>
  <sheetFormatPr defaultRowHeight="14.5" x14ac:dyDescent="0.35"/>
  <cols>
    <col min="1" max="1" width="30.54296875" customWidth="1"/>
    <col min="2" max="2" width="26.453125" customWidth="1"/>
    <col min="3" max="3" width="30.26953125" customWidth="1"/>
    <col min="4" max="4" width="20.26953125" customWidth="1"/>
    <col min="5" max="5" width="10.81640625" customWidth="1"/>
    <col min="6" max="7" width="14.54296875" customWidth="1"/>
    <col min="8" max="9" width="13" customWidth="1"/>
    <col min="10" max="10" width="10.81640625" customWidth="1"/>
    <col min="11" max="11" width="9.54296875" customWidth="1"/>
    <col min="12" max="12" width="12.26953125" customWidth="1"/>
    <col min="13" max="13" width="17.1796875" customWidth="1"/>
    <col min="14" max="14" width="10.54296875" customWidth="1"/>
    <col min="15" max="15" width="12.1796875" customWidth="1"/>
    <col min="20" max="20" width="12.1796875" customWidth="1"/>
    <col min="21" max="26" width="11.54296875" customWidth="1"/>
    <col min="27" max="27" width="11.1796875" style="1656" customWidth="1"/>
    <col min="28" max="28" width="11.1796875" customWidth="1"/>
    <col min="31" max="31" width="13" customWidth="1"/>
    <col min="32" max="32" width="11.26953125" customWidth="1"/>
    <col min="34" max="34" width="10.1796875" customWidth="1"/>
    <col min="35" max="35" width="10.7265625" customWidth="1"/>
    <col min="36" max="36" width="11" customWidth="1"/>
    <col min="37" max="37" width="10.1796875" customWidth="1"/>
  </cols>
  <sheetData>
    <row r="1" spans="1:42" ht="30" customHeight="1" x14ac:dyDescent="0.35">
      <c r="A1" s="1680" t="s">
        <v>3135</v>
      </c>
      <c r="B1" s="1682" t="s">
        <v>683</v>
      </c>
      <c r="C1" s="1680"/>
      <c r="D1" s="1680"/>
      <c r="E1" s="1680"/>
      <c r="F1" s="1680"/>
      <c r="G1" s="1680"/>
      <c r="H1" s="1680"/>
      <c r="I1" s="1680"/>
      <c r="J1" s="1680"/>
      <c r="K1" s="1680"/>
      <c r="L1" s="1680"/>
      <c r="M1" s="1680"/>
      <c r="N1" s="1680"/>
      <c r="O1" s="1680"/>
      <c r="P1" s="1680"/>
      <c r="Q1" s="1680"/>
      <c r="R1" s="1680"/>
      <c r="S1" s="1680"/>
      <c r="T1" s="2346" t="s">
        <v>335</v>
      </c>
      <c r="U1" s="2347"/>
      <c r="V1" s="2348"/>
      <c r="W1" s="2346" t="s">
        <v>336</v>
      </c>
      <c r="X1" s="2347"/>
      <c r="Y1" s="2351"/>
      <c r="Z1" s="2352" t="s">
        <v>337</v>
      </c>
      <c r="AA1" s="2352"/>
      <c r="AB1" s="2352"/>
      <c r="AC1" s="2352"/>
      <c r="AD1" s="2352"/>
      <c r="AE1" s="2352"/>
      <c r="AF1" s="2352"/>
      <c r="AG1" s="2352"/>
      <c r="AH1" s="2352"/>
      <c r="AI1" s="2353" t="s">
        <v>363</v>
      </c>
      <c r="AJ1" s="2354"/>
      <c r="AK1" s="2343" t="s">
        <v>3059</v>
      </c>
      <c r="AL1" s="2344"/>
    </row>
    <row r="2" spans="1:42" ht="72.5" x14ac:dyDescent="0.35">
      <c r="A2" s="1681" t="s">
        <v>338</v>
      </c>
      <c r="B2" s="1681" t="s">
        <v>1</v>
      </c>
      <c r="C2" s="1681" t="s">
        <v>339</v>
      </c>
      <c r="D2" s="1681" t="s">
        <v>688</v>
      </c>
      <c r="E2" s="1681" t="s">
        <v>342</v>
      </c>
      <c r="F2" s="1681" t="s">
        <v>343</v>
      </c>
      <c r="G2" s="1681" t="s">
        <v>366</v>
      </c>
      <c r="H2" s="1681" t="s">
        <v>367</v>
      </c>
      <c r="I2" s="1681" t="s">
        <v>345</v>
      </c>
      <c r="J2" s="1681" t="s">
        <v>368</v>
      </c>
      <c r="K2" s="1681" t="s">
        <v>369</v>
      </c>
      <c r="L2" s="1681" t="s">
        <v>370</v>
      </c>
      <c r="M2" s="1681" t="s">
        <v>838</v>
      </c>
      <c r="N2" s="1681" t="s">
        <v>3060</v>
      </c>
      <c r="O2" s="1681" t="s">
        <v>3061</v>
      </c>
      <c r="P2" s="1681" t="s">
        <v>3062</v>
      </c>
      <c r="Q2" s="1681" t="s">
        <v>3063</v>
      </c>
      <c r="R2" s="1681" t="s">
        <v>3064</v>
      </c>
      <c r="S2" s="1681" t="s">
        <v>3065</v>
      </c>
      <c r="T2" s="1681" t="s">
        <v>347</v>
      </c>
      <c r="U2" s="1681" t="s">
        <v>348</v>
      </c>
      <c r="V2" s="1681" t="s">
        <v>349</v>
      </c>
      <c r="W2" s="1681" t="s">
        <v>347</v>
      </c>
      <c r="X2" s="1681" t="s">
        <v>348</v>
      </c>
      <c r="Y2" s="1681" t="s">
        <v>349</v>
      </c>
      <c r="Z2" s="1655" t="s">
        <v>1459</v>
      </c>
      <c r="AA2" s="73" t="s">
        <v>3066</v>
      </c>
      <c r="AB2" s="73" t="s">
        <v>3067</v>
      </c>
      <c r="AC2" s="73" t="s">
        <v>3068</v>
      </c>
      <c r="AD2" s="73" t="s">
        <v>3069</v>
      </c>
      <c r="AE2" s="300" t="s">
        <v>3070</v>
      </c>
      <c r="AF2" s="73" t="s">
        <v>3071</v>
      </c>
      <c r="AG2" s="73" t="s">
        <v>3072</v>
      </c>
      <c r="AH2" s="73" t="s">
        <v>3073</v>
      </c>
      <c r="AI2" s="73" t="s">
        <v>3074</v>
      </c>
      <c r="AJ2" s="73" t="s">
        <v>3075</v>
      </c>
      <c r="AK2" s="73" t="s">
        <v>3074</v>
      </c>
      <c r="AL2" s="1683" t="s">
        <v>3075</v>
      </c>
    </row>
    <row r="3" spans="1:42" ht="52.5" hidden="1" x14ac:dyDescent="0.35">
      <c r="A3" s="1242" t="s">
        <v>3076</v>
      </c>
      <c r="B3" s="1242" t="str">
        <f>$B$1&amp;" - "&amp;M3</f>
        <v>Programmable Thermostats - Assembly</v>
      </c>
      <c r="C3" s="1242" t="str">
        <f>B3</f>
        <v>Programmable Thermostats - Assembly</v>
      </c>
      <c r="D3" s="1242" t="s">
        <v>393</v>
      </c>
      <c r="E3" s="1137" t="s">
        <v>356</v>
      </c>
      <c r="F3" s="1685">
        <f>+$B$40</f>
        <v>4</v>
      </c>
      <c r="G3" s="1686" t="e">
        <f t="shared" ref="G3:G8" si="0">VLOOKUP(H3,$B$84:$C$86,2,FALSE)</f>
        <v>#N/A</v>
      </c>
      <c r="H3" s="1686" t="s">
        <v>394</v>
      </c>
      <c r="I3" s="1690"/>
      <c r="J3" s="1691" t="s">
        <v>452</v>
      </c>
      <c r="K3" s="1692"/>
      <c r="L3" s="1692" t="s">
        <v>738</v>
      </c>
      <c r="M3" s="1137" t="s">
        <v>1648</v>
      </c>
      <c r="N3" s="1693" t="s">
        <v>3074</v>
      </c>
      <c r="O3" s="1693" t="s">
        <v>3075</v>
      </c>
      <c r="P3" s="1137">
        <f>VLOOKUP(M3,$B$62:$I$69,8,FALSE)</f>
        <v>98</v>
      </c>
      <c r="Q3" s="1137">
        <f>+$B$26</f>
        <v>5</v>
      </c>
      <c r="R3" s="1137">
        <f>+$B$29</f>
        <v>15</v>
      </c>
      <c r="S3" s="1137">
        <v>150</v>
      </c>
      <c r="T3" s="1350"/>
      <c r="U3" s="1350"/>
      <c r="V3" s="1350">
        <f>(AG3-AH3)*AF3</f>
        <v>56.13000000000001</v>
      </c>
      <c r="W3" s="1350">
        <f>T3*F3</f>
        <v>0</v>
      </c>
      <c r="X3" s="1350">
        <f>U3*F3</f>
        <v>0</v>
      </c>
      <c r="Y3" s="1350">
        <f>V3*F3</f>
        <v>224.52000000000004</v>
      </c>
      <c r="Z3" s="62">
        <f>VLOOKUP(L3, [1]Lists!$L$9:$M$14,2,FALSE)</f>
        <v>7</v>
      </c>
      <c r="AA3" s="1199">
        <f t="shared" ref="AA3:AA10" si="1">IF(N3=$B$100,VLOOKUP(M3,$B$62:$H$69,Z3),VLOOKUP(M3,$B$73:$H$80,Z3))</f>
        <v>18.242399999999996</v>
      </c>
      <c r="AB3" s="62">
        <f t="shared" ref="AB3:AC10" si="2">Q3</f>
        <v>5</v>
      </c>
      <c r="AC3" s="1199">
        <f t="shared" si="2"/>
        <v>15</v>
      </c>
      <c r="AD3" s="1199">
        <f t="shared" ref="AD3:AD10" si="3">IF(O3=$B$100,$C$100,$C$101)</f>
        <v>1</v>
      </c>
      <c r="AE3" s="1199">
        <f t="shared" ref="AE3:AE10" si="4">P3</f>
        <v>98</v>
      </c>
      <c r="AF3" s="1199">
        <f t="shared" ref="AF3:AF10" si="5">S3</f>
        <v>150</v>
      </c>
      <c r="AG3" s="62">
        <f t="shared" ref="AG3:AG10" si="6">IF(N3=$B$100,AI3,AJ3)</f>
        <v>10.300099999999999</v>
      </c>
      <c r="AH3" s="62">
        <f t="shared" ref="AH3:AH10" si="7">IF(N3=$B$100,AK3,AL3)</f>
        <v>9.9258999999999986</v>
      </c>
      <c r="AI3" s="62">
        <f>AA3+AD3*(0.232*AB3+0.0984*AE3-18.79)+AB3*(0.00271*AE3-0.535)+0.0142*AE3</f>
        <v>10.300099999999999</v>
      </c>
      <c r="AJ3" s="62">
        <f>AA3+AD3*(0.00405*AB3+0.000519*AE3-0.11)+AB3*(0.0000689*AE3-0.0118)+0.0022*AE3</f>
        <v>18.393872999999996</v>
      </c>
      <c r="AK3" s="62">
        <f>AA3+AD3*(0.232*AC3+0.0984*AE3-18.79)+AC3*(0.00271*AE3-0.535)+0.0142*AE3</f>
        <v>9.9258999999999986</v>
      </c>
      <c r="AL3" s="1684">
        <f>AA3+AD3*(0.00405*AC3+0.000519*AE3-0.11)+AC3*(0.0000689*AE3-0.0118)+0.0022*AE3</f>
        <v>18.383894999999995</v>
      </c>
    </row>
    <row r="4" spans="1:42" ht="52.5" hidden="1" x14ac:dyDescent="0.35">
      <c r="A4" s="1242" t="s">
        <v>3077</v>
      </c>
      <c r="B4" s="1242" t="str">
        <f t="shared" ref="B4:B10" si="8">$B$1&amp;" - "&amp;M4</f>
        <v>Programmable Thermostats - Convenience Store</v>
      </c>
      <c r="C4" s="1242" t="str">
        <f t="shared" ref="C4:C11" si="9">B4</f>
        <v>Programmable Thermostats - Convenience Store</v>
      </c>
      <c r="D4" s="1242" t="s">
        <v>393</v>
      </c>
      <c r="E4" s="1137" t="s">
        <v>356</v>
      </c>
      <c r="F4" s="1685">
        <f t="shared" ref="F4:F10" si="10">+$B$40</f>
        <v>4</v>
      </c>
      <c r="G4" s="1686" t="e">
        <f t="shared" si="0"/>
        <v>#N/A</v>
      </c>
      <c r="H4" s="1686" t="s">
        <v>394</v>
      </c>
      <c r="I4" s="1690"/>
      <c r="J4" s="1691" t="s">
        <v>452</v>
      </c>
      <c r="K4" s="1692"/>
      <c r="L4" s="1692" t="s">
        <v>738</v>
      </c>
      <c r="M4" s="1137" t="s">
        <v>1665</v>
      </c>
      <c r="N4" s="1693" t="s">
        <v>3074</v>
      </c>
      <c r="O4" s="1693" t="s">
        <v>3075</v>
      </c>
      <c r="P4" s="1137">
        <f t="shared" ref="P4:P10" si="11">VLOOKUP(M4,$B$62:$I$69,8,FALSE)</f>
        <v>108</v>
      </c>
      <c r="Q4" s="1137">
        <f t="shared" ref="Q4:Q10" si="12">+$B$26</f>
        <v>5</v>
      </c>
      <c r="R4" s="1137">
        <f t="shared" ref="R4:R10" si="13">+$B$29</f>
        <v>15</v>
      </c>
      <c r="S4" s="1137">
        <v>150</v>
      </c>
      <c r="T4" s="1350"/>
      <c r="U4" s="1350"/>
      <c r="V4" s="1350">
        <f t="shared" ref="V4:V10" si="14">(AG4-AH4)*AF4</f>
        <v>2.4990000000000179</v>
      </c>
      <c r="W4" s="1350">
        <f t="shared" ref="W4:W8" si="15">T4*F4</f>
        <v>0</v>
      </c>
      <c r="X4" s="1350">
        <f t="shared" ref="X4:X8" si="16">U4*F4</f>
        <v>0</v>
      </c>
      <c r="Y4" s="1350">
        <f t="shared" ref="Y4:Y11" si="17">V4*F4</f>
        <v>9.9960000000000715</v>
      </c>
      <c r="Z4" s="62">
        <f>VLOOKUP(L4, [1]Lists!$L$9:$M$14,2,FALSE)</f>
        <v>7</v>
      </c>
      <c r="AA4" s="1199">
        <f t="shared" si="1"/>
        <v>1.1747000000000001</v>
      </c>
      <c r="AB4" s="62">
        <f t="shared" si="2"/>
        <v>5</v>
      </c>
      <c r="AC4" s="1199">
        <f t="shared" si="2"/>
        <v>15</v>
      </c>
      <c r="AD4" s="1199">
        <f t="shared" si="3"/>
        <v>1</v>
      </c>
      <c r="AE4" s="1199">
        <f t="shared" si="4"/>
        <v>108</v>
      </c>
      <c r="AF4" s="1199">
        <f t="shared" si="5"/>
        <v>150</v>
      </c>
      <c r="AG4" s="62">
        <f t="shared" si="6"/>
        <v>1.5089300000000001</v>
      </c>
      <c r="AH4" s="62">
        <f t="shared" si="7"/>
        <v>1.49227</v>
      </c>
      <c r="AI4" s="62">
        <f>AA4+AD4*(0.00545*AB4-0.00251*AE4+0.416)+AB4*(0.000123*AE4-0.0204)+0.00183*AE4</f>
        <v>1.5089300000000001</v>
      </c>
      <c r="AJ4" s="62">
        <f>AA4+AD4*(0.00231*AB4-0.0349)+AB3*(0.000309*AE4-0.0494)+0.00266*AE3</f>
        <v>1.33189</v>
      </c>
      <c r="AK4" s="62">
        <f>AA4+AD4*(0.00545*AC4-0.00251*AE4+0.416)+AC4*(0.000123*AE4-0.0204)+0.00183*AE4</f>
        <v>1.49227</v>
      </c>
      <c r="AL4" s="1684">
        <f>AA4+AD4*(0.00231*AC4-0.0349)+AC4*(0.000309*AE4-0.0494)+0.00266*AE4</f>
        <v>1.2213099999999999</v>
      </c>
    </row>
    <row r="5" spans="1:42" ht="52.5" hidden="1" x14ac:dyDescent="0.35">
      <c r="A5" s="1242" t="s">
        <v>3078</v>
      </c>
      <c r="B5" s="1242" t="str">
        <f t="shared" si="8"/>
        <v>Programmable Thermostats - Office - Low Rise</v>
      </c>
      <c r="C5" s="1242" t="str">
        <f t="shared" si="9"/>
        <v>Programmable Thermostats - Office - Low Rise</v>
      </c>
      <c r="D5" s="1242" t="s">
        <v>393</v>
      </c>
      <c r="E5" s="1137" t="s">
        <v>356</v>
      </c>
      <c r="F5" s="1685">
        <f t="shared" si="10"/>
        <v>4</v>
      </c>
      <c r="G5" s="1686" t="e">
        <f t="shared" si="0"/>
        <v>#N/A</v>
      </c>
      <c r="H5" s="1686" t="s">
        <v>394</v>
      </c>
      <c r="I5" s="1690"/>
      <c r="J5" s="1691" t="s">
        <v>452</v>
      </c>
      <c r="K5" s="1692"/>
      <c r="L5" s="1692" t="s">
        <v>738</v>
      </c>
      <c r="M5" s="1137" t="s">
        <v>1498</v>
      </c>
      <c r="N5" s="1693" t="s">
        <v>3074</v>
      </c>
      <c r="O5" s="1693" t="s">
        <v>3075</v>
      </c>
      <c r="P5" s="1137">
        <f t="shared" si="11"/>
        <v>55</v>
      </c>
      <c r="Q5" s="1137">
        <f t="shared" si="12"/>
        <v>5</v>
      </c>
      <c r="R5" s="1137">
        <f t="shared" si="13"/>
        <v>15</v>
      </c>
      <c r="S5" s="1137">
        <v>150</v>
      </c>
      <c r="T5" s="1350"/>
      <c r="U5" s="1350"/>
      <c r="V5" s="1350">
        <f t="shared" si="14"/>
        <v>14.399999999999979</v>
      </c>
      <c r="W5" s="1350">
        <f t="shared" si="15"/>
        <v>0</v>
      </c>
      <c r="X5" s="1350">
        <f t="shared" si="16"/>
        <v>0</v>
      </c>
      <c r="Y5" s="1350">
        <f t="shared" si="17"/>
        <v>57.599999999999916</v>
      </c>
      <c r="Z5" s="62">
        <f>VLOOKUP(L5, [1]Lists!$L$9:$M$14,2,FALSE)</f>
        <v>7</v>
      </c>
      <c r="AA5" s="1199">
        <f t="shared" si="1"/>
        <v>1.4026999999999998</v>
      </c>
      <c r="AB5" s="62">
        <f t="shared" si="2"/>
        <v>5</v>
      </c>
      <c r="AC5" s="1199">
        <f t="shared" si="2"/>
        <v>15</v>
      </c>
      <c r="AD5" s="1199">
        <f t="shared" si="3"/>
        <v>1</v>
      </c>
      <c r="AE5" s="1199">
        <f t="shared" si="4"/>
        <v>55</v>
      </c>
      <c r="AF5" s="1199">
        <f t="shared" si="5"/>
        <v>150</v>
      </c>
      <c r="AG5" s="62">
        <f t="shared" si="6"/>
        <v>1.8116499999999998</v>
      </c>
      <c r="AH5" s="62">
        <f t="shared" si="7"/>
        <v>1.7156499999999999</v>
      </c>
      <c r="AI5" s="62">
        <f>AA5+AD5*(0.0205*AB5+0.364)+AB5*(0.00046*AE5-0.0554)+0.00169*AE5</f>
        <v>1.8116499999999998</v>
      </c>
      <c r="AJ5" s="62">
        <f>AA5+AD5*(0.00745*AB5-0.142)+AB5*(0.00077*AE5-0.111)+0.00199*AE5</f>
        <v>1.0641499999999999</v>
      </c>
      <c r="AK5" s="62">
        <f>AA5+AD5*(0.0205*AC5+0.364)+AC5*(0.00046*AE5-0.0554)+0.00169*AE5</f>
        <v>1.7156499999999999</v>
      </c>
      <c r="AL5" s="1684">
        <f>AA5+AD5*(0.00745*AC5-0.142)+AC5*(0.00077*AE5-0.111)+0.00199*AE5</f>
        <v>0.45215</v>
      </c>
    </row>
    <row r="6" spans="1:42" ht="52.5" hidden="1" x14ac:dyDescent="0.35">
      <c r="A6" s="1242" t="s">
        <v>3079</v>
      </c>
      <c r="B6" s="1242" t="str">
        <f t="shared" si="8"/>
        <v>Programmable Thermostats - Religious Facility</v>
      </c>
      <c r="C6" s="1242" t="str">
        <f t="shared" si="9"/>
        <v>Programmable Thermostats - Religious Facility</v>
      </c>
      <c r="D6" s="1242" t="s">
        <v>393</v>
      </c>
      <c r="E6" s="1137" t="s">
        <v>356</v>
      </c>
      <c r="F6" s="1685">
        <f t="shared" si="10"/>
        <v>4</v>
      </c>
      <c r="G6" s="1686" t="e">
        <f t="shared" si="0"/>
        <v>#N/A</v>
      </c>
      <c r="H6" s="1686" t="s">
        <v>394</v>
      </c>
      <c r="I6" s="1690"/>
      <c r="J6" s="1691" t="s">
        <v>452</v>
      </c>
      <c r="K6" s="1692"/>
      <c r="L6" s="1692" t="s">
        <v>738</v>
      </c>
      <c r="M6" s="1137" t="s">
        <v>1505</v>
      </c>
      <c r="N6" s="1693" t="s">
        <v>3074</v>
      </c>
      <c r="O6" s="1693" t="s">
        <v>3075</v>
      </c>
      <c r="P6" s="1137">
        <f t="shared" si="11"/>
        <v>133</v>
      </c>
      <c r="Q6" s="1137">
        <f t="shared" si="12"/>
        <v>5</v>
      </c>
      <c r="R6" s="1137">
        <f t="shared" si="13"/>
        <v>15</v>
      </c>
      <c r="S6" s="1137">
        <v>150</v>
      </c>
      <c r="T6" s="1350"/>
      <c r="U6" s="1350"/>
      <c r="V6" s="1350">
        <f t="shared" si="14"/>
        <v>47.114999999999974</v>
      </c>
      <c r="W6" s="1350">
        <f t="shared" si="15"/>
        <v>0</v>
      </c>
      <c r="X6" s="1350">
        <f t="shared" si="16"/>
        <v>0</v>
      </c>
      <c r="Y6" s="1350">
        <f t="shared" si="17"/>
        <v>188.45999999999989</v>
      </c>
      <c r="Z6" s="62">
        <f>VLOOKUP(L6, [1]Lists!$L$9:$M$14,2,FALSE)</f>
        <v>7</v>
      </c>
      <c r="AA6" s="1199">
        <f t="shared" si="1"/>
        <v>5.6859999999999999</v>
      </c>
      <c r="AB6" s="62">
        <f t="shared" si="2"/>
        <v>5</v>
      </c>
      <c r="AC6" s="1199">
        <f t="shared" si="2"/>
        <v>15</v>
      </c>
      <c r="AD6" s="1199">
        <f t="shared" si="3"/>
        <v>1</v>
      </c>
      <c r="AE6" s="1199">
        <f t="shared" si="4"/>
        <v>133</v>
      </c>
      <c r="AF6" s="1199">
        <f t="shared" si="5"/>
        <v>150</v>
      </c>
      <c r="AG6" s="62">
        <f t="shared" si="6"/>
        <v>5.7736700000000001</v>
      </c>
      <c r="AH6" s="62">
        <f t="shared" si="7"/>
        <v>5.4595700000000003</v>
      </c>
      <c r="AI6" s="62">
        <f>AA6+0.00791*AD6*AB6+AB6*(0.00096*AE6-0.167)+0.00184*AE6</f>
        <v>5.7736700000000001</v>
      </c>
      <c r="AJ6" s="62">
        <f>AA6+AD6*(0.00143*AB6-0.0309)+AB6*(0.0008*AE6-0.134)+0.00219*AE6</f>
        <v>5.8155200000000002</v>
      </c>
      <c r="AK6" s="62">
        <f>AA6+0.00791*AD6*AC6+AC6*(0.00096*AE6-0.167)+0.00184*AE6</f>
        <v>5.4595700000000003</v>
      </c>
      <c r="AL6" s="1684">
        <f>AA6+AD6*(0.00143*AC6-0.0309)+AC6*(0.0008*AE6-0.134)+0.00219*AE6</f>
        <v>5.55382</v>
      </c>
    </row>
    <row r="7" spans="1:42" ht="52.5" hidden="1" x14ac:dyDescent="0.35">
      <c r="A7" s="1242" t="s">
        <v>3080</v>
      </c>
      <c r="B7" s="1242" t="str">
        <f t="shared" si="8"/>
        <v>Programmable Thermostats - Restaurant – Fast Food</v>
      </c>
      <c r="C7" s="1242" t="str">
        <f t="shared" si="9"/>
        <v>Programmable Thermostats - Restaurant – Fast Food</v>
      </c>
      <c r="D7" s="1242" t="s">
        <v>393</v>
      </c>
      <c r="E7" s="1137" t="s">
        <v>356</v>
      </c>
      <c r="F7" s="1685">
        <f t="shared" si="10"/>
        <v>4</v>
      </c>
      <c r="G7" s="1686" t="e">
        <f t="shared" si="0"/>
        <v>#N/A</v>
      </c>
      <c r="H7" s="1686" t="s">
        <v>394</v>
      </c>
      <c r="I7" s="1690"/>
      <c r="J7" s="1691" t="s">
        <v>452</v>
      </c>
      <c r="K7" s="1692"/>
      <c r="L7" s="1692" t="s">
        <v>738</v>
      </c>
      <c r="M7" s="1137" t="s">
        <v>3081</v>
      </c>
      <c r="N7" s="1693" t="s">
        <v>3074</v>
      </c>
      <c r="O7" s="1693" t="s">
        <v>3075</v>
      </c>
      <c r="P7" s="1137">
        <f t="shared" si="11"/>
        <v>108</v>
      </c>
      <c r="Q7" s="1137">
        <f t="shared" si="12"/>
        <v>5</v>
      </c>
      <c r="R7" s="1137">
        <f t="shared" si="13"/>
        <v>15</v>
      </c>
      <c r="S7" s="1137">
        <v>150</v>
      </c>
      <c r="T7" s="1350"/>
      <c r="U7" s="1350"/>
      <c r="V7" s="1350">
        <f t="shared" si="14"/>
        <v>71.79000000000002</v>
      </c>
      <c r="W7" s="1350">
        <f t="shared" si="15"/>
        <v>0</v>
      </c>
      <c r="X7" s="1350">
        <f t="shared" si="16"/>
        <v>0</v>
      </c>
      <c r="Y7" s="1350">
        <f t="shared" si="17"/>
        <v>287.16000000000008</v>
      </c>
      <c r="Z7" s="62">
        <f>VLOOKUP(L7, [1]Lists!$L$9:$M$14,2,FALSE)</f>
        <v>7</v>
      </c>
      <c r="AA7" s="1199">
        <f t="shared" si="1"/>
        <v>7.4448999999999996</v>
      </c>
      <c r="AB7" s="62">
        <f t="shared" si="2"/>
        <v>5</v>
      </c>
      <c r="AC7" s="1199">
        <f t="shared" si="2"/>
        <v>15</v>
      </c>
      <c r="AD7" s="1199">
        <f t="shared" si="3"/>
        <v>1</v>
      </c>
      <c r="AE7" s="1199">
        <f t="shared" si="4"/>
        <v>108</v>
      </c>
      <c r="AF7" s="1199">
        <f t="shared" si="5"/>
        <v>150</v>
      </c>
      <c r="AG7" s="62">
        <f t="shared" si="6"/>
        <v>5.552999999999999</v>
      </c>
      <c r="AH7" s="62">
        <f t="shared" si="7"/>
        <v>5.0743999999999989</v>
      </c>
      <c r="AI7" s="62">
        <f>AA7+AD7*(0.0431*AB7+0.0424*AE7-7.517)+AB7*(0.00113*AE7-0.213)+0.0119*AE7</f>
        <v>5.552999999999999</v>
      </c>
      <c r="AJ7" s="62">
        <f>AA7+AD7*(0.0125*AB7+0.0036*AE7-0.71)+AB7*(0.000329*AE7-0.0615)+0.00738*AE7</f>
        <v>7.8533999999999997</v>
      </c>
      <c r="AK7" s="62">
        <f>AA7+AD7*(0.0431*AC7+0.0424*AE7-7.517)+AC7*(0.00113*AE7-0.213)+0.0119*AE7</f>
        <v>5.0743999999999989</v>
      </c>
      <c r="AL7" s="1684">
        <f>AA7+AD7*(0.0125*AC7+0.0036*AE7-0.71)+AC7*(0.000329*AE7-0.0615)+0.00738*AE7</f>
        <v>7.7187199999999994</v>
      </c>
    </row>
    <row r="8" spans="1:42" ht="52.5" hidden="1" x14ac:dyDescent="0.35">
      <c r="A8" s="1242" t="s">
        <v>3082</v>
      </c>
      <c r="B8" s="1242" t="str">
        <f t="shared" si="8"/>
        <v>Programmable Thermostats - Restaurant – Full Service</v>
      </c>
      <c r="C8" s="1242" t="str">
        <f t="shared" si="9"/>
        <v>Programmable Thermostats - Restaurant – Full Service</v>
      </c>
      <c r="D8" s="1242" t="s">
        <v>393</v>
      </c>
      <c r="E8" s="1137" t="s">
        <v>356</v>
      </c>
      <c r="F8" s="1685">
        <f t="shared" si="10"/>
        <v>4</v>
      </c>
      <c r="G8" s="1686" t="e">
        <f t="shared" si="0"/>
        <v>#N/A</v>
      </c>
      <c r="H8" s="1686" t="s">
        <v>394</v>
      </c>
      <c r="I8" s="1690"/>
      <c r="J8" s="1691" t="s">
        <v>452</v>
      </c>
      <c r="K8" s="1692"/>
      <c r="L8" s="1692" t="s">
        <v>738</v>
      </c>
      <c r="M8" s="1137" t="s">
        <v>3083</v>
      </c>
      <c r="N8" s="1693" t="s">
        <v>3074</v>
      </c>
      <c r="O8" s="1693" t="s">
        <v>3075</v>
      </c>
      <c r="P8" s="1137">
        <f t="shared" si="11"/>
        <v>117</v>
      </c>
      <c r="Q8" s="1137">
        <f t="shared" si="12"/>
        <v>5</v>
      </c>
      <c r="R8" s="1137">
        <f t="shared" si="13"/>
        <v>15</v>
      </c>
      <c r="S8" s="1137">
        <v>150</v>
      </c>
      <c r="T8" s="1350"/>
      <c r="U8" s="1350"/>
      <c r="V8" s="1350">
        <f t="shared" si="14"/>
        <v>30.835499999999971</v>
      </c>
      <c r="W8" s="1350">
        <f t="shared" si="15"/>
        <v>0</v>
      </c>
      <c r="X8" s="1350">
        <f t="shared" si="16"/>
        <v>0</v>
      </c>
      <c r="Y8" s="1350">
        <f t="shared" si="17"/>
        <v>123.34199999999989</v>
      </c>
      <c r="Z8" s="62">
        <f>VLOOKUP(L8, [1]Lists!$L$9:$M$14,2,FALSE)</f>
        <v>7</v>
      </c>
      <c r="AA8" s="1199">
        <f t="shared" si="1"/>
        <v>4.6398000000000001</v>
      </c>
      <c r="AB8" s="62">
        <f t="shared" si="2"/>
        <v>5</v>
      </c>
      <c r="AC8" s="1199">
        <f t="shared" si="2"/>
        <v>15</v>
      </c>
      <c r="AD8" s="1199">
        <f t="shared" si="3"/>
        <v>1</v>
      </c>
      <c r="AE8" s="1199">
        <f t="shared" si="4"/>
        <v>117</v>
      </c>
      <c r="AF8" s="1199">
        <f t="shared" si="5"/>
        <v>150</v>
      </c>
      <c r="AG8" s="62">
        <f t="shared" si="6"/>
        <v>4.7777250000000002</v>
      </c>
      <c r="AH8" s="62">
        <f t="shared" si="7"/>
        <v>4.5721550000000004</v>
      </c>
      <c r="AI8" s="62">
        <f>AA8+AD8*(0.00445*AE8-0.535)+AB8*(0.000679*AE8-0.1)+0.00218*AE8</f>
        <v>4.7777250000000002</v>
      </c>
      <c r="AJ8" s="62">
        <f>AA8+AD8*(0.00144*AB8+0.000262*AE8-0.0553)+AB8*(0.00018*AE8-0.0299)+0.00166*AE8</f>
        <v>4.7723740000000001</v>
      </c>
      <c r="AK8" s="62">
        <f>AA8+AD8*(0.00445*AE8-0.535)+AC8*(0.000679*AE8-0.1)+0.00218*AE8</f>
        <v>4.5721550000000004</v>
      </c>
      <c r="AL8" s="1684">
        <f>AA8+AD8*(0.00144*AC8+0.000262*AE8-0.0553)+AC8*(0.00018*AE8-0.0299)+0.00166*AE8</f>
        <v>4.6983739999999994</v>
      </c>
    </row>
    <row r="9" spans="1:42" ht="52.5" x14ac:dyDescent="0.35">
      <c r="A9" s="1242" t="s">
        <v>3084</v>
      </c>
      <c r="B9" s="1242" t="str">
        <f t="shared" si="8"/>
        <v>Programmable Thermostats - Retail – Department Store</v>
      </c>
      <c r="C9" s="1242" t="str">
        <f t="shared" si="9"/>
        <v>Programmable Thermostats - Retail – Department Store</v>
      </c>
      <c r="D9" s="1242" t="s">
        <v>393</v>
      </c>
      <c r="E9" s="1137" t="s">
        <v>356</v>
      </c>
      <c r="F9" s="1685">
        <f t="shared" si="10"/>
        <v>4</v>
      </c>
      <c r="G9" s="1686"/>
      <c r="H9" s="1686"/>
      <c r="I9" s="1690"/>
      <c r="J9" s="1691" t="s">
        <v>452</v>
      </c>
      <c r="K9" s="1692"/>
      <c r="L9" s="1692" t="s">
        <v>738</v>
      </c>
      <c r="M9" s="1137" t="s">
        <v>3085</v>
      </c>
      <c r="N9" s="1693" t="s">
        <v>3074</v>
      </c>
      <c r="O9" s="1693" t="s">
        <v>3075</v>
      </c>
      <c r="P9" s="1137">
        <f t="shared" si="11"/>
        <v>93</v>
      </c>
      <c r="Q9" s="1137">
        <f t="shared" si="12"/>
        <v>5</v>
      </c>
      <c r="R9" s="1137">
        <f t="shared" si="13"/>
        <v>15</v>
      </c>
      <c r="S9" s="1137">
        <v>150</v>
      </c>
      <c r="T9" s="1350"/>
      <c r="U9" s="1350"/>
      <c r="V9" s="1350">
        <f t="shared" si="14"/>
        <v>36.310500000000005</v>
      </c>
      <c r="W9" s="1350"/>
      <c r="X9" s="1350"/>
      <c r="Y9" s="1350">
        <f t="shared" si="17"/>
        <v>145.24200000000002</v>
      </c>
      <c r="Z9" s="62">
        <f>VLOOKUP(L9, [1]Lists!$L$9:$M$14,2,FALSE)</f>
        <v>7</v>
      </c>
      <c r="AA9" s="1199">
        <f t="shared" si="1"/>
        <v>3.9470999999999994</v>
      </c>
      <c r="AB9" s="62">
        <f t="shared" si="2"/>
        <v>5</v>
      </c>
      <c r="AC9" s="1199">
        <f t="shared" si="2"/>
        <v>15</v>
      </c>
      <c r="AD9" s="1199">
        <f t="shared" si="3"/>
        <v>1</v>
      </c>
      <c r="AE9" s="1199">
        <f t="shared" si="4"/>
        <v>93</v>
      </c>
      <c r="AF9" s="1199">
        <f t="shared" si="5"/>
        <v>150</v>
      </c>
      <c r="AG9" s="62">
        <f t="shared" si="6"/>
        <v>4.0064849999999996</v>
      </c>
      <c r="AH9" s="62">
        <f t="shared" si="7"/>
        <v>3.7644149999999996</v>
      </c>
      <c r="AI9" s="62">
        <f>AA9+0.00203*AD9*AB9+AB9*(0.000591*AE9-0.0812)+0.00194*AE9</f>
        <v>4.0064849999999996</v>
      </c>
      <c r="AJ9" s="62">
        <f>AA9+AB9*(0.000406*AE9-0.0611)+0.00228*AE9</f>
        <v>4.0424299999999995</v>
      </c>
      <c r="AK9" s="62">
        <f>AA9+0.00203*AD9*AC9+AC9*(0.000591*AE9-0.0812)+0.00194*AE9</f>
        <v>3.7644149999999996</v>
      </c>
      <c r="AL9" s="1684">
        <f>AA9+AC9*(0.000406*AE9-0.0611)+0.00228*AE9</f>
        <v>3.8090099999999993</v>
      </c>
    </row>
    <row r="10" spans="1:42" ht="52.5" hidden="1" x14ac:dyDescent="0.35">
      <c r="A10" s="1242" t="s">
        <v>3086</v>
      </c>
      <c r="B10" s="1242" t="str">
        <f t="shared" si="8"/>
        <v>Programmable Thermostats - Retail – Strip Mall</v>
      </c>
      <c r="C10" s="1242" t="str">
        <f t="shared" si="9"/>
        <v>Programmable Thermostats - Retail – Strip Mall</v>
      </c>
      <c r="D10" s="1242" t="s">
        <v>393</v>
      </c>
      <c r="E10" s="1137" t="s">
        <v>356</v>
      </c>
      <c r="F10" s="1685">
        <f t="shared" si="10"/>
        <v>4</v>
      </c>
      <c r="G10" s="1686"/>
      <c r="H10" s="1686"/>
      <c r="I10" s="1690"/>
      <c r="J10" s="1691" t="s">
        <v>452</v>
      </c>
      <c r="K10" s="1692"/>
      <c r="L10" s="1692" t="s">
        <v>738</v>
      </c>
      <c r="M10" s="1137" t="s">
        <v>3087</v>
      </c>
      <c r="N10" s="1693" t="s">
        <v>3074</v>
      </c>
      <c r="O10" s="1693" t="s">
        <v>3075</v>
      </c>
      <c r="P10" s="1137">
        <f t="shared" si="11"/>
        <v>93</v>
      </c>
      <c r="Q10" s="1137">
        <f t="shared" si="12"/>
        <v>5</v>
      </c>
      <c r="R10" s="1137">
        <f t="shared" si="13"/>
        <v>15</v>
      </c>
      <c r="S10" s="1137">
        <v>150</v>
      </c>
      <c r="T10" s="1350"/>
      <c r="U10" s="1350"/>
      <c r="V10" s="1350">
        <f t="shared" si="14"/>
        <v>43.762499999999996</v>
      </c>
      <c r="W10" s="1350"/>
      <c r="X10" s="1350"/>
      <c r="Y10" s="1350">
        <f t="shared" si="17"/>
        <v>175.04999999999998</v>
      </c>
      <c r="Z10" s="935">
        <f>VLOOKUP(L10, [1]Lists!$L$9:$M$14,2,FALSE)</f>
        <v>7</v>
      </c>
      <c r="AA10" s="1688">
        <f t="shared" si="1"/>
        <v>3.4843000000000002</v>
      </c>
      <c r="AB10" s="935">
        <f t="shared" si="2"/>
        <v>5</v>
      </c>
      <c r="AC10" s="1688">
        <f t="shared" si="2"/>
        <v>15</v>
      </c>
      <c r="AD10" s="1688">
        <f t="shared" si="3"/>
        <v>1</v>
      </c>
      <c r="AE10" s="1688">
        <f t="shared" si="4"/>
        <v>93</v>
      </c>
      <c r="AF10" s="1688">
        <f t="shared" si="5"/>
        <v>150</v>
      </c>
      <c r="AG10" s="935">
        <f t="shared" si="6"/>
        <v>3.5964950000000004</v>
      </c>
      <c r="AH10" s="935">
        <f t="shared" si="7"/>
        <v>3.3047450000000005</v>
      </c>
      <c r="AI10" s="935">
        <f>AA10+AD10*(0.00998*AB10+0.00207*AE10-0.206)+AB10*(0.000665*AE10-0.101)+0.00292*AE10</f>
        <v>3.5964950000000004</v>
      </c>
      <c r="AJ10" s="935">
        <f>AA10+AD10*(0.00383*AB10-0.0656)+AB10*(0.000575*AE10-0.0912)+0.00249*AE10</f>
        <v>3.4807950000000001</v>
      </c>
      <c r="AK10" s="935">
        <f>AA10+AD10*(0.00998*AC10+0.00207*AE10-0.206)+AC10*(0.000665*AE10-0.101)+0.00292*AE10</f>
        <v>3.3047450000000005</v>
      </c>
      <c r="AL10" s="1689">
        <f>AA10+AD10*(0.00383*AC10-0.0656)+AC10*(0.000575*AE10-0.0912)+0.00249*AE10</f>
        <v>3.141845</v>
      </c>
    </row>
    <row r="11" spans="1:42" ht="52.5" x14ac:dyDescent="0.35">
      <c r="A11" s="1242" t="s">
        <v>3088</v>
      </c>
      <c r="B11" s="1242" t="str">
        <f>$B$1&amp;" - "&amp;M11&amp;" - Public Sector"</f>
        <v>Programmable Thermostats - Average - Public Sector</v>
      </c>
      <c r="C11" s="1242" t="str">
        <f t="shared" si="9"/>
        <v>Programmable Thermostats - Average - Public Sector</v>
      </c>
      <c r="D11" s="1242" t="s">
        <v>393</v>
      </c>
      <c r="E11" s="1137" t="s">
        <v>356</v>
      </c>
      <c r="F11" s="1685">
        <f>+AVERAGE(F3:F10)</f>
        <v>4</v>
      </c>
      <c r="G11" s="1686"/>
      <c r="H11" s="1686"/>
      <c r="I11" s="1690"/>
      <c r="J11" s="1691" t="s">
        <v>452</v>
      </c>
      <c r="K11" s="1692"/>
      <c r="L11" s="1692" t="s">
        <v>738</v>
      </c>
      <c r="M11" s="1137" t="s">
        <v>736</v>
      </c>
      <c r="N11" s="1693" t="s">
        <v>3074</v>
      </c>
      <c r="O11" s="1693" t="s">
        <v>3075</v>
      </c>
      <c r="P11" s="1137"/>
      <c r="Q11" s="1137"/>
      <c r="R11" s="1137"/>
      <c r="S11" s="1137"/>
      <c r="T11" s="1350"/>
      <c r="U11" s="1350"/>
      <c r="V11" s="1350">
        <f>+AVERAGE(V3:V10)</f>
        <v>37.855312499999997</v>
      </c>
      <c r="W11" s="1350"/>
      <c r="X11" s="1350"/>
      <c r="Y11" s="1350">
        <f t="shared" si="17"/>
        <v>151.42124999999999</v>
      </c>
      <c r="Z11" s="1694" t="s">
        <v>3134</v>
      </c>
      <c r="AA11" s="1695"/>
      <c r="AB11" s="1695"/>
      <c r="AC11" s="1695"/>
      <c r="AD11" s="1695"/>
      <c r="AE11" s="1695"/>
      <c r="AF11" s="1695"/>
      <c r="AG11" s="1695"/>
      <c r="AH11" s="1695"/>
      <c r="AI11" s="1695"/>
      <c r="AJ11" s="1695"/>
      <c r="AK11" s="1695"/>
      <c r="AL11" s="1695"/>
    </row>
    <row r="12" spans="1:42" x14ac:dyDescent="0.35">
      <c r="A12" s="1242"/>
      <c r="B12" s="1242"/>
      <c r="C12" s="1685"/>
      <c r="D12" s="1685"/>
      <c r="E12" s="1686"/>
      <c r="F12" s="1686"/>
      <c r="G12" s="1690"/>
      <c r="H12" s="1686"/>
      <c r="I12" s="1690"/>
      <c r="J12" s="1686"/>
      <c r="K12" s="1690"/>
      <c r="L12" s="1686"/>
      <c r="M12" s="1690"/>
      <c r="N12" s="1686"/>
      <c r="O12" s="1690"/>
      <c r="P12" s="1686"/>
      <c r="Q12" s="1687"/>
      <c r="R12" s="1350"/>
      <c r="S12" s="1350"/>
      <c r="T12" s="1350"/>
      <c r="U12" s="1350"/>
      <c r="V12" s="1350"/>
      <c r="W12" s="1350"/>
      <c r="X12" s="1350"/>
      <c r="Y12" s="1350"/>
      <c r="Z12" s="1137"/>
      <c r="AA12" s="1695"/>
      <c r="AB12" s="1696"/>
      <c r="AC12" s="1695"/>
      <c r="AD12" s="1137"/>
      <c r="AE12" s="1137"/>
      <c r="AF12" s="1137"/>
      <c r="AG12" s="1137"/>
      <c r="AH12" s="1137"/>
      <c r="AI12" s="1137"/>
      <c r="AJ12" s="1137"/>
      <c r="AK12" s="1137"/>
      <c r="AL12" s="1137"/>
    </row>
    <row r="14" spans="1:42" ht="15" thickBot="1" x14ac:dyDescent="0.4">
      <c r="AD14" s="1656"/>
      <c r="AE14" s="1656"/>
      <c r="AF14" s="1656"/>
      <c r="AG14" s="1656"/>
      <c r="AH14" s="1656"/>
      <c r="AI14" s="1656"/>
      <c r="AJ14" s="1656"/>
      <c r="AK14" s="1656"/>
      <c r="AL14" s="1656"/>
      <c r="AM14" s="1656"/>
      <c r="AN14" s="1656"/>
      <c r="AO14" s="1656"/>
      <c r="AP14" s="1656"/>
    </row>
    <row r="15" spans="1:42" ht="15" thickBot="1" x14ac:dyDescent="0.4">
      <c r="A15" s="188" t="s">
        <v>408</v>
      </c>
      <c r="B15" s="78"/>
      <c r="C15" s="78"/>
      <c r="D15" s="78"/>
      <c r="E15" s="78"/>
      <c r="F15" s="78"/>
      <c r="G15" s="78"/>
      <c r="H15" s="79"/>
      <c r="AD15" s="1656"/>
      <c r="AE15" s="1656"/>
      <c r="AF15" s="1656"/>
      <c r="AG15" s="1656"/>
      <c r="AH15" s="1656"/>
      <c r="AI15" s="1656"/>
      <c r="AJ15" s="1656"/>
      <c r="AK15" s="1656"/>
      <c r="AL15" s="1656"/>
      <c r="AM15" s="1656"/>
      <c r="AN15" s="1656"/>
      <c r="AO15" s="1656"/>
      <c r="AP15" s="1656"/>
    </row>
    <row r="16" spans="1:42" x14ac:dyDescent="0.35">
      <c r="A16" s="81" t="s">
        <v>3089</v>
      </c>
      <c r="B16" s="82"/>
      <c r="C16" s="83"/>
      <c r="D16" s="83"/>
      <c r="E16" s="83"/>
      <c r="F16" s="83"/>
      <c r="G16" s="83"/>
      <c r="H16" s="84"/>
      <c r="AD16" s="1656"/>
      <c r="AE16" s="1656"/>
      <c r="AF16" s="1656"/>
      <c r="AG16" s="1656"/>
      <c r="AH16" s="1656"/>
      <c r="AI16" s="1656"/>
      <c r="AJ16" s="1656"/>
      <c r="AK16" s="1656"/>
      <c r="AL16" s="1656"/>
      <c r="AM16" s="1656"/>
      <c r="AN16" s="1656"/>
      <c r="AO16" s="1656"/>
      <c r="AP16" s="1656"/>
    </row>
    <row r="17" spans="1:42" ht="15" thickBot="1" x14ac:dyDescent="0.4">
      <c r="A17" s="85" t="s">
        <v>3090</v>
      </c>
      <c r="B17" s="86"/>
      <c r="C17" s="86"/>
      <c r="D17" s="86"/>
      <c r="E17" s="86"/>
      <c r="F17" s="86"/>
      <c r="G17" s="86"/>
      <c r="H17" s="87"/>
      <c r="AD17" s="1656"/>
      <c r="AE17" s="1656"/>
      <c r="AF17" s="1656"/>
      <c r="AG17" s="1656"/>
      <c r="AH17" s="1656"/>
      <c r="AI17" s="1656"/>
      <c r="AJ17" s="1656"/>
      <c r="AK17" s="1656"/>
      <c r="AL17" s="1656"/>
      <c r="AM17" s="1656"/>
      <c r="AN17" s="1656"/>
      <c r="AO17" s="1656"/>
      <c r="AP17" s="1656"/>
    </row>
    <row r="18" spans="1:42" ht="15" thickBot="1" x14ac:dyDescent="0.4">
      <c r="A18" s="188" t="s">
        <v>2571</v>
      </c>
      <c r="B18" s="1384" t="e">
        <f>+#REF!</f>
        <v>#REF!</v>
      </c>
      <c r="AD18" s="1656"/>
      <c r="AE18" s="1656"/>
      <c r="AF18" s="1656"/>
      <c r="AG18" s="1656"/>
      <c r="AH18" s="1656"/>
      <c r="AI18" s="1656"/>
      <c r="AJ18" s="1656"/>
      <c r="AK18" s="1656"/>
      <c r="AL18" s="1656"/>
      <c r="AM18" s="1656"/>
      <c r="AN18" s="1656"/>
      <c r="AO18" s="1656"/>
      <c r="AP18" s="1656"/>
    </row>
    <row r="19" spans="1:42" ht="15" thickBot="1" x14ac:dyDescent="0.4">
      <c r="A19" s="188" t="s">
        <v>2572</v>
      </c>
      <c r="B19" s="701" t="s">
        <v>3138</v>
      </c>
      <c r="AD19" s="1656"/>
      <c r="AE19" s="1656"/>
      <c r="AF19" s="1656"/>
      <c r="AG19" s="1656"/>
      <c r="AH19" s="1656"/>
      <c r="AI19" s="1656"/>
      <c r="AJ19" s="1656"/>
      <c r="AK19" s="1656"/>
      <c r="AL19" s="1656"/>
      <c r="AM19" s="1656"/>
      <c r="AN19" s="1656"/>
      <c r="AO19" s="1656"/>
      <c r="AP19" s="1656"/>
    </row>
    <row r="20" spans="1:42" ht="15" thickBot="1" x14ac:dyDescent="0.4">
      <c r="A20" s="69"/>
      <c r="AD20" s="1656"/>
      <c r="AE20" s="1656"/>
      <c r="AF20" s="1656"/>
      <c r="AG20" s="1656"/>
      <c r="AH20" s="1656"/>
      <c r="AI20" s="1656"/>
      <c r="AJ20" s="1656"/>
      <c r="AK20" s="1656"/>
      <c r="AL20" s="1656"/>
      <c r="AM20" s="1656"/>
      <c r="AN20" s="1656"/>
      <c r="AO20" s="1656"/>
      <c r="AP20" s="1656"/>
    </row>
    <row r="21" spans="1:42" ht="15" thickBot="1" x14ac:dyDescent="0.4">
      <c r="A21" s="88" t="s">
        <v>413</v>
      </c>
      <c r="B21" s="1641" t="s">
        <v>414</v>
      </c>
      <c r="C21" s="90" t="s">
        <v>415</v>
      </c>
      <c r="D21" s="78"/>
      <c r="E21" s="78"/>
      <c r="F21" s="78"/>
      <c r="G21" s="78"/>
      <c r="H21" s="78"/>
      <c r="I21" s="78"/>
      <c r="J21" s="78"/>
      <c r="K21" s="78"/>
      <c r="L21" s="78"/>
      <c r="M21" s="78"/>
      <c r="N21" s="78"/>
      <c r="O21" s="78"/>
      <c r="P21" s="79"/>
      <c r="AD21" s="1656"/>
      <c r="AE21" s="1656"/>
      <c r="AF21" s="1656"/>
      <c r="AG21" s="1656"/>
      <c r="AH21" s="1656"/>
      <c r="AI21" s="1656"/>
      <c r="AJ21" s="1656"/>
      <c r="AK21" s="1656"/>
      <c r="AL21" s="1656"/>
      <c r="AM21" s="1656"/>
      <c r="AN21" s="1656"/>
      <c r="AO21" s="1656"/>
      <c r="AP21" s="1656"/>
    </row>
    <row r="22" spans="1:42" ht="15" thickBot="1" x14ac:dyDescent="0.4">
      <c r="A22" s="789" t="s">
        <v>1371</v>
      </c>
      <c r="B22" s="732"/>
      <c r="C22" s="732" t="s">
        <v>3091</v>
      </c>
      <c r="D22" s="732"/>
      <c r="E22" s="732"/>
      <c r="F22" s="732"/>
      <c r="G22" s="732"/>
      <c r="H22" s="732"/>
      <c r="I22" s="732"/>
      <c r="J22" s="732"/>
      <c r="K22" s="732"/>
      <c r="L22" s="732"/>
      <c r="M22" s="732"/>
      <c r="N22" s="732"/>
      <c r="O22" s="732"/>
      <c r="P22" s="733"/>
      <c r="AD22" s="1656"/>
      <c r="AE22" s="1656"/>
      <c r="AF22" s="1656"/>
      <c r="AG22" s="1656"/>
      <c r="AH22" s="1656"/>
      <c r="AI22" s="1656"/>
      <c r="AJ22" s="1656"/>
      <c r="AK22" s="1656"/>
      <c r="AL22" s="1656"/>
      <c r="AM22" s="1656"/>
      <c r="AN22" s="1656"/>
      <c r="AO22" s="1656"/>
      <c r="AP22" s="1656"/>
    </row>
    <row r="23" spans="1:42" ht="15" thickBot="1" x14ac:dyDescent="0.4">
      <c r="A23" s="789" t="s">
        <v>3136</v>
      </c>
      <c r="B23" s="732"/>
      <c r="C23" s="732" t="s">
        <v>3092</v>
      </c>
      <c r="D23" s="732"/>
      <c r="E23" s="732"/>
      <c r="F23" s="732"/>
      <c r="G23" s="732"/>
      <c r="H23" s="732"/>
      <c r="I23" s="732"/>
      <c r="J23" s="732"/>
      <c r="K23" s="732"/>
      <c r="L23" s="732"/>
      <c r="M23" s="732"/>
      <c r="N23" s="732"/>
      <c r="O23" s="732"/>
      <c r="P23" s="733"/>
      <c r="AD23" s="1656"/>
      <c r="AE23" s="1656"/>
      <c r="AF23" s="1656"/>
      <c r="AG23" s="1656"/>
      <c r="AH23" s="1656"/>
      <c r="AI23" s="1656"/>
      <c r="AJ23" s="1656"/>
      <c r="AK23" s="1656"/>
      <c r="AL23" s="1656"/>
      <c r="AM23" s="1656"/>
      <c r="AN23" s="1656"/>
      <c r="AO23" s="1656"/>
      <c r="AP23" s="1656"/>
    </row>
    <row r="24" spans="1:42" x14ac:dyDescent="0.35">
      <c r="A24" s="1514" t="s">
        <v>3066</v>
      </c>
      <c r="B24" s="468"/>
      <c r="C24" s="468" t="s">
        <v>3093</v>
      </c>
      <c r="D24" s="468"/>
      <c r="E24" s="468"/>
      <c r="F24" s="468"/>
      <c r="G24" s="468"/>
      <c r="H24" s="468"/>
      <c r="I24" s="468"/>
      <c r="J24" s="468"/>
      <c r="K24" s="468"/>
      <c r="L24" s="468"/>
      <c r="M24" s="468"/>
      <c r="N24" s="468"/>
      <c r="O24" s="468"/>
      <c r="P24" s="469"/>
      <c r="AD24" s="1656"/>
      <c r="AE24" s="1656"/>
      <c r="AF24" s="1656"/>
      <c r="AG24" s="1656"/>
      <c r="AH24" s="1656"/>
      <c r="AI24" s="1656"/>
      <c r="AJ24" s="1656"/>
      <c r="AK24" s="1656"/>
      <c r="AL24" s="1656"/>
      <c r="AM24" s="1656"/>
      <c r="AN24" s="1656"/>
      <c r="AO24" s="1656"/>
      <c r="AP24" s="1656"/>
    </row>
    <row r="25" spans="1:42" ht="15" thickBot="1" x14ac:dyDescent="0.4">
      <c r="A25" s="321"/>
      <c r="B25" s="201"/>
      <c r="C25" s="201" t="s">
        <v>3094</v>
      </c>
      <c r="D25" s="201"/>
      <c r="E25" s="201"/>
      <c r="F25" s="201"/>
      <c r="G25" s="201"/>
      <c r="H25" s="201"/>
      <c r="I25" s="201"/>
      <c r="J25" s="201"/>
      <c r="K25" s="201"/>
      <c r="L25" s="201"/>
      <c r="M25" s="201"/>
      <c r="N25" s="201"/>
      <c r="O25" s="201"/>
      <c r="P25" s="203"/>
      <c r="AD25" s="1656"/>
      <c r="AE25" s="1656"/>
      <c r="AF25" s="1656"/>
      <c r="AG25" s="1656"/>
      <c r="AH25" s="1656"/>
      <c r="AI25" s="1656"/>
      <c r="AJ25" s="1656"/>
      <c r="AK25" s="1656"/>
      <c r="AL25" s="1656"/>
      <c r="AM25" s="1656"/>
      <c r="AN25" s="1656"/>
      <c r="AO25" s="1656"/>
      <c r="AP25" s="1656"/>
    </row>
    <row r="26" spans="1:42" x14ac:dyDescent="0.35">
      <c r="A26" s="467" t="s">
        <v>3095</v>
      </c>
      <c r="B26" s="468">
        <v>5</v>
      </c>
      <c r="C26" s="468" t="s">
        <v>3096</v>
      </c>
      <c r="D26" s="468"/>
      <c r="E26" s="468"/>
      <c r="F26" s="468"/>
      <c r="G26" s="468"/>
      <c r="H26" s="468"/>
      <c r="I26" s="468"/>
      <c r="J26" s="468"/>
      <c r="K26" s="468"/>
      <c r="L26" s="468"/>
      <c r="M26" s="468"/>
      <c r="N26" s="468"/>
      <c r="O26" s="468"/>
      <c r="P26" s="469"/>
      <c r="AD26" s="1656"/>
      <c r="AE26" s="1656"/>
      <c r="AF26" s="1656"/>
      <c r="AG26" s="1656"/>
      <c r="AH26" s="1656"/>
      <c r="AI26" s="1656"/>
      <c r="AJ26" s="1656"/>
      <c r="AK26" s="1656"/>
      <c r="AL26" s="1656"/>
      <c r="AM26" s="1656"/>
      <c r="AN26" s="1656"/>
      <c r="AO26" s="1656"/>
      <c r="AP26" s="1656"/>
    </row>
    <row r="27" spans="1:42" x14ac:dyDescent="0.35">
      <c r="A27" s="124"/>
      <c r="B27" s="83"/>
      <c r="C27" s="83" t="s">
        <v>3097</v>
      </c>
      <c r="D27" s="83"/>
      <c r="E27" s="83"/>
      <c r="F27" s="83"/>
      <c r="G27" s="83"/>
      <c r="H27" s="83"/>
      <c r="I27" s="83"/>
      <c r="J27" s="83"/>
      <c r="K27" s="83"/>
      <c r="L27" s="83"/>
      <c r="M27" s="83"/>
      <c r="N27" s="83"/>
      <c r="O27" s="83"/>
      <c r="P27" s="125"/>
      <c r="AD27" s="1656"/>
      <c r="AE27" s="1656"/>
      <c r="AF27" s="1656"/>
      <c r="AG27" s="1656"/>
      <c r="AH27" s="1656"/>
      <c r="AI27" s="1656"/>
      <c r="AJ27" s="1656"/>
      <c r="AK27" s="1656"/>
      <c r="AL27" s="1656"/>
      <c r="AM27" s="1656"/>
      <c r="AN27" s="1656"/>
      <c r="AO27" s="1656"/>
      <c r="AP27" s="1656"/>
    </row>
    <row r="28" spans="1:42" ht="15" thickBot="1" x14ac:dyDescent="0.4">
      <c r="A28" s="321"/>
      <c r="B28" s="201"/>
      <c r="C28" s="201" t="s">
        <v>762</v>
      </c>
      <c r="D28" s="201"/>
      <c r="E28" s="201"/>
      <c r="F28" s="201"/>
      <c r="G28" s="201"/>
      <c r="H28" s="201"/>
      <c r="I28" s="201"/>
      <c r="J28" s="201"/>
      <c r="K28" s="201"/>
      <c r="L28" s="201"/>
      <c r="M28" s="201"/>
      <c r="N28" s="201"/>
      <c r="O28" s="201"/>
      <c r="P28" s="203"/>
      <c r="AD28" s="1656"/>
      <c r="AE28" s="1656"/>
      <c r="AF28" s="1656"/>
      <c r="AG28" s="1656"/>
      <c r="AH28" s="1656"/>
      <c r="AI28" s="1656"/>
      <c r="AJ28" s="1656"/>
      <c r="AK28" s="1656"/>
      <c r="AL28" s="1656"/>
      <c r="AM28" s="1656"/>
      <c r="AN28" s="1656"/>
      <c r="AO28" s="1656"/>
      <c r="AP28" s="1656"/>
    </row>
    <row r="29" spans="1:42" x14ac:dyDescent="0.35">
      <c r="A29" s="467" t="s">
        <v>3098</v>
      </c>
      <c r="B29" s="468">
        <v>15</v>
      </c>
      <c r="C29" s="468" t="s">
        <v>3099</v>
      </c>
      <c r="D29" s="468"/>
      <c r="E29" s="468"/>
      <c r="F29" s="468"/>
      <c r="G29" s="468"/>
      <c r="H29" s="468"/>
      <c r="I29" s="468"/>
      <c r="J29" s="468"/>
      <c r="K29" s="468"/>
      <c r="L29" s="468"/>
      <c r="M29" s="468"/>
      <c r="N29" s="468"/>
      <c r="O29" s="468"/>
      <c r="P29" s="469"/>
      <c r="AD29" s="1656"/>
      <c r="AE29" s="1656"/>
      <c r="AF29" s="1656"/>
      <c r="AG29" s="1656"/>
      <c r="AH29" s="1656"/>
      <c r="AI29" s="1656"/>
      <c r="AJ29" s="1656"/>
      <c r="AK29" s="1656"/>
      <c r="AL29" s="1656"/>
      <c r="AM29" s="1656"/>
      <c r="AN29" s="1656"/>
      <c r="AO29" s="1656"/>
      <c r="AP29" s="1656"/>
    </row>
    <row r="30" spans="1:42" x14ac:dyDescent="0.35">
      <c r="A30" s="124"/>
      <c r="B30" s="83"/>
      <c r="C30" s="83" t="s">
        <v>3100</v>
      </c>
      <c r="D30" s="83"/>
      <c r="E30" s="83"/>
      <c r="F30" s="83"/>
      <c r="G30" s="83"/>
      <c r="H30" s="83"/>
      <c r="I30" s="83"/>
      <c r="J30" s="83"/>
      <c r="K30" s="83"/>
      <c r="L30" s="83"/>
      <c r="M30" s="83"/>
      <c r="N30" s="83"/>
      <c r="O30" s="83"/>
      <c r="P30" s="125"/>
      <c r="AD30" s="1656"/>
      <c r="AE30" s="1656"/>
      <c r="AF30" s="1656"/>
      <c r="AG30" s="1656"/>
      <c r="AH30" s="1656"/>
      <c r="AI30" s="1656"/>
      <c r="AJ30" s="1656"/>
      <c r="AK30" s="1656"/>
      <c r="AL30" s="1656"/>
      <c r="AM30" s="1656"/>
      <c r="AN30" s="1656"/>
      <c r="AO30" s="1656"/>
      <c r="AP30" s="1656"/>
    </row>
    <row r="31" spans="1:42" ht="15" thickBot="1" x14ac:dyDescent="0.4">
      <c r="A31" s="321"/>
      <c r="B31" s="201"/>
      <c r="C31" s="201" t="s">
        <v>762</v>
      </c>
      <c r="D31" s="201"/>
      <c r="E31" s="201"/>
      <c r="F31" s="201"/>
      <c r="G31" s="201"/>
      <c r="H31" s="201"/>
      <c r="I31" s="201"/>
      <c r="J31" s="201"/>
      <c r="K31" s="201"/>
      <c r="L31" s="201"/>
      <c r="M31" s="201"/>
      <c r="N31" s="201"/>
      <c r="O31" s="201"/>
      <c r="P31" s="203"/>
      <c r="AD31" s="1656"/>
      <c r="AE31" s="1656"/>
      <c r="AF31" s="1656"/>
      <c r="AG31" s="1656"/>
      <c r="AH31" s="1656"/>
      <c r="AI31" s="1656"/>
      <c r="AJ31" s="1656"/>
      <c r="AK31" s="1656"/>
      <c r="AL31" s="1656"/>
      <c r="AM31" s="1656"/>
      <c r="AN31" s="1656"/>
      <c r="AO31" s="1656"/>
      <c r="AP31" s="1656"/>
    </row>
    <row r="32" spans="1:42" x14ac:dyDescent="0.35">
      <c r="A32" s="467" t="s">
        <v>3101</v>
      </c>
      <c r="B32" s="468"/>
      <c r="C32" s="468" t="s">
        <v>3102</v>
      </c>
      <c r="D32" s="468"/>
      <c r="E32" s="468"/>
      <c r="F32" s="468"/>
      <c r="G32" s="468"/>
      <c r="H32" s="468"/>
      <c r="I32" s="468"/>
      <c r="J32" s="468"/>
      <c r="K32" s="468"/>
      <c r="L32" s="468"/>
      <c r="M32" s="468"/>
      <c r="N32" s="468"/>
      <c r="O32" s="468"/>
      <c r="P32" s="469"/>
      <c r="AD32" s="1656"/>
      <c r="AE32" s="1656"/>
      <c r="AF32" s="1656"/>
      <c r="AG32" s="1656"/>
      <c r="AH32" s="1656"/>
      <c r="AI32" s="1656"/>
      <c r="AJ32" s="1656"/>
      <c r="AK32" s="1656"/>
      <c r="AL32" s="1656"/>
      <c r="AM32" s="1656"/>
      <c r="AN32" s="1656"/>
      <c r="AO32" s="1656"/>
      <c r="AP32" s="1656"/>
    </row>
    <row r="33" spans="1:42" x14ac:dyDescent="0.35">
      <c r="A33" s="124"/>
      <c r="B33" s="83"/>
      <c r="C33" s="83" t="s">
        <v>3103</v>
      </c>
      <c r="D33" s="83"/>
      <c r="E33" s="83"/>
      <c r="F33" s="83"/>
      <c r="G33" s="83"/>
      <c r="H33" s="83"/>
      <c r="I33" s="83"/>
      <c r="J33" s="83"/>
      <c r="K33" s="83"/>
      <c r="L33" s="83"/>
      <c r="M33" s="83"/>
      <c r="N33" s="83"/>
      <c r="O33" s="83"/>
      <c r="P33" s="125"/>
      <c r="AD33" s="1656"/>
      <c r="AE33" s="1656"/>
      <c r="AF33" s="1656"/>
      <c r="AG33" s="1656"/>
      <c r="AH33" s="1656"/>
      <c r="AI33" s="1656"/>
      <c r="AJ33" s="1656"/>
      <c r="AK33" s="1656"/>
      <c r="AL33" s="1656"/>
      <c r="AM33" s="1656"/>
      <c r="AN33" s="1656"/>
      <c r="AO33" s="1656"/>
      <c r="AP33" s="1656"/>
    </row>
    <row r="34" spans="1:42" ht="15" thickBot="1" x14ac:dyDescent="0.4">
      <c r="A34" s="321"/>
      <c r="B34" s="201"/>
      <c r="C34" s="201" t="s">
        <v>3104</v>
      </c>
      <c r="D34" s="201"/>
      <c r="E34" s="201"/>
      <c r="F34" s="201"/>
      <c r="G34" s="201"/>
      <c r="H34" s="201"/>
      <c r="I34" s="201"/>
      <c r="J34" s="201"/>
      <c r="K34" s="201"/>
      <c r="L34" s="201"/>
      <c r="M34" s="201"/>
      <c r="N34" s="201"/>
      <c r="O34" s="201"/>
      <c r="P34" s="203"/>
      <c r="AD34" s="1656"/>
      <c r="AE34" s="1656"/>
      <c r="AF34" s="1656"/>
      <c r="AG34" s="1656"/>
      <c r="AH34" s="1656"/>
      <c r="AI34" s="1656"/>
      <c r="AJ34" s="1656"/>
      <c r="AK34" s="1656"/>
      <c r="AL34" s="1656"/>
      <c r="AM34" s="1656"/>
      <c r="AN34" s="1656"/>
      <c r="AO34" s="1656"/>
      <c r="AP34" s="1656"/>
    </row>
    <row r="35" spans="1:42" x14ac:dyDescent="0.35">
      <c r="A35" s="467" t="s">
        <v>3069</v>
      </c>
      <c r="B35" s="468"/>
      <c r="C35" s="468" t="s">
        <v>3105</v>
      </c>
      <c r="D35" s="468"/>
      <c r="E35" s="468"/>
      <c r="F35" s="468"/>
      <c r="G35" s="468"/>
      <c r="H35" s="468"/>
      <c r="I35" s="468"/>
      <c r="J35" s="468"/>
      <c r="K35" s="468"/>
      <c r="L35" s="468"/>
      <c r="M35" s="468"/>
      <c r="N35" s="468"/>
      <c r="O35" s="468"/>
      <c r="P35" s="469"/>
      <c r="AD35" s="1656"/>
      <c r="AE35" s="1656"/>
      <c r="AF35" s="1656"/>
      <c r="AG35" s="1656"/>
      <c r="AH35" s="1656"/>
      <c r="AI35" s="1656"/>
      <c r="AJ35" s="1656"/>
      <c r="AK35" s="1656"/>
      <c r="AL35" s="1656"/>
      <c r="AM35" s="1656"/>
      <c r="AN35" s="1656"/>
      <c r="AO35" s="1656"/>
      <c r="AP35" s="1656"/>
    </row>
    <row r="36" spans="1:42" x14ac:dyDescent="0.35">
      <c r="A36" s="124"/>
      <c r="B36" s="83"/>
      <c r="C36" s="83" t="s">
        <v>3106</v>
      </c>
      <c r="D36" s="83"/>
      <c r="E36" s="83"/>
      <c r="F36" s="83"/>
      <c r="G36" s="83"/>
      <c r="H36" s="83"/>
      <c r="I36" s="83"/>
      <c r="J36" s="83"/>
      <c r="K36" s="83"/>
      <c r="L36" s="83"/>
      <c r="M36" s="83"/>
      <c r="N36" s="83"/>
      <c r="O36" s="83"/>
      <c r="P36" s="125"/>
      <c r="AD36" s="1656"/>
      <c r="AE36" s="1656"/>
      <c r="AF36" s="1656"/>
      <c r="AG36" s="1656"/>
      <c r="AH36" s="1656"/>
      <c r="AI36" s="1656"/>
      <c r="AJ36" s="1656"/>
      <c r="AK36" s="1656"/>
      <c r="AL36" s="1656"/>
      <c r="AM36" s="1656"/>
      <c r="AN36" s="1656"/>
      <c r="AO36" s="1656"/>
      <c r="AP36" s="1656"/>
    </row>
    <row r="37" spans="1:42" ht="15" thickBot="1" x14ac:dyDescent="0.4">
      <c r="A37" s="321"/>
      <c r="B37" s="201"/>
      <c r="C37" s="201" t="s">
        <v>3107</v>
      </c>
      <c r="D37" s="201"/>
      <c r="E37" s="201"/>
      <c r="F37" s="201"/>
      <c r="G37" s="201"/>
      <c r="H37" s="201"/>
      <c r="I37" s="201"/>
      <c r="J37" s="201"/>
      <c r="K37" s="201"/>
      <c r="L37" s="201"/>
      <c r="M37" s="201"/>
      <c r="N37" s="201"/>
      <c r="O37" s="201"/>
      <c r="P37" s="203"/>
      <c r="AD37" s="1656"/>
      <c r="AE37" s="1656"/>
      <c r="AF37" s="1656"/>
      <c r="AG37" s="1656"/>
      <c r="AH37" s="1656"/>
      <c r="AI37" s="1656"/>
      <c r="AJ37" s="1656"/>
      <c r="AK37" s="1656"/>
      <c r="AL37" s="1656"/>
      <c r="AM37" s="1656"/>
      <c r="AN37" s="1656"/>
      <c r="AO37" s="1656"/>
      <c r="AP37" s="1656"/>
    </row>
    <row r="38" spans="1:42" x14ac:dyDescent="0.35">
      <c r="A38" s="467" t="s">
        <v>3070</v>
      </c>
      <c r="B38" s="468"/>
      <c r="C38" s="468" t="s">
        <v>3108</v>
      </c>
      <c r="D38" s="468"/>
      <c r="E38" s="468"/>
      <c r="F38" s="468"/>
      <c r="G38" s="468"/>
      <c r="H38" s="468"/>
      <c r="I38" s="468"/>
      <c r="J38" s="468"/>
      <c r="K38" s="468"/>
      <c r="L38" s="468"/>
      <c r="M38" s="468"/>
      <c r="N38" s="468"/>
      <c r="O38" s="468"/>
      <c r="P38" s="469"/>
      <c r="AD38" s="1656"/>
      <c r="AE38" s="1656"/>
      <c r="AF38" s="1656"/>
      <c r="AG38" s="1656"/>
      <c r="AH38" s="1656"/>
      <c r="AI38" s="1656"/>
      <c r="AJ38" s="1656"/>
      <c r="AK38" s="1656"/>
      <c r="AL38" s="1656"/>
      <c r="AM38" s="1656"/>
      <c r="AN38" s="1656"/>
      <c r="AO38" s="1656"/>
      <c r="AP38" s="1656"/>
    </row>
    <row r="39" spans="1:42" ht="15" thickBot="1" x14ac:dyDescent="0.4">
      <c r="A39" s="321"/>
      <c r="B39" s="201"/>
      <c r="C39" s="201" t="s">
        <v>3109</v>
      </c>
      <c r="D39" s="201"/>
      <c r="E39" s="201"/>
      <c r="F39" s="201"/>
      <c r="G39" s="201"/>
      <c r="H39" s="201"/>
      <c r="I39" s="201"/>
      <c r="J39" s="201"/>
      <c r="K39" s="201"/>
      <c r="L39" s="201"/>
      <c r="M39" s="201"/>
      <c r="N39" s="201"/>
      <c r="O39" s="201"/>
      <c r="P39" s="203"/>
      <c r="AD39" s="1656"/>
      <c r="AE39" s="1656"/>
      <c r="AF39" s="1656"/>
      <c r="AG39" s="1656"/>
      <c r="AH39" s="1656"/>
      <c r="AI39" s="1656"/>
      <c r="AJ39" s="1656"/>
      <c r="AK39" s="1656"/>
      <c r="AL39" s="1656"/>
      <c r="AM39" s="1656"/>
      <c r="AN39" s="1656"/>
      <c r="AO39" s="1656"/>
      <c r="AP39" s="1656"/>
    </row>
    <row r="40" spans="1:42" x14ac:dyDescent="0.35">
      <c r="A40" s="467" t="s">
        <v>443</v>
      </c>
      <c r="B40" s="468">
        <v>4</v>
      </c>
      <c r="C40" s="468" t="s">
        <v>3110</v>
      </c>
      <c r="D40" s="468"/>
      <c r="E40" s="468"/>
      <c r="F40" s="468"/>
      <c r="G40" s="468"/>
      <c r="H40" s="468"/>
      <c r="I40" s="468"/>
      <c r="J40" s="468"/>
      <c r="K40" s="468"/>
      <c r="L40" s="468"/>
      <c r="M40" s="468"/>
      <c r="N40" s="468"/>
      <c r="O40" s="468"/>
      <c r="P40" s="469"/>
      <c r="AD40" s="1656"/>
      <c r="AE40" s="1656"/>
      <c r="AF40" s="1656"/>
      <c r="AG40" s="1656"/>
      <c r="AH40" s="1656"/>
      <c r="AI40" s="1656"/>
      <c r="AJ40" s="1656"/>
      <c r="AK40" s="1656"/>
      <c r="AL40" s="1656"/>
      <c r="AM40" s="1656"/>
      <c r="AN40" s="1656"/>
      <c r="AO40" s="1656"/>
      <c r="AP40" s="1656"/>
    </row>
    <row r="41" spans="1:42" ht="15" thickBot="1" x14ac:dyDescent="0.4">
      <c r="A41" s="321"/>
      <c r="B41" s="201"/>
      <c r="C41" s="201" t="s">
        <v>3111</v>
      </c>
      <c r="D41" s="201"/>
      <c r="E41" s="201"/>
      <c r="F41" s="201"/>
      <c r="G41" s="201"/>
      <c r="H41" s="201"/>
      <c r="I41" s="201"/>
      <c r="J41" s="201"/>
      <c r="K41" s="201"/>
      <c r="L41" s="201"/>
      <c r="M41" s="201"/>
      <c r="N41" s="201"/>
      <c r="O41" s="201"/>
      <c r="P41" s="203"/>
      <c r="AD41" s="1656"/>
      <c r="AE41" s="1656"/>
      <c r="AF41" s="1656"/>
      <c r="AG41" s="1656"/>
      <c r="AH41" s="1656"/>
      <c r="AI41" s="1656"/>
      <c r="AJ41" s="1656"/>
      <c r="AK41" s="1656"/>
      <c r="AL41" s="1656"/>
      <c r="AM41" s="1656"/>
      <c r="AN41" s="1656"/>
      <c r="AO41" s="1656"/>
      <c r="AP41" s="1656"/>
    </row>
    <row r="42" spans="1:42" x14ac:dyDescent="0.35">
      <c r="A42" s="467" t="s">
        <v>344</v>
      </c>
      <c r="B42" s="468"/>
      <c r="C42" s="468"/>
      <c r="D42" s="468"/>
      <c r="E42" s="468"/>
      <c r="F42" s="468"/>
      <c r="G42" s="468"/>
      <c r="H42" s="468"/>
      <c r="I42" s="468"/>
      <c r="J42" s="468"/>
      <c r="K42" s="468"/>
      <c r="L42" s="468"/>
      <c r="M42" s="468"/>
      <c r="N42" s="468"/>
      <c r="O42" s="468"/>
      <c r="P42" s="469"/>
      <c r="AD42" s="1656"/>
      <c r="AE42" s="1656"/>
      <c r="AF42" s="1656"/>
      <c r="AG42" s="1656"/>
      <c r="AH42" s="1656"/>
      <c r="AI42" s="1656"/>
      <c r="AJ42" s="1656"/>
      <c r="AK42" s="1656"/>
      <c r="AL42" s="1656"/>
      <c r="AM42" s="1656"/>
      <c r="AN42" s="1656"/>
      <c r="AO42" s="1656"/>
      <c r="AP42" s="1656"/>
    </row>
    <row r="43" spans="1:42" x14ac:dyDescent="0.35">
      <c r="A43" s="124"/>
      <c r="B43" s="83"/>
      <c r="C43" s="83"/>
      <c r="D43" s="83"/>
      <c r="E43" s="83"/>
      <c r="F43" s="83"/>
      <c r="G43" s="83"/>
      <c r="H43" s="83"/>
      <c r="I43" s="83"/>
      <c r="J43" s="83"/>
      <c r="K43" s="83"/>
      <c r="L43" s="83"/>
      <c r="M43" s="83"/>
      <c r="N43" s="83"/>
      <c r="O43" s="83"/>
      <c r="P43" s="125"/>
      <c r="AD43" s="1656"/>
      <c r="AE43" s="1656"/>
      <c r="AF43" s="1656"/>
      <c r="AG43" s="1656"/>
      <c r="AH43" s="1656"/>
      <c r="AI43" s="1656"/>
      <c r="AJ43" s="1656"/>
      <c r="AK43" s="1656"/>
      <c r="AL43" s="1656"/>
      <c r="AM43" s="1656"/>
      <c r="AN43" s="1656"/>
      <c r="AO43" s="1656"/>
      <c r="AP43" s="1656"/>
    </row>
    <row r="44" spans="1:42" ht="15" thickBot="1" x14ac:dyDescent="0.4">
      <c r="A44" s="321"/>
      <c r="B44" s="201"/>
      <c r="C44" s="201"/>
      <c r="D44" s="201"/>
      <c r="E44" s="201"/>
      <c r="F44" s="201"/>
      <c r="G44" s="201"/>
      <c r="H44" s="201"/>
      <c r="I44" s="201"/>
      <c r="J44" s="201"/>
      <c r="K44" s="201"/>
      <c r="L44" s="201"/>
      <c r="M44" s="201"/>
      <c r="N44" s="201"/>
      <c r="O44" s="201"/>
      <c r="P44" s="203"/>
      <c r="AD44" s="1656"/>
      <c r="AE44" s="1656"/>
      <c r="AF44" s="1656"/>
      <c r="AG44" s="1656"/>
      <c r="AH44" s="1656"/>
      <c r="AI44" s="1656"/>
      <c r="AJ44" s="1656"/>
      <c r="AK44" s="1656"/>
      <c r="AL44" s="1656"/>
      <c r="AM44" s="1656"/>
      <c r="AN44" s="1656"/>
      <c r="AO44" s="1656"/>
      <c r="AP44" s="1656"/>
    </row>
    <row r="45" spans="1:42" ht="15" thickBot="1" x14ac:dyDescent="0.4">
      <c r="AD45" s="1656"/>
      <c r="AE45" s="1656"/>
      <c r="AF45" s="1656"/>
      <c r="AG45" s="1656"/>
      <c r="AH45" s="1656"/>
      <c r="AI45" s="1656"/>
      <c r="AJ45" s="1656"/>
      <c r="AK45" s="1656"/>
      <c r="AL45" s="1656"/>
      <c r="AM45" s="1656"/>
      <c r="AN45" s="1656"/>
      <c r="AO45" s="1656"/>
      <c r="AP45" s="1656"/>
    </row>
    <row r="46" spans="1:42" ht="15" thickBot="1" x14ac:dyDescent="0.4">
      <c r="A46" s="122" t="s">
        <v>539</v>
      </c>
      <c r="B46" s="78"/>
      <c r="C46" s="78"/>
      <c r="D46" s="78"/>
      <c r="E46" s="78"/>
      <c r="F46" s="78"/>
      <c r="G46" s="78"/>
      <c r="H46" s="78"/>
      <c r="I46" s="78"/>
      <c r="J46" s="78"/>
      <c r="K46" s="78"/>
      <c r="L46" s="78"/>
      <c r="M46" s="78"/>
      <c r="N46" s="78"/>
      <c r="O46" s="78"/>
      <c r="P46" s="79"/>
      <c r="AD46" s="1656"/>
      <c r="AE46" s="1656"/>
      <c r="AF46" s="1656"/>
      <c r="AG46" s="1656"/>
      <c r="AH46" s="1656"/>
      <c r="AI46" s="1656"/>
      <c r="AJ46" s="1656"/>
      <c r="AK46" s="1656"/>
      <c r="AL46" s="1656"/>
      <c r="AM46" s="1656"/>
      <c r="AN46" s="1656"/>
      <c r="AO46" s="1656"/>
      <c r="AP46" s="1656"/>
    </row>
    <row r="47" spans="1:42" x14ac:dyDescent="0.35">
      <c r="A47" s="124"/>
      <c r="B47" s="83"/>
      <c r="C47" s="83"/>
      <c r="D47" s="83"/>
      <c r="E47" s="83"/>
      <c r="F47" s="83"/>
      <c r="G47" s="83"/>
      <c r="H47" s="83"/>
      <c r="I47" s="129"/>
      <c r="J47" s="83"/>
      <c r="K47" s="83"/>
      <c r="L47" s="83"/>
      <c r="M47" s="83"/>
      <c r="N47" s="83"/>
      <c r="O47" s="83"/>
      <c r="P47" s="125"/>
      <c r="AD47" s="1656"/>
      <c r="AE47" s="1656"/>
      <c r="AF47" s="1656"/>
      <c r="AG47" s="1656"/>
      <c r="AH47" s="1656"/>
      <c r="AI47" s="1656"/>
      <c r="AJ47" s="1656"/>
      <c r="AK47" s="1656"/>
      <c r="AL47" s="1656"/>
      <c r="AM47" s="1656"/>
      <c r="AN47" s="1656"/>
      <c r="AO47" s="1656"/>
      <c r="AP47" s="1656"/>
    </row>
    <row r="48" spans="1:42" ht="15" thickBot="1" x14ac:dyDescent="0.4">
      <c r="A48" s="124"/>
      <c r="B48" s="2355" t="s">
        <v>3137</v>
      </c>
      <c r="C48" s="2356"/>
      <c r="D48" s="2356"/>
      <c r="E48" s="83"/>
      <c r="F48" s="83"/>
      <c r="G48" s="83"/>
      <c r="H48" s="83"/>
      <c r="I48" s="83"/>
      <c r="J48" s="83"/>
      <c r="K48" s="83"/>
      <c r="L48" s="83"/>
      <c r="M48" s="83"/>
      <c r="N48" s="83"/>
      <c r="O48" s="83"/>
      <c r="P48" s="125"/>
      <c r="AD48" s="1656"/>
      <c r="AE48" s="1656"/>
      <c r="AF48" s="1656"/>
      <c r="AG48" s="1656"/>
      <c r="AH48" s="1656"/>
      <c r="AI48" s="1656"/>
      <c r="AJ48" s="1656"/>
      <c r="AK48" s="1656"/>
      <c r="AL48" s="1656"/>
      <c r="AM48" s="1656"/>
      <c r="AN48" s="1656"/>
      <c r="AO48" s="1656"/>
      <c r="AP48" s="1656"/>
    </row>
    <row r="49" spans="1:42" ht="15" thickBot="1" x14ac:dyDescent="0.4">
      <c r="A49" s="124"/>
      <c r="B49" s="1657" t="s">
        <v>838</v>
      </c>
      <c r="C49" s="1657" t="s">
        <v>3074</v>
      </c>
      <c r="D49" s="1657" t="s">
        <v>3075</v>
      </c>
      <c r="E49" s="83"/>
      <c r="F49" s="83"/>
      <c r="G49" s="83"/>
      <c r="H49" s="83"/>
      <c r="I49" s="83"/>
      <c r="J49" s="83"/>
      <c r="K49" s="83"/>
      <c r="L49" s="83"/>
      <c r="M49" s="83"/>
      <c r="N49" s="83"/>
      <c r="O49" s="83"/>
      <c r="P49" s="125"/>
      <c r="AD49" s="1656"/>
      <c r="AE49" s="1656"/>
      <c r="AF49" s="1656"/>
      <c r="AG49" s="1656"/>
      <c r="AH49" s="1656"/>
      <c r="AI49" s="1656"/>
      <c r="AJ49" s="1656"/>
      <c r="AK49" s="1656"/>
      <c r="AL49" s="1656"/>
      <c r="AM49" s="1656"/>
      <c r="AN49" s="1656"/>
      <c r="AO49" s="1656"/>
      <c r="AP49" s="1656"/>
    </row>
    <row r="50" spans="1:42" ht="15" thickBot="1" x14ac:dyDescent="0.4">
      <c r="A50" s="124"/>
      <c r="B50" s="1658" t="s">
        <v>1648</v>
      </c>
      <c r="C50" s="1659" t="s">
        <v>3112</v>
      </c>
      <c r="D50" s="1659" t="s">
        <v>3113</v>
      </c>
      <c r="E50" s="83"/>
      <c r="F50" s="83"/>
      <c r="G50" s="83"/>
      <c r="H50" s="83"/>
      <c r="I50" s="83"/>
      <c r="J50" s="83"/>
      <c r="K50" s="83"/>
      <c r="L50" s="83"/>
      <c r="M50" s="83"/>
      <c r="N50" s="83"/>
      <c r="O50" s="83"/>
      <c r="P50" s="125"/>
      <c r="AD50" s="1656"/>
      <c r="AE50" s="1656"/>
      <c r="AF50" s="1656"/>
      <c r="AG50" s="1656"/>
      <c r="AH50" s="1656"/>
      <c r="AI50" s="1656"/>
      <c r="AJ50" s="1656"/>
      <c r="AK50" s="1656"/>
      <c r="AL50" s="1656"/>
      <c r="AM50" s="1656"/>
      <c r="AN50" s="1656"/>
      <c r="AO50" s="1656"/>
      <c r="AP50" s="1656"/>
    </row>
    <row r="51" spans="1:42" ht="15" thickBot="1" x14ac:dyDescent="0.4">
      <c r="A51" s="124"/>
      <c r="B51" s="1658" t="s">
        <v>1665</v>
      </c>
      <c r="C51" s="1660" t="s">
        <v>3114</v>
      </c>
      <c r="D51" s="1660" t="s">
        <v>3115</v>
      </c>
      <c r="E51" s="83"/>
      <c r="F51" s="83"/>
      <c r="G51" s="83"/>
      <c r="H51" s="83"/>
      <c r="I51" s="83"/>
      <c r="J51" s="83"/>
      <c r="K51" s="83"/>
      <c r="L51" s="83"/>
      <c r="M51" s="83"/>
      <c r="N51" s="83"/>
      <c r="O51" s="83"/>
      <c r="P51" s="125"/>
      <c r="AD51" s="1656"/>
      <c r="AE51" s="1656"/>
      <c r="AF51" s="1656"/>
      <c r="AG51" s="1656"/>
      <c r="AH51" s="1656"/>
      <c r="AI51" s="1656"/>
      <c r="AJ51" s="1656"/>
      <c r="AK51" s="1656"/>
      <c r="AL51" s="1656"/>
      <c r="AM51" s="1656"/>
      <c r="AN51" s="1656"/>
      <c r="AO51" s="1656"/>
      <c r="AP51" s="1656"/>
    </row>
    <row r="52" spans="1:42" ht="15" thickBot="1" x14ac:dyDescent="0.4">
      <c r="A52" s="124"/>
      <c r="B52" s="1658" t="s">
        <v>1498</v>
      </c>
      <c r="C52" s="1661" t="s">
        <v>3116</v>
      </c>
      <c r="D52" s="1661" t="s">
        <v>3117</v>
      </c>
      <c r="E52" s="83"/>
      <c r="F52" s="83"/>
      <c r="G52" s="83"/>
      <c r="H52" s="83"/>
      <c r="I52" s="83"/>
      <c r="J52" s="83"/>
      <c r="K52" s="83"/>
      <c r="L52" s="83"/>
      <c r="M52" s="83"/>
      <c r="N52" s="83"/>
      <c r="O52" s="83"/>
      <c r="P52" s="125"/>
      <c r="AD52" s="1656"/>
      <c r="AE52" s="1656"/>
      <c r="AF52" s="1656"/>
      <c r="AG52" s="1656"/>
      <c r="AH52" s="1656"/>
      <c r="AI52" s="1656"/>
      <c r="AJ52" s="1656"/>
      <c r="AK52" s="1656"/>
      <c r="AL52" s="1656"/>
      <c r="AM52" s="1656"/>
      <c r="AN52" s="1656"/>
      <c r="AO52" s="1656"/>
      <c r="AP52" s="1656"/>
    </row>
    <row r="53" spans="1:42" ht="15" thickBot="1" x14ac:dyDescent="0.4">
      <c r="A53" s="124"/>
      <c r="B53" s="1658" t="s">
        <v>1505</v>
      </c>
      <c r="C53" s="1662" t="s">
        <v>3118</v>
      </c>
      <c r="D53" s="1663" t="s">
        <v>3119</v>
      </c>
      <c r="E53" s="83"/>
      <c r="F53" s="83"/>
      <c r="G53" s="83"/>
      <c r="H53" s="83"/>
      <c r="I53" s="83"/>
      <c r="J53" s="83"/>
      <c r="K53" s="83"/>
      <c r="L53" s="83"/>
      <c r="M53" s="83"/>
      <c r="N53" s="83"/>
      <c r="O53" s="83"/>
      <c r="P53" s="125"/>
      <c r="AD53" s="1656"/>
      <c r="AE53" s="1656"/>
      <c r="AF53" s="1656"/>
      <c r="AG53" s="1656"/>
      <c r="AH53" s="1656"/>
      <c r="AI53" s="1656"/>
      <c r="AJ53" s="1656"/>
      <c r="AK53" s="1656"/>
      <c r="AL53" s="1656"/>
      <c r="AM53" s="1656"/>
      <c r="AN53" s="1656"/>
      <c r="AO53" s="1656"/>
      <c r="AP53" s="1656"/>
    </row>
    <row r="54" spans="1:42" ht="15" thickBot="1" x14ac:dyDescent="0.4">
      <c r="A54" s="124"/>
      <c r="B54" s="1658" t="s">
        <v>3081</v>
      </c>
      <c r="C54" s="1660" t="s">
        <v>3120</v>
      </c>
      <c r="D54" s="1660" t="s">
        <v>3121</v>
      </c>
      <c r="E54" s="83"/>
      <c r="F54" s="83"/>
      <c r="G54" s="83"/>
      <c r="H54" s="83"/>
      <c r="I54" s="83"/>
      <c r="J54" s="83"/>
      <c r="K54" s="83"/>
      <c r="L54" s="83"/>
      <c r="M54" s="83"/>
      <c r="N54" s="83"/>
      <c r="O54" s="83"/>
      <c r="P54" s="125"/>
      <c r="AD54" s="1656"/>
      <c r="AE54" s="1656"/>
      <c r="AF54" s="1656"/>
      <c r="AG54" s="1656"/>
      <c r="AH54" s="1656"/>
      <c r="AI54" s="1656"/>
      <c r="AJ54" s="1656"/>
      <c r="AK54" s="1656"/>
      <c r="AL54" s="1656"/>
      <c r="AM54" s="1656"/>
      <c r="AN54" s="1656"/>
      <c r="AO54" s="1656"/>
      <c r="AP54" s="1656"/>
    </row>
    <row r="55" spans="1:42" ht="15" thickBot="1" x14ac:dyDescent="0.4">
      <c r="A55" s="124"/>
      <c r="B55" s="1658" t="s">
        <v>3083</v>
      </c>
      <c r="C55" s="1661" t="s">
        <v>3122</v>
      </c>
      <c r="D55" s="1664" t="s">
        <v>3123</v>
      </c>
      <c r="E55" s="83"/>
      <c r="F55" s="83"/>
      <c r="G55" s="83"/>
      <c r="H55" s="83"/>
      <c r="I55" s="83"/>
      <c r="J55" s="83"/>
      <c r="K55" s="83"/>
      <c r="L55" s="83"/>
      <c r="M55" s="83"/>
      <c r="N55" s="83"/>
      <c r="O55" s="83"/>
      <c r="P55" s="125"/>
      <c r="AD55" s="1656"/>
      <c r="AE55" s="1656"/>
      <c r="AF55" s="1656"/>
      <c r="AG55" s="1656"/>
      <c r="AH55" s="1656"/>
      <c r="AI55" s="1656"/>
      <c r="AJ55" s="1656"/>
      <c r="AK55" s="1656"/>
      <c r="AL55" s="1656"/>
      <c r="AM55" s="1656"/>
      <c r="AN55" s="1656"/>
      <c r="AO55" s="1656"/>
      <c r="AP55" s="1656"/>
    </row>
    <row r="56" spans="1:42" ht="15" thickBot="1" x14ac:dyDescent="0.4">
      <c r="A56" s="124"/>
      <c r="B56" s="1658" t="s">
        <v>3085</v>
      </c>
      <c r="C56" s="1661" t="s">
        <v>3124</v>
      </c>
      <c r="D56" s="1661" t="s">
        <v>3125</v>
      </c>
      <c r="E56" s="83"/>
      <c r="F56" s="83"/>
      <c r="G56" s="83"/>
      <c r="H56" s="83"/>
      <c r="I56" s="83"/>
      <c r="J56" s="83"/>
      <c r="K56" s="83"/>
      <c r="L56" s="83"/>
      <c r="M56" s="83"/>
      <c r="N56" s="83"/>
      <c r="O56" s="83"/>
      <c r="P56" s="125"/>
      <c r="AD56" s="1656"/>
      <c r="AE56" s="1656"/>
      <c r="AF56" s="1656"/>
      <c r="AG56" s="1656"/>
      <c r="AH56" s="1656"/>
      <c r="AI56" s="1656"/>
      <c r="AJ56" s="1656"/>
      <c r="AK56" s="1656"/>
      <c r="AL56" s="1656"/>
      <c r="AM56" s="1656"/>
      <c r="AN56" s="1656"/>
      <c r="AO56" s="1656"/>
      <c r="AP56" s="1656"/>
    </row>
    <row r="57" spans="1:42" ht="15" thickBot="1" x14ac:dyDescent="0.4">
      <c r="A57" s="124"/>
      <c r="B57" s="1665" t="s">
        <v>3087</v>
      </c>
      <c r="C57" s="1661" t="s">
        <v>3126</v>
      </c>
      <c r="D57" s="1661" t="s">
        <v>3127</v>
      </c>
      <c r="E57" s="83"/>
      <c r="F57" s="83"/>
      <c r="G57" s="83"/>
      <c r="H57" s="83"/>
      <c r="I57" s="83"/>
      <c r="J57" s="83"/>
      <c r="K57" s="83"/>
      <c r="L57" s="83"/>
      <c r="M57" s="83"/>
      <c r="N57" s="83"/>
      <c r="O57" s="83"/>
      <c r="P57" s="125"/>
      <c r="AD57" s="1656"/>
      <c r="AE57" s="1656"/>
      <c r="AF57" s="1656"/>
      <c r="AG57" s="1656"/>
      <c r="AH57" s="1656"/>
      <c r="AI57" s="1656"/>
      <c r="AJ57" s="1656"/>
      <c r="AK57" s="1656"/>
      <c r="AL57" s="1656"/>
      <c r="AM57" s="1656"/>
      <c r="AN57" s="1656"/>
      <c r="AO57" s="1656"/>
      <c r="AP57" s="1656"/>
    </row>
    <row r="58" spans="1:42" x14ac:dyDescent="0.35">
      <c r="A58" s="124"/>
      <c r="B58" s="83"/>
      <c r="C58" s="83"/>
      <c r="D58" s="83"/>
      <c r="E58" s="83"/>
      <c r="F58" s="83"/>
      <c r="G58" s="83"/>
      <c r="H58" s="83"/>
      <c r="I58" s="83"/>
      <c r="J58" s="83"/>
      <c r="K58" s="83"/>
      <c r="L58" s="83"/>
      <c r="M58" s="83"/>
      <c r="N58" s="83"/>
      <c r="O58" s="83"/>
      <c r="P58" s="125"/>
      <c r="AD58" s="1656"/>
      <c r="AE58" s="1656"/>
      <c r="AF58" s="1656"/>
      <c r="AG58" s="1656"/>
      <c r="AH58" s="1656"/>
      <c r="AI58" s="1656"/>
      <c r="AJ58" s="1656"/>
      <c r="AK58" s="1656"/>
      <c r="AL58" s="1656"/>
      <c r="AM58" s="1656"/>
      <c r="AN58" s="1656"/>
      <c r="AO58" s="1656"/>
      <c r="AP58" s="1656"/>
    </row>
    <row r="59" spans="1:42" ht="15" thickBot="1" x14ac:dyDescent="0.4">
      <c r="A59" s="124"/>
      <c r="B59" s="83"/>
      <c r="C59" s="83"/>
      <c r="D59" s="83"/>
      <c r="E59" s="83"/>
      <c r="F59" s="83"/>
      <c r="G59" s="83"/>
      <c r="H59" s="83"/>
      <c r="I59" s="83"/>
      <c r="J59" s="83"/>
      <c r="K59" s="83"/>
      <c r="L59" s="83"/>
      <c r="M59" s="83"/>
      <c r="N59" s="83"/>
      <c r="O59" s="83"/>
      <c r="P59" s="125"/>
      <c r="AD59" s="1656"/>
      <c r="AE59" s="1656"/>
      <c r="AF59" s="1656"/>
      <c r="AG59" s="1656"/>
      <c r="AH59" s="1656"/>
      <c r="AI59" s="1656"/>
      <c r="AJ59" s="1656"/>
      <c r="AK59" s="1656"/>
      <c r="AL59" s="1656"/>
      <c r="AM59" s="1656"/>
      <c r="AN59" s="1656"/>
      <c r="AO59" s="1656"/>
      <c r="AP59" s="1656"/>
    </row>
    <row r="60" spans="1:42" ht="15" thickBot="1" x14ac:dyDescent="0.4">
      <c r="A60" s="124"/>
      <c r="B60" s="1666"/>
      <c r="C60" s="2357" t="s">
        <v>3128</v>
      </c>
      <c r="D60" s="2358"/>
      <c r="E60" s="2358"/>
      <c r="F60" s="2358"/>
      <c r="G60" s="2359"/>
      <c r="H60" s="1667"/>
      <c r="I60" s="1668"/>
      <c r="J60" s="83"/>
      <c r="K60" s="83"/>
      <c r="L60" s="83"/>
      <c r="M60" s="83"/>
      <c r="N60" s="83"/>
      <c r="O60" s="83"/>
      <c r="P60" s="125"/>
      <c r="AD60" s="1656"/>
      <c r="AE60" s="1656"/>
      <c r="AF60" s="1656"/>
      <c r="AG60" s="1656"/>
      <c r="AH60" s="1656"/>
      <c r="AI60" s="1656"/>
      <c r="AJ60" s="1656"/>
      <c r="AK60" s="1656"/>
      <c r="AL60" s="1656"/>
      <c r="AM60" s="1656"/>
      <c r="AN60" s="1656"/>
      <c r="AO60" s="1656"/>
      <c r="AP60" s="1656"/>
    </row>
    <row r="61" spans="1:42" ht="15" thickBot="1" x14ac:dyDescent="0.4">
      <c r="A61" s="124"/>
      <c r="B61" s="1669" t="s">
        <v>838</v>
      </c>
      <c r="C61" s="1670" t="s">
        <v>457</v>
      </c>
      <c r="D61" s="1671" t="s">
        <v>459</v>
      </c>
      <c r="E61" s="1671" t="s">
        <v>461</v>
      </c>
      <c r="F61" s="1671" t="s">
        <v>463</v>
      </c>
      <c r="G61" s="1671" t="s">
        <v>464</v>
      </c>
      <c r="H61" s="1671" t="s">
        <v>738</v>
      </c>
      <c r="I61" s="1672" t="s">
        <v>3129</v>
      </c>
      <c r="J61" s="83"/>
      <c r="K61" s="2345" t="s">
        <v>3130</v>
      </c>
      <c r="L61" s="2345"/>
      <c r="M61" s="83"/>
      <c r="N61" s="83"/>
      <c r="O61" s="83"/>
      <c r="P61" s="125"/>
      <c r="AD61" s="1656"/>
      <c r="AE61" s="1656"/>
      <c r="AF61" s="1656"/>
      <c r="AG61" s="1656"/>
      <c r="AH61" s="1656"/>
      <c r="AI61" s="1656"/>
      <c r="AJ61" s="1656"/>
      <c r="AK61" s="1656"/>
      <c r="AL61" s="1656"/>
      <c r="AM61" s="1656"/>
      <c r="AN61" s="1656"/>
      <c r="AO61" s="1656"/>
      <c r="AP61" s="1656"/>
    </row>
    <row r="62" spans="1:42" ht="15" thickBot="1" x14ac:dyDescent="0.4">
      <c r="A62" s="124"/>
      <c r="B62" s="1658" t="s">
        <v>1648</v>
      </c>
      <c r="C62" s="1673">
        <v>19.872</v>
      </c>
      <c r="D62" s="1673">
        <v>17.829999999999998</v>
      </c>
      <c r="E62" s="1673">
        <v>15.827999999999999</v>
      </c>
      <c r="F62" s="1673">
        <v>15.282</v>
      </c>
      <c r="G62" s="1673">
        <v>13.481999999999999</v>
      </c>
      <c r="H62" s="1674">
        <f>C62*$L$62+D62*$L$63+E62*$L$64</f>
        <v>18.242399999999996</v>
      </c>
      <c r="I62" s="1675">
        <v>98</v>
      </c>
      <c r="J62" s="83"/>
      <c r="K62" s="62" t="s">
        <v>1125</v>
      </c>
      <c r="L62" s="361">
        <v>0.3</v>
      </c>
      <c r="M62" s="83"/>
      <c r="N62" s="83"/>
      <c r="O62" s="83"/>
      <c r="P62" s="125"/>
      <c r="AD62" s="1656"/>
      <c r="AE62" s="1656"/>
      <c r="AF62" s="1656"/>
      <c r="AG62" s="1656"/>
      <c r="AH62" s="1656"/>
      <c r="AI62" s="1656"/>
      <c r="AJ62" s="1656"/>
      <c r="AK62" s="1656"/>
      <c r="AL62" s="1656"/>
      <c r="AM62" s="1656"/>
      <c r="AN62" s="1656"/>
      <c r="AO62" s="1656"/>
      <c r="AP62" s="1656"/>
    </row>
    <row r="63" spans="1:42" ht="15" thickBot="1" x14ac:dyDescent="0.4">
      <c r="A63" s="124"/>
      <c r="B63" s="1658" t="s">
        <v>1665</v>
      </c>
      <c r="C63" s="1673">
        <v>1.4930000000000001</v>
      </c>
      <c r="D63" s="1673">
        <v>1.081</v>
      </c>
      <c r="E63" s="1673">
        <v>0.78200000000000003</v>
      </c>
      <c r="F63" s="1673">
        <v>0.54400000000000004</v>
      </c>
      <c r="G63" s="1673">
        <v>0.114</v>
      </c>
      <c r="H63" s="1674">
        <f t="shared" ref="H63:H69" si="18">C63*$L$62+D63*$L$63+E63*$L$64</f>
        <v>1.1747000000000001</v>
      </c>
      <c r="I63" s="1675">
        <v>108</v>
      </c>
      <c r="J63" s="83"/>
      <c r="K63" s="62" t="s">
        <v>460</v>
      </c>
      <c r="L63" s="361">
        <v>0.6</v>
      </c>
      <c r="M63" s="83"/>
      <c r="N63" s="83"/>
      <c r="O63" s="83"/>
      <c r="P63" s="125"/>
      <c r="AD63" s="1656"/>
      <c r="AE63" s="1656"/>
      <c r="AF63" s="1656"/>
      <c r="AG63" s="1656"/>
      <c r="AH63" s="1656"/>
      <c r="AI63" s="1656"/>
      <c r="AJ63" s="1656"/>
      <c r="AK63" s="1656"/>
      <c r="AL63" s="1656"/>
      <c r="AM63" s="1656"/>
      <c r="AN63" s="1656"/>
      <c r="AO63" s="1656"/>
      <c r="AP63" s="1656"/>
    </row>
    <row r="64" spans="1:42" ht="15" thickBot="1" x14ac:dyDescent="0.4">
      <c r="A64" s="124"/>
      <c r="B64" s="1658" t="s">
        <v>1498</v>
      </c>
      <c r="C64" s="1673">
        <v>1.718</v>
      </c>
      <c r="D64" s="1673">
        <v>1.3169999999999999</v>
      </c>
      <c r="E64" s="1673">
        <v>0.97099999999999997</v>
      </c>
      <c r="F64" s="1673">
        <v>0.73899999999999999</v>
      </c>
      <c r="G64" s="1673">
        <v>0.31900000000000001</v>
      </c>
      <c r="H64" s="1674">
        <f t="shared" si="18"/>
        <v>1.4026999999999998</v>
      </c>
      <c r="I64" s="1675">
        <v>55</v>
      </c>
      <c r="J64" s="83"/>
      <c r="K64" s="62" t="s">
        <v>462</v>
      </c>
      <c r="L64" s="361">
        <v>0.1</v>
      </c>
      <c r="M64" s="83"/>
      <c r="N64" s="83"/>
      <c r="O64" s="83"/>
      <c r="P64" s="125"/>
      <c r="AD64" s="1656"/>
      <c r="AE64" s="1656"/>
      <c r="AF64" s="1656"/>
      <c r="AG64" s="1656"/>
      <c r="AH64" s="1656"/>
      <c r="AI64" s="1656"/>
      <c r="AJ64" s="1656"/>
      <c r="AK64" s="1656"/>
      <c r="AL64" s="1656"/>
      <c r="AM64" s="1656"/>
      <c r="AN64" s="1656"/>
      <c r="AO64" s="1656"/>
      <c r="AP64" s="1656"/>
    </row>
    <row r="65" spans="1:42" ht="15" thickBot="1" x14ac:dyDescent="0.4">
      <c r="A65" s="124"/>
      <c r="B65" s="1658" t="s">
        <v>1505</v>
      </c>
      <c r="C65" s="1673">
        <v>6.2939999999999996</v>
      </c>
      <c r="D65" s="1673">
        <v>5.55</v>
      </c>
      <c r="E65" s="1673">
        <v>4.6779999999999999</v>
      </c>
      <c r="F65" s="1673">
        <v>4.202</v>
      </c>
      <c r="G65" s="1673">
        <v>3.1219999999999999</v>
      </c>
      <c r="H65" s="1674">
        <f t="shared" si="18"/>
        <v>5.6859999999999999</v>
      </c>
      <c r="I65" s="1675">
        <v>133</v>
      </c>
      <c r="J65" s="83"/>
      <c r="K65" s="83"/>
      <c r="L65" s="83"/>
      <c r="M65" s="83"/>
      <c r="N65" s="83"/>
      <c r="O65" s="83"/>
      <c r="P65" s="125"/>
      <c r="AD65" s="1656"/>
      <c r="AE65" s="1656"/>
      <c r="AF65" s="1656"/>
      <c r="AG65" s="1656"/>
      <c r="AH65" s="1656"/>
      <c r="AI65" s="1656"/>
      <c r="AJ65" s="1656"/>
      <c r="AK65" s="1656"/>
      <c r="AL65" s="1656"/>
      <c r="AM65" s="1656"/>
      <c r="AN65" s="1656"/>
      <c r="AO65" s="1656"/>
      <c r="AP65" s="1656"/>
    </row>
    <row r="66" spans="1:42" ht="15" thickBot="1" x14ac:dyDescent="0.4">
      <c r="A66" s="124"/>
      <c r="B66" s="1658" t="s">
        <v>3081</v>
      </c>
      <c r="C66" s="1673">
        <v>8.3829999999999991</v>
      </c>
      <c r="D66" s="1673">
        <v>7.2110000000000003</v>
      </c>
      <c r="E66" s="1673">
        <v>6.0339999999999998</v>
      </c>
      <c r="F66" s="1673">
        <v>5.7670000000000003</v>
      </c>
      <c r="G66" s="1673">
        <v>4.71</v>
      </c>
      <c r="H66" s="1674">
        <f t="shared" si="18"/>
        <v>7.4448999999999996</v>
      </c>
      <c r="I66" s="1675">
        <v>108</v>
      </c>
      <c r="J66" s="83"/>
      <c r="K66" s="83"/>
      <c r="L66" s="83"/>
      <c r="M66" s="83"/>
      <c r="N66" s="83"/>
      <c r="O66" s="83"/>
      <c r="P66" s="125"/>
      <c r="AD66" s="1656"/>
      <c r="AE66" s="1656"/>
      <c r="AF66" s="1656"/>
      <c r="AG66" s="1656"/>
      <c r="AH66" s="1656"/>
      <c r="AI66" s="1656"/>
      <c r="AJ66" s="1656"/>
      <c r="AK66" s="1656"/>
      <c r="AL66" s="1656"/>
      <c r="AM66" s="1656"/>
      <c r="AN66" s="1656"/>
      <c r="AO66" s="1656"/>
      <c r="AP66" s="1656"/>
    </row>
    <row r="67" spans="1:42" ht="15" thickBot="1" x14ac:dyDescent="0.4">
      <c r="A67" s="124"/>
      <c r="B67" s="1658" t="s">
        <v>3083</v>
      </c>
      <c r="C67" s="1673">
        <v>5.2469999999999999</v>
      </c>
      <c r="D67" s="1673">
        <v>4.484</v>
      </c>
      <c r="E67" s="1673">
        <v>3.7530000000000001</v>
      </c>
      <c r="F67" s="1673">
        <v>3.4649999999999999</v>
      </c>
      <c r="G67" s="1673">
        <v>2.6269999999999998</v>
      </c>
      <c r="H67" s="1674">
        <f t="shared" si="18"/>
        <v>4.6398000000000001</v>
      </c>
      <c r="I67" s="1675">
        <v>117</v>
      </c>
      <c r="J67" s="83"/>
      <c r="K67" s="83"/>
      <c r="L67" s="83"/>
      <c r="M67" s="83"/>
      <c r="N67" s="83"/>
      <c r="O67" s="83"/>
      <c r="P67" s="125"/>
      <c r="AD67" s="1656"/>
      <c r="AE67" s="1656"/>
      <c r="AF67" s="1656"/>
      <c r="AG67" s="1656"/>
      <c r="AH67" s="1656"/>
      <c r="AI67" s="1656"/>
      <c r="AJ67" s="1656"/>
      <c r="AK67" s="1656"/>
      <c r="AL67" s="1656"/>
      <c r="AM67" s="1656"/>
      <c r="AN67" s="1656"/>
      <c r="AO67" s="1656"/>
      <c r="AP67" s="1656"/>
    </row>
    <row r="68" spans="1:42" ht="15" thickBot="1" x14ac:dyDescent="0.4">
      <c r="A68" s="124"/>
      <c r="B68" s="1658" t="s">
        <v>3085</v>
      </c>
      <c r="C68" s="1673">
        <v>4.3849999999999998</v>
      </c>
      <c r="D68" s="1673">
        <v>3.8540000000000001</v>
      </c>
      <c r="E68" s="1673">
        <v>3.1920000000000002</v>
      </c>
      <c r="F68" s="1673">
        <v>2.7839999999999998</v>
      </c>
      <c r="G68" s="1673">
        <v>1.8580000000000001</v>
      </c>
      <c r="H68" s="1674">
        <f t="shared" si="18"/>
        <v>3.9470999999999994</v>
      </c>
      <c r="I68" s="1675">
        <v>93</v>
      </c>
      <c r="J68" s="83"/>
      <c r="K68" s="83"/>
      <c r="L68" s="83"/>
      <c r="M68" s="83"/>
      <c r="N68" s="83"/>
      <c r="O68" s="83"/>
      <c r="P68" s="125"/>
      <c r="AD68" s="1656"/>
      <c r="AE68" s="1656"/>
      <c r="AF68" s="1656"/>
      <c r="AG68" s="1656"/>
      <c r="AH68" s="1656"/>
      <c r="AI68" s="1656"/>
      <c r="AJ68" s="1656"/>
      <c r="AK68" s="1656"/>
      <c r="AL68" s="1656"/>
      <c r="AM68" s="1656"/>
      <c r="AN68" s="1656"/>
      <c r="AO68" s="1656"/>
      <c r="AP68" s="1656"/>
    </row>
    <row r="69" spans="1:42" ht="15" thickBot="1" x14ac:dyDescent="0.4">
      <c r="A69" s="124"/>
      <c r="B69" s="1665" t="s">
        <v>3087</v>
      </c>
      <c r="C69" s="1673">
        <v>3.9169999999999998</v>
      </c>
      <c r="D69" s="1673">
        <v>3.3940000000000001</v>
      </c>
      <c r="E69" s="1673">
        <v>2.7280000000000002</v>
      </c>
      <c r="F69" s="1673">
        <v>2.3940000000000001</v>
      </c>
      <c r="G69" s="1673">
        <v>1.617</v>
      </c>
      <c r="H69" s="1674">
        <f t="shared" si="18"/>
        <v>3.4843000000000002</v>
      </c>
      <c r="I69" s="1676">
        <v>93</v>
      </c>
      <c r="J69" s="83"/>
      <c r="K69" s="83"/>
      <c r="L69" s="83"/>
      <c r="M69" s="83"/>
      <c r="N69" s="83"/>
      <c r="O69" s="83"/>
      <c r="P69" s="125"/>
      <c r="AD69" s="1656"/>
      <c r="AE69" s="1656"/>
      <c r="AF69" s="1656"/>
      <c r="AG69" s="1656"/>
      <c r="AH69" s="1656"/>
      <c r="AI69" s="1656"/>
      <c r="AJ69" s="1656"/>
      <c r="AK69" s="1656"/>
      <c r="AL69" s="1656"/>
      <c r="AM69" s="1656"/>
      <c r="AN69" s="1656"/>
      <c r="AO69" s="1656"/>
      <c r="AP69" s="1656"/>
    </row>
    <row r="70" spans="1:42" ht="15" thickBot="1" x14ac:dyDescent="0.4">
      <c r="A70" s="124"/>
      <c r="B70" s="83"/>
      <c r="C70" s="83"/>
      <c r="D70" s="83"/>
      <c r="E70" s="83"/>
      <c r="F70" s="83"/>
      <c r="G70" s="83"/>
      <c r="H70" s="83"/>
      <c r="I70" s="83"/>
      <c r="J70" s="83"/>
      <c r="K70" s="83"/>
      <c r="L70" s="83"/>
      <c r="M70" s="83"/>
      <c r="N70" s="83"/>
      <c r="O70" s="83"/>
      <c r="P70" s="125"/>
      <c r="AD70" s="1656"/>
      <c r="AE70" s="1656"/>
      <c r="AF70" s="1656"/>
      <c r="AG70" s="1656"/>
      <c r="AH70" s="1656"/>
      <c r="AI70" s="1656"/>
      <c r="AJ70" s="1656"/>
      <c r="AK70" s="1656"/>
      <c r="AL70" s="1656"/>
      <c r="AM70" s="1656"/>
      <c r="AN70" s="1656"/>
      <c r="AO70" s="1656"/>
      <c r="AP70" s="1656"/>
    </row>
    <row r="71" spans="1:42" ht="15" thickBot="1" x14ac:dyDescent="0.4">
      <c r="A71" s="124"/>
      <c r="B71" s="1666"/>
      <c r="C71" s="2357" t="s">
        <v>3131</v>
      </c>
      <c r="D71" s="2358"/>
      <c r="E71" s="2358"/>
      <c r="F71" s="2358"/>
      <c r="G71" s="2359"/>
      <c r="H71" s="1667"/>
      <c r="I71" s="1668"/>
      <c r="J71" s="83"/>
      <c r="K71" s="83"/>
      <c r="L71" s="83"/>
      <c r="M71" s="83"/>
      <c r="N71" s="83"/>
      <c r="O71" s="83"/>
      <c r="P71" s="125"/>
      <c r="AD71" s="1656"/>
      <c r="AE71" s="1656"/>
      <c r="AF71" s="1656"/>
      <c r="AG71" s="1656"/>
      <c r="AH71" s="1656"/>
      <c r="AI71" s="1656"/>
      <c r="AJ71" s="1656"/>
      <c r="AK71" s="1656"/>
      <c r="AL71" s="1656"/>
      <c r="AM71" s="1656"/>
      <c r="AN71" s="1656"/>
      <c r="AO71" s="1656"/>
      <c r="AP71" s="1656"/>
    </row>
    <row r="72" spans="1:42" ht="15" thickBot="1" x14ac:dyDescent="0.4">
      <c r="A72" s="124"/>
      <c r="B72" s="1669" t="s">
        <v>838</v>
      </c>
      <c r="C72" s="1670" t="s">
        <v>457</v>
      </c>
      <c r="D72" s="1671" t="s">
        <v>459</v>
      </c>
      <c r="E72" s="1671" t="s">
        <v>461</v>
      </c>
      <c r="F72" s="1671" t="s">
        <v>463</v>
      </c>
      <c r="G72" s="1671" t="s">
        <v>464</v>
      </c>
      <c r="H72" s="1671" t="s">
        <v>738</v>
      </c>
      <c r="I72" s="1672" t="s">
        <v>3129</v>
      </c>
      <c r="J72" s="83"/>
      <c r="K72" s="83"/>
      <c r="L72" s="83"/>
      <c r="M72" s="83"/>
      <c r="N72" s="83"/>
      <c r="O72" s="83"/>
      <c r="P72" s="125"/>
      <c r="AD72" s="1656"/>
      <c r="AE72" s="1656"/>
      <c r="AF72" s="1656"/>
      <c r="AG72" s="1656"/>
      <c r="AH72" s="1656"/>
      <c r="AI72" s="1656"/>
      <c r="AJ72" s="1656"/>
      <c r="AK72" s="1656"/>
      <c r="AL72" s="1656"/>
      <c r="AM72" s="1656"/>
      <c r="AN72" s="1656"/>
      <c r="AO72" s="1656"/>
      <c r="AP72" s="1656"/>
    </row>
    <row r="73" spans="1:42" ht="15" thickBot="1" x14ac:dyDescent="0.4">
      <c r="A73" s="124"/>
      <c r="B73" s="1658" t="s">
        <v>1648</v>
      </c>
      <c r="C73" s="1673">
        <v>0.23699999999999999</v>
      </c>
      <c r="D73" s="1673">
        <v>9.8900000000000002E-2</v>
      </c>
      <c r="E73" s="1673">
        <v>2.6700000000000002E-2</v>
      </c>
      <c r="F73" s="1673">
        <v>-1.3100000000000001E-2</v>
      </c>
      <c r="G73" s="1673">
        <v>-8.7099999999999997E-2</v>
      </c>
      <c r="H73" s="1674">
        <f>C73*$L$62+D73*$L$63+E73*$L$64</f>
        <v>0.13311000000000001</v>
      </c>
      <c r="I73" s="1675">
        <v>98</v>
      </c>
      <c r="J73" s="83"/>
      <c r="K73" s="83"/>
      <c r="L73" s="83"/>
      <c r="M73" s="83"/>
      <c r="N73" s="83"/>
      <c r="O73" s="83"/>
      <c r="P73" s="125"/>
      <c r="AD73" s="1656"/>
      <c r="AE73" s="1656"/>
      <c r="AF73" s="1656"/>
      <c r="AG73" s="1656"/>
      <c r="AH73" s="1656"/>
      <c r="AI73" s="1656"/>
      <c r="AJ73" s="1656"/>
      <c r="AK73" s="1656"/>
      <c r="AL73" s="1656"/>
      <c r="AM73" s="1656"/>
      <c r="AN73" s="1656"/>
      <c r="AO73" s="1656"/>
      <c r="AP73" s="1656"/>
    </row>
    <row r="74" spans="1:42" ht="15" thickBot="1" x14ac:dyDescent="0.4">
      <c r="A74" s="124"/>
      <c r="B74" s="1658" t="s">
        <v>1665</v>
      </c>
      <c r="C74" s="1673">
        <v>1.1279999999999999</v>
      </c>
      <c r="D74" s="1673">
        <v>0.85399999999999998</v>
      </c>
      <c r="E74" s="1673">
        <v>0.61899999999999999</v>
      </c>
      <c r="F74" s="1673">
        <v>0.437</v>
      </c>
      <c r="G74" s="1673">
        <v>8.5400000000000004E-2</v>
      </c>
      <c r="H74" s="1674">
        <f t="shared" ref="H74:H80" si="19">C74*$L$62+D74*$L$63+E74*$L$64</f>
        <v>0.91269999999999996</v>
      </c>
      <c r="I74" s="1675">
        <v>108</v>
      </c>
      <c r="J74" s="83"/>
      <c r="K74" s="83"/>
      <c r="L74" s="83"/>
      <c r="M74" s="83"/>
      <c r="N74" s="83"/>
      <c r="O74" s="83"/>
      <c r="P74" s="125"/>
      <c r="AD74" s="1656"/>
      <c r="AE74" s="1656"/>
      <c r="AF74" s="1656"/>
      <c r="AG74" s="1656"/>
      <c r="AH74" s="1656"/>
      <c r="AI74" s="1656"/>
      <c r="AJ74" s="1656"/>
      <c r="AK74" s="1656"/>
      <c r="AL74" s="1656"/>
      <c r="AM74" s="1656"/>
      <c r="AN74" s="1656"/>
      <c r="AO74" s="1656"/>
      <c r="AP74" s="1656"/>
    </row>
    <row r="75" spans="1:42" ht="15" thickBot="1" x14ac:dyDescent="0.4">
      <c r="A75" s="124"/>
      <c r="B75" s="1658" t="s">
        <v>1498</v>
      </c>
      <c r="C75" s="1673">
        <v>3.4470000000000001</v>
      </c>
      <c r="D75" s="1673">
        <v>3.0219999999999998</v>
      </c>
      <c r="E75" s="1673">
        <v>2.5030000000000001</v>
      </c>
      <c r="F75" s="1673">
        <v>2.2509999999999999</v>
      </c>
      <c r="G75" s="1673">
        <v>1.6459999999999999</v>
      </c>
      <c r="H75" s="1674">
        <f t="shared" si="19"/>
        <v>3.0975999999999999</v>
      </c>
      <c r="I75" s="1675">
        <v>55</v>
      </c>
      <c r="J75" s="83"/>
      <c r="K75" s="83"/>
      <c r="L75" s="83"/>
      <c r="M75" s="83"/>
      <c r="N75" s="83"/>
      <c r="O75" s="83"/>
      <c r="P75" s="125"/>
      <c r="AD75" s="1656"/>
      <c r="AE75" s="1656"/>
      <c r="AF75" s="1656"/>
      <c r="AG75" s="1656"/>
      <c r="AH75" s="1656"/>
      <c r="AI75" s="1656"/>
      <c r="AJ75" s="1656"/>
      <c r="AK75" s="1656"/>
      <c r="AL75" s="1656"/>
      <c r="AM75" s="1656"/>
      <c r="AN75" s="1656"/>
      <c r="AO75" s="1656"/>
      <c r="AP75" s="1656"/>
    </row>
    <row r="76" spans="1:42" ht="15" thickBot="1" x14ac:dyDescent="0.4">
      <c r="A76" s="124"/>
      <c r="B76" s="1658" t="s">
        <v>1505</v>
      </c>
      <c r="C76" s="1673">
        <v>5.9139999999999997</v>
      </c>
      <c r="D76" s="1673">
        <v>5.3680000000000003</v>
      </c>
      <c r="E76" s="1673">
        <v>4.5570000000000004</v>
      </c>
      <c r="F76" s="1673">
        <v>4.1369999999999996</v>
      </c>
      <c r="G76" s="1673">
        <v>3.246</v>
      </c>
      <c r="H76" s="1674">
        <f t="shared" si="19"/>
        <v>5.4507000000000003</v>
      </c>
      <c r="I76" s="1675">
        <v>133</v>
      </c>
      <c r="J76" s="83"/>
      <c r="K76" s="83"/>
      <c r="L76" s="83"/>
      <c r="M76" s="83"/>
      <c r="N76" s="83"/>
      <c r="O76" s="83"/>
      <c r="P76" s="125"/>
      <c r="AD76" s="1656"/>
      <c r="AE76" s="1656"/>
      <c r="AF76" s="1656"/>
      <c r="AG76" s="1656"/>
      <c r="AH76" s="1656"/>
      <c r="AI76" s="1656"/>
      <c r="AJ76" s="1656"/>
      <c r="AK76" s="1656"/>
      <c r="AL76" s="1656"/>
      <c r="AM76" s="1656"/>
      <c r="AN76" s="1656"/>
      <c r="AO76" s="1656"/>
      <c r="AP76" s="1656"/>
    </row>
    <row r="77" spans="1:42" ht="15" thickBot="1" x14ac:dyDescent="0.4">
      <c r="A77" s="124"/>
      <c r="B77" s="1658" t="s">
        <v>3081</v>
      </c>
      <c r="C77" s="1673">
        <v>1.2270000000000001</v>
      </c>
      <c r="D77" s="1673">
        <v>0.63600000000000001</v>
      </c>
      <c r="E77" s="1673">
        <v>0.30199999999999999</v>
      </c>
      <c r="F77" s="1673">
        <v>0.10199999999999999</v>
      </c>
      <c r="G77" s="1673">
        <v>-0.26200000000000001</v>
      </c>
      <c r="H77" s="1674">
        <f t="shared" si="19"/>
        <v>0.77990000000000004</v>
      </c>
      <c r="I77" s="1675">
        <v>108</v>
      </c>
      <c r="J77" s="83"/>
      <c r="K77" s="83"/>
      <c r="L77" s="83"/>
      <c r="M77" s="83"/>
      <c r="N77" s="83"/>
      <c r="O77" s="83"/>
      <c r="P77" s="125"/>
      <c r="AD77" s="1656"/>
      <c r="AE77" s="1656"/>
      <c r="AF77" s="1656"/>
      <c r="AG77" s="1656"/>
      <c r="AH77" s="1656"/>
      <c r="AI77" s="1656"/>
      <c r="AJ77" s="1656"/>
      <c r="AK77" s="1656"/>
      <c r="AL77" s="1656"/>
      <c r="AM77" s="1656"/>
      <c r="AN77" s="1656"/>
      <c r="AO77" s="1656"/>
      <c r="AP77" s="1656"/>
    </row>
    <row r="78" spans="1:42" ht="15" thickBot="1" x14ac:dyDescent="0.4">
      <c r="A78" s="124"/>
      <c r="B78" s="1658" t="s">
        <v>3083</v>
      </c>
      <c r="C78" s="1673">
        <v>0.95099999999999996</v>
      </c>
      <c r="D78" s="1673">
        <v>0.70399999999999996</v>
      </c>
      <c r="E78" s="1673">
        <v>0.51</v>
      </c>
      <c r="F78" s="1673">
        <v>0.38100000000000001</v>
      </c>
      <c r="G78" s="1673">
        <v>7.46E-2</v>
      </c>
      <c r="H78" s="1674">
        <f t="shared" si="19"/>
        <v>0.75870000000000004</v>
      </c>
      <c r="I78" s="1676">
        <v>117</v>
      </c>
      <c r="J78" s="83"/>
      <c r="K78" s="83"/>
      <c r="L78" s="83"/>
      <c r="M78" s="83"/>
      <c r="N78" s="83"/>
      <c r="O78" s="83"/>
      <c r="P78" s="125"/>
      <c r="AD78" s="1656"/>
      <c r="AE78" s="1656"/>
      <c r="AF78" s="1656"/>
      <c r="AG78" s="1656"/>
      <c r="AH78" s="1656"/>
      <c r="AI78" s="1656"/>
      <c r="AJ78" s="1656"/>
      <c r="AK78" s="1656"/>
      <c r="AL78" s="1656"/>
      <c r="AM78" s="1656"/>
      <c r="AN78" s="1656"/>
      <c r="AO78" s="1656"/>
      <c r="AP78" s="1656"/>
    </row>
    <row r="79" spans="1:42" ht="15" thickBot="1" x14ac:dyDescent="0.4">
      <c r="A79" s="124"/>
      <c r="B79" s="1658" t="s">
        <v>3085</v>
      </c>
      <c r="C79" s="1673">
        <v>3.0609999999999999</v>
      </c>
      <c r="D79" s="1673">
        <v>2.6720000000000002</v>
      </c>
      <c r="E79" s="1673">
        <v>2.1819999999999999</v>
      </c>
      <c r="F79" s="1673">
        <v>1.829</v>
      </c>
      <c r="G79" s="1673">
        <v>1.008</v>
      </c>
      <c r="H79" s="1674">
        <f t="shared" si="19"/>
        <v>2.7396999999999996</v>
      </c>
      <c r="I79" s="1677">
        <v>93</v>
      </c>
      <c r="J79" s="83"/>
      <c r="K79" s="83"/>
      <c r="L79" s="83"/>
      <c r="M79" s="83"/>
      <c r="N79" s="83"/>
      <c r="O79" s="83"/>
      <c r="P79" s="125"/>
      <c r="AD79" s="1656"/>
      <c r="AE79" s="1656"/>
      <c r="AF79" s="1656"/>
      <c r="AG79" s="1656"/>
      <c r="AH79" s="1656"/>
      <c r="AI79" s="1656"/>
      <c r="AJ79" s="1656"/>
      <c r="AK79" s="1656"/>
      <c r="AL79" s="1656"/>
      <c r="AM79" s="1656"/>
      <c r="AN79" s="1656"/>
      <c r="AO79" s="1656"/>
      <c r="AP79" s="1656"/>
    </row>
    <row r="80" spans="1:42" ht="15" thickBot="1" x14ac:dyDescent="0.4">
      <c r="A80" s="124"/>
      <c r="B80" s="1665" t="s">
        <v>3087</v>
      </c>
      <c r="C80" s="1673">
        <v>2.6589999999999998</v>
      </c>
      <c r="D80" s="1673">
        <v>2.2919999999999998</v>
      </c>
      <c r="E80" s="1673">
        <v>1.8109999999999999</v>
      </c>
      <c r="F80" s="1673">
        <v>1.5429999999999999</v>
      </c>
      <c r="G80" s="1673">
        <v>0.90900000000000003</v>
      </c>
      <c r="H80" s="1674">
        <f t="shared" si="19"/>
        <v>2.3539999999999996</v>
      </c>
      <c r="I80" s="1676">
        <v>93</v>
      </c>
      <c r="J80" s="83"/>
      <c r="K80" s="83"/>
      <c r="L80" s="83"/>
      <c r="M80" s="83"/>
      <c r="N80" s="83"/>
      <c r="O80" s="83"/>
      <c r="P80" s="125"/>
      <c r="AD80" s="1656"/>
      <c r="AE80" s="1656"/>
      <c r="AF80" s="1656"/>
      <c r="AG80" s="1656"/>
      <c r="AH80" s="1656"/>
      <c r="AI80" s="1656"/>
      <c r="AJ80" s="1656"/>
      <c r="AK80" s="1656"/>
      <c r="AL80" s="1656"/>
      <c r="AM80" s="1656"/>
      <c r="AN80" s="1656"/>
      <c r="AO80" s="1656"/>
      <c r="AP80" s="1656"/>
    </row>
    <row r="81" spans="1:42" x14ac:dyDescent="0.35">
      <c r="A81" s="124"/>
      <c r="B81" s="83"/>
      <c r="C81" s="83"/>
      <c r="D81" s="83"/>
      <c r="E81" s="83"/>
      <c r="F81" s="83"/>
      <c r="G81" s="83"/>
      <c r="H81" s="83"/>
      <c r="I81" s="83"/>
      <c r="J81" s="83"/>
      <c r="K81" s="83"/>
      <c r="L81" s="83"/>
      <c r="M81" s="83"/>
      <c r="N81" s="83"/>
      <c r="O81" s="83"/>
      <c r="P81" s="125"/>
      <c r="AD81" s="1656"/>
      <c r="AE81" s="1656"/>
      <c r="AF81" s="1656"/>
      <c r="AG81" s="1656"/>
      <c r="AH81" s="1656"/>
      <c r="AI81" s="1656"/>
      <c r="AJ81" s="1656"/>
      <c r="AK81" s="1656"/>
      <c r="AL81" s="1656"/>
      <c r="AM81" s="1656"/>
      <c r="AN81" s="1656"/>
      <c r="AO81" s="1656"/>
      <c r="AP81" s="1656"/>
    </row>
    <row r="82" spans="1:42" x14ac:dyDescent="0.35">
      <c r="A82" s="124"/>
      <c r="B82" s="2360" t="s">
        <v>344</v>
      </c>
      <c r="C82" s="2360"/>
      <c r="D82" s="2360"/>
      <c r="E82" s="83"/>
      <c r="F82" s="83"/>
      <c r="G82" s="83"/>
      <c r="H82" s="83"/>
      <c r="I82" s="83"/>
      <c r="J82" s="83"/>
      <c r="K82" s="83"/>
      <c r="L82" s="83"/>
      <c r="M82" s="83"/>
      <c r="N82" s="83"/>
      <c r="O82" s="83"/>
      <c r="P82" s="125"/>
      <c r="AD82" s="1656"/>
      <c r="AE82" s="1656"/>
      <c r="AF82" s="1656"/>
      <c r="AG82" s="1656"/>
      <c r="AH82" s="1656"/>
      <c r="AI82" s="1656"/>
      <c r="AJ82" s="1656"/>
      <c r="AK82" s="1656"/>
      <c r="AL82" s="1656"/>
      <c r="AM82" s="1656"/>
      <c r="AN82" s="1656"/>
      <c r="AO82" s="1656"/>
      <c r="AP82" s="1656"/>
    </row>
    <row r="83" spans="1:42" x14ac:dyDescent="0.35">
      <c r="A83" s="124"/>
      <c r="B83" s="2360" t="s">
        <v>452</v>
      </c>
      <c r="C83" s="2360"/>
      <c r="D83" s="2360"/>
      <c r="E83" s="83"/>
      <c r="F83" s="83"/>
      <c r="G83" s="83"/>
      <c r="H83" s="83"/>
      <c r="I83" s="83"/>
      <c r="J83" s="83"/>
      <c r="K83" s="83"/>
      <c r="L83" s="83"/>
      <c r="M83" s="83"/>
      <c r="N83" s="83"/>
      <c r="O83" s="83"/>
      <c r="P83" s="125"/>
      <c r="AD83" s="1656"/>
      <c r="AE83" s="1656"/>
      <c r="AF83" s="1656"/>
      <c r="AG83" s="1656"/>
      <c r="AH83" s="1656"/>
      <c r="AI83" s="1656"/>
      <c r="AJ83" s="1656"/>
      <c r="AK83" s="1656"/>
      <c r="AL83" s="1656"/>
      <c r="AM83" s="1656"/>
      <c r="AN83" s="1656"/>
      <c r="AO83" s="1656"/>
      <c r="AP83" s="1656"/>
    </row>
    <row r="84" spans="1:42" x14ac:dyDescent="0.35">
      <c r="A84" s="124"/>
      <c r="B84" s="62"/>
      <c r="C84" s="62"/>
      <c r="D84" s="62"/>
      <c r="E84" s="83"/>
      <c r="F84" s="83"/>
      <c r="G84" s="83"/>
      <c r="H84" s="83"/>
      <c r="I84" s="83"/>
      <c r="J84" s="83"/>
      <c r="K84" s="83"/>
      <c r="L84" s="83"/>
      <c r="M84" s="83"/>
      <c r="N84" s="83"/>
      <c r="O84" s="83"/>
      <c r="P84" s="125"/>
      <c r="AD84" s="1656"/>
      <c r="AE84" s="1656"/>
      <c r="AF84" s="1656"/>
      <c r="AG84" s="1656"/>
      <c r="AH84" s="1656"/>
      <c r="AI84" s="1656"/>
      <c r="AJ84" s="1656"/>
      <c r="AK84" s="1656"/>
      <c r="AL84" s="1656"/>
      <c r="AM84" s="1656"/>
      <c r="AN84" s="1656"/>
      <c r="AO84" s="1656"/>
      <c r="AP84" s="1656"/>
    </row>
    <row r="85" spans="1:42" x14ac:dyDescent="0.35">
      <c r="A85" s="124"/>
      <c r="B85" s="83"/>
      <c r="C85" s="83"/>
      <c r="D85" s="83"/>
      <c r="E85" s="83"/>
      <c r="F85" s="83"/>
      <c r="G85" s="83"/>
      <c r="H85" s="83"/>
      <c r="I85" s="83"/>
      <c r="J85" s="83"/>
      <c r="K85" s="83"/>
      <c r="L85" s="83"/>
      <c r="M85" s="83"/>
      <c r="N85" s="83"/>
      <c r="O85" s="83"/>
      <c r="P85" s="125"/>
      <c r="AD85" s="1656"/>
      <c r="AE85" s="1656"/>
      <c r="AF85" s="1656"/>
      <c r="AG85" s="1656"/>
      <c r="AH85" s="1656"/>
      <c r="AI85" s="1656"/>
      <c r="AJ85" s="1656"/>
      <c r="AK85" s="1656"/>
      <c r="AL85" s="1656"/>
      <c r="AM85" s="1656"/>
      <c r="AN85" s="1656"/>
      <c r="AO85" s="1656"/>
      <c r="AP85" s="1656"/>
    </row>
    <row r="86" spans="1:42" x14ac:dyDescent="0.35">
      <c r="A86" s="124"/>
      <c r="B86" s="83"/>
      <c r="C86" s="83"/>
      <c r="D86" s="83"/>
      <c r="E86" s="83"/>
      <c r="F86" s="83"/>
      <c r="G86" s="83"/>
      <c r="H86" s="83"/>
      <c r="I86" s="83"/>
      <c r="J86" s="83"/>
      <c r="K86" s="83"/>
      <c r="L86" s="83"/>
      <c r="M86" s="83"/>
      <c r="N86" s="83"/>
      <c r="O86" s="83"/>
      <c r="P86" s="125"/>
      <c r="AD86" s="1656"/>
      <c r="AE86" s="1656"/>
      <c r="AF86" s="1656"/>
      <c r="AG86" s="1656"/>
      <c r="AH86" s="1656"/>
      <c r="AI86" s="1656"/>
      <c r="AJ86" s="1656"/>
      <c r="AK86" s="1656"/>
      <c r="AL86" s="1656"/>
      <c r="AM86" s="1656"/>
      <c r="AN86" s="1656"/>
      <c r="AO86" s="1656"/>
      <c r="AP86" s="1656"/>
    </row>
    <row r="87" spans="1:42" x14ac:dyDescent="0.35">
      <c r="A87" s="124"/>
      <c r="B87" s="83"/>
      <c r="C87" s="83"/>
      <c r="D87" s="83"/>
      <c r="E87" s="83"/>
      <c r="F87" s="83"/>
      <c r="G87" s="83"/>
      <c r="H87" s="83"/>
      <c r="I87" s="83"/>
      <c r="J87" s="83"/>
      <c r="K87" s="83"/>
      <c r="L87" s="83"/>
      <c r="M87" s="83"/>
      <c r="N87" s="83"/>
      <c r="O87" s="83"/>
      <c r="P87" s="125"/>
      <c r="AD87" s="1656"/>
      <c r="AE87" s="1656"/>
      <c r="AF87" s="1656"/>
      <c r="AG87" s="1656"/>
      <c r="AH87" s="1656"/>
      <c r="AI87" s="1656"/>
      <c r="AJ87" s="1656"/>
      <c r="AK87" s="1656"/>
      <c r="AL87" s="1656"/>
      <c r="AM87" s="1656"/>
      <c r="AN87" s="1656"/>
      <c r="AO87" s="1656"/>
      <c r="AP87" s="1656"/>
    </row>
    <row r="88" spans="1:42" x14ac:dyDescent="0.35">
      <c r="A88" s="124"/>
      <c r="B88" s="2349" t="s">
        <v>342</v>
      </c>
      <c r="C88" s="2350"/>
      <c r="D88" s="83"/>
      <c r="E88" s="83"/>
      <c r="F88" s="83"/>
      <c r="G88" s="1678"/>
      <c r="H88" s="83"/>
      <c r="I88" s="83"/>
      <c r="J88" s="83"/>
      <c r="K88" s="83"/>
      <c r="L88" s="83"/>
      <c r="M88" s="83"/>
      <c r="N88" s="83"/>
      <c r="O88" s="83"/>
      <c r="P88" s="125"/>
      <c r="AD88" s="1656"/>
      <c r="AE88" s="1656"/>
      <c r="AF88" s="1656"/>
      <c r="AG88" s="1656"/>
      <c r="AH88" s="1656"/>
      <c r="AI88" s="1656"/>
      <c r="AJ88" s="1656"/>
      <c r="AK88" s="1656"/>
      <c r="AL88" s="1656"/>
      <c r="AM88" s="1656"/>
      <c r="AN88" s="1656"/>
      <c r="AO88" s="1656"/>
      <c r="AP88" s="1656"/>
    </row>
    <row r="89" spans="1:42" x14ac:dyDescent="0.35">
      <c r="A89" s="124"/>
      <c r="B89" s="62" t="s">
        <v>356</v>
      </c>
      <c r="C89" s="75">
        <v>0.56000000000000005</v>
      </c>
      <c r="D89" s="83"/>
      <c r="E89" s="83"/>
      <c r="F89" s="83"/>
      <c r="G89" s="83"/>
      <c r="H89" s="83"/>
      <c r="I89" s="83"/>
      <c r="J89" s="83"/>
      <c r="K89" s="83"/>
      <c r="L89" s="83"/>
      <c r="M89" s="83"/>
      <c r="N89" s="83"/>
      <c r="O89" s="83"/>
      <c r="P89" s="125"/>
      <c r="AD89" s="1656"/>
      <c r="AE89" s="1656"/>
      <c r="AF89" s="1656"/>
      <c r="AG89" s="1656"/>
      <c r="AH89" s="1656"/>
      <c r="AI89" s="1656"/>
      <c r="AJ89" s="1656"/>
      <c r="AK89" s="1656"/>
      <c r="AL89" s="1656"/>
      <c r="AM89" s="1656"/>
      <c r="AN89" s="1656"/>
      <c r="AO89" s="1656"/>
      <c r="AP89" s="1656"/>
    </row>
    <row r="90" spans="1:42" x14ac:dyDescent="0.35">
      <c r="A90" s="124"/>
      <c r="B90" s="62" t="s">
        <v>494</v>
      </c>
      <c r="C90" s="75">
        <v>0.56000000000000005</v>
      </c>
      <c r="D90" s="83"/>
      <c r="E90" s="83"/>
      <c r="F90" s="83"/>
      <c r="G90" s="83"/>
      <c r="H90" s="83"/>
      <c r="I90" s="83"/>
      <c r="J90" s="83"/>
      <c r="K90" s="83"/>
      <c r="L90" s="83"/>
      <c r="M90" s="83"/>
      <c r="N90" s="83"/>
      <c r="O90" s="83"/>
      <c r="P90" s="125"/>
      <c r="AD90" s="1656"/>
      <c r="AE90" s="1656"/>
      <c r="AF90" s="1656"/>
      <c r="AG90" s="1656"/>
      <c r="AH90" s="1656"/>
      <c r="AI90" s="1656"/>
      <c r="AJ90" s="1656"/>
      <c r="AK90" s="1656"/>
      <c r="AL90" s="1656"/>
      <c r="AM90" s="1656"/>
      <c r="AN90" s="1656"/>
      <c r="AO90" s="1656"/>
      <c r="AP90" s="1656"/>
    </row>
    <row r="91" spans="1:42" x14ac:dyDescent="0.35">
      <c r="A91" s="124"/>
      <c r="B91" s="62" t="s">
        <v>495</v>
      </c>
      <c r="C91" s="75">
        <v>0.56000000000000005</v>
      </c>
      <c r="D91" s="83"/>
      <c r="E91" s="83"/>
      <c r="F91" s="83"/>
      <c r="G91" s="83"/>
      <c r="H91" s="83"/>
      <c r="I91" s="83"/>
      <c r="J91" s="83"/>
      <c r="K91" s="83"/>
      <c r="L91" s="83"/>
      <c r="M91" s="83"/>
      <c r="N91" s="83"/>
      <c r="O91" s="83"/>
      <c r="P91" s="125"/>
      <c r="AD91" s="1656"/>
      <c r="AE91" s="1656"/>
      <c r="AF91" s="1656"/>
      <c r="AG91" s="1656"/>
      <c r="AH91" s="1656"/>
      <c r="AI91" s="1656"/>
      <c r="AJ91" s="1656"/>
      <c r="AK91" s="1656"/>
      <c r="AL91" s="1656"/>
      <c r="AM91" s="1656"/>
      <c r="AN91" s="1656"/>
      <c r="AO91" s="1656"/>
      <c r="AP91" s="1656"/>
    </row>
    <row r="92" spans="1:42" x14ac:dyDescent="0.35">
      <c r="A92" s="124"/>
      <c r="B92" s="62" t="s">
        <v>403</v>
      </c>
      <c r="C92" s="75">
        <v>1</v>
      </c>
      <c r="D92" s="83"/>
      <c r="E92" s="83"/>
      <c r="F92" s="83"/>
      <c r="G92" s="83"/>
      <c r="H92" s="83"/>
      <c r="I92" s="83"/>
      <c r="J92" s="83"/>
      <c r="K92" s="83"/>
      <c r="L92" s="83"/>
      <c r="M92" s="83"/>
      <c r="N92" s="83"/>
      <c r="O92" s="83"/>
      <c r="P92" s="125"/>
      <c r="AD92" s="1656"/>
      <c r="AE92" s="1656"/>
      <c r="AF92" s="1656"/>
      <c r="AG92" s="1656"/>
      <c r="AH92" s="1656"/>
      <c r="AI92" s="1656"/>
      <c r="AJ92" s="1656"/>
      <c r="AK92" s="1656"/>
      <c r="AL92" s="1656"/>
      <c r="AM92" s="1656"/>
      <c r="AN92" s="1656"/>
      <c r="AO92" s="1656"/>
      <c r="AP92" s="1656"/>
    </row>
    <row r="93" spans="1:42" x14ac:dyDescent="0.35">
      <c r="A93" s="124"/>
      <c r="B93" s="83"/>
      <c r="C93" s="83"/>
      <c r="D93" s="83"/>
      <c r="E93" s="83"/>
      <c r="F93" s="83"/>
      <c r="G93" s="83"/>
      <c r="H93" s="83"/>
      <c r="I93" s="83"/>
      <c r="J93" s="83"/>
      <c r="K93" s="83"/>
      <c r="L93" s="83"/>
      <c r="M93" s="83"/>
      <c r="N93" s="83"/>
      <c r="O93" s="83"/>
      <c r="P93" s="125"/>
      <c r="AD93" s="1656"/>
      <c r="AE93" s="1656"/>
      <c r="AF93" s="1656"/>
      <c r="AG93" s="1656"/>
      <c r="AH93" s="1656"/>
      <c r="AI93" s="1656"/>
      <c r="AJ93" s="1656"/>
      <c r="AK93" s="1656"/>
      <c r="AL93" s="1656"/>
      <c r="AM93" s="1656"/>
      <c r="AN93" s="1656"/>
      <c r="AO93" s="1656"/>
      <c r="AP93" s="1656"/>
    </row>
    <row r="94" spans="1:42" x14ac:dyDescent="0.35">
      <c r="A94" s="124"/>
      <c r="B94" s="2349" t="s">
        <v>450</v>
      </c>
      <c r="C94" s="2350"/>
      <c r="D94" s="83"/>
      <c r="E94" s="83"/>
      <c r="F94" s="83"/>
      <c r="G94" s="83"/>
      <c r="H94" s="83"/>
      <c r="I94" s="83"/>
      <c r="J94" s="83"/>
      <c r="K94" s="83"/>
      <c r="L94" s="83"/>
      <c r="M94" s="83"/>
      <c r="N94" s="83"/>
      <c r="O94" s="83"/>
      <c r="P94" s="125"/>
      <c r="AD94" s="1656"/>
      <c r="AE94" s="1656"/>
      <c r="AF94" s="1656"/>
      <c r="AG94" s="1656"/>
      <c r="AH94" s="1656"/>
      <c r="AI94" s="1656"/>
      <c r="AJ94" s="1656"/>
      <c r="AK94" s="1656"/>
      <c r="AL94" s="1656"/>
      <c r="AM94" s="1656"/>
      <c r="AN94" s="1656"/>
      <c r="AO94" s="1656"/>
      <c r="AP94" s="1656"/>
    </row>
    <row r="95" spans="1:42" x14ac:dyDescent="0.35">
      <c r="A95" s="124"/>
      <c r="B95" s="62" t="s">
        <v>452</v>
      </c>
      <c r="C95" s="62"/>
      <c r="D95" s="83"/>
      <c r="E95" s="83"/>
      <c r="F95" s="83"/>
      <c r="G95" s="83"/>
      <c r="H95" s="83"/>
      <c r="I95" s="83"/>
      <c r="J95" s="83"/>
      <c r="K95" s="83"/>
      <c r="L95" s="83"/>
      <c r="M95" s="83"/>
      <c r="N95" s="83"/>
      <c r="O95" s="83"/>
      <c r="P95" s="125"/>
      <c r="AD95" s="1656"/>
      <c r="AE95" s="1656"/>
      <c r="AF95" s="1656"/>
      <c r="AG95" s="1656"/>
      <c r="AH95" s="1656"/>
      <c r="AI95" s="1656"/>
      <c r="AJ95" s="1656"/>
      <c r="AK95" s="1656"/>
      <c r="AL95" s="1656"/>
      <c r="AM95" s="1656"/>
      <c r="AN95" s="1656"/>
      <c r="AO95" s="1656"/>
      <c r="AP95" s="1656"/>
    </row>
    <row r="96" spans="1:42" x14ac:dyDescent="0.35">
      <c r="A96" s="124"/>
      <c r="B96" s="62" t="s">
        <v>453</v>
      </c>
      <c r="C96" s="62"/>
      <c r="D96" s="83"/>
      <c r="E96" s="83"/>
      <c r="F96" s="83"/>
      <c r="G96" s="83"/>
      <c r="H96" s="83"/>
      <c r="I96" s="83"/>
      <c r="J96" s="83"/>
      <c r="K96" s="83"/>
      <c r="L96" s="83"/>
      <c r="M96" s="83"/>
      <c r="N96" s="83"/>
      <c r="O96" s="83"/>
      <c r="P96" s="125"/>
      <c r="AD96" s="1656"/>
      <c r="AE96" s="1656"/>
      <c r="AF96" s="1656"/>
      <c r="AG96" s="1656"/>
      <c r="AH96" s="1656"/>
      <c r="AI96" s="1656"/>
      <c r="AJ96" s="1656"/>
      <c r="AK96" s="1656"/>
      <c r="AL96" s="1656"/>
      <c r="AM96" s="1656"/>
      <c r="AN96" s="1656"/>
      <c r="AO96" s="1656"/>
      <c r="AP96" s="1656"/>
    </row>
    <row r="97" spans="1:42" x14ac:dyDescent="0.35">
      <c r="A97" s="124"/>
      <c r="B97" s="83"/>
      <c r="C97" s="83"/>
      <c r="D97" s="83"/>
      <c r="E97" s="83"/>
      <c r="F97" s="83" t="s">
        <v>364</v>
      </c>
      <c r="G97" s="83"/>
      <c r="H97" s="83"/>
      <c r="I97" s="83"/>
      <c r="J97" s="83"/>
      <c r="K97" s="83"/>
      <c r="L97" s="83"/>
      <c r="M97" s="83"/>
      <c r="N97" s="83"/>
      <c r="O97" s="83"/>
      <c r="P97" s="125"/>
      <c r="AD97" s="1656"/>
      <c r="AE97" s="1656"/>
      <c r="AF97" s="1656"/>
      <c r="AG97" s="1656"/>
      <c r="AH97" s="1656"/>
      <c r="AI97" s="1656"/>
      <c r="AJ97" s="1656"/>
      <c r="AK97" s="1656"/>
      <c r="AL97" s="1656"/>
      <c r="AM97" s="1656"/>
      <c r="AN97" s="1656"/>
      <c r="AO97" s="1656"/>
      <c r="AP97" s="1656"/>
    </row>
    <row r="98" spans="1:42" x14ac:dyDescent="0.35">
      <c r="A98" s="124"/>
      <c r="B98" s="2349" t="s">
        <v>3132</v>
      </c>
      <c r="C98" s="2350"/>
      <c r="D98" s="83"/>
      <c r="E98" s="83"/>
      <c r="F98" s="83"/>
      <c r="G98" s="83"/>
      <c r="H98" s="83"/>
      <c r="I98" s="83"/>
      <c r="J98" s="83"/>
      <c r="K98" s="83"/>
      <c r="L98" s="83"/>
      <c r="M98" s="83"/>
      <c r="N98" s="83"/>
      <c r="O98" s="83"/>
      <c r="P98" s="125"/>
      <c r="AD98" s="1656"/>
      <c r="AE98" s="1656"/>
      <c r="AF98" s="1656"/>
      <c r="AG98" s="1656"/>
      <c r="AH98" s="1656"/>
      <c r="AI98" s="1656"/>
      <c r="AJ98" s="1656"/>
      <c r="AK98" s="1656"/>
      <c r="AL98" s="1656"/>
      <c r="AM98" s="1656"/>
      <c r="AN98" s="1656"/>
      <c r="AO98" s="1656"/>
      <c r="AP98" s="1656"/>
    </row>
    <row r="99" spans="1:42" x14ac:dyDescent="0.35">
      <c r="A99" s="124"/>
      <c r="B99" s="1679" t="s">
        <v>3133</v>
      </c>
      <c r="C99" s="1679"/>
      <c r="D99" s="83"/>
      <c r="E99" s="83"/>
      <c r="F99" s="83"/>
      <c r="G99" s="83"/>
      <c r="H99" s="83"/>
      <c r="I99" s="83"/>
      <c r="J99" s="83"/>
      <c r="K99" s="83"/>
      <c r="L99" s="83"/>
      <c r="M99" s="83"/>
      <c r="N99" s="83"/>
      <c r="O99" s="83"/>
      <c r="P99" s="125"/>
    </row>
    <row r="100" spans="1:42" x14ac:dyDescent="0.35">
      <c r="A100" s="124"/>
      <c r="B100" s="62" t="s">
        <v>3074</v>
      </c>
      <c r="C100" s="62">
        <v>0</v>
      </c>
      <c r="D100" s="83"/>
      <c r="E100" s="83"/>
      <c r="F100" s="83"/>
      <c r="G100" s="83"/>
      <c r="H100" s="83"/>
      <c r="I100" s="83"/>
      <c r="J100" s="83"/>
      <c r="K100" s="83"/>
      <c r="L100" s="83"/>
      <c r="M100" s="83"/>
      <c r="N100" s="83"/>
      <c r="O100" s="83"/>
      <c r="P100" s="125"/>
    </row>
    <row r="101" spans="1:42" x14ac:dyDescent="0.35">
      <c r="A101" s="124"/>
      <c r="B101" s="62" t="s">
        <v>3075</v>
      </c>
      <c r="C101" s="62">
        <v>1</v>
      </c>
      <c r="D101" s="83"/>
      <c r="E101" s="83"/>
      <c r="F101" s="83"/>
      <c r="G101" s="83"/>
      <c r="H101" s="83"/>
      <c r="I101" s="83"/>
      <c r="J101" s="83"/>
      <c r="K101" s="83"/>
      <c r="L101" s="83"/>
      <c r="M101" s="83"/>
      <c r="N101" s="83"/>
      <c r="O101" s="83"/>
      <c r="P101" s="125"/>
    </row>
    <row r="102" spans="1:42" x14ac:dyDescent="0.35">
      <c r="A102" s="124"/>
      <c r="B102" s="83"/>
      <c r="C102" s="83"/>
      <c r="D102" s="83"/>
      <c r="E102" s="83"/>
      <c r="F102" s="83"/>
      <c r="G102" s="83"/>
      <c r="H102" s="83"/>
      <c r="I102" s="83"/>
      <c r="J102" s="83"/>
      <c r="K102" s="83"/>
      <c r="L102" s="83"/>
      <c r="M102" s="83"/>
      <c r="N102" s="83"/>
      <c r="O102" s="83"/>
      <c r="P102" s="125"/>
    </row>
    <row r="103" spans="1:42" x14ac:dyDescent="0.35">
      <c r="A103" s="124"/>
      <c r="B103" s="83"/>
      <c r="C103" s="83"/>
      <c r="D103" s="83"/>
      <c r="E103" s="83"/>
      <c r="F103" s="83"/>
      <c r="G103" s="83"/>
      <c r="H103" s="83"/>
      <c r="I103" s="83"/>
      <c r="J103" s="83"/>
      <c r="K103" s="83"/>
      <c r="L103" s="83"/>
      <c r="M103" s="83"/>
      <c r="N103" s="83"/>
      <c r="O103" s="83"/>
      <c r="P103" s="125"/>
    </row>
    <row r="104" spans="1:42" ht="15" thickBot="1" x14ac:dyDescent="0.4">
      <c r="A104" s="321"/>
      <c r="B104" s="201"/>
      <c r="C104" s="201"/>
      <c r="D104" s="201"/>
      <c r="E104" s="201"/>
      <c r="F104" s="201"/>
      <c r="G104" s="201"/>
      <c r="H104" s="201"/>
      <c r="I104" s="201"/>
      <c r="J104" s="201"/>
      <c r="K104" s="201"/>
      <c r="L104" s="201"/>
      <c r="M104" s="201"/>
      <c r="N104" s="201"/>
      <c r="O104" s="201"/>
      <c r="P104" s="203"/>
    </row>
  </sheetData>
  <customSheetViews>
    <customSheetView guid="{11DE45F5-F478-4ED6-8DFF-12002C22A637}" scale="85" showPageBreaks="1" fitToPage="1" hiddenRows="1" view="pageBreakPreview">
      <pageMargins left="0.7" right="0.7" top="0.75" bottom="0.75" header="0.3" footer="0.3"/>
      <pageSetup scale="24" orientation="landscape" r:id="rId1"/>
    </customSheetView>
    <customSheetView guid="{ECD6FE6A-9548-414E-B8AA-6998703C57E0}" scale="85" showPageBreaks="1" fitToPage="1" hiddenRows="1" view="pageBreakPreview">
      <pageMargins left="0.7" right="0.7" top="0.75" bottom="0.75" header="0.3" footer="0.3"/>
      <pageSetup scale="24" orientation="landscape" r:id="rId2"/>
    </customSheetView>
  </customSheetViews>
  <mergeCells count="14">
    <mergeCell ref="B94:C94"/>
    <mergeCell ref="B98:C98"/>
    <mergeCell ref="B48:D48"/>
    <mergeCell ref="C60:G60"/>
    <mergeCell ref="C71:G71"/>
    <mergeCell ref="B82:D82"/>
    <mergeCell ref="B83:D83"/>
    <mergeCell ref="AK1:AL1"/>
    <mergeCell ref="K61:L61"/>
    <mergeCell ref="T1:V1"/>
    <mergeCell ref="B88:C88"/>
    <mergeCell ref="W1:Y1"/>
    <mergeCell ref="Z1:AH1"/>
    <mergeCell ref="AI1:AJ1"/>
  </mergeCells>
  <dataValidations count="6">
    <dataValidation type="list" allowBlank="1" showInputMessage="1" showErrorMessage="1" sqref="H3:H11" xr:uid="{00000000-0002-0000-1E00-000000000000}">
      <formula1>$B$84:$B$85</formula1>
    </dataValidation>
    <dataValidation type="list" allowBlank="1" showInputMessage="1" showErrorMessage="1" sqref="N3:O11" xr:uid="{00000000-0002-0000-1E00-000001000000}">
      <formula1>$B$100:$B$101</formula1>
    </dataValidation>
    <dataValidation type="list" allowBlank="1" showInputMessage="1" showErrorMessage="1" sqref="J3:J11" xr:uid="{00000000-0002-0000-1E00-000002000000}">
      <formula1>$B$95:$B$96</formula1>
    </dataValidation>
    <dataValidation type="list" allowBlank="1" showInputMessage="1" showErrorMessage="1" sqref="M3:M10" xr:uid="{00000000-0002-0000-1E00-000003000000}">
      <formula1>$B$50:$B$57</formula1>
    </dataValidation>
    <dataValidation type="list" allowBlank="1" showInputMessage="1" showErrorMessage="1" sqref="D3:D11" xr:uid="{00000000-0002-0000-1E00-000004000000}">
      <formula1>MeasureType</formula1>
    </dataValidation>
    <dataValidation type="list" allowBlank="1" showInputMessage="1" showErrorMessage="1" sqref="E3:E11" xr:uid="{00000000-0002-0000-1E00-000005000000}">
      <formula1>PgTs1</formula1>
    </dataValidation>
  </dataValidations>
  <pageMargins left="0.7" right="0.7" top="0.75" bottom="0.75" header="0.3" footer="0.3"/>
  <pageSetup scale="25" orientation="landscap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E00-000006000000}">
          <x14:formula1>
            <xm:f>'T:\EEP Planning Models\Planning Tools\Measure_Data\Custom TRM V6\[Other_Commercial_TRMv6.xlsx]Lists'!#REF!</xm:f>
          </x14:formula1>
          <xm:sqref>L3:L11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79998168889431442"/>
    <pageSetUpPr fitToPage="1"/>
  </sheetPr>
  <dimension ref="A1:AB119"/>
  <sheetViews>
    <sheetView view="pageBreakPreview" topLeftCell="F1" zoomScaleNormal="100" zoomScaleSheetLayoutView="100" workbookViewId="0"/>
  </sheetViews>
  <sheetFormatPr defaultColWidth="9.1796875" defaultRowHeight="14.5" x14ac:dyDescent="0.35"/>
  <cols>
    <col min="1" max="1" width="22.26953125" customWidth="1"/>
    <col min="2" max="2" width="26.453125" customWidth="1"/>
    <col min="3" max="3" width="30.81640625" customWidth="1"/>
    <col min="4" max="4" width="20.26953125" customWidth="1"/>
    <col min="5" max="5" width="40.1796875" bestFit="1" customWidth="1"/>
    <col min="6" max="7" width="14.54296875" customWidth="1"/>
    <col min="8" max="8" width="23.54296875" customWidth="1"/>
    <col min="9" max="9" width="19.1796875" customWidth="1"/>
    <col min="10" max="10" width="23" customWidth="1"/>
    <col min="11" max="11" width="11.81640625" bestFit="1" customWidth="1"/>
    <col min="12" max="12" width="12.26953125" customWidth="1"/>
    <col min="13" max="13" width="14.7265625" bestFit="1" customWidth="1"/>
    <col min="14" max="14" width="6.453125" bestFit="1" customWidth="1"/>
    <col min="15" max="15" width="5.7265625" bestFit="1" customWidth="1"/>
    <col min="16" max="16" width="10.54296875" bestFit="1" customWidth="1"/>
    <col min="17" max="17" width="6.453125" bestFit="1" customWidth="1"/>
    <col min="18" max="18" width="5.7265625" bestFit="1" customWidth="1"/>
    <col min="19" max="19" width="11.54296875" bestFit="1" customWidth="1"/>
    <col min="20" max="20" width="11.26953125" bestFit="1" customWidth="1"/>
    <col min="21" max="21" width="11.81640625" bestFit="1" customWidth="1"/>
    <col min="22" max="22" width="12.54296875" customWidth="1"/>
    <col min="23" max="23" width="11.54296875" bestFit="1" customWidth="1"/>
    <col min="24" max="24" width="8.54296875" style="1656" bestFit="1" customWidth="1"/>
    <col min="25" max="25" width="9.54296875" bestFit="1" customWidth="1"/>
    <col min="26" max="26" width="12.7265625" customWidth="1"/>
    <col min="27" max="27" width="9.1796875" style="67"/>
    <col min="28" max="28" width="13" style="67" customWidth="1"/>
    <col min="29" max="29" width="11.26953125" style="67" customWidth="1"/>
    <col min="30" max="16384" width="9.1796875" style="67"/>
  </cols>
  <sheetData>
    <row r="1" spans="1:28" ht="29" x14ac:dyDescent="0.35">
      <c r="A1" s="1682" t="s">
        <v>3148</v>
      </c>
      <c r="B1" s="1144" t="s">
        <v>3139</v>
      </c>
      <c r="C1" s="1144"/>
      <c r="D1" s="1144"/>
      <c r="E1" s="1143"/>
      <c r="F1" s="1143"/>
      <c r="G1" s="1143"/>
      <c r="H1" s="1143"/>
      <c r="I1" s="1143"/>
      <c r="J1" s="1143"/>
      <c r="K1" s="1143"/>
      <c r="L1" s="1143"/>
      <c r="M1" s="1235"/>
      <c r="N1" s="2216" t="s">
        <v>335</v>
      </c>
      <c r="O1" s="2217"/>
      <c r="P1" s="2218"/>
      <c r="Q1" s="2216" t="s">
        <v>336</v>
      </c>
      <c r="R1" s="2217"/>
      <c r="S1" s="2217"/>
      <c r="T1" s="2365" t="s">
        <v>337</v>
      </c>
      <c r="U1" s="2366"/>
      <c r="V1" s="2366"/>
      <c r="W1" s="2366"/>
      <c r="X1" s="2366"/>
      <c r="Y1" s="2366"/>
      <c r="Z1" s="2366"/>
    </row>
    <row r="2" spans="1:28" ht="29" x14ac:dyDescent="0.35">
      <c r="A2" s="1721" t="s">
        <v>338</v>
      </c>
      <c r="B2" s="1721" t="s">
        <v>1</v>
      </c>
      <c r="C2" s="1220" t="s">
        <v>339</v>
      </c>
      <c r="D2" s="1220" t="s">
        <v>688</v>
      </c>
      <c r="E2" s="1144" t="s">
        <v>342</v>
      </c>
      <c r="F2" s="1144" t="s">
        <v>343</v>
      </c>
      <c r="G2" s="1144" t="s">
        <v>366</v>
      </c>
      <c r="H2" s="1144" t="s">
        <v>367</v>
      </c>
      <c r="I2" s="1721" t="s">
        <v>345</v>
      </c>
      <c r="J2" s="1144" t="s">
        <v>3140</v>
      </c>
      <c r="K2" s="1144" t="s">
        <v>838</v>
      </c>
      <c r="L2" s="1144" t="s">
        <v>370</v>
      </c>
      <c r="M2" s="1144" t="s">
        <v>3141</v>
      </c>
      <c r="N2" s="1722" t="s">
        <v>347</v>
      </c>
      <c r="O2" s="1722" t="s">
        <v>348</v>
      </c>
      <c r="P2" s="1723" t="s">
        <v>349</v>
      </c>
      <c r="Q2" s="1722" t="s">
        <v>347</v>
      </c>
      <c r="R2" s="1722" t="s">
        <v>348</v>
      </c>
      <c r="S2" s="1724" t="s">
        <v>349</v>
      </c>
      <c r="T2" s="1725" t="s">
        <v>1459</v>
      </c>
      <c r="U2" s="1726" t="s">
        <v>3142</v>
      </c>
      <c r="V2" s="1725" t="s">
        <v>3143</v>
      </c>
      <c r="W2" s="1725" t="s">
        <v>3144</v>
      </c>
      <c r="X2" s="1726" t="s">
        <v>3145</v>
      </c>
      <c r="Y2" s="1726" t="s">
        <v>3146</v>
      </c>
      <c r="Z2" s="1727" t="s">
        <v>3147</v>
      </c>
      <c r="AA2" s="322"/>
    </row>
    <row r="3" spans="1:28" ht="29" x14ac:dyDescent="0.35">
      <c r="A3" s="1242" t="s">
        <v>3152</v>
      </c>
      <c r="B3" s="1242" t="str">
        <f t="shared" ref="B3" si="0">$B$1&amp;" - "&amp;K3</f>
        <v>Demand Controlled Ventilation - De-fault</v>
      </c>
      <c r="C3" s="1242" t="s">
        <v>3019</v>
      </c>
      <c r="D3" s="1242" t="s">
        <v>3149</v>
      </c>
      <c r="E3" s="1137" t="s">
        <v>403</v>
      </c>
      <c r="F3" s="1685">
        <v>10</v>
      </c>
      <c r="G3" s="1686"/>
      <c r="H3" s="1686"/>
      <c r="I3" s="1686" t="s">
        <v>3150</v>
      </c>
      <c r="J3" s="1714">
        <f>+VLOOKUP(K3,$A$97:$C$116,2,FALSE)</f>
        <v>159673.33333333334</v>
      </c>
      <c r="K3" s="1693" t="s">
        <v>3153</v>
      </c>
      <c r="L3" s="1693" t="s">
        <v>738</v>
      </c>
      <c r="M3" s="1137">
        <f>+VLOOKUP(K3,$A$97:$C$116,3,FALSE)</f>
        <v>31.9</v>
      </c>
      <c r="N3" s="1350"/>
      <c r="O3" s="1687"/>
      <c r="P3" s="1859">
        <f>+M3*Z3</f>
        <v>11212.849999999997</v>
      </c>
      <c r="Q3" s="1350"/>
      <c r="R3" s="1350"/>
      <c r="S3" s="1860">
        <f t="shared" ref="S3" si="1">P3*F3</f>
        <v>112128.49999999997</v>
      </c>
      <c r="T3" s="1716">
        <f>VLOOKUP(L3,[1]Lists!$L$9:$M$14,2,FALSE)</f>
        <v>7</v>
      </c>
      <c r="U3" s="1690">
        <f>VLOOKUP(K3,$B$39:$H$57,T3,FALSE)</f>
        <v>386</v>
      </c>
      <c r="V3" s="1717">
        <f>VLOOKUP(K3,$B$66:$H$84,T3,FALSE)</f>
        <v>70.299999999999983</v>
      </c>
      <c r="W3" s="1716">
        <f>+J3</f>
        <v>159673.33333333334</v>
      </c>
      <c r="X3" s="1690">
        <f>+$B$95</f>
        <v>5000</v>
      </c>
      <c r="Y3" s="1690">
        <f>+$B$15</f>
        <v>1000</v>
      </c>
      <c r="Z3" s="1718">
        <f t="shared" ref="Z3" si="2">(X3/Y3*V3)</f>
        <v>351.49999999999989</v>
      </c>
      <c r="AB3" s="1719"/>
    </row>
    <row r="4" spans="1:28" x14ac:dyDescent="0.35">
      <c r="A4" s="1242"/>
      <c r="B4" s="1242"/>
      <c r="C4" s="1242"/>
      <c r="D4" s="1242"/>
      <c r="E4" s="1137"/>
      <c r="F4" s="1685"/>
      <c r="G4" s="1686"/>
      <c r="H4" s="1686"/>
      <c r="I4" s="1686"/>
      <c r="J4" s="1714"/>
      <c r="K4" s="1693"/>
      <c r="L4" s="1693"/>
      <c r="M4" s="1137"/>
      <c r="N4" s="1350"/>
      <c r="O4" s="1687"/>
      <c r="P4" s="1715"/>
      <c r="Q4" s="1350"/>
      <c r="R4" s="1350"/>
      <c r="S4" s="1350"/>
      <c r="T4" s="1716"/>
      <c r="U4" s="1690"/>
      <c r="V4" s="1717"/>
      <c r="W4" s="1716"/>
      <c r="X4" s="1690"/>
      <c r="Y4" s="1690"/>
      <c r="Z4" s="1718"/>
      <c r="AA4" s="1704"/>
      <c r="AB4" s="1703"/>
    </row>
    <row r="5" spans="1:28" ht="15" thickBot="1" x14ac:dyDescent="0.4"/>
    <row r="6" spans="1:28" ht="15" thickBot="1" x14ac:dyDescent="0.4">
      <c r="A6" s="188" t="s">
        <v>408</v>
      </c>
      <c r="B6" s="78"/>
      <c r="C6" s="78"/>
      <c r="D6" s="79"/>
    </row>
    <row r="7" spans="1:28" x14ac:dyDescent="0.35">
      <c r="A7" s="1720" t="s">
        <v>3163</v>
      </c>
      <c r="B7" s="83"/>
      <c r="C7" s="83"/>
      <c r="D7" s="125"/>
      <c r="X7"/>
    </row>
    <row r="8" spans="1:28" ht="15" thickBot="1" x14ac:dyDescent="0.4">
      <c r="A8" s="1705" t="s">
        <v>3164</v>
      </c>
      <c r="B8" s="201"/>
      <c r="C8" s="201"/>
      <c r="D8" s="203"/>
      <c r="X8"/>
    </row>
    <row r="9" spans="1:28" ht="15" thickBot="1" x14ac:dyDescent="0.4">
      <c r="A9" s="188" t="s">
        <v>2571</v>
      </c>
      <c r="B9" s="1930" t="e">
        <f>+#REF!</f>
        <v>#REF!</v>
      </c>
      <c r="X9"/>
    </row>
    <row r="10" spans="1:28" ht="15" thickBot="1" x14ac:dyDescent="0.4">
      <c r="A10" s="188" t="s">
        <v>2572</v>
      </c>
      <c r="B10" s="1931" t="s">
        <v>3422</v>
      </c>
      <c r="X10"/>
    </row>
    <row r="11" spans="1:28" ht="15" thickBot="1" x14ac:dyDescent="0.4">
      <c r="X11"/>
    </row>
    <row r="12" spans="1:28" ht="15" thickBot="1" x14ac:dyDescent="0.4">
      <c r="A12" s="763" t="s">
        <v>413</v>
      </c>
      <c r="B12" s="1654" t="s">
        <v>414</v>
      </c>
      <c r="C12" s="765" t="s">
        <v>415</v>
      </c>
      <c r="D12" s="472"/>
      <c r="E12" s="472"/>
      <c r="F12" s="472"/>
      <c r="G12" s="473"/>
      <c r="X12"/>
    </row>
    <row r="13" spans="1:28" x14ac:dyDescent="0.35">
      <c r="A13" s="467" t="s">
        <v>3165</v>
      </c>
      <c r="B13" s="468"/>
      <c r="C13" s="468" t="s">
        <v>3166</v>
      </c>
      <c r="D13" s="468"/>
      <c r="E13" s="468"/>
      <c r="F13" s="468"/>
      <c r="G13" s="469"/>
      <c r="X13"/>
    </row>
    <row r="14" spans="1:28" ht="30.75" customHeight="1" thickBot="1" x14ac:dyDescent="0.4">
      <c r="A14" s="321"/>
      <c r="B14" s="201"/>
      <c r="C14" s="201"/>
      <c r="D14" s="201"/>
      <c r="E14" s="201"/>
      <c r="F14" s="201"/>
      <c r="G14" s="203"/>
      <c r="X14"/>
    </row>
    <row r="15" spans="1:28" x14ac:dyDescent="0.35">
      <c r="A15" s="467" t="s">
        <v>3146</v>
      </c>
      <c r="B15" s="468">
        <v>1000</v>
      </c>
      <c r="C15" s="468" t="s">
        <v>3167</v>
      </c>
      <c r="D15" s="468"/>
      <c r="E15" s="468"/>
      <c r="F15" s="468"/>
      <c r="G15" s="469"/>
      <c r="X15"/>
    </row>
    <row r="16" spans="1:28" ht="15" thickBot="1" x14ac:dyDescent="0.4">
      <c r="A16" s="321"/>
      <c r="B16" s="201"/>
      <c r="C16" s="201"/>
      <c r="D16" s="201"/>
      <c r="E16" s="201"/>
      <c r="F16" s="201"/>
      <c r="G16" s="203"/>
      <c r="X16"/>
    </row>
    <row r="17" spans="1:24" ht="45" customHeight="1" x14ac:dyDescent="0.35">
      <c r="A17" s="467" t="s">
        <v>3143</v>
      </c>
      <c r="B17" s="468" t="s">
        <v>3168</v>
      </c>
      <c r="C17" s="468" t="s">
        <v>3169</v>
      </c>
      <c r="D17" s="468"/>
      <c r="E17" s="468"/>
      <c r="F17" s="468"/>
      <c r="G17" s="469"/>
      <c r="X17"/>
    </row>
    <row r="18" spans="1:24" ht="15" thickBot="1" x14ac:dyDescent="0.4">
      <c r="A18" s="321"/>
      <c r="B18" s="201"/>
      <c r="C18" s="201"/>
      <c r="D18" s="201"/>
      <c r="E18" s="201"/>
      <c r="F18" s="201"/>
      <c r="G18" s="203"/>
      <c r="X18"/>
    </row>
    <row r="19" spans="1:24" x14ac:dyDescent="0.35">
      <c r="A19" s="124" t="s">
        <v>3147</v>
      </c>
      <c r="B19" s="83"/>
      <c r="C19" s="1706" t="s">
        <v>3170</v>
      </c>
      <c r="D19" s="83"/>
      <c r="E19" s="83"/>
      <c r="F19" s="83"/>
      <c r="G19" s="125"/>
      <c r="X19"/>
    </row>
    <row r="20" spans="1:24" x14ac:dyDescent="0.35">
      <c r="A20" s="124"/>
      <c r="B20" s="83"/>
      <c r="C20" s="83" t="s">
        <v>3171</v>
      </c>
      <c r="D20" s="83"/>
      <c r="E20" s="83"/>
      <c r="F20" s="83"/>
      <c r="G20" s="125"/>
      <c r="X20"/>
    </row>
    <row r="21" spans="1:24" ht="30" customHeight="1" x14ac:dyDescent="0.35">
      <c r="A21" s="124"/>
      <c r="B21" s="83"/>
      <c r="C21" s="83" t="s">
        <v>3296</v>
      </c>
      <c r="D21" s="83"/>
      <c r="E21" s="83"/>
      <c r="F21" s="83"/>
      <c r="G21" s="125"/>
      <c r="X21"/>
    </row>
    <row r="22" spans="1:24" ht="15" thickBot="1" x14ac:dyDescent="0.4">
      <c r="A22" s="124"/>
      <c r="B22" s="83"/>
      <c r="C22" s="2206" t="s">
        <v>3293</v>
      </c>
      <c r="D22" s="2206"/>
      <c r="E22" s="2206"/>
      <c r="F22" s="2206"/>
      <c r="G22" s="2207"/>
      <c r="X22"/>
    </row>
    <row r="23" spans="1:24" x14ac:dyDescent="0.35">
      <c r="A23" s="467" t="s">
        <v>3141</v>
      </c>
      <c r="B23" s="468"/>
      <c r="C23" s="468" t="s">
        <v>3297</v>
      </c>
      <c r="D23" s="468"/>
      <c r="E23" s="468"/>
      <c r="F23" s="468"/>
      <c r="G23" s="469"/>
      <c r="X23"/>
    </row>
    <row r="24" spans="1:24" ht="39" customHeight="1" thickBot="1" x14ac:dyDescent="0.4">
      <c r="A24" s="321"/>
      <c r="B24" s="201"/>
      <c r="C24" s="201" t="s">
        <v>3294</v>
      </c>
      <c r="D24" s="201"/>
      <c r="E24" s="201"/>
      <c r="F24" s="201"/>
      <c r="G24" s="203"/>
      <c r="X24"/>
    </row>
    <row r="25" spans="1:24" ht="39" customHeight="1" x14ac:dyDescent="0.35">
      <c r="A25" s="467" t="s">
        <v>1117</v>
      </c>
      <c r="B25" s="468">
        <v>10</v>
      </c>
      <c r="C25" s="468" t="s">
        <v>3172</v>
      </c>
      <c r="D25" s="468"/>
      <c r="E25" s="468"/>
      <c r="F25" s="468"/>
      <c r="G25" s="469"/>
      <c r="X25"/>
    </row>
    <row r="26" spans="1:24" ht="39" customHeight="1" thickBot="1" x14ac:dyDescent="0.4">
      <c r="A26" s="321"/>
      <c r="B26" s="201"/>
      <c r="C26" s="201" t="s">
        <v>3173</v>
      </c>
      <c r="D26" s="201"/>
      <c r="E26" s="201"/>
      <c r="F26" s="201"/>
      <c r="G26" s="203"/>
      <c r="X26"/>
    </row>
    <row r="27" spans="1:24" x14ac:dyDescent="0.35">
      <c r="A27" s="467" t="s">
        <v>344</v>
      </c>
      <c r="B27" s="468"/>
      <c r="C27" s="2204"/>
      <c r="D27" s="2204"/>
      <c r="E27" s="2204"/>
      <c r="F27" s="2204"/>
      <c r="G27" s="2205"/>
      <c r="X27"/>
    </row>
    <row r="28" spans="1:24" x14ac:dyDescent="0.35">
      <c r="A28" s="124"/>
      <c r="B28" s="83"/>
      <c r="C28" s="1650"/>
      <c r="D28" s="1650"/>
      <c r="E28" s="1650"/>
      <c r="F28" s="1650"/>
      <c r="G28" s="1651"/>
      <c r="X28"/>
    </row>
    <row r="29" spans="1:24" x14ac:dyDescent="0.35">
      <c r="A29" s="124"/>
      <c r="B29" s="83"/>
      <c r="C29" s="1650"/>
      <c r="D29" s="1650"/>
      <c r="E29" s="1650"/>
      <c r="F29" s="1650"/>
      <c r="G29" s="1651"/>
      <c r="X29"/>
    </row>
    <row r="30" spans="1:24" x14ac:dyDescent="0.35">
      <c r="A30" s="124"/>
      <c r="B30" s="83"/>
      <c r="C30" s="1650"/>
      <c r="D30" s="1650"/>
      <c r="E30" s="1650"/>
      <c r="F30" s="1650"/>
      <c r="G30" s="1651"/>
      <c r="X30"/>
    </row>
    <row r="31" spans="1:24" ht="15" thickBot="1" x14ac:dyDescent="0.4">
      <c r="A31" s="321"/>
      <c r="B31" s="201"/>
      <c r="C31" s="1454"/>
      <c r="D31" s="1644"/>
      <c r="E31" s="1644"/>
      <c r="F31" s="1644"/>
      <c r="G31" s="1645"/>
      <c r="X31"/>
    </row>
    <row r="32" spans="1:24" x14ac:dyDescent="0.35">
      <c r="X32"/>
    </row>
    <row r="33" spans="1:24" x14ac:dyDescent="0.35">
      <c r="X33"/>
    </row>
    <row r="34" spans="1:24" ht="15" thickBot="1" x14ac:dyDescent="0.4">
      <c r="C34" s="1707"/>
      <c r="D34" s="1707"/>
      <c r="E34" s="1707"/>
      <c r="F34" s="1707"/>
      <c r="G34" s="1707"/>
      <c r="X34"/>
    </row>
    <row r="35" spans="1:24" ht="15" thickBot="1" x14ac:dyDescent="0.4">
      <c r="A35" s="122" t="s">
        <v>539</v>
      </c>
      <c r="B35" s="78"/>
      <c r="C35" s="78"/>
      <c r="D35" s="78"/>
      <c r="E35" s="78"/>
      <c r="F35" s="78"/>
      <c r="G35" s="78"/>
      <c r="H35" s="78"/>
      <c r="I35" s="78"/>
      <c r="J35" s="78"/>
      <c r="K35" s="78"/>
      <c r="L35" s="79"/>
      <c r="X35"/>
    </row>
    <row r="36" spans="1:24" ht="15.75" customHeight="1" x14ac:dyDescent="0.35">
      <c r="A36" s="124"/>
      <c r="B36" s="2367" t="s">
        <v>838</v>
      </c>
      <c r="C36" s="2369" t="s">
        <v>3174</v>
      </c>
      <c r="D36" s="2370"/>
      <c r="E36" s="2370"/>
      <c r="F36" s="2370"/>
      <c r="G36" s="2370"/>
      <c r="H36" s="2370"/>
      <c r="I36" s="83"/>
      <c r="J36" s="83"/>
      <c r="K36" s="83"/>
      <c r="L36" s="125"/>
      <c r="X36"/>
    </row>
    <row r="37" spans="1:24" x14ac:dyDescent="0.35">
      <c r="A37" s="124"/>
      <c r="B37" s="2367"/>
      <c r="C37" s="2371" t="s">
        <v>370</v>
      </c>
      <c r="D37" s="2372"/>
      <c r="E37" s="2372"/>
      <c r="F37" s="2372"/>
      <c r="G37" s="2372"/>
      <c r="H37" s="2372"/>
      <c r="I37" s="83"/>
      <c r="J37" s="83"/>
      <c r="K37" s="83"/>
      <c r="L37" s="125"/>
      <c r="M37" s="67"/>
      <c r="X37"/>
    </row>
    <row r="38" spans="1:24" ht="15" thickBot="1" x14ac:dyDescent="0.4">
      <c r="A38" s="124"/>
      <c r="B38" s="2368"/>
      <c r="C38" s="1352" t="s">
        <v>1639</v>
      </c>
      <c r="D38" s="1352" t="s">
        <v>2525</v>
      </c>
      <c r="E38" s="1352" t="s">
        <v>2526</v>
      </c>
      <c r="F38" s="1352" t="s">
        <v>1767</v>
      </c>
      <c r="G38" s="1352" t="s">
        <v>1643</v>
      </c>
      <c r="H38" s="1653" t="s">
        <v>738</v>
      </c>
      <c r="I38" s="83"/>
      <c r="J38" s="83"/>
      <c r="K38" s="83"/>
      <c r="L38" s="125"/>
      <c r="M38" s="67"/>
      <c r="X38"/>
    </row>
    <row r="39" spans="1:24" ht="15" thickBot="1" x14ac:dyDescent="0.4">
      <c r="A39" s="124"/>
      <c r="B39" s="1772" t="s">
        <v>3159</v>
      </c>
      <c r="C39" s="1861">
        <v>285</v>
      </c>
      <c r="D39" s="1862">
        <v>289</v>
      </c>
      <c r="E39" s="1862">
        <v>299</v>
      </c>
      <c r="F39" s="1862">
        <v>298</v>
      </c>
      <c r="G39" s="1863">
        <v>305</v>
      </c>
      <c r="H39" s="1864">
        <f>C39*$K$39+D39*$K$40+E39*$K$41</f>
        <v>288.79999999999995</v>
      </c>
      <c r="I39" s="83"/>
      <c r="J39" s="1781" t="s">
        <v>457</v>
      </c>
      <c r="K39" s="75">
        <v>0.3</v>
      </c>
      <c r="L39" s="125"/>
      <c r="M39" s="67"/>
      <c r="X39"/>
    </row>
    <row r="40" spans="1:24" ht="15" thickBot="1" x14ac:dyDescent="0.4">
      <c r="A40" s="124"/>
      <c r="B40" s="1772" t="s">
        <v>3175</v>
      </c>
      <c r="C40" s="1865">
        <v>225</v>
      </c>
      <c r="D40" s="1866">
        <v>228</v>
      </c>
      <c r="E40" s="1866">
        <v>234</v>
      </c>
      <c r="F40" s="1866">
        <v>233</v>
      </c>
      <c r="G40" s="1867">
        <v>237</v>
      </c>
      <c r="H40" s="1864">
        <f t="shared" ref="H40:H54" si="3">C40*$K$39+D40*$K$40+E40*$K$41</f>
        <v>227.7</v>
      </c>
      <c r="I40" s="83"/>
      <c r="J40" s="1781" t="s">
        <v>459</v>
      </c>
      <c r="K40" s="75">
        <v>0.6</v>
      </c>
      <c r="L40" s="125"/>
      <c r="M40" s="67"/>
      <c r="X40"/>
    </row>
    <row r="41" spans="1:24" ht="15" thickBot="1" x14ac:dyDescent="0.4">
      <c r="A41" s="124"/>
      <c r="B41" s="1772" t="s">
        <v>3176</v>
      </c>
      <c r="C41" s="1865">
        <v>267</v>
      </c>
      <c r="D41" s="1866">
        <v>271</v>
      </c>
      <c r="E41" s="1866">
        <v>279</v>
      </c>
      <c r="F41" s="1866">
        <v>279</v>
      </c>
      <c r="G41" s="1867">
        <v>284</v>
      </c>
      <c r="H41" s="1864">
        <f t="shared" si="3"/>
        <v>270.59999999999997</v>
      </c>
      <c r="I41" s="83"/>
      <c r="J41" s="1781" t="s">
        <v>461</v>
      </c>
      <c r="K41" s="75">
        <v>0.1</v>
      </c>
      <c r="L41" s="125"/>
      <c r="M41" s="67"/>
      <c r="X41"/>
    </row>
    <row r="42" spans="1:24" ht="15" thickBot="1" x14ac:dyDescent="0.4">
      <c r="A42" s="124"/>
      <c r="B42" s="1772" t="s">
        <v>1670</v>
      </c>
      <c r="C42" s="1865">
        <v>763</v>
      </c>
      <c r="D42" s="1866">
        <v>780</v>
      </c>
      <c r="E42" s="1866">
        <v>886</v>
      </c>
      <c r="F42" s="1866">
        <v>889</v>
      </c>
      <c r="G42" s="1867">
        <v>910</v>
      </c>
      <c r="H42" s="1864">
        <f t="shared" si="3"/>
        <v>785.5</v>
      </c>
      <c r="I42" s="83"/>
      <c r="J42" s="83"/>
      <c r="K42" s="83"/>
      <c r="L42" s="125"/>
      <c r="M42" s="67"/>
      <c r="X42"/>
    </row>
    <row r="43" spans="1:24" ht="15" thickBot="1" x14ac:dyDescent="0.4">
      <c r="A43" s="124"/>
      <c r="B43" s="1772" t="s">
        <v>1506</v>
      </c>
      <c r="C43" s="1865">
        <v>498</v>
      </c>
      <c r="D43" s="1866">
        <v>510</v>
      </c>
      <c r="E43" s="1866">
        <v>573</v>
      </c>
      <c r="F43" s="1866">
        <v>593</v>
      </c>
      <c r="G43" s="1867">
        <v>615</v>
      </c>
      <c r="H43" s="1864">
        <f t="shared" si="3"/>
        <v>512.69999999999993</v>
      </c>
      <c r="I43" s="83"/>
      <c r="J43" s="83"/>
      <c r="K43" s="83"/>
      <c r="L43" s="125"/>
      <c r="M43" s="67"/>
      <c r="X43"/>
    </row>
    <row r="44" spans="1:24" ht="15" thickBot="1" x14ac:dyDescent="0.4">
      <c r="A44" s="124"/>
      <c r="B44" s="1772" t="s">
        <v>1508</v>
      </c>
      <c r="C44" s="1865">
        <v>388</v>
      </c>
      <c r="D44" s="1866">
        <v>393</v>
      </c>
      <c r="E44" s="1866">
        <v>410</v>
      </c>
      <c r="F44" s="1866">
        <v>415</v>
      </c>
      <c r="G44" s="1867">
        <v>423</v>
      </c>
      <c r="H44" s="1864">
        <f t="shared" si="3"/>
        <v>393.2</v>
      </c>
      <c r="I44" s="83"/>
      <c r="J44" s="83"/>
      <c r="K44" s="83"/>
      <c r="L44" s="125"/>
      <c r="M44" s="67"/>
      <c r="X44"/>
    </row>
    <row r="45" spans="1:24" ht="15" thickBot="1" x14ac:dyDescent="0.4">
      <c r="A45" s="124"/>
      <c r="B45" s="1772" t="s">
        <v>1507</v>
      </c>
      <c r="C45" s="1865">
        <v>269</v>
      </c>
      <c r="D45" s="1866">
        <v>272</v>
      </c>
      <c r="E45" s="1866">
        <v>285</v>
      </c>
      <c r="F45" s="1866">
        <v>285</v>
      </c>
      <c r="G45" s="1867">
        <v>290</v>
      </c>
      <c r="H45" s="1864">
        <f t="shared" si="3"/>
        <v>272.39999999999998</v>
      </c>
      <c r="I45" s="83"/>
      <c r="J45" s="83"/>
      <c r="K45" s="83"/>
      <c r="L45" s="125"/>
      <c r="M45" s="67"/>
      <c r="X45"/>
    </row>
    <row r="46" spans="1:24" ht="15" thickBot="1" x14ac:dyDescent="0.4">
      <c r="A46" s="124"/>
      <c r="B46" s="1772" t="s">
        <v>1665</v>
      </c>
      <c r="C46" s="1865">
        <v>355</v>
      </c>
      <c r="D46" s="1866">
        <v>357</v>
      </c>
      <c r="E46" s="1866">
        <v>368</v>
      </c>
      <c r="F46" s="1866">
        <v>370</v>
      </c>
      <c r="G46" s="1867">
        <v>374</v>
      </c>
      <c r="H46" s="1864">
        <f t="shared" si="3"/>
        <v>357.5</v>
      </c>
      <c r="I46" s="83"/>
      <c r="J46" s="83"/>
      <c r="K46" s="83"/>
      <c r="L46" s="125"/>
      <c r="M46" s="67"/>
      <c r="X46"/>
    </row>
    <row r="47" spans="1:24" ht="15" thickBot="1" x14ac:dyDescent="0.4">
      <c r="A47" s="124"/>
      <c r="B47" s="1772" t="s">
        <v>1630</v>
      </c>
      <c r="C47" s="1865">
        <v>358</v>
      </c>
      <c r="D47" s="1866">
        <v>367</v>
      </c>
      <c r="E47" s="1866">
        <v>410</v>
      </c>
      <c r="F47" s="1866">
        <v>405</v>
      </c>
      <c r="G47" s="1867">
        <v>415</v>
      </c>
      <c r="H47" s="1864">
        <f t="shared" si="3"/>
        <v>368.59999999999997</v>
      </c>
      <c r="I47" s="83"/>
      <c r="J47" s="83"/>
      <c r="K47" s="83"/>
      <c r="L47" s="125"/>
      <c r="M47" s="67"/>
      <c r="X47"/>
    </row>
    <row r="48" spans="1:24" ht="15" thickBot="1" x14ac:dyDescent="0.4">
      <c r="A48" s="124"/>
      <c r="B48" s="1772" t="s">
        <v>1502</v>
      </c>
      <c r="C48" s="1865">
        <v>350</v>
      </c>
      <c r="D48" s="1866">
        <v>359</v>
      </c>
      <c r="E48" s="1866">
        <v>401</v>
      </c>
      <c r="F48" s="1866">
        <v>396</v>
      </c>
      <c r="G48" s="1867">
        <v>406</v>
      </c>
      <c r="H48" s="1864">
        <f t="shared" si="3"/>
        <v>360.5</v>
      </c>
      <c r="I48" s="83"/>
      <c r="J48" s="83"/>
      <c r="K48" s="83"/>
      <c r="L48" s="125"/>
      <c r="M48" s="67"/>
      <c r="X48"/>
    </row>
    <row r="49" spans="1:24" ht="15" thickBot="1" x14ac:dyDescent="0.4">
      <c r="A49" s="124"/>
      <c r="B49" s="1772" t="s">
        <v>3155</v>
      </c>
      <c r="C49" s="1865">
        <v>400</v>
      </c>
      <c r="D49" s="1866">
        <v>426</v>
      </c>
      <c r="E49" s="1866">
        <v>472</v>
      </c>
      <c r="F49" s="1866">
        <v>488</v>
      </c>
      <c r="G49" s="1867">
        <v>519</v>
      </c>
      <c r="H49" s="1864">
        <f t="shared" si="3"/>
        <v>422.8</v>
      </c>
      <c r="I49" s="83"/>
      <c r="J49" s="83"/>
      <c r="K49" s="83"/>
      <c r="L49" s="125"/>
      <c r="M49" s="67"/>
      <c r="X49"/>
    </row>
    <row r="50" spans="1:24" ht="15" thickBot="1" x14ac:dyDescent="0.4">
      <c r="A50" s="124"/>
      <c r="B50" s="1772" t="s">
        <v>1500</v>
      </c>
      <c r="C50" s="1865">
        <v>349</v>
      </c>
      <c r="D50" s="1866">
        <v>354</v>
      </c>
      <c r="E50" s="1866">
        <v>389</v>
      </c>
      <c r="F50" s="1866">
        <v>392</v>
      </c>
      <c r="G50" s="1867">
        <v>398</v>
      </c>
      <c r="H50" s="1864">
        <f t="shared" si="3"/>
        <v>356</v>
      </c>
      <c r="I50" s="83"/>
      <c r="J50" s="83"/>
      <c r="K50" s="83"/>
      <c r="L50" s="125"/>
      <c r="M50" s="67"/>
      <c r="X50"/>
    </row>
    <row r="51" spans="1:24" ht="15" thickBot="1" x14ac:dyDescent="0.4">
      <c r="A51" s="124"/>
      <c r="B51" s="1772" t="s">
        <v>3156</v>
      </c>
      <c r="C51" s="1865">
        <v>407</v>
      </c>
      <c r="D51" s="1866">
        <v>409</v>
      </c>
      <c r="E51" s="1866">
        <v>423</v>
      </c>
      <c r="F51" s="1866">
        <v>424</v>
      </c>
      <c r="G51" s="1867">
        <v>428</v>
      </c>
      <c r="H51" s="1864">
        <f t="shared" si="3"/>
        <v>409.8</v>
      </c>
      <c r="I51" s="83"/>
      <c r="J51" s="83"/>
      <c r="K51" s="83"/>
      <c r="L51" s="125"/>
      <c r="M51" s="67"/>
      <c r="X51"/>
    </row>
    <row r="52" spans="1:24" ht="15" thickBot="1" x14ac:dyDescent="0.4">
      <c r="A52" s="124"/>
      <c r="B52" s="1772" t="s">
        <v>3157</v>
      </c>
      <c r="C52" s="1865">
        <v>175</v>
      </c>
      <c r="D52" s="1866">
        <v>177</v>
      </c>
      <c r="E52" s="1866">
        <v>183</v>
      </c>
      <c r="F52" s="1866">
        <v>248</v>
      </c>
      <c r="G52" s="1867">
        <v>185</v>
      </c>
      <c r="H52" s="1864">
        <f t="shared" si="3"/>
        <v>177</v>
      </c>
      <c r="I52" s="83"/>
      <c r="J52" s="83"/>
      <c r="K52" s="83"/>
      <c r="L52" s="125"/>
      <c r="M52" s="67"/>
      <c r="X52"/>
    </row>
    <row r="53" spans="1:24" ht="15" thickBot="1" x14ac:dyDescent="0.4">
      <c r="A53" s="124"/>
      <c r="B53" s="1772" t="s">
        <v>3158</v>
      </c>
      <c r="C53" s="1865">
        <v>563</v>
      </c>
      <c r="D53" s="1866">
        <v>581</v>
      </c>
      <c r="E53" s="1866">
        <v>668</v>
      </c>
      <c r="F53" s="1866">
        <v>677</v>
      </c>
      <c r="G53" s="1867">
        <v>711</v>
      </c>
      <c r="H53" s="1864">
        <f t="shared" si="3"/>
        <v>584.29999999999995</v>
      </c>
      <c r="I53" s="83"/>
      <c r="J53" s="83"/>
      <c r="K53" s="83"/>
      <c r="L53" s="125"/>
      <c r="M53" s="67"/>
      <c r="X53"/>
    </row>
    <row r="54" spans="1:24" ht="15" thickBot="1" x14ac:dyDescent="0.4">
      <c r="A54" s="124"/>
      <c r="B54" s="1772" t="s">
        <v>3153</v>
      </c>
      <c r="C54" s="1865">
        <v>377</v>
      </c>
      <c r="D54" s="1866">
        <v>385</v>
      </c>
      <c r="E54" s="1866">
        <v>419</v>
      </c>
      <c r="F54" s="1866">
        <v>426</v>
      </c>
      <c r="G54" s="1867">
        <v>433</v>
      </c>
      <c r="H54" s="1864">
        <f t="shared" si="3"/>
        <v>386</v>
      </c>
      <c r="I54" s="83"/>
      <c r="J54" s="83"/>
      <c r="K54" s="83"/>
      <c r="L54" s="125"/>
      <c r="M54" s="67"/>
      <c r="X54"/>
    </row>
    <row r="55" spans="1:24" ht="15" thickBot="1" x14ac:dyDescent="0.4">
      <c r="A55" s="124"/>
      <c r="B55" s="1773" t="s">
        <v>3151</v>
      </c>
      <c r="C55" s="1774">
        <f>+AVERAGE(C39:C41)</f>
        <v>259</v>
      </c>
      <c r="D55" s="1775">
        <f>+AVERAGE(D39:D41)</f>
        <v>262.66666666666669</v>
      </c>
      <c r="E55" s="1775">
        <f>+AVERAGE(E39:E41)</f>
        <v>270.66666666666669</v>
      </c>
      <c r="F55" s="1775">
        <f>+AVERAGE(F39:F41)</f>
        <v>270</v>
      </c>
      <c r="G55" s="1776">
        <f>+AVERAGE(G39:G41)</f>
        <v>275.33333333333331</v>
      </c>
      <c r="H55" s="1777">
        <f>C55*$K$39+D55*$K$40+E55*$K$41</f>
        <v>262.36666666666667</v>
      </c>
      <c r="I55" s="83"/>
      <c r="J55" s="83"/>
      <c r="K55" s="83"/>
      <c r="L55" s="125"/>
      <c r="M55" s="67"/>
      <c r="X55"/>
    </row>
    <row r="56" spans="1:24" ht="15" thickBot="1" x14ac:dyDescent="0.4">
      <c r="A56" s="124"/>
      <c r="B56" s="1778" t="s">
        <v>2134</v>
      </c>
      <c r="C56" s="1774">
        <f>+AVERAGE(C44:C45)</f>
        <v>328.5</v>
      </c>
      <c r="D56" s="1774">
        <f t="shared" ref="D56:G56" si="4">+AVERAGE(D44:D45)</f>
        <v>332.5</v>
      </c>
      <c r="E56" s="1774">
        <f t="shared" si="4"/>
        <v>347.5</v>
      </c>
      <c r="F56" s="1774">
        <f t="shared" si="4"/>
        <v>350</v>
      </c>
      <c r="G56" s="1774">
        <f t="shared" si="4"/>
        <v>356.5</v>
      </c>
      <c r="H56" s="1777">
        <f>C56*$K$39+D56*$K$40+E56*$K$41</f>
        <v>332.8</v>
      </c>
      <c r="I56" s="83"/>
      <c r="J56" s="83"/>
      <c r="K56" s="83"/>
      <c r="L56" s="125"/>
      <c r="M56" s="67"/>
      <c r="X56"/>
    </row>
    <row r="57" spans="1:24" ht="15" thickBot="1" x14ac:dyDescent="0.4">
      <c r="A57" s="124"/>
      <c r="B57" s="1778" t="s">
        <v>3154</v>
      </c>
      <c r="C57" s="1774">
        <f>+AVERAGE(C47:C48)</f>
        <v>354</v>
      </c>
      <c r="D57" s="1774">
        <f t="shared" ref="D57:G57" si="5">+AVERAGE(D47:D48)</f>
        <v>363</v>
      </c>
      <c r="E57" s="1774">
        <f t="shared" si="5"/>
        <v>405.5</v>
      </c>
      <c r="F57" s="1774">
        <f t="shared" si="5"/>
        <v>400.5</v>
      </c>
      <c r="G57" s="1774">
        <f t="shared" si="5"/>
        <v>410.5</v>
      </c>
      <c r="H57" s="1777">
        <f>C57*$K$39+D57*$K$40+E57*$K$41</f>
        <v>364.55</v>
      </c>
      <c r="I57" s="83"/>
      <c r="J57" s="83"/>
      <c r="K57" s="83"/>
      <c r="L57" s="125"/>
      <c r="M57" s="67"/>
      <c r="X57"/>
    </row>
    <row r="58" spans="1:24" ht="15" thickBot="1" x14ac:dyDescent="0.4">
      <c r="A58" s="124"/>
      <c r="B58" s="1778" t="s">
        <v>3160</v>
      </c>
      <c r="C58" s="1774">
        <f>+AVERAGE(C39,C43,C45,C46)</f>
        <v>351.75</v>
      </c>
      <c r="D58" s="1774">
        <f t="shared" ref="D58:G58" si="6">+AVERAGE(D39,D43,D45,D46)</f>
        <v>357</v>
      </c>
      <c r="E58" s="1774">
        <f t="shared" si="6"/>
        <v>381.25</v>
      </c>
      <c r="F58" s="1774">
        <f t="shared" si="6"/>
        <v>386.5</v>
      </c>
      <c r="G58" s="1774">
        <f t="shared" si="6"/>
        <v>396</v>
      </c>
      <c r="H58" s="1777">
        <f>C58*$K$39+D58*$K$40+E58*$K$41</f>
        <v>357.84999999999997</v>
      </c>
      <c r="I58" s="83"/>
      <c r="J58" s="83"/>
      <c r="K58" s="83"/>
      <c r="L58" s="125"/>
      <c r="M58" s="67"/>
      <c r="X58"/>
    </row>
    <row r="59" spans="1:24" ht="15" thickBot="1" x14ac:dyDescent="0.4">
      <c r="A59" s="124"/>
      <c r="B59" s="1778" t="s">
        <v>3161</v>
      </c>
      <c r="C59" s="1774">
        <f>+C49</f>
        <v>400</v>
      </c>
      <c r="D59" s="1774">
        <f t="shared" ref="D59:G59" si="7">+D49</f>
        <v>426</v>
      </c>
      <c r="E59" s="1774">
        <f t="shared" si="7"/>
        <v>472</v>
      </c>
      <c r="F59" s="1774">
        <f t="shared" si="7"/>
        <v>488</v>
      </c>
      <c r="G59" s="1774">
        <f t="shared" si="7"/>
        <v>519</v>
      </c>
      <c r="H59" s="1777">
        <f>C59*$K$39+D59*$K$40+E59*$K$41</f>
        <v>422.8</v>
      </c>
      <c r="I59" s="83"/>
      <c r="J59" s="83"/>
      <c r="K59" s="83"/>
      <c r="L59" s="125"/>
      <c r="M59" s="67"/>
      <c r="X59"/>
    </row>
    <row r="60" spans="1:24" ht="15" thickBot="1" x14ac:dyDescent="0.4">
      <c r="A60" s="124"/>
      <c r="B60" s="1778" t="s">
        <v>3162</v>
      </c>
      <c r="C60" s="1774">
        <f>+C57</f>
        <v>354</v>
      </c>
      <c r="D60" s="1774">
        <f t="shared" ref="D60:H60" si="8">+D57</f>
        <v>363</v>
      </c>
      <c r="E60" s="1774">
        <f t="shared" si="8"/>
        <v>405.5</v>
      </c>
      <c r="F60" s="1774">
        <f t="shared" si="8"/>
        <v>400.5</v>
      </c>
      <c r="G60" s="1774">
        <f t="shared" si="8"/>
        <v>410.5</v>
      </c>
      <c r="H60" s="1777">
        <f t="shared" si="8"/>
        <v>364.55</v>
      </c>
      <c r="I60" s="83"/>
      <c r="J60" s="83"/>
      <c r="K60" s="83"/>
      <c r="L60" s="125"/>
      <c r="M60" s="67"/>
      <c r="X60"/>
    </row>
    <row r="61" spans="1:24" x14ac:dyDescent="0.35">
      <c r="A61" s="124"/>
      <c r="B61" s="1114"/>
      <c r="C61" s="1779"/>
      <c r="D61" s="1779"/>
      <c r="E61" s="1779"/>
      <c r="F61" s="1779"/>
      <c r="G61" s="1779"/>
      <c r="H61" s="1780"/>
      <c r="I61" s="83"/>
      <c r="J61" s="83"/>
      <c r="K61" s="83"/>
      <c r="L61" s="125"/>
      <c r="M61" s="67"/>
      <c r="X61"/>
    </row>
    <row r="62" spans="1:24" x14ac:dyDescent="0.35">
      <c r="A62" s="124"/>
      <c r="B62" s="83"/>
      <c r="C62" s="83"/>
      <c r="D62" s="83"/>
      <c r="E62" s="83"/>
      <c r="F62" s="83"/>
      <c r="G62" s="83"/>
      <c r="H62" s="83"/>
      <c r="I62" s="83"/>
      <c r="J62" s="83"/>
      <c r="K62" s="83"/>
      <c r="L62" s="125"/>
      <c r="M62" s="67"/>
      <c r="X62"/>
    </row>
    <row r="63" spans="1:24" ht="15" thickBot="1" x14ac:dyDescent="0.4">
      <c r="A63" s="124"/>
      <c r="B63" s="83"/>
      <c r="C63" s="83"/>
      <c r="D63" s="83"/>
      <c r="E63" s="83"/>
      <c r="F63" s="83"/>
      <c r="G63" s="83"/>
      <c r="H63" s="83"/>
      <c r="I63" s="83"/>
      <c r="J63" s="83"/>
      <c r="K63" s="83"/>
      <c r="L63" s="125"/>
      <c r="M63" s="67"/>
      <c r="X63"/>
    </row>
    <row r="64" spans="1:24" ht="15.75" customHeight="1" x14ac:dyDescent="0.35">
      <c r="A64" s="124"/>
      <c r="B64" s="2361" t="s">
        <v>838</v>
      </c>
      <c r="C64" s="2363" t="s">
        <v>3177</v>
      </c>
      <c r="D64" s="2364"/>
      <c r="E64" s="2364"/>
      <c r="F64" s="2364"/>
      <c r="G64" s="2364"/>
      <c r="H64" s="2364"/>
      <c r="I64" s="83"/>
      <c r="J64" s="83"/>
      <c r="K64" s="83"/>
      <c r="L64" s="125"/>
      <c r="M64" s="67"/>
    </row>
    <row r="65" spans="1:13" ht="26.5" thickBot="1" x14ac:dyDescent="0.4">
      <c r="A65" s="124"/>
      <c r="B65" s="2362"/>
      <c r="C65" s="1708" t="s">
        <v>1639</v>
      </c>
      <c r="D65" s="1708" t="s">
        <v>2525</v>
      </c>
      <c r="E65" s="1708" t="s">
        <v>2526</v>
      </c>
      <c r="F65" s="1708" t="s">
        <v>1767</v>
      </c>
      <c r="G65" s="1708" t="s">
        <v>1643</v>
      </c>
      <c r="H65" s="1709" t="s">
        <v>738</v>
      </c>
      <c r="I65" s="83"/>
      <c r="J65" s="83"/>
      <c r="K65" s="83"/>
      <c r="L65" s="125"/>
      <c r="M65" s="67"/>
    </row>
    <row r="66" spans="1:13" ht="15" thickBot="1" x14ac:dyDescent="0.4">
      <c r="A66" s="124"/>
      <c r="B66" s="1772" t="s">
        <v>3159</v>
      </c>
      <c r="C66" s="1861">
        <v>30</v>
      </c>
      <c r="D66" s="1862">
        <v>26</v>
      </c>
      <c r="E66" s="1862">
        <v>23</v>
      </c>
      <c r="F66" s="1862">
        <v>22</v>
      </c>
      <c r="G66" s="1863">
        <v>19</v>
      </c>
      <c r="H66" s="1864">
        <f>C66*$K$39+D66*$K$40+E66*$K$41</f>
        <v>26.900000000000002</v>
      </c>
      <c r="I66" s="83"/>
      <c r="J66" s="83"/>
      <c r="K66" s="83"/>
      <c r="L66" s="125"/>
      <c r="M66" s="67"/>
    </row>
    <row r="67" spans="1:13" ht="15" thickBot="1" x14ac:dyDescent="0.4">
      <c r="A67" s="124"/>
      <c r="B67" s="1772" t="s">
        <v>3175</v>
      </c>
      <c r="C67" s="1865">
        <v>20</v>
      </c>
      <c r="D67" s="1866">
        <v>18</v>
      </c>
      <c r="E67" s="1866">
        <v>16</v>
      </c>
      <c r="F67" s="1866">
        <v>15</v>
      </c>
      <c r="G67" s="1867">
        <v>13</v>
      </c>
      <c r="H67" s="1864">
        <f t="shared" ref="H67:H81" si="9">C67*$K$39+D67*$K$40+E67*$K$41</f>
        <v>18.399999999999999</v>
      </c>
      <c r="I67" s="83"/>
      <c r="J67" s="83"/>
      <c r="K67" s="83"/>
      <c r="L67" s="125"/>
      <c r="M67" s="67"/>
    </row>
    <row r="68" spans="1:13" ht="15" thickBot="1" x14ac:dyDescent="0.4">
      <c r="A68" s="124"/>
      <c r="B68" s="1772" t="s">
        <v>3176</v>
      </c>
      <c r="C68" s="1865">
        <v>27</v>
      </c>
      <c r="D68" s="1866">
        <v>24</v>
      </c>
      <c r="E68" s="1866">
        <v>21</v>
      </c>
      <c r="F68" s="1866">
        <v>20</v>
      </c>
      <c r="G68" s="1867">
        <v>17</v>
      </c>
      <c r="H68" s="1864">
        <f t="shared" si="9"/>
        <v>24.6</v>
      </c>
      <c r="I68" s="83"/>
      <c r="J68" s="83"/>
      <c r="K68" s="83"/>
      <c r="L68" s="125"/>
      <c r="M68" s="67"/>
    </row>
    <row r="69" spans="1:13" ht="15" thickBot="1" x14ac:dyDescent="0.4">
      <c r="A69" s="124"/>
      <c r="B69" s="1772" t="s">
        <v>1670</v>
      </c>
      <c r="C69" s="1865">
        <v>193</v>
      </c>
      <c r="D69" s="1866">
        <v>171</v>
      </c>
      <c r="E69" s="1866">
        <v>151</v>
      </c>
      <c r="F69" s="1866">
        <v>144</v>
      </c>
      <c r="G69" s="1867">
        <v>129</v>
      </c>
      <c r="H69" s="1864">
        <f t="shared" si="9"/>
        <v>175.6</v>
      </c>
      <c r="I69" s="83"/>
      <c r="J69" s="83"/>
      <c r="K69" s="83"/>
      <c r="L69" s="125"/>
      <c r="M69" s="67"/>
    </row>
    <row r="70" spans="1:13" ht="15" thickBot="1" x14ac:dyDescent="0.4">
      <c r="A70" s="124"/>
      <c r="B70" s="1772" t="s">
        <v>1506</v>
      </c>
      <c r="C70" s="1865">
        <v>137</v>
      </c>
      <c r="D70" s="1866">
        <v>123</v>
      </c>
      <c r="E70" s="1866">
        <v>107</v>
      </c>
      <c r="F70" s="1866">
        <v>104</v>
      </c>
      <c r="G70" s="1867">
        <v>92</v>
      </c>
      <c r="H70" s="1864">
        <f t="shared" si="9"/>
        <v>125.60000000000001</v>
      </c>
      <c r="I70" s="83"/>
      <c r="J70" s="83"/>
      <c r="K70" s="83"/>
      <c r="L70" s="125"/>
      <c r="M70" s="67"/>
    </row>
    <row r="71" spans="1:13" ht="15" thickBot="1" x14ac:dyDescent="0.4">
      <c r="A71" s="124"/>
      <c r="B71" s="1772" t="s">
        <v>1508</v>
      </c>
      <c r="C71" s="1865">
        <v>47</v>
      </c>
      <c r="D71" s="1866">
        <v>42</v>
      </c>
      <c r="E71" s="1866">
        <v>37</v>
      </c>
      <c r="F71" s="1866">
        <v>36</v>
      </c>
      <c r="G71" s="1867">
        <v>32</v>
      </c>
      <c r="H71" s="1864">
        <f t="shared" si="9"/>
        <v>43</v>
      </c>
      <c r="I71" s="83"/>
      <c r="J71" s="83"/>
      <c r="K71" s="83"/>
      <c r="L71" s="125"/>
      <c r="M71" s="67"/>
    </row>
    <row r="72" spans="1:13" ht="15" thickBot="1" x14ac:dyDescent="0.4">
      <c r="A72" s="124"/>
      <c r="B72" s="1772" t="s">
        <v>1507</v>
      </c>
      <c r="C72" s="1865">
        <v>31</v>
      </c>
      <c r="D72" s="1866">
        <v>28</v>
      </c>
      <c r="E72" s="1866">
        <v>25</v>
      </c>
      <c r="F72" s="1866">
        <v>24</v>
      </c>
      <c r="G72" s="1867">
        <v>21</v>
      </c>
      <c r="H72" s="1864">
        <f t="shared" si="9"/>
        <v>28.6</v>
      </c>
      <c r="I72" s="83"/>
      <c r="J72" s="83"/>
      <c r="K72" s="83"/>
      <c r="L72" s="125"/>
      <c r="M72" s="67"/>
    </row>
    <row r="73" spans="1:13" ht="15" thickBot="1" x14ac:dyDescent="0.4">
      <c r="A73" s="124"/>
      <c r="B73" s="1772" t="s">
        <v>1665</v>
      </c>
      <c r="C73" s="1865">
        <v>23</v>
      </c>
      <c r="D73" s="1866">
        <v>21</v>
      </c>
      <c r="E73" s="1866">
        <v>18</v>
      </c>
      <c r="F73" s="1866">
        <v>18</v>
      </c>
      <c r="G73" s="1867">
        <v>16</v>
      </c>
      <c r="H73" s="1864">
        <f t="shared" si="9"/>
        <v>21.3</v>
      </c>
      <c r="I73" s="83"/>
      <c r="J73" s="83"/>
      <c r="K73" s="83"/>
      <c r="L73" s="125"/>
      <c r="M73" s="67"/>
    </row>
    <row r="74" spans="1:13" ht="15" thickBot="1" x14ac:dyDescent="0.4">
      <c r="A74" s="124"/>
      <c r="B74" s="1772" t="s">
        <v>1630</v>
      </c>
      <c r="C74" s="1865">
        <v>84</v>
      </c>
      <c r="D74" s="1866">
        <v>73</v>
      </c>
      <c r="E74" s="1866">
        <v>65</v>
      </c>
      <c r="F74" s="1866">
        <v>61</v>
      </c>
      <c r="G74" s="1867">
        <v>53</v>
      </c>
      <c r="H74" s="1864">
        <f t="shared" si="9"/>
        <v>75.5</v>
      </c>
      <c r="I74" s="83"/>
      <c r="J74" s="83"/>
      <c r="K74" s="83"/>
      <c r="L74" s="125"/>
      <c r="M74" s="67"/>
    </row>
    <row r="75" spans="1:13" ht="15" thickBot="1" x14ac:dyDescent="0.4">
      <c r="A75" s="124"/>
      <c r="B75" s="1773" t="s">
        <v>1502</v>
      </c>
      <c r="C75" s="1865">
        <v>82</v>
      </c>
      <c r="D75" s="1866">
        <v>71</v>
      </c>
      <c r="E75" s="1866">
        <v>63</v>
      </c>
      <c r="F75" s="1866">
        <v>59</v>
      </c>
      <c r="G75" s="1867">
        <v>52</v>
      </c>
      <c r="H75" s="1864">
        <f t="shared" si="9"/>
        <v>73.5</v>
      </c>
      <c r="I75" s="83"/>
      <c r="J75" s="83"/>
      <c r="K75" s="83"/>
      <c r="L75" s="125"/>
      <c r="M75" s="67"/>
    </row>
    <row r="76" spans="1:13" ht="15" thickBot="1" x14ac:dyDescent="0.4">
      <c r="A76" s="124"/>
      <c r="B76" s="1773" t="s">
        <v>3155</v>
      </c>
      <c r="C76" s="1865">
        <v>162</v>
      </c>
      <c r="D76" s="1866">
        <v>143</v>
      </c>
      <c r="E76" s="1866">
        <v>125</v>
      </c>
      <c r="F76" s="1866">
        <v>121</v>
      </c>
      <c r="G76" s="1867">
        <v>102</v>
      </c>
      <c r="H76" s="1864">
        <f t="shared" si="9"/>
        <v>146.9</v>
      </c>
      <c r="I76" s="83"/>
      <c r="J76" s="83"/>
      <c r="K76" s="83"/>
      <c r="L76" s="125"/>
      <c r="M76" s="67"/>
    </row>
    <row r="77" spans="1:13" ht="15" thickBot="1" x14ac:dyDescent="0.4">
      <c r="A77" s="124"/>
      <c r="B77" s="1773" t="s">
        <v>1500</v>
      </c>
      <c r="C77" s="1865">
        <v>57</v>
      </c>
      <c r="D77" s="1866">
        <v>51</v>
      </c>
      <c r="E77" s="1866">
        <v>45</v>
      </c>
      <c r="F77" s="1866">
        <v>43</v>
      </c>
      <c r="G77" s="1867">
        <v>38</v>
      </c>
      <c r="H77" s="1864">
        <f t="shared" si="9"/>
        <v>52.199999999999996</v>
      </c>
      <c r="I77" s="83"/>
      <c r="J77" s="83"/>
      <c r="K77" s="83"/>
      <c r="L77" s="125"/>
      <c r="M77" s="67"/>
    </row>
    <row r="78" spans="1:13" ht="15" thickBot="1" x14ac:dyDescent="0.4">
      <c r="A78" s="124"/>
      <c r="B78" s="1773" t="s">
        <v>3156</v>
      </c>
      <c r="C78" s="1865">
        <v>26</v>
      </c>
      <c r="D78" s="1866">
        <v>23</v>
      </c>
      <c r="E78" s="1866">
        <v>20</v>
      </c>
      <c r="F78" s="1866">
        <v>20</v>
      </c>
      <c r="G78" s="1867">
        <v>17</v>
      </c>
      <c r="H78" s="1864">
        <f t="shared" si="9"/>
        <v>23.599999999999998</v>
      </c>
      <c r="I78" s="83"/>
      <c r="J78" s="83"/>
      <c r="K78" s="83"/>
      <c r="L78" s="125"/>
      <c r="M78" s="67"/>
    </row>
    <row r="79" spans="1:13" ht="15" thickBot="1" x14ac:dyDescent="0.4">
      <c r="A79" s="124"/>
      <c r="B79" s="1773" t="s">
        <v>3157</v>
      </c>
      <c r="C79" s="1865">
        <v>17</v>
      </c>
      <c r="D79" s="1866">
        <v>15</v>
      </c>
      <c r="E79" s="1866">
        <v>13</v>
      </c>
      <c r="F79" s="1866">
        <v>22</v>
      </c>
      <c r="G79" s="1867">
        <v>11</v>
      </c>
      <c r="H79" s="1864">
        <f t="shared" si="9"/>
        <v>15.4</v>
      </c>
      <c r="I79" s="83"/>
      <c r="J79" s="83"/>
      <c r="K79" s="83"/>
      <c r="L79" s="125"/>
      <c r="M79" s="67"/>
    </row>
    <row r="80" spans="1:13" ht="15" thickBot="1" x14ac:dyDescent="0.4">
      <c r="A80" s="124"/>
      <c r="B80" s="1773" t="s">
        <v>3158</v>
      </c>
      <c r="C80" s="1865">
        <v>227</v>
      </c>
      <c r="D80" s="1866">
        <v>200</v>
      </c>
      <c r="E80" s="1866">
        <v>181</v>
      </c>
      <c r="F80" s="1866">
        <v>176</v>
      </c>
      <c r="G80" s="1867">
        <v>155</v>
      </c>
      <c r="H80" s="1864">
        <f t="shared" si="9"/>
        <v>206.2</v>
      </c>
      <c r="I80" s="83"/>
      <c r="J80" s="83"/>
      <c r="K80" s="83"/>
      <c r="L80" s="125"/>
      <c r="M80" s="67"/>
    </row>
    <row r="81" spans="1:13" ht="15" thickBot="1" x14ac:dyDescent="0.4">
      <c r="A81" s="124"/>
      <c r="B81" s="1773" t="s">
        <v>3153</v>
      </c>
      <c r="C81" s="1865">
        <v>78</v>
      </c>
      <c r="D81" s="1866">
        <v>68</v>
      </c>
      <c r="E81" s="1866">
        <v>61</v>
      </c>
      <c r="F81" s="1866">
        <v>59</v>
      </c>
      <c r="G81" s="1867">
        <v>51</v>
      </c>
      <c r="H81" s="1864">
        <f t="shared" si="9"/>
        <v>70.299999999999983</v>
      </c>
      <c r="I81" s="1782"/>
      <c r="J81" s="83"/>
      <c r="K81" s="83"/>
      <c r="L81" s="125"/>
      <c r="M81" s="67"/>
    </row>
    <row r="82" spans="1:13" ht="15" thickBot="1" x14ac:dyDescent="0.4">
      <c r="A82" s="124"/>
      <c r="B82" s="1773" t="s">
        <v>3151</v>
      </c>
      <c r="C82" s="1774">
        <f>+AVERAGE(C66:C68)</f>
        <v>25.666666666666668</v>
      </c>
      <c r="D82" s="1775">
        <f>+AVERAGE(D66:D68)</f>
        <v>22.666666666666668</v>
      </c>
      <c r="E82" s="1775">
        <f>+AVERAGE(E66:E68)</f>
        <v>20</v>
      </c>
      <c r="F82" s="1775">
        <f>+AVERAGE(F66:F68)</f>
        <v>19</v>
      </c>
      <c r="G82" s="1776">
        <f>+AVERAGE(G66:G68)</f>
        <v>16.333333333333332</v>
      </c>
      <c r="H82" s="1777">
        <f t="shared" ref="H82:H84" si="10">C82*$K$39+D82*$K$40+E82*$K$41</f>
        <v>23.3</v>
      </c>
      <c r="I82" s="1779"/>
      <c r="J82" s="83"/>
      <c r="K82" s="83"/>
      <c r="L82" s="125"/>
      <c r="M82" s="67"/>
    </row>
    <row r="83" spans="1:13" ht="15" thickBot="1" x14ac:dyDescent="0.4">
      <c r="A83" s="124"/>
      <c r="B83" s="1778" t="s">
        <v>2134</v>
      </c>
      <c r="C83" s="1774">
        <f>+AVERAGE(C71:C72)</f>
        <v>39</v>
      </c>
      <c r="D83" s="1774">
        <f>+AVERAGE(D71:D72)</f>
        <v>35</v>
      </c>
      <c r="E83" s="1774">
        <f>+AVERAGE(E71:E72)</f>
        <v>31</v>
      </c>
      <c r="F83" s="1774">
        <f>+AVERAGE(F71:F72)</f>
        <v>30</v>
      </c>
      <c r="G83" s="1774">
        <f>+AVERAGE(G71:G72)</f>
        <v>26.5</v>
      </c>
      <c r="H83" s="1777">
        <f t="shared" si="10"/>
        <v>35.800000000000004</v>
      </c>
      <c r="I83" s="1779"/>
      <c r="J83" s="83"/>
      <c r="K83" s="83"/>
      <c r="L83" s="125"/>
      <c r="M83" s="67"/>
    </row>
    <row r="84" spans="1:13" ht="15" thickBot="1" x14ac:dyDescent="0.4">
      <c r="A84" s="124"/>
      <c r="B84" s="1778" t="s">
        <v>3154</v>
      </c>
      <c r="C84" s="1774">
        <f>+AVERAGE(C74:C75)</f>
        <v>83</v>
      </c>
      <c r="D84" s="1774">
        <f>+AVERAGE(D74:D75)</f>
        <v>72</v>
      </c>
      <c r="E84" s="1774">
        <f>+AVERAGE(E74:E75)</f>
        <v>64</v>
      </c>
      <c r="F84" s="1774">
        <f>+AVERAGE(F74:F75)</f>
        <v>60</v>
      </c>
      <c r="G84" s="1774">
        <f>+AVERAGE(G74:G75)</f>
        <v>52.5</v>
      </c>
      <c r="H84" s="1777">
        <f t="shared" si="10"/>
        <v>74.5</v>
      </c>
      <c r="I84" s="1779"/>
      <c r="J84" s="83"/>
      <c r="K84" s="83"/>
      <c r="L84" s="125"/>
      <c r="M84" s="67"/>
    </row>
    <row r="85" spans="1:13" ht="15" thickBot="1" x14ac:dyDescent="0.4">
      <c r="A85" s="124"/>
      <c r="B85" s="1778" t="s">
        <v>3160</v>
      </c>
      <c r="C85" s="1774">
        <f>+AVERAGE(C66,C70,C72,C73)</f>
        <v>55.25</v>
      </c>
      <c r="D85" s="1774">
        <f t="shared" ref="D85:G85" si="11">+AVERAGE(D66,D70,D72,D73)</f>
        <v>49.5</v>
      </c>
      <c r="E85" s="1774">
        <f t="shared" si="11"/>
        <v>43.25</v>
      </c>
      <c r="F85" s="1774">
        <f t="shared" si="11"/>
        <v>42</v>
      </c>
      <c r="G85" s="1774">
        <f t="shared" si="11"/>
        <v>37</v>
      </c>
      <c r="H85" s="1777">
        <f>C85*$K$39+D85*$K$40+E85*$K$41</f>
        <v>50.6</v>
      </c>
      <c r="I85" s="1779"/>
      <c r="J85" s="83"/>
      <c r="K85" s="83"/>
      <c r="L85" s="125"/>
      <c r="M85" s="67"/>
    </row>
    <row r="86" spans="1:13" ht="15" thickBot="1" x14ac:dyDescent="0.4">
      <c r="A86" s="124"/>
      <c r="B86" s="1778" t="s">
        <v>3161</v>
      </c>
      <c r="C86" s="1774">
        <f>+C76</f>
        <v>162</v>
      </c>
      <c r="D86" s="1774">
        <f t="shared" ref="D86:G86" si="12">+D76</f>
        <v>143</v>
      </c>
      <c r="E86" s="1774">
        <f t="shared" si="12"/>
        <v>125</v>
      </c>
      <c r="F86" s="1774">
        <f t="shared" si="12"/>
        <v>121</v>
      </c>
      <c r="G86" s="1774">
        <f t="shared" si="12"/>
        <v>102</v>
      </c>
      <c r="H86" s="1777">
        <f>C86*$K$39+D86*$K$40+E86*$K$41</f>
        <v>146.9</v>
      </c>
      <c r="I86" s="1779"/>
      <c r="J86" s="83"/>
      <c r="K86" s="83"/>
      <c r="L86" s="125"/>
      <c r="M86" s="67"/>
    </row>
    <row r="87" spans="1:13" ht="15" thickBot="1" x14ac:dyDescent="0.4">
      <c r="A87" s="124"/>
      <c r="B87" s="1778" t="s">
        <v>3162</v>
      </c>
      <c r="C87" s="1774">
        <f>+C84</f>
        <v>83</v>
      </c>
      <c r="D87" s="1774">
        <f t="shared" ref="D87:H87" si="13">+D84</f>
        <v>72</v>
      </c>
      <c r="E87" s="1774">
        <f t="shared" si="13"/>
        <v>64</v>
      </c>
      <c r="F87" s="1774">
        <f t="shared" si="13"/>
        <v>60</v>
      </c>
      <c r="G87" s="1774">
        <f t="shared" si="13"/>
        <v>52.5</v>
      </c>
      <c r="H87" s="1777">
        <f t="shared" si="13"/>
        <v>74.5</v>
      </c>
      <c r="I87" s="1779"/>
      <c r="J87" s="83"/>
      <c r="K87" s="83"/>
      <c r="L87" s="125"/>
      <c r="M87" s="67"/>
    </row>
    <row r="88" spans="1:13" x14ac:dyDescent="0.35">
      <c r="A88" s="124"/>
      <c r="B88" s="1783"/>
      <c r="C88" s="1779"/>
      <c r="D88" s="1779"/>
      <c r="E88" s="1779"/>
      <c r="F88" s="1779"/>
      <c r="G88" s="1779"/>
      <c r="H88" s="1780"/>
      <c r="I88" s="1779"/>
      <c r="J88" s="83"/>
      <c r="K88" s="83"/>
      <c r="L88" s="125"/>
      <c r="M88" s="67"/>
    </row>
    <row r="89" spans="1:13" x14ac:dyDescent="0.35">
      <c r="A89" s="124"/>
      <c r="B89" s="83"/>
      <c r="C89" s="83"/>
      <c r="D89" s="83"/>
      <c r="E89" s="83"/>
      <c r="F89" s="83"/>
      <c r="G89" s="83"/>
      <c r="H89" s="83"/>
      <c r="I89" s="83"/>
      <c r="J89" s="1394"/>
      <c r="K89" s="83"/>
      <c r="L89" s="125"/>
      <c r="M89" s="67"/>
    </row>
    <row r="90" spans="1:13" ht="15" thickBot="1" x14ac:dyDescent="0.4">
      <c r="A90" s="321"/>
      <c r="B90" s="201"/>
      <c r="C90" s="201"/>
      <c r="D90" s="201"/>
      <c r="E90" s="201"/>
      <c r="F90" s="201"/>
      <c r="G90" s="201"/>
      <c r="H90" s="201"/>
      <c r="I90" s="201"/>
      <c r="J90" s="201"/>
      <c r="K90" s="201"/>
      <c r="L90" s="203"/>
      <c r="M90" s="67"/>
    </row>
    <row r="93" spans="1:13" ht="15" thickBot="1" x14ac:dyDescent="0.4">
      <c r="A93" s="1507" t="s">
        <v>3295</v>
      </c>
      <c r="B93" s="1507"/>
      <c r="C93" s="1507"/>
    </row>
    <row r="94" spans="1:13" x14ac:dyDescent="0.35">
      <c r="A94" s="1710"/>
      <c r="B94" s="1711" t="s">
        <v>3178</v>
      </c>
    </row>
    <row r="95" spans="1:13" ht="15" thickBot="1" x14ac:dyDescent="0.4">
      <c r="A95" s="593" t="s">
        <v>3179</v>
      </c>
      <c r="B95" s="595">
        <v>5000</v>
      </c>
    </row>
    <row r="97" spans="1:5" ht="15" thickBot="1" x14ac:dyDescent="0.4">
      <c r="A97" s="1712" t="s">
        <v>838</v>
      </c>
      <c r="B97" s="1713" t="s">
        <v>3180</v>
      </c>
      <c r="C97" s="1713" t="s">
        <v>3181</v>
      </c>
      <c r="D97" s="1713" t="s">
        <v>3182</v>
      </c>
      <c r="E97" s="1713" t="s">
        <v>415</v>
      </c>
    </row>
    <row r="98" spans="1:5" ht="15" thickBot="1" x14ac:dyDescent="0.4">
      <c r="A98" s="1778" t="s">
        <v>3159</v>
      </c>
      <c r="B98" s="1784">
        <v>7500</v>
      </c>
      <c r="C98" s="1784">
        <f t="shared" ref="C98:C116" si="14">ROUND(B98/$B$95,1)</f>
        <v>1.5</v>
      </c>
      <c r="D98" s="1784" t="str">
        <f>+IF(B98&lt;10000,"Yes",0)</f>
        <v>Yes</v>
      </c>
      <c r="E98" s="1784"/>
    </row>
    <row r="99" spans="1:5" ht="15" thickBot="1" x14ac:dyDescent="0.4">
      <c r="A99" s="1778" t="s">
        <v>3175</v>
      </c>
      <c r="B99" s="1784">
        <v>50000</v>
      </c>
      <c r="C99" s="1784">
        <f t="shared" si="14"/>
        <v>10</v>
      </c>
      <c r="D99" s="1784">
        <f t="shared" ref="D99:D116" si="15">+IF(B99&lt;10000,"Yes",0)</f>
        <v>0</v>
      </c>
      <c r="E99" s="1784"/>
    </row>
    <row r="100" spans="1:5" ht="15" thickBot="1" x14ac:dyDescent="0.4">
      <c r="A100" s="1778" t="s">
        <v>3176</v>
      </c>
      <c r="B100" s="1784">
        <v>537600</v>
      </c>
      <c r="C100" s="1784">
        <f t="shared" si="14"/>
        <v>107.5</v>
      </c>
      <c r="D100" s="1784">
        <f t="shared" si="15"/>
        <v>0</v>
      </c>
      <c r="E100" s="1784"/>
    </row>
    <row r="101" spans="1:5" ht="15" thickBot="1" x14ac:dyDescent="0.4">
      <c r="A101" s="1778" t="s">
        <v>1670</v>
      </c>
      <c r="B101" s="1784">
        <v>30000</v>
      </c>
      <c r="C101" s="1784">
        <f t="shared" si="14"/>
        <v>6</v>
      </c>
      <c r="D101" s="1784">
        <f t="shared" si="15"/>
        <v>0</v>
      </c>
      <c r="E101" s="1784"/>
    </row>
    <row r="102" spans="1:5" ht="15" thickBot="1" x14ac:dyDescent="0.4">
      <c r="A102" s="1778" t="s">
        <v>1506</v>
      </c>
      <c r="B102" s="1784">
        <v>7500</v>
      </c>
      <c r="C102" s="1784">
        <f t="shared" si="14"/>
        <v>1.5</v>
      </c>
      <c r="D102" s="1784" t="str">
        <f t="shared" si="15"/>
        <v>Yes</v>
      </c>
      <c r="E102" s="1784"/>
    </row>
    <row r="103" spans="1:5" ht="15" thickBot="1" x14ac:dyDescent="0.4">
      <c r="A103" s="1778" t="s">
        <v>1508</v>
      </c>
      <c r="B103" s="1784">
        <v>45000</v>
      </c>
      <c r="C103" s="1784">
        <f t="shared" si="14"/>
        <v>9</v>
      </c>
      <c r="D103" s="1784">
        <f t="shared" si="15"/>
        <v>0</v>
      </c>
      <c r="E103" s="1784"/>
    </row>
    <row r="104" spans="1:5" ht="15" thickBot="1" x14ac:dyDescent="0.4">
      <c r="A104" s="1778" t="s">
        <v>1507</v>
      </c>
      <c r="B104" s="1784">
        <v>3000</v>
      </c>
      <c r="C104" s="1784">
        <f t="shared" si="14"/>
        <v>0.6</v>
      </c>
      <c r="D104" s="1784" t="str">
        <f t="shared" si="15"/>
        <v>Yes</v>
      </c>
      <c r="E104" s="1784"/>
    </row>
    <row r="105" spans="1:5" ht="15" thickBot="1" x14ac:dyDescent="0.4">
      <c r="A105" s="1778" t="s">
        <v>1665</v>
      </c>
      <c r="B105" s="1784">
        <v>6000</v>
      </c>
      <c r="C105" s="1784">
        <f t="shared" si="14"/>
        <v>1.2</v>
      </c>
      <c r="D105" s="1784" t="str">
        <f t="shared" si="15"/>
        <v>Yes</v>
      </c>
      <c r="E105" s="1784"/>
    </row>
    <row r="106" spans="1:5" ht="15" thickBot="1" x14ac:dyDescent="0.4">
      <c r="A106" s="1778" t="s">
        <v>1630</v>
      </c>
      <c r="B106" s="1784">
        <v>75000</v>
      </c>
      <c r="C106" s="1784">
        <f t="shared" si="14"/>
        <v>15</v>
      </c>
      <c r="D106" s="1784">
        <f t="shared" si="15"/>
        <v>0</v>
      </c>
      <c r="E106" s="1784"/>
    </row>
    <row r="107" spans="1:5" ht="15" thickBot="1" x14ac:dyDescent="0.4">
      <c r="A107" s="1778" t="s">
        <v>1502</v>
      </c>
      <c r="B107" s="1784">
        <v>225000</v>
      </c>
      <c r="C107" s="1784">
        <f t="shared" si="14"/>
        <v>45</v>
      </c>
      <c r="D107" s="1784">
        <f t="shared" si="15"/>
        <v>0</v>
      </c>
      <c r="E107" s="1784"/>
    </row>
    <row r="108" spans="1:5" ht="15" thickBot="1" x14ac:dyDescent="0.4">
      <c r="A108" s="1778" t="s">
        <v>3155</v>
      </c>
      <c r="B108" s="1784">
        <v>1000000</v>
      </c>
      <c r="C108" s="1784">
        <f t="shared" si="14"/>
        <v>200</v>
      </c>
      <c r="D108" s="1784">
        <f t="shared" si="15"/>
        <v>0</v>
      </c>
      <c r="E108" s="1784"/>
    </row>
    <row r="109" spans="1:5" ht="15" thickBot="1" x14ac:dyDescent="0.4">
      <c r="A109" s="1778" t="s">
        <v>1500</v>
      </c>
      <c r="B109" s="1784">
        <v>67500</v>
      </c>
      <c r="C109" s="1784">
        <f t="shared" si="14"/>
        <v>13.5</v>
      </c>
      <c r="D109" s="1784">
        <f t="shared" si="15"/>
        <v>0</v>
      </c>
      <c r="E109" s="1784"/>
    </row>
    <row r="110" spans="1:5" ht="15" thickBot="1" x14ac:dyDescent="0.4">
      <c r="A110" s="1778" t="s">
        <v>3156</v>
      </c>
      <c r="B110" s="1784">
        <v>56000</v>
      </c>
      <c r="C110" s="1784">
        <f t="shared" si="14"/>
        <v>11.2</v>
      </c>
      <c r="D110" s="1784">
        <f t="shared" si="15"/>
        <v>0</v>
      </c>
      <c r="E110" s="1784"/>
    </row>
    <row r="111" spans="1:5" ht="15" thickBot="1" x14ac:dyDescent="0.4">
      <c r="A111" s="1778" t="s">
        <v>3157</v>
      </c>
      <c r="B111" s="1784">
        <v>250000</v>
      </c>
      <c r="C111" s="1784">
        <f t="shared" si="14"/>
        <v>50</v>
      </c>
      <c r="D111" s="1784">
        <f t="shared" si="15"/>
        <v>0</v>
      </c>
      <c r="E111" s="1784"/>
    </row>
    <row r="112" spans="1:5" ht="15" thickBot="1" x14ac:dyDescent="0.4">
      <c r="A112" s="1778" t="s">
        <v>3158</v>
      </c>
      <c r="B112" s="1784">
        <v>35000</v>
      </c>
      <c r="C112" s="1784">
        <f t="shared" si="14"/>
        <v>7</v>
      </c>
      <c r="D112" s="1784">
        <f t="shared" si="15"/>
        <v>0</v>
      </c>
      <c r="E112" s="1784"/>
    </row>
    <row r="113" spans="1:5" ht="15" thickBot="1" x14ac:dyDescent="0.4">
      <c r="A113" s="1778" t="s">
        <v>3153</v>
      </c>
      <c r="B113" s="1784">
        <f>AVERAGE(B98:B112)</f>
        <v>159673.33333333334</v>
      </c>
      <c r="C113" s="1784">
        <f t="shared" si="14"/>
        <v>31.9</v>
      </c>
      <c r="D113" s="1784">
        <f t="shared" si="15"/>
        <v>0</v>
      </c>
      <c r="E113" s="1784"/>
    </row>
    <row r="114" spans="1:5" ht="15" thickBot="1" x14ac:dyDescent="0.4">
      <c r="A114" s="1778" t="s">
        <v>3151</v>
      </c>
      <c r="B114" s="1784">
        <f>+AVERAGE(B98:B100)</f>
        <v>198366.66666666666</v>
      </c>
      <c r="C114" s="1784">
        <f t="shared" si="14"/>
        <v>39.700000000000003</v>
      </c>
      <c r="D114" s="1784">
        <f t="shared" si="15"/>
        <v>0</v>
      </c>
      <c r="E114" s="1784" t="s">
        <v>3183</v>
      </c>
    </row>
    <row r="115" spans="1:5" ht="15" thickBot="1" x14ac:dyDescent="0.4">
      <c r="A115" s="1778" t="s">
        <v>2134</v>
      </c>
      <c r="B115" s="1784">
        <f>+AVERAGE(B103:B104)</f>
        <v>24000</v>
      </c>
      <c r="C115" s="1784">
        <f t="shared" si="14"/>
        <v>4.8</v>
      </c>
      <c r="D115" s="1784">
        <f t="shared" si="15"/>
        <v>0</v>
      </c>
      <c r="E115" s="1784" t="s">
        <v>3184</v>
      </c>
    </row>
    <row r="116" spans="1:5" ht="15" thickBot="1" x14ac:dyDescent="0.4">
      <c r="A116" s="1778" t="s">
        <v>3154</v>
      </c>
      <c r="B116" s="1784">
        <f>+AVERAGE(B106:B107)</f>
        <v>150000</v>
      </c>
      <c r="C116" s="1784">
        <f t="shared" si="14"/>
        <v>30</v>
      </c>
      <c r="D116" s="1784">
        <f t="shared" si="15"/>
        <v>0</v>
      </c>
      <c r="E116" s="1784" t="s">
        <v>3185</v>
      </c>
    </row>
    <row r="117" spans="1:5" ht="15" thickBot="1" x14ac:dyDescent="0.4">
      <c r="A117" s="1778" t="s">
        <v>3160</v>
      </c>
      <c r="B117" s="1784">
        <f>+AVERAGEIFS(B98:B116,$D$98:$D$116,"Yes")</f>
        <v>6000</v>
      </c>
      <c r="C117" s="1784">
        <f>+AVERAGEIFS(C98:C116,$D$98:$D$116,"Yes")</f>
        <v>1.2</v>
      </c>
      <c r="D117" s="1784">
        <v>10000</v>
      </c>
      <c r="E117" s="1784" t="s">
        <v>3186</v>
      </c>
    </row>
    <row r="118" spans="1:5" ht="15" thickBot="1" x14ac:dyDescent="0.4">
      <c r="A118" s="1778" t="s">
        <v>3161</v>
      </c>
      <c r="B118" s="1784">
        <f>+B108/40</f>
        <v>25000</v>
      </c>
      <c r="C118" s="1784">
        <f>+C108/40</f>
        <v>5</v>
      </c>
      <c r="D118" s="1784"/>
      <c r="E118" s="1784"/>
    </row>
    <row r="119" spans="1:5" ht="15" thickBot="1" x14ac:dyDescent="0.4">
      <c r="A119" s="1778" t="s">
        <v>3162</v>
      </c>
      <c r="B119" s="1784">
        <f>+B116/2</f>
        <v>75000</v>
      </c>
      <c r="C119" s="1784">
        <f>+C116/2</f>
        <v>15</v>
      </c>
      <c r="D119" s="1784"/>
      <c r="E119" s="1784"/>
    </row>
  </sheetData>
  <customSheetViews>
    <customSheetView guid="{11DE45F5-F478-4ED6-8DFF-12002C22A637}" showPageBreaks="1" fitToPage="1" view="pageBreakPreview" topLeftCell="F1">
      <pageMargins left="0.7" right="0.7" top="0.75" bottom="0.75" header="0.3" footer="0.3"/>
      <pageSetup scale="22" orientation="portrait" r:id="rId1"/>
    </customSheetView>
    <customSheetView guid="{ECD6FE6A-9548-414E-B8AA-6998703C57E0}" showPageBreaks="1" fitToPage="1" view="pageBreakPreview" topLeftCell="F1">
      <pageMargins left="0.7" right="0.7" top="0.75" bottom="0.75" header="0.3" footer="0.3"/>
      <pageSetup scale="22" orientation="portrait" r:id="rId2"/>
    </customSheetView>
  </customSheetViews>
  <mergeCells count="10">
    <mergeCell ref="B64:B65"/>
    <mergeCell ref="C64:H64"/>
    <mergeCell ref="T1:Z1"/>
    <mergeCell ref="C22:G22"/>
    <mergeCell ref="C27:G27"/>
    <mergeCell ref="B36:B38"/>
    <mergeCell ref="C36:H36"/>
    <mergeCell ref="C37:H37"/>
    <mergeCell ref="N1:P1"/>
    <mergeCell ref="Q1:S1"/>
  </mergeCells>
  <dataValidations count="6">
    <dataValidation type="list" allowBlank="1" showInputMessage="1" showErrorMessage="1" sqref="K3" xr:uid="{00000000-0002-0000-1F00-000000000000}">
      <formula1>$A$98:$A$116</formula1>
    </dataValidation>
    <dataValidation type="list" allowBlank="1" showInputMessage="1" showErrorMessage="1" sqref="L4:M4 H3" xr:uid="{00000000-0002-0000-1F00-000001000000}">
      <formula1>#REF!</formula1>
    </dataValidation>
    <dataValidation type="list" allowBlank="1" showInputMessage="1" showErrorMessage="1" sqref="N4" xr:uid="{00000000-0002-0000-1F00-000002000000}">
      <formula1>Fuel2</formula1>
    </dataValidation>
    <dataValidation type="list" allowBlank="1" showInputMessage="1" showErrorMessage="1" sqref="O4" xr:uid="{00000000-0002-0000-1F00-000003000000}">
      <formula1>Climate1</formula1>
    </dataValidation>
    <dataValidation type="list" allowBlank="1" showInputMessage="1" showErrorMessage="1" sqref="D3" xr:uid="{00000000-0002-0000-1F00-000004000000}">
      <formula1>MeasureType</formula1>
    </dataValidation>
    <dataValidation type="list" allowBlank="1" showInputMessage="1" showErrorMessage="1" sqref="E3:E4" xr:uid="{00000000-0002-0000-1F00-000005000000}">
      <formula1>PgTs1</formula1>
    </dataValidation>
  </dataValidations>
  <pageMargins left="0.7" right="0.7" top="0.75" bottom="0.75" header="0.3" footer="0.3"/>
  <pageSetup scale="22" orientation="portrait" r:id="rId3"/>
  <ignoredErrors>
    <ignoredError sqref="C55:G57" formulaRange="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F00-000006000000}">
          <x14:formula1>
            <xm:f>'http://sp.weccusa.org/sites/nicor/Nicor Workflow Automation/Version 3/[Inputs-HIM_Res_TRMv3 0.xlsx]List'!#REF!</xm:f>
          </x14:formula1>
          <xm:sqref>D4</xm:sqref>
        </x14:dataValidation>
        <x14:dataValidation type="list" allowBlank="1" showInputMessage="1" showErrorMessage="1" xr:uid="{00000000-0002-0000-1F00-000007000000}">
          <x14:formula1>
            <xm:f>'T:\EEP Planning Models\Planning Tools\Measure_Data\Custom TRM V6\[Other_Commercial_TRMv6.xlsx]Lists'!#REF!</xm:f>
          </x14:formula1>
          <xm:sqref>L3</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tint="0.79998168889431442"/>
    <pageSetUpPr fitToPage="1"/>
  </sheetPr>
  <dimension ref="A1:AB169"/>
  <sheetViews>
    <sheetView view="pageBreakPreview" zoomScale="85" zoomScaleNormal="100" zoomScaleSheetLayoutView="85" workbookViewId="0"/>
  </sheetViews>
  <sheetFormatPr defaultRowHeight="14.5" x14ac:dyDescent="0.35"/>
  <cols>
    <col min="1" max="1" width="10.7265625" customWidth="1"/>
    <col min="2" max="2" width="50.54296875" bestFit="1" customWidth="1"/>
    <col min="3" max="3" width="22.7265625" bestFit="1" customWidth="1"/>
    <col min="4" max="4" width="21.453125" bestFit="1" customWidth="1"/>
    <col min="5" max="5" width="8.7265625" customWidth="1"/>
    <col min="6" max="6" width="19.81640625" bestFit="1" customWidth="1"/>
    <col min="7" max="7" width="15.7265625" customWidth="1"/>
    <col min="8" max="8" width="9.453125" customWidth="1"/>
    <col min="9" max="9" width="25.54296875" customWidth="1"/>
    <col min="10" max="10" width="23.453125" bestFit="1" customWidth="1"/>
    <col min="11" max="11" width="31.26953125" style="24" bestFit="1" customWidth="1"/>
    <col min="12" max="12" width="31.26953125" style="24" customWidth="1"/>
    <col min="13" max="13" width="10.453125" bestFit="1" customWidth="1"/>
    <col min="14" max="14" width="18.7265625" customWidth="1"/>
    <col min="15" max="15" width="10.7265625" customWidth="1"/>
    <col min="16" max="16" width="14.7265625" customWidth="1"/>
    <col min="17" max="17" width="13.453125" customWidth="1"/>
    <col min="18" max="18" width="10" customWidth="1"/>
    <col min="20" max="20" width="19.81640625" customWidth="1"/>
    <col min="21" max="21" width="11.26953125" customWidth="1"/>
    <col min="23" max="23" width="12" bestFit="1" customWidth="1"/>
    <col min="27" max="27" width="15" customWidth="1"/>
  </cols>
  <sheetData>
    <row r="1" spans="1:24" x14ac:dyDescent="0.35">
      <c r="A1" s="1721" t="s">
        <v>324</v>
      </c>
      <c r="B1" s="1172" t="s">
        <v>1777</v>
      </c>
      <c r="C1" s="1176"/>
      <c r="D1" s="1176"/>
      <c r="E1" s="1124"/>
      <c r="F1" s="1177"/>
      <c r="G1" s="1177"/>
      <c r="H1" s="1177"/>
      <c r="I1" s="1177"/>
      <c r="J1" s="1177"/>
      <c r="K1" s="1177"/>
      <c r="L1" s="1177"/>
      <c r="M1" s="1177"/>
      <c r="N1" s="1177"/>
      <c r="O1" s="1177"/>
      <c r="P1" s="2248" t="s">
        <v>335</v>
      </c>
      <c r="Q1" s="2248"/>
      <c r="R1" s="2248"/>
      <c r="S1" s="2248" t="s">
        <v>336</v>
      </c>
      <c r="T1" s="2248"/>
      <c r="U1" s="2216"/>
      <c r="V1" s="2312" t="s">
        <v>337</v>
      </c>
      <c r="W1" s="2312"/>
      <c r="X1" s="2312"/>
    </row>
    <row r="2" spans="1:24" ht="43.5" x14ac:dyDescent="0.35">
      <c r="A2" s="1145"/>
      <c r="B2" s="1129" t="s">
        <v>1673</v>
      </c>
      <c r="C2" s="1129" t="s">
        <v>339</v>
      </c>
      <c r="D2" s="1129" t="s">
        <v>688</v>
      </c>
      <c r="E2" s="1177" t="s">
        <v>342</v>
      </c>
      <c r="F2" s="1177" t="s">
        <v>1674</v>
      </c>
      <c r="G2" s="1177" t="s">
        <v>1778</v>
      </c>
      <c r="H2" s="1177" t="s">
        <v>1676</v>
      </c>
      <c r="I2" s="1177" t="s">
        <v>1779</v>
      </c>
      <c r="J2" s="1177" t="s">
        <v>1780</v>
      </c>
      <c r="K2" s="1177" t="s">
        <v>838</v>
      </c>
      <c r="L2" s="1177" t="s">
        <v>1679</v>
      </c>
      <c r="M2" s="1177" t="s">
        <v>1680</v>
      </c>
      <c r="N2" s="1177" t="s">
        <v>345</v>
      </c>
      <c r="O2" s="1177" t="s">
        <v>1454</v>
      </c>
      <c r="P2" s="1177" t="s">
        <v>347</v>
      </c>
      <c r="Q2" s="1177" t="s">
        <v>348</v>
      </c>
      <c r="R2" s="1177" t="s">
        <v>349</v>
      </c>
      <c r="S2" s="1177" t="s">
        <v>347</v>
      </c>
      <c r="T2" s="1177" t="s">
        <v>348</v>
      </c>
      <c r="U2" s="1178" t="s">
        <v>349</v>
      </c>
      <c r="V2" s="857" t="s">
        <v>1461</v>
      </c>
      <c r="W2" s="857" t="s">
        <v>1684</v>
      </c>
      <c r="X2" s="857" t="s">
        <v>1459</v>
      </c>
    </row>
    <row r="3" spans="1:24" ht="29" x14ac:dyDescent="0.35">
      <c r="A3" s="1131" t="s">
        <v>1781</v>
      </c>
      <c r="B3" s="1131" t="str">
        <f>$B$1&amp;", "&amp;G3&amp;", "&amp;H3&amp;" "&amp;I3&amp;", "&amp;J3</f>
        <v>Small Pipe Insulation, 1/2", Indoor Space Heating, Recirculation - Heating Season only</v>
      </c>
      <c r="C3" s="1148" t="s">
        <v>185</v>
      </c>
      <c r="D3" s="1133" t="s">
        <v>1686</v>
      </c>
      <c r="E3" s="135" t="s">
        <v>403</v>
      </c>
      <c r="F3" s="1179">
        <f>+$B$27</f>
        <v>15</v>
      </c>
      <c r="G3" s="1207" t="s">
        <v>1761</v>
      </c>
      <c r="H3" s="1150" t="s">
        <v>1694</v>
      </c>
      <c r="I3" s="1148" t="s">
        <v>1688</v>
      </c>
      <c r="J3" s="1148" t="s">
        <v>1690</v>
      </c>
      <c r="K3" s="135" t="s">
        <v>1782</v>
      </c>
      <c r="L3" s="135" t="s">
        <v>738</v>
      </c>
      <c r="M3" s="1173">
        <v>1</v>
      </c>
      <c r="N3" s="1179" t="s">
        <v>357</v>
      </c>
      <c r="O3" s="1217"/>
      <c r="P3" s="1182"/>
      <c r="Q3" s="1184"/>
      <c r="R3" s="1183">
        <f>W3*(IF(G3=$H$55,VLOOKUP(K3,$C$78:$I$114,X3,FALSE),IF(G3=$H$56,VLOOKUP(K3,$C$122:$I$158,X3,FALSE))))</f>
        <v>0.11928799999999999</v>
      </c>
      <c r="S3" s="1182"/>
      <c r="T3" s="1182"/>
      <c r="U3" s="1205">
        <f>R3*F3</f>
        <v>1.7893199999999998</v>
      </c>
      <c r="V3" s="62">
        <f>IF(OR(J3=$H$52,J3=$H$53),8766,IF(J3=$H$51,VLOOKUP(L3,$E$37:$F$42,2),IF(J3=$H$50,VLOOKUP(K3,List!$B$7:$H$41,X3))))</f>
        <v>4939</v>
      </c>
      <c r="W3" s="62">
        <f>IF(H3=$B$62,$D$62,VLOOKUP(I3,$B$71:$C$73, 2, FALSE))</f>
        <v>0.37</v>
      </c>
      <c r="X3" s="62">
        <f>VLOOKUP(L3,$J$77:$K$82,2)</f>
        <v>7</v>
      </c>
    </row>
    <row r="4" spans="1:24" ht="29" x14ac:dyDescent="0.35">
      <c r="A4" s="1131" t="s">
        <v>1783</v>
      </c>
      <c r="B4" s="1131" t="str">
        <f t="shared" ref="B4:B6" si="0">$B$1&amp;", "&amp;G4&amp;", "&amp;H4&amp;" "&amp;I4&amp;", "&amp;J4</f>
        <v>Small Pipe Insulation, 3/4", Indoor Space Heating, Recirculation - Heating Season only</v>
      </c>
      <c r="C4" s="1148" t="s">
        <v>186</v>
      </c>
      <c r="D4" s="1133" t="s">
        <v>1686</v>
      </c>
      <c r="E4" s="135" t="s">
        <v>403</v>
      </c>
      <c r="F4" s="1179">
        <f t="shared" ref="F4:F7" si="1">+$B$27</f>
        <v>15</v>
      </c>
      <c r="G4" s="1207" t="s">
        <v>1762</v>
      </c>
      <c r="H4" s="1150" t="s">
        <v>1694</v>
      </c>
      <c r="I4" s="1148" t="s">
        <v>1688</v>
      </c>
      <c r="J4" s="1148" t="s">
        <v>1690</v>
      </c>
      <c r="K4" s="135" t="s">
        <v>1782</v>
      </c>
      <c r="L4" s="135" t="s">
        <v>738</v>
      </c>
      <c r="M4" s="1173">
        <v>1</v>
      </c>
      <c r="N4" s="1179" t="s">
        <v>357</v>
      </c>
      <c r="O4" s="1217"/>
      <c r="P4" s="1182"/>
      <c r="Q4" s="1184"/>
      <c r="R4" s="1183">
        <f>W4*(IF(G4=$H$55,VLOOKUP(K4,$C$78:$I$114,X4,FALSE),IF(G4=$H$56,VLOOKUP(K4,$C$122:$I$158,X4,FALSE))))</f>
        <v>0.14470700000000003</v>
      </c>
      <c r="S4" s="1182"/>
      <c r="T4" s="1182"/>
      <c r="U4" s="1205">
        <f>R4*F4</f>
        <v>2.1706050000000006</v>
      </c>
      <c r="V4" s="62">
        <f>IF(OR(J4=$H$52,J4=$H$53),8766,IF(J4=$H$51,VLOOKUP(L4,$E$37:$F$42,2),IF(J4=$H$50,VLOOKUP(K4,List!$B$7:$H$41,X4))))</f>
        <v>4939</v>
      </c>
      <c r="W4" s="62">
        <f>IF(H4=$B$62,$D$62,VLOOKUP(I4,$B$71:$C$73, 2, FALSE))</f>
        <v>0.37</v>
      </c>
      <c r="X4" s="62">
        <f>VLOOKUP(L4,$J$77:$K$82,2)</f>
        <v>7</v>
      </c>
    </row>
    <row r="5" spans="1:24" ht="29" x14ac:dyDescent="0.35">
      <c r="A5" s="1131" t="s">
        <v>1784</v>
      </c>
      <c r="B5" s="1131" t="str">
        <f t="shared" si="0"/>
        <v>Small Pipe Insulation, 1/2", Indoor Domestic Hot Water, DHW Circulation Loop</v>
      </c>
      <c r="C5" s="1148" t="s">
        <v>187</v>
      </c>
      <c r="D5" s="1133" t="s">
        <v>1686</v>
      </c>
      <c r="E5" s="135" t="s">
        <v>403</v>
      </c>
      <c r="F5" s="1179">
        <f t="shared" si="1"/>
        <v>15</v>
      </c>
      <c r="G5" s="1207" t="s">
        <v>1761</v>
      </c>
      <c r="H5" s="1150" t="s">
        <v>1694</v>
      </c>
      <c r="I5" s="1148" t="s">
        <v>1699</v>
      </c>
      <c r="J5" s="1148" t="s">
        <v>1700</v>
      </c>
      <c r="K5" s="135" t="s">
        <v>1785</v>
      </c>
      <c r="L5" s="135" t="s">
        <v>738</v>
      </c>
      <c r="M5" s="1173">
        <v>1</v>
      </c>
      <c r="N5" s="1179" t="s">
        <v>357</v>
      </c>
      <c r="O5" s="1217"/>
      <c r="P5" s="1182"/>
      <c r="Q5" s="1184"/>
      <c r="R5" s="1183">
        <f>W5*(IF(G5=$H$55,VLOOKUP(K5,$C$78:$I$114,X5,FALSE),IF(G5=$H$56,VLOOKUP(K5,$C$122:$I$158,X5,FALSE))))</f>
        <v>0.23165999999999998</v>
      </c>
      <c r="S5" s="1182"/>
      <c r="T5" s="1182"/>
      <c r="U5" s="1205">
        <f>R5*F5</f>
        <v>3.4748999999999999</v>
      </c>
      <c r="V5" s="62">
        <f>IF(OR(J5=$H$52,J5=$H$53),8766,IF(J5=$H$51,VLOOKUP(L5,$E$37:$F$42,2),IF(J5=$H$50,VLOOKUP(K5,List!$B$7:$H$41,X5))))</f>
        <v>8766</v>
      </c>
      <c r="W5" s="62">
        <f>IF(H5=$B$62,$D$62,VLOOKUP(I5,$B$71:$C$73, 2, FALSE))</f>
        <v>0.40499999999999997</v>
      </c>
      <c r="X5" s="62">
        <f>VLOOKUP(L5,$J$77:$K$82,2)</f>
        <v>7</v>
      </c>
    </row>
    <row r="6" spans="1:24" ht="29" x14ac:dyDescent="0.35">
      <c r="A6" s="1131" t="s">
        <v>1786</v>
      </c>
      <c r="B6" s="1131" t="str">
        <f t="shared" si="0"/>
        <v>Small Pipe Insulation, 3/4", Indoor Domestic Hot Water, DHW Circulation Loop</v>
      </c>
      <c r="C6" s="1148" t="s">
        <v>188</v>
      </c>
      <c r="D6" s="1133" t="s">
        <v>1686</v>
      </c>
      <c r="E6" s="135" t="s">
        <v>403</v>
      </c>
      <c r="F6" s="1179">
        <f t="shared" si="1"/>
        <v>15</v>
      </c>
      <c r="G6" s="1207" t="s">
        <v>1762</v>
      </c>
      <c r="H6" s="1150" t="s">
        <v>1694</v>
      </c>
      <c r="I6" s="1148" t="s">
        <v>1699</v>
      </c>
      <c r="J6" s="1148" t="s">
        <v>1700</v>
      </c>
      <c r="K6" s="135" t="s">
        <v>1785</v>
      </c>
      <c r="L6" s="135" t="s">
        <v>738</v>
      </c>
      <c r="M6" s="1173">
        <v>1</v>
      </c>
      <c r="N6" s="1179" t="s">
        <v>357</v>
      </c>
      <c r="O6" s="1217"/>
      <c r="P6" s="1182"/>
      <c r="Q6" s="1184"/>
      <c r="R6" s="1183">
        <f>W6*(IF(G6=$H$55,VLOOKUP(K6,$C$78:$I$114,X6,FALSE),IF(G6=$H$56,VLOOKUP(K6,$C$122:$I$158,X6,FALSE))))</f>
        <v>0.28106999999999999</v>
      </c>
      <c r="S6" s="1182"/>
      <c r="T6" s="1182"/>
      <c r="U6" s="1205">
        <f>R6*F6</f>
        <v>4.2160500000000001</v>
      </c>
      <c r="V6" s="62">
        <f>IF(OR(J6=$H$52,J6=$H$53),8766,IF(J6=$H$51,VLOOKUP(L6,$E$37:$F$42,2),IF(J6=$H$50,VLOOKUP(K6,List!$B$7:$H$41,X6))))</f>
        <v>8766</v>
      </c>
      <c r="W6" s="62">
        <f>IF(H6=$B$62,$D$62,VLOOKUP(I6,$B$71:$C$73, 2, FALSE))</f>
        <v>0.40499999999999997</v>
      </c>
      <c r="X6" s="62">
        <f>VLOOKUP(L6,$J$77:$K$82,2)</f>
        <v>7</v>
      </c>
    </row>
    <row r="7" spans="1:24" ht="29" x14ac:dyDescent="0.35">
      <c r="A7" s="1131" t="s">
        <v>1786</v>
      </c>
      <c r="B7" s="1131" t="s">
        <v>2652</v>
      </c>
      <c r="C7" s="1148" t="s">
        <v>2653</v>
      </c>
      <c r="D7" s="1133" t="s">
        <v>1686</v>
      </c>
      <c r="E7" s="135" t="s">
        <v>403</v>
      </c>
      <c r="F7" s="1179">
        <f t="shared" si="1"/>
        <v>15</v>
      </c>
      <c r="G7" s="1207" t="s">
        <v>2582</v>
      </c>
      <c r="H7" s="1150"/>
      <c r="I7" s="1148"/>
      <c r="J7" s="1148"/>
      <c r="K7" s="135"/>
      <c r="L7" s="135" t="s">
        <v>738</v>
      </c>
      <c r="M7" s="1173">
        <v>1</v>
      </c>
      <c r="N7" s="1179" t="s">
        <v>357</v>
      </c>
      <c r="O7" s="1217"/>
      <c r="P7" s="1182"/>
      <c r="Q7" s="1184"/>
      <c r="R7" s="1183">
        <f>+AVERAGE(R3:R6)</f>
        <v>0.19418125</v>
      </c>
      <c r="S7" s="1182"/>
      <c r="T7" s="1182"/>
      <c r="U7" s="1205">
        <f>R7*F7</f>
        <v>2.9127187499999998</v>
      </c>
      <c r="V7" t="s">
        <v>2654</v>
      </c>
    </row>
    <row r="9" spans="1:24" ht="15" thickBot="1" x14ac:dyDescent="0.4"/>
    <row r="10" spans="1:24" ht="15" thickBot="1" x14ac:dyDescent="0.4">
      <c r="A10" s="88" t="s">
        <v>408</v>
      </c>
      <c r="B10" s="410"/>
    </row>
    <row r="11" spans="1:24" x14ac:dyDescent="0.35">
      <c r="A11" s="467" t="s">
        <v>1787</v>
      </c>
      <c r="B11" s="469" t="s">
        <v>1788</v>
      </c>
      <c r="O11" s="184"/>
    </row>
    <row r="12" spans="1:24" ht="15" thickBot="1" x14ac:dyDescent="0.4">
      <c r="A12" s="321" t="s">
        <v>1789</v>
      </c>
      <c r="B12" s="203" t="s">
        <v>1790</v>
      </c>
      <c r="O12" s="184"/>
    </row>
    <row r="13" spans="1:24" ht="15" thickBot="1" x14ac:dyDescent="0.4">
      <c r="A13" s="188" t="s">
        <v>2571</v>
      </c>
      <c r="B13" s="1384" t="e">
        <f>+#REF!</f>
        <v>#REF!</v>
      </c>
      <c r="O13" s="184"/>
    </row>
    <row r="14" spans="1:24" ht="15" thickBot="1" x14ac:dyDescent="0.4">
      <c r="A14" s="188" t="s">
        <v>2572</v>
      </c>
      <c r="B14" s="701" t="s">
        <v>2568</v>
      </c>
      <c r="O14" s="184"/>
    </row>
    <row r="15" spans="1:24" x14ac:dyDescent="0.35">
      <c r="O15" s="184"/>
    </row>
    <row r="16" spans="1:24" ht="15" thickBot="1" x14ac:dyDescent="0.4">
      <c r="O16" s="184"/>
    </row>
    <row r="17" spans="1:15" ht="15" thickBot="1" x14ac:dyDescent="0.4">
      <c r="A17" s="88" t="s">
        <v>413</v>
      </c>
      <c r="B17" s="89" t="s">
        <v>414</v>
      </c>
      <c r="C17" s="90" t="s">
        <v>415</v>
      </c>
      <c r="D17" s="78"/>
      <c r="E17" s="78"/>
      <c r="F17" s="78"/>
      <c r="G17" s="78"/>
      <c r="H17" s="78"/>
      <c r="I17" s="79"/>
      <c r="K17"/>
      <c r="O17" s="184"/>
    </row>
    <row r="18" spans="1:15" x14ac:dyDescent="0.35">
      <c r="A18" s="118" t="s">
        <v>1461</v>
      </c>
      <c r="B18" s="735" t="s">
        <v>1471</v>
      </c>
      <c r="C18" s="94" t="s">
        <v>1720</v>
      </c>
      <c r="D18" s="94"/>
      <c r="E18" s="94"/>
      <c r="F18" s="94"/>
      <c r="G18" s="94"/>
      <c r="H18" s="94"/>
      <c r="I18" s="95"/>
      <c r="K18"/>
      <c r="O18" s="184"/>
    </row>
    <row r="19" spans="1:15" x14ac:dyDescent="0.35">
      <c r="A19" s="311"/>
      <c r="B19" s="67"/>
      <c r="C19" s="67" t="s">
        <v>1791</v>
      </c>
      <c r="D19" s="67"/>
      <c r="E19" s="67"/>
      <c r="F19" s="67"/>
      <c r="G19" s="67"/>
      <c r="H19" s="67"/>
      <c r="I19" s="310"/>
      <c r="K19"/>
      <c r="O19" s="184"/>
    </row>
    <row r="20" spans="1:15" x14ac:dyDescent="0.35">
      <c r="A20" s="311"/>
      <c r="B20" s="67"/>
      <c r="C20" s="67" t="s">
        <v>1792</v>
      </c>
      <c r="D20" s="67"/>
      <c r="E20" s="67"/>
      <c r="F20" s="67"/>
      <c r="G20" s="67"/>
      <c r="H20" s="67"/>
      <c r="I20" s="310"/>
      <c r="K20"/>
      <c r="O20" s="184"/>
    </row>
    <row r="21" spans="1:15" ht="15" thickBot="1" x14ac:dyDescent="0.4">
      <c r="A21" s="111"/>
      <c r="B21" s="99"/>
      <c r="C21" s="99" t="s">
        <v>1793</v>
      </c>
      <c r="D21" s="99"/>
      <c r="E21" s="99"/>
      <c r="F21" s="99"/>
      <c r="G21" s="99"/>
      <c r="H21" s="99"/>
      <c r="I21" s="100"/>
      <c r="K21"/>
      <c r="O21" s="184"/>
    </row>
    <row r="22" spans="1:15" x14ac:dyDescent="0.35">
      <c r="A22" s="118" t="s">
        <v>1684</v>
      </c>
      <c r="B22" s="481" t="s">
        <v>1085</v>
      </c>
      <c r="C22" s="94" t="s">
        <v>1729</v>
      </c>
      <c r="D22" s="94"/>
      <c r="E22" s="94"/>
      <c r="F22" s="94"/>
      <c r="G22" s="94"/>
      <c r="H22" s="94"/>
      <c r="I22" s="95"/>
      <c r="K22"/>
      <c r="O22" s="184"/>
    </row>
    <row r="23" spans="1:15" x14ac:dyDescent="0.35">
      <c r="A23" s="311"/>
      <c r="B23" s="67"/>
      <c r="C23" s="67" t="s">
        <v>2353</v>
      </c>
      <c r="D23" s="67"/>
      <c r="E23" s="869"/>
      <c r="F23" s="67"/>
      <c r="G23" s="67"/>
      <c r="H23" s="67"/>
      <c r="I23" s="310"/>
      <c r="K23"/>
      <c r="O23" s="184"/>
    </row>
    <row r="24" spans="1:15" ht="48" customHeight="1" x14ac:dyDescent="0.35">
      <c r="A24" s="311"/>
      <c r="B24" s="67"/>
      <c r="C24" s="2334" t="s">
        <v>1730</v>
      </c>
      <c r="D24" s="2334"/>
      <c r="E24" s="2334"/>
      <c r="F24" s="2334"/>
      <c r="G24" s="2334"/>
      <c r="H24" s="2334"/>
      <c r="I24" s="2388"/>
      <c r="K24"/>
      <c r="O24" s="184"/>
    </row>
    <row r="25" spans="1:15" x14ac:dyDescent="0.35">
      <c r="A25" s="311"/>
      <c r="B25" s="67"/>
      <c r="C25" s="871" t="s">
        <v>1717</v>
      </c>
      <c r="D25" s="871"/>
      <c r="E25" s="872"/>
      <c r="F25" s="871"/>
      <c r="G25" s="67"/>
      <c r="H25" s="67"/>
      <c r="I25" s="310"/>
      <c r="K25"/>
      <c r="O25" s="184"/>
    </row>
    <row r="26" spans="1:15" ht="15" thickBot="1" x14ac:dyDescent="0.4">
      <c r="A26" s="111"/>
      <c r="B26" s="99"/>
      <c r="C26" s="874" t="s">
        <v>2352</v>
      </c>
      <c r="D26" s="874"/>
      <c r="E26" s="874"/>
      <c r="F26" s="875"/>
      <c r="G26" s="874"/>
      <c r="H26" s="99"/>
      <c r="I26" s="100"/>
      <c r="K26"/>
      <c r="O26" s="184"/>
    </row>
    <row r="27" spans="1:15" x14ac:dyDescent="0.35">
      <c r="A27" s="118" t="s">
        <v>443</v>
      </c>
      <c r="B27" s="94">
        <v>15</v>
      </c>
      <c r="C27" s="876" t="s">
        <v>1731</v>
      </c>
      <c r="D27" s="94"/>
      <c r="E27" s="94"/>
      <c r="F27" s="94"/>
      <c r="G27" s="94"/>
      <c r="H27" s="94"/>
      <c r="I27" s="95"/>
      <c r="K27"/>
      <c r="O27" s="184"/>
    </row>
    <row r="28" spans="1:15" ht="15" thickBot="1" x14ac:dyDescent="0.4">
      <c r="A28" s="111"/>
      <c r="B28" s="99"/>
      <c r="C28" s="878" t="s">
        <v>1732</v>
      </c>
      <c r="D28" s="99"/>
      <c r="E28" s="99"/>
      <c r="F28" s="99"/>
      <c r="G28" s="99"/>
      <c r="H28" s="99"/>
      <c r="I28" s="100"/>
      <c r="K28"/>
      <c r="O28" s="184"/>
    </row>
    <row r="29" spans="1:15" x14ac:dyDescent="0.35">
      <c r="A29" s="118" t="s">
        <v>344</v>
      </c>
      <c r="B29" s="481"/>
      <c r="C29" s="94"/>
      <c r="D29" s="94"/>
      <c r="E29" s="94"/>
      <c r="F29" s="94"/>
      <c r="G29" s="94"/>
      <c r="H29" s="94"/>
      <c r="I29" s="95"/>
      <c r="K29"/>
      <c r="O29" s="184"/>
    </row>
    <row r="30" spans="1:15" ht="15" thickBot="1" x14ac:dyDescent="0.4">
      <c r="A30" s="111"/>
      <c r="B30" s="99"/>
      <c r="C30" s="99"/>
      <c r="D30" s="99"/>
      <c r="E30" s="99"/>
      <c r="F30" s="99"/>
      <c r="G30" s="99"/>
      <c r="H30" s="99"/>
      <c r="I30" s="100"/>
      <c r="K30"/>
      <c r="O30" s="184"/>
    </row>
    <row r="31" spans="1:15" x14ac:dyDescent="0.35">
      <c r="O31" s="184"/>
    </row>
    <row r="32" spans="1:15" ht="15" thickBot="1" x14ac:dyDescent="0.4">
      <c r="O32" s="184"/>
    </row>
    <row r="33" spans="1:15" ht="15" thickBot="1" x14ac:dyDescent="0.4">
      <c r="A33" s="122" t="s">
        <v>539</v>
      </c>
      <c r="B33" s="78"/>
      <c r="C33" s="472"/>
      <c r="D33" s="472"/>
      <c r="E33" s="472"/>
      <c r="F33" s="472"/>
      <c r="G33" s="472"/>
      <c r="H33" s="472"/>
      <c r="I33" s="472"/>
      <c r="J33" s="472"/>
      <c r="K33" s="472"/>
      <c r="L33" s="472"/>
      <c r="M33" s="472"/>
      <c r="N33" s="473"/>
      <c r="O33" s="184"/>
    </row>
    <row r="34" spans="1:15" x14ac:dyDescent="0.35">
      <c r="A34" s="124"/>
      <c r="B34" s="83"/>
      <c r="C34" s="83"/>
      <c r="D34" s="83"/>
      <c r="E34" s="83"/>
      <c r="F34" s="83"/>
      <c r="G34" s="83"/>
      <c r="H34" s="83"/>
      <c r="I34" s="83"/>
      <c r="J34" s="83"/>
      <c r="K34" s="83"/>
      <c r="L34" s="83"/>
      <c r="M34" s="83"/>
      <c r="N34" s="125"/>
      <c r="O34" s="184"/>
    </row>
    <row r="35" spans="1:15" x14ac:dyDescent="0.35">
      <c r="A35" s="124"/>
      <c r="B35" s="83"/>
      <c r="C35" s="83"/>
      <c r="D35" s="83"/>
      <c r="E35" s="83"/>
      <c r="F35" s="83"/>
      <c r="G35" s="83"/>
      <c r="H35" s="83"/>
      <c r="I35" s="83"/>
      <c r="J35" s="83"/>
      <c r="K35" s="83"/>
      <c r="L35" s="83"/>
      <c r="M35" s="83"/>
      <c r="N35" s="125"/>
      <c r="O35" s="184"/>
    </row>
    <row r="36" spans="1:15" x14ac:dyDescent="0.35">
      <c r="A36" s="938" t="s">
        <v>1794</v>
      </c>
      <c r="B36" s="2318" t="s">
        <v>1764</v>
      </c>
      <c r="C36" s="2320"/>
      <c r="D36" s="83"/>
      <c r="E36" s="2333" t="s">
        <v>1774</v>
      </c>
      <c r="F36" s="2333"/>
      <c r="G36" s="83"/>
      <c r="H36" s="83"/>
      <c r="I36" s="83"/>
      <c r="J36" s="83"/>
      <c r="K36" s="83"/>
      <c r="L36" s="83"/>
      <c r="M36" s="83"/>
      <c r="N36" s="125"/>
      <c r="O36" s="184"/>
    </row>
    <row r="37" spans="1:15" ht="43.5" x14ac:dyDescent="0.35">
      <c r="A37" s="939"/>
      <c r="B37" s="940" t="s">
        <v>1795</v>
      </c>
      <c r="C37" s="940" t="s">
        <v>1796</v>
      </c>
      <c r="D37" s="83"/>
      <c r="E37" s="317" t="s">
        <v>457</v>
      </c>
      <c r="F37" s="934">
        <v>5039</v>
      </c>
      <c r="G37" s="83"/>
      <c r="H37" s="941" t="s">
        <v>342</v>
      </c>
      <c r="I37" s="83"/>
      <c r="J37" s="83"/>
      <c r="K37" s="83"/>
      <c r="L37" s="83"/>
      <c r="M37" s="83"/>
      <c r="N37" s="125"/>
      <c r="O37" s="184"/>
    </row>
    <row r="38" spans="1:15" ht="15" customHeight="1" x14ac:dyDescent="0.35">
      <c r="A38" s="942"/>
      <c r="B38" s="62"/>
      <c r="C38" s="62"/>
      <c r="D38" s="83"/>
      <c r="E38" s="317" t="s">
        <v>459</v>
      </c>
      <c r="F38" s="934">
        <v>4963</v>
      </c>
      <c r="G38" s="83"/>
      <c r="H38" s="62" t="s">
        <v>495</v>
      </c>
      <c r="I38" s="83"/>
      <c r="J38" s="83"/>
      <c r="K38" s="83"/>
      <c r="L38" s="83"/>
      <c r="M38" s="83"/>
      <c r="N38" s="125"/>
      <c r="O38" s="303"/>
    </row>
    <row r="39" spans="1:15" ht="43.5" x14ac:dyDescent="0.35">
      <c r="A39" s="360"/>
      <c r="B39" s="62"/>
      <c r="C39" s="62"/>
      <c r="D39" s="83"/>
      <c r="E39" s="317" t="s">
        <v>461</v>
      </c>
      <c r="F39" s="934">
        <v>4495</v>
      </c>
      <c r="G39" s="83"/>
      <c r="H39" s="62" t="s">
        <v>403</v>
      </c>
      <c r="I39" s="83"/>
      <c r="J39" s="83"/>
      <c r="K39" s="83"/>
      <c r="L39" s="83"/>
      <c r="M39" s="83"/>
      <c r="N39" s="125"/>
      <c r="O39" s="303"/>
    </row>
    <row r="40" spans="1:15" ht="43.5" x14ac:dyDescent="0.35">
      <c r="A40" s="360"/>
      <c r="B40" s="62"/>
      <c r="C40" s="62"/>
      <c r="D40" s="83"/>
      <c r="E40" s="317" t="s">
        <v>463</v>
      </c>
      <c r="F40" s="934">
        <v>4021</v>
      </c>
      <c r="G40" s="83"/>
      <c r="H40" s="83"/>
      <c r="I40" s="83"/>
      <c r="J40" s="83"/>
      <c r="K40" s="83"/>
      <c r="L40" s="83"/>
      <c r="M40" s="83"/>
      <c r="N40" s="125"/>
      <c r="O40" s="184"/>
    </row>
    <row r="41" spans="1:15" ht="29" x14ac:dyDescent="0.35">
      <c r="A41" s="360"/>
      <c r="B41" s="921"/>
      <c r="C41" s="921"/>
      <c r="D41" s="83"/>
      <c r="E41" s="317" t="s">
        <v>464</v>
      </c>
      <c r="F41" s="934">
        <v>4150</v>
      </c>
      <c r="G41" s="83"/>
      <c r="H41" s="83"/>
      <c r="I41" s="83"/>
      <c r="J41" s="83"/>
      <c r="K41" s="83"/>
      <c r="L41" s="83"/>
      <c r="M41" s="83"/>
      <c r="N41" s="125"/>
      <c r="O41" s="184"/>
    </row>
    <row r="42" spans="1:15" ht="29" x14ac:dyDescent="0.35">
      <c r="A42" s="360"/>
      <c r="B42" s="921"/>
      <c r="C42" s="921"/>
      <c r="D42" s="83"/>
      <c r="E42" s="317" t="s">
        <v>738</v>
      </c>
      <c r="F42" s="934">
        <f>F37*$I$43+F38*$I$44+F39*$I$45</f>
        <v>4939</v>
      </c>
      <c r="G42" s="83"/>
      <c r="H42" s="2386" t="s">
        <v>1797</v>
      </c>
      <c r="I42" s="2386"/>
      <c r="J42" s="83"/>
      <c r="K42" s="83"/>
      <c r="L42" s="83"/>
      <c r="M42" s="83"/>
      <c r="N42" s="125"/>
      <c r="O42" s="303"/>
    </row>
    <row r="43" spans="1:15" x14ac:dyDescent="0.35">
      <c r="A43" s="360"/>
      <c r="B43" s="921"/>
      <c r="C43" s="921"/>
      <c r="D43" s="83"/>
      <c r="E43" s="83"/>
      <c r="F43" s="83"/>
      <c r="G43" s="83"/>
      <c r="H43" s="62" t="s">
        <v>826</v>
      </c>
      <c r="I43" s="361">
        <v>0.3</v>
      </c>
      <c r="J43" s="83"/>
      <c r="K43" s="83"/>
      <c r="L43" s="83"/>
      <c r="M43" s="83"/>
      <c r="N43" s="125"/>
      <c r="O43" s="303"/>
    </row>
    <row r="44" spans="1:15" x14ac:dyDescent="0.35">
      <c r="A44" s="360"/>
      <c r="B44" s="921"/>
      <c r="C44" s="921"/>
      <c r="D44" s="83"/>
      <c r="E44" s="83"/>
      <c r="F44" s="83"/>
      <c r="G44" s="83"/>
      <c r="H44" s="62" t="s">
        <v>827</v>
      </c>
      <c r="I44" s="361">
        <v>0.6</v>
      </c>
      <c r="J44" s="83"/>
      <c r="K44" s="83"/>
      <c r="L44" s="83"/>
      <c r="M44" s="83"/>
      <c r="N44" s="125"/>
      <c r="O44" s="184"/>
    </row>
    <row r="45" spans="1:15" x14ac:dyDescent="0.35">
      <c r="A45" s="360"/>
      <c r="B45" s="921"/>
      <c r="C45" s="921"/>
      <c r="D45" s="83"/>
      <c r="E45" s="83"/>
      <c r="F45" s="83"/>
      <c r="G45" s="83"/>
      <c r="H45" s="62" t="s">
        <v>828</v>
      </c>
      <c r="I45" s="361">
        <v>0.1</v>
      </c>
      <c r="J45" s="83"/>
      <c r="K45" s="83"/>
      <c r="L45" s="83"/>
      <c r="M45" s="83"/>
      <c r="N45" s="125"/>
    </row>
    <row r="46" spans="1:15" x14ac:dyDescent="0.35">
      <c r="A46" s="124"/>
      <c r="B46" s="83"/>
      <c r="C46" s="83"/>
      <c r="D46" s="83"/>
      <c r="E46" s="83"/>
      <c r="F46" s="83"/>
      <c r="G46" s="83"/>
      <c r="H46" s="83"/>
      <c r="I46" s="83"/>
      <c r="J46" s="83"/>
      <c r="K46" s="83"/>
      <c r="L46" s="83"/>
      <c r="M46" s="83"/>
      <c r="N46" s="125"/>
    </row>
    <row r="47" spans="1:15" x14ac:dyDescent="0.35">
      <c r="A47" s="124"/>
      <c r="B47" s="83"/>
      <c r="C47" s="83"/>
      <c r="D47" s="83"/>
      <c r="E47" s="83"/>
      <c r="F47" s="83"/>
      <c r="G47" s="83"/>
      <c r="H47" s="943"/>
      <c r="I47" s="83"/>
      <c r="J47" s="83"/>
      <c r="K47" s="83"/>
      <c r="L47" s="83"/>
      <c r="M47" s="83"/>
      <c r="N47" s="125"/>
    </row>
    <row r="48" spans="1:15" x14ac:dyDescent="0.35">
      <c r="A48" s="2387" t="s">
        <v>1742</v>
      </c>
      <c r="B48" s="2337"/>
      <c r="C48" s="83"/>
      <c r="D48" s="83"/>
      <c r="E48" s="83"/>
      <c r="F48" s="83"/>
      <c r="G48" s="83"/>
      <c r="H48" s="944"/>
      <c r="I48" s="945"/>
      <c r="J48" s="83"/>
      <c r="K48" s="83"/>
      <c r="L48" s="83"/>
      <c r="M48" s="83"/>
      <c r="N48" s="125"/>
    </row>
    <row r="49" spans="1:14" x14ac:dyDescent="0.35">
      <c r="A49" s="946" t="s">
        <v>1697</v>
      </c>
      <c r="B49" s="302">
        <v>0.81899999999999995</v>
      </c>
      <c r="C49" s="83"/>
      <c r="D49" s="83"/>
      <c r="E49" s="83"/>
      <c r="F49" s="83"/>
      <c r="G49" s="83"/>
      <c r="H49" s="2328" t="s">
        <v>1769</v>
      </c>
      <c r="I49" s="2328"/>
      <c r="J49" s="83"/>
      <c r="K49" s="83"/>
      <c r="L49" s="83"/>
      <c r="M49" s="83"/>
      <c r="N49" s="125"/>
    </row>
    <row r="50" spans="1:14" x14ac:dyDescent="0.35">
      <c r="A50" s="947" t="s">
        <v>1692</v>
      </c>
      <c r="B50" s="302">
        <v>0.80700000000000005</v>
      </c>
      <c r="C50" s="83"/>
      <c r="D50" s="83"/>
      <c r="E50" s="83"/>
      <c r="F50" s="83"/>
      <c r="G50" s="83"/>
      <c r="H50" s="62" t="s">
        <v>1739</v>
      </c>
      <c r="I50" s="62" t="s">
        <v>1699</v>
      </c>
      <c r="J50" s="83"/>
      <c r="K50" s="83"/>
      <c r="L50" s="83"/>
      <c r="M50" s="83"/>
      <c r="N50" s="125"/>
    </row>
    <row r="51" spans="1:14" x14ac:dyDescent="0.35">
      <c r="A51" s="947" t="s">
        <v>1689</v>
      </c>
      <c r="B51" s="302">
        <v>0.80700000000000005</v>
      </c>
      <c r="C51" s="945"/>
      <c r="D51" s="945"/>
      <c r="E51" s="83"/>
      <c r="F51" s="83"/>
      <c r="G51" s="83"/>
      <c r="H51" s="62" t="s">
        <v>1690</v>
      </c>
      <c r="I51" s="62" t="s">
        <v>1688</v>
      </c>
      <c r="J51" s="83"/>
      <c r="K51" s="83"/>
      <c r="L51" s="83"/>
      <c r="M51" s="83"/>
      <c r="N51" s="125"/>
    </row>
    <row r="52" spans="1:14" x14ac:dyDescent="0.35">
      <c r="A52" s="947" t="s">
        <v>1798</v>
      </c>
      <c r="B52" s="302">
        <v>0.64800000000000002</v>
      </c>
      <c r="C52" s="945"/>
      <c r="D52" s="945"/>
      <c r="E52" s="83"/>
      <c r="F52" s="83"/>
      <c r="G52" s="83"/>
      <c r="H52" s="62" t="s">
        <v>1710</v>
      </c>
      <c r="I52" s="62"/>
      <c r="J52" s="83"/>
      <c r="K52" s="83"/>
      <c r="L52" s="83"/>
      <c r="M52" s="83"/>
      <c r="N52" s="125"/>
    </row>
    <row r="53" spans="1:14" x14ac:dyDescent="0.35">
      <c r="A53" s="124"/>
      <c r="B53" s="83"/>
      <c r="C53" s="83"/>
      <c r="D53" s="83"/>
      <c r="E53" s="83"/>
      <c r="F53" s="83"/>
      <c r="G53" s="83"/>
      <c r="H53" s="62" t="s">
        <v>1700</v>
      </c>
      <c r="I53" s="62"/>
      <c r="J53" s="83"/>
      <c r="K53" s="83"/>
      <c r="L53" s="83"/>
      <c r="M53" s="83"/>
      <c r="N53" s="125"/>
    </row>
    <row r="54" spans="1:14" x14ac:dyDescent="0.35">
      <c r="A54" s="124"/>
      <c r="B54" s="83"/>
      <c r="C54" s="83"/>
      <c r="D54" s="83"/>
      <c r="E54" s="83"/>
      <c r="F54" s="83"/>
      <c r="G54" s="83"/>
      <c r="H54" s="83"/>
      <c r="I54" s="83"/>
      <c r="J54" s="83"/>
      <c r="K54" s="83"/>
      <c r="L54" s="83"/>
      <c r="M54" s="83"/>
      <c r="N54" s="125"/>
    </row>
    <row r="55" spans="1:14" x14ac:dyDescent="0.35">
      <c r="A55" s="124"/>
      <c r="B55" s="83"/>
      <c r="C55" s="83"/>
      <c r="D55" s="83"/>
      <c r="E55" s="943"/>
      <c r="F55" s="83"/>
      <c r="G55" s="83"/>
      <c r="H55" s="62" t="s">
        <v>1761</v>
      </c>
      <c r="I55" s="62" t="s">
        <v>1694</v>
      </c>
      <c r="J55" s="83"/>
      <c r="K55" s="83"/>
      <c r="L55" s="83"/>
      <c r="M55" s="83"/>
      <c r="N55" s="125"/>
    </row>
    <row r="56" spans="1:14" x14ac:dyDescent="0.35">
      <c r="A56" s="124"/>
      <c r="B56" s="83"/>
      <c r="C56" s="83"/>
      <c r="D56" s="83"/>
      <c r="E56" s="944"/>
      <c r="F56" s="945"/>
      <c r="G56" s="83"/>
      <c r="H56" s="62" t="s">
        <v>1762</v>
      </c>
      <c r="I56" s="62" t="s">
        <v>1687</v>
      </c>
      <c r="J56" s="83"/>
      <c r="K56" s="83"/>
      <c r="L56" s="83"/>
      <c r="M56" s="83"/>
      <c r="N56" s="125"/>
    </row>
    <row r="57" spans="1:14" x14ac:dyDescent="0.35">
      <c r="A57" s="124"/>
      <c r="B57" s="83"/>
      <c r="C57" s="83"/>
      <c r="D57" s="83"/>
      <c r="E57" s="944"/>
      <c r="F57" s="945"/>
      <c r="G57" s="83"/>
      <c r="H57" s="83"/>
      <c r="I57" s="83"/>
      <c r="J57" s="83"/>
      <c r="K57" s="83"/>
      <c r="L57" s="83"/>
      <c r="M57" s="83"/>
      <c r="N57" s="125"/>
    </row>
    <row r="58" spans="1:14" ht="27" customHeight="1" x14ac:dyDescent="0.35">
      <c r="A58" s="124"/>
      <c r="B58" s="83"/>
      <c r="C58" s="83"/>
      <c r="D58" s="83"/>
      <c r="E58" s="83"/>
      <c r="F58" s="83"/>
      <c r="G58" s="83"/>
      <c r="H58" s="83"/>
      <c r="I58" s="83"/>
      <c r="J58" s="83"/>
      <c r="K58" s="83"/>
      <c r="L58" s="83"/>
      <c r="M58" s="83"/>
      <c r="N58" s="125"/>
    </row>
    <row r="59" spans="1:14" ht="33" customHeight="1" x14ac:dyDescent="0.35">
      <c r="A59" s="124"/>
      <c r="B59" s="83"/>
      <c r="C59" s="83"/>
      <c r="D59" s="83"/>
      <c r="E59" s="83"/>
      <c r="F59" s="83"/>
      <c r="G59" s="83"/>
      <c r="H59" s="83"/>
      <c r="I59" s="83"/>
      <c r="J59" s="83"/>
      <c r="K59" s="83"/>
      <c r="L59" s="83"/>
      <c r="M59" s="83"/>
      <c r="N59" s="125"/>
    </row>
    <row r="60" spans="1:14" ht="15" thickBot="1" x14ac:dyDescent="0.4">
      <c r="A60" s="124"/>
      <c r="B60" s="2321" t="s">
        <v>1745</v>
      </c>
      <c r="C60" s="2322"/>
      <c r="D60" s="2322"/>
      <c r="E60" s="2322"/>
      <c r="F60" s="2322"/>
      <c r="G60" s="83"/>
      <c r="H60" s="83"/>
      <c r="I60" s="83"/>
      <c r="J60" s="948"/>
      <c r="K60" s="83"/>
      <c r="L60" s="83"/>
      <c r="M60" s="83"/>
      <c r="N60" s="125"/>
    </row>
    <row r="61" spans="1:14" ht="26.5" thickBot="1" x14ac:dyDescent="0.4">
      <c r="A61" s="124"/>
      <c r="B61" s="455" t="s">
        <v>1746</v>
      </c>
      <c r="C61" s="456" t="s">
        <v>1747</v>
      </c>
      <c r="D61" s="456" t="s">
        <v>1748</v>
      </c>
      <c r="E61" s="456" t="s">
        <v>1688</v>
      </c>
      <c r="F61" s="456" t="s">
        <v>1706</v>
      </c>
      <c r="G61" s="83"/>
      <c r="H61" s="83"/>
      <c r="I61" s="83"/>
      <c r="J61" s="83"/>
      <c r="K61" s="83"/>
      <c r="L61" s="83"/>
      <c r="M61" s="83"/>
      <c r="N61" s="125"/>
    </row>
    <row r="62" spans="1:14" ht="15" thickBot="1" x14ac:dyDescent="0.4">
      <c r="A62" s="124"/>
      <c r="B62" s="909" t="s">
        <v>1687</v>
      </c>
      <c r="C62" s="910">
        <v>0</v>
      </c>
      <c r="D62" s="458">
        <v>1</v>
      </c>
      <c r="E62" s="912">
        <v>0</v>
      </c>
      <c r="F62" s="912">
        <v>0</v>
      </c>
      <c r="G62" s="83"/>
      <c r="H62" s="83"/>
      <c r="I62" s="83"/>
      <c r="J62" s="83"/>
      <c r="K62" s="83"/>
      <c r="L62" s="83"/>
      <c r="M62" s="83"/>
      <c r="N62" s="125"/>
    </row>
    <row r="63" spans="1:14" ht="15" thickBot="1" x14ac:dyDescent="0.4">
      <c r="A63" s="124"/>
      <c r="B63" s="909" t="s">
        <v>1751</v>
      </c>
      <c r="C63" s="910">
        <v>0.85</v>
      </c>
      <c r="D63" s="458">
        <v>0.15</v>
      </c>
      <c r="E63" s="912">
        <v>0.6</v>
      </c>
      <c r="F63" s="912">
        <v>0.7</v>
      </c>
      <c r="G63" s="83"/>
      <c r="H63" s="83"/>
      <c r="I63" s="83"/>
      <c r="J63" s="83"/>
      <c r="K63" s="83"/>
      <c r="L63" s="83"/>
      <c r="M63" s="83"/>
      <c r="N63" s="125"/>
    </row>
    <row r="64" spans="1:14" ht="15" thickBot="1" x14ac:dyDescent="0.4">
      <c r="A64" s="375" t="s">
        <v>1750</v>
      </c>
      <c r="B64" s="909" t="s">
        <v>1753</v>
      </c>
      <c r="C64" s="910">
        <v>0.3</v>
      </c>
      <c r="D64" s="458">
        <v>0.7</v>
      </c>
      <c r="E64" s="912">
        <v>0.4</v>
      </c>
      <c r="F64" s="912">
        <v>0</v>
      </c>
      <c r="G64" s="83"/>
      <c r="H64" s="83"/>
      <c r="I64" s="83"/>
      <c r="J64" s="83"/>
      <c r="K64" s="83"/>
      <c r="L64" s="83"/>
      <c r="M64" s="83"/>
      <c r="N64" s="125"/>
    </row>
    <row r="65" spans="1:14" ht="15" thickBot="1" x14ac:dyDescent="0.4">
      <c r="A65" s="375" t="s">
        <v>1752</v>
      </c>
      <c r="B65" s="909" t="s">
        <v>1754</v>
      </c>
      <c r="C65" s="910">
        <v>0</v>
      </c>
      <c r="D65" s="458">
        <v>1</v>
      </c>
      <c r="E65" s="912">
        <v>0</v>
      </c>
      <c r="F65" s="912">
        <v>0.3</v>
      </c>
      <c r="G65" s="83"/>
      <c r="H65" s="83"/>
      <c r="I65" s="83"/>
      <c r="J65" s="83"/>
      <c r="K65" s="83"/>
      <c r="L65" s="83"/>
      <c r="M65" s="83"/>
      <c r="N65" s="125"/>
    </row>
    <row r="66" spans="1:14" ht="15" thickBot="1" x14ac:dyDescent="0.4">
      <c r="A66" s="124"/>
      <c r="B66" s="909" t="s">
        <v>1755</v>
      </c>
      <c r="C66" s="910">
        <v>0.85</v>
      </c>
      <c r="D66" s="458">
        <v>0.15</v>
      </c>
      <c r="E66" s="912">
        <v>0</v>
      </c>
      <c r="F66" s="912">
        <v>0</v>
      </c>
      <c r="G66" s="83"/>
      <c r="H66" s="83"/>
      <c r="I66" s="83"/>
      <c r="J66" s="83"/>
      <c r="K66" s="83"/>
      <c r="L66" s="83"/>
      <c r="M66" s="83"/>
      <c r="N66" s="125"/>
    </row>
    <row r="67" spans="1:14" ht="15" thickBot="1" x14ac:dyDescent="0.4">
      <c r="A67" s="124"/>
      <c r="B67" s="909" t="s">
        <v>295</v>
      </c>
      <c r="C67" s="458" t="s">
        <v>295</v>
      </c>
      <c r="D67" s="458">
        <v>1</v>
      </c>
      <c r="E67" s="912">
        <v>0</v>
      </c>
      <c r="F67" s="912">
        <v>0</v>
      </c>
      <c r="G67" s="83"/>
      <c r="H67" s="83"/>
      <c r="I67" s="83"/>
      <c r="J67" s="83"/>
      <c r="K67" s="83"/>
      <c r="L67" s="83"/>
      <c r="M67" s="83"/>
      <c r="N67" s="125"/>
    </row>
    <row r="68" spans="1:14" ht="15" thickBot="1" x14ac:dyDescent="0.4">
      <c r="A68" s="124"/>
      <c r="B68" s="83"/>
      <c r="C68" s="83"/>
      <c r="D68" s="83"/>
      <c r="E68" s="83"/>
      <c r="F68" s="83"/>
      <c r="G68" s="83"/>
      <c r="H68" s="83"/>
      <c r="I68" s="83"/>
      <c r="J68" s="83"/>
      <c r="K68" s="83"/>
      <c r="L68" s="83"/>
      <c r="M68" s="83"/>
      <c r="N68" s="125"/>
    </row>
    <row r="69" spans="1:14" ht="15" thickBot="1" x14ac:dyDescent="0.4">
      <c r="A69" s="124"/>
      <c r="B69" s="2323" t="s">
        <v>1756</v>
      </c>
      <c r="C69" s="2324"/>
      <c r="D69" s="83"/>
      <c r="E69" s="83"/>
      <c r="F69" s="83"/>
      <c r="G69" s="83"/>
      <c r="H69" s="83"/>
      <c r="I69" s="83"/>
      <c r="J69" s="83"/>
      <c r="K69" s="83"/>
      <c r="L69" s="83"/>
      <c r="M69" s="83"/>
      <c r="N69" s="125"/>
    </row>
    <row r="70" spans="1:14" ht="15" thickBot="1" x14ac:dyDescent="0.4">
      <c r="A70" s="124"/>
      <c r="B70" s="455" t="s">
        <v>1746</v>
      </c>
      <c r="C70" s="456" t="s">
        <v>1684</v>
      </c>
      <c r="D70" s="83"/>
      <c r="E70" s="83"/>
      <c r="F70" s="83"/>
      <c r="G70" s="83"/>
      <c r="H70" s="83"/>
      <c r="I70" s="83"/>
      <c r="J70" s="83"/>
      <c r="K70" s="83"/>
      <c r="L70" s="83"/>
      <c r="M70" s="83"/>
      <c r="N70" s="125"/>
    </row>
    <row r="71" spans="1:14" ht="15" thickBot="1" x14ac:dyDescent="0.4">
      <c r="A71" s="124"/>
      <c r="B71" s="909" t="s">
        <v>1688</v>
      </c>
      <c r="C71" s="458">
        <f>SUMPRODUCT($D$62:$D$67,$E$62:$E$67)</f>
        <v>0.37</v>
      </c>
      <c r="D71" s="83"/>
      <c r="E71" s="83"/>
      <c r="F71" s="83"/>
      <c r="G71" s="83"/>
      <c r="H71" s="83"/>
      <c r="I71" s="83"/>
      <c r="J71" s="83"/>
      <c r="K71" s="83"/>
      <c r="L71" s="83"/>
      <c r="M71" s="83"/>
      <c r="N71" s="125"/>
    </row>
    <row r="72" spans="1:14" ht="15" thickBot="1" x14ac:dyDescent="0.4">
      <c r="A72" s="124"/>
      <c r="B72" s="909" t="s">
        <v>1706</v>
      </c>
      <c r="C72" s="458">
        <f>SUMPRODUCT($D$62:$D$67,$F$62:$F$67)</f>
        <v>0.40499999999999997</v>
      </c>
      <c r="D72" s="83"/>
      <c r="E72" s="83"/>
      <c r="F72" s="83"/>
      <c r="G72" s="83"/>
      <c r="H72" s="83"/>
      <c r="I72" s="83"/>
      <c r="J72" s="83"/>
      <c r="K72" s="83"/>
      <c r="L72" s="83"/>
      <c r="M72" s="83"/>
      <c r="N72" s="125"/>
    </row>
    <row r="73" spans="1:14" ht="15" thickBot="1" x14ac:dyDescent="0.4">
      <c r="A73" s="124"/>
      <c r="B73" s="909" t="s">
        <v>1699</v>
      </c>
      <c r="C73" s="458">
        <f>SUMPRODUCT($D$62:$D$67,$F$62:$F$67)</f>
        <v>0.40499999999999997</v>
      </c>
      <c r="D73" s="83"/>
      <c r="E73" s="83"/>
      <c r="F73" s="83"/>
      <c r="G73" s="83"/>
      <c r="H73" s="83"/>
      <c r="I73" s="83"/>
      <c r="J73" s="83"/>
      <c r="K73" s="83"/>
      <c r="L73" s="83"/>
      <c r="M73" s="83"/>
      <c r="N73" s="125"/>
    </row>
    <row r="74" spans="1:14" x14ac:dyDescent="0.35">
      <c r="A74" s="124"/>
      <c r="B74" s="83"/>
      <c r="C74" s="83"/>
      <c r="D74" s="83"/>
      <c r="E74" s="83"/>
      <c r="F74" s="83"/>
      <c r="G74" s="83"/>
      <c r="H74" s="83"/>
      <c r="I74" s="83"/>
      <c r="J74" s="83"/>
      <c r="K74" s="83"/>
      <c r="L74" s="83"/>
      <c r="M74" s="83"/>
      <c r="N74" s="125"/>
    </row>
    <row r="75" spans="1:14" ht="15" thickBot="1" x14ac:dyDescent="0.4">
      <c r="A75" s="124"/>
      <c r="B75" s="83" t="s">
        <v>1799</v>
      </c>
      <c r="C75" s="83"/>
      <c r="D75" s="83"/>
      <c r="E75" s="83"/>
      <c r="F75" s="83"/>
      <c r="G75" s="83"/>
      <c r="H75" s="83"/>
      <c r="I75" s="83"/>
      <c r="J75" s="83"/>
      <c r="K75" s="83"/>
      <c r="L75" s="83"/>
      <c r="M75" s="83"/>
      <c r="N75" s="125"/>
    </row>
    <row r="76" spans="1:14" ht="15" thickBot="1" x14ac:dyDescent="0.4">
      <c r="A76" s="124"/>
      <c r="B76" s="2325" t="s">
        <v>1771</v>
      </c>
      <c r="C76" s="2381" t="s">
        <v>838</v>
      </c>
      <c r="D76" s="2383" t="s">
        <v>1800</v>
      </c>
      <c r="E76" s="2384"/>
      <c r="F76" s="2384"/>
      <c r="G76" s="2384"/>
      <c r="H76" s="2384"/>
      <c r="I76" s="2385"/>
      <c r="J76" s="2379" t="s">
        <v>1459</v>
      </c>
      <c r="K76" s="2380"/>
      <c r="L76" s="83"/>
      <c r="M76" s="83"/>
      <c r="N76" s="125"/>
    </row>
    <row r="77" spans="1:14" ht="15" thickBot="1" x14ac:dyDescent="0.4">
      <c r="A77" s="124"/>
      <c r="B77" s="2327"/>
      <c r="C77" s="2382"/>
      <c r="D77" s="949" t="s">
        <v>1639</v>
      </c>
      <c r="E77" s="949" t="s">
        <v>1640</v>
      </c>
      <c r="F77" s="949" t="s">
        <v>1641</v>
      </c>
      <c r="G77" s="949" t="s">
        <v>1767</v>
      </c>
      <c r="H77" s="949" t="s">
        <v>1643</v>
      </c>
      <c r="I77" s="949" t="s">
        <v>1768</v>
      </c>
      <c r="J77" s="62" t="s">
        <v>457</v>
      </c>
      <c r="K77" s="320">
        <v>2</v>
      </c>
      <c r="L77" s="83"/>
      <c r="M77" s="83"/>
      <c r="N77" s="125"/>
    </row>
    <row r="78" spans="1:14" ht="15" thickBot="1" x14ac:dyDescent="0.4">
      <c r="A78" s="124"/>
      <c r="B78" s="2373" t="str">
        <f>$I$51&amp;" "&amp;$H$50</f>
        <v>Space Heating Non-recirculation</v>
      </c>
      <c r="C78" s="950" t="s">
        <v>1648</v>
      </c>
      <c r="D78" s="918">
        <v>0.11700000000000001</v>
      </c>
      <c r="E78" s="918">
        <v>0.12</v>
      </c>
      <c r="F78" s="918">
        <v>0.107</v>
      </c>
      <c r="G78" s="951">
        <v>7.0999999999999994E-2</v>
      </c>
      <c r="H78" s="951">
        <v>0.109</v>
      </c>
      <c r="I78" s="952">
        <f t="shared" ref="I78:I114" si="2">$D78*$I$43+$E78*$I$44+$F78*$I$45</f>
        <v>0.1178</v>
      </c>
      <c r="J78" s="426" t="s">
        <v>459</v>
      </c>
      <c r="K78" s="953">
        <v>3</v>
      </c>
      <c r="L78" s="83"/>
      <c r="M78" s="83"/>
      <c r="N78" s="125"/>
    </row>
    <row r="79" spans="1:14" ht="15" thickBot="1" x14ac:dyDescent="0.4">
      <c r="A79" s="124"/>
      <c r="B79" s="2374"/>
      <c r="C79" s="950" t="s">
        <v>1651</v>
      </c>
      <c r="D79" s="918">
        <v>0.11</v>
      </c>
      <c r="E79" s="918">
        <v>0.107</v>
      </c>
      <c r="F79" s="918">
        <v>9.4E-2</v>
      </c>
      <c r="G79" s="951">
        <v>6.9000000000000006E-2</v>
      </c>
      <c r="H79" s="951">
        <v>8.3000000000000004E-2</v>
      </c>
      <c r="I79" s="952">
        <f t="shared" si="2"/>
        <v>0.1066</v>
      </c>
      <c r="J79" s="426" t="s">
        <v>461</v>
      </c>
      <c r="K79" s="953">
        <v>4</v>
      </c>
      <c r="L79" s="83"/>
      <c r="M79" s="83"/>
      <c r="N79" s="125"/>
    </row>
    <row r="80" spans="1:14" ht="15" thickBot="1" x14ac:dyDescent="0.4">
      <c r="A80" s="124"/>
      <c r="B80" s="2374"/>
      <c r="C80" s="950" t="s">
        <v>1620</v>
      </c>
      <c r="D80" s="918">
        <v>0.1</v>
      </c>
      <c r="E80" s="918">
        <v>9.2999999999999999E-2</v>
      </c>
      <c r="F80" s="918">
        <v>8.3000000000000004E-2</v>
      </c>
      <c r="G80" s="951">
        <v>4.5999999999999999E-2</v>
      </c>
      <c r="H80" s="951">
        <v>5.5E-2</v>
      </c>
      <c r="I80" s="952">
        <f t="shared" si="2"/>
        <v>9.4099999999999989E-2</v>
      </c>
      <c r="J80" s="426" t="s">
        <v>463</v>
      </c>
      <c r="K80" s="953">
        <v>5</v>
      </c>
      <c r="L80" s="83"/>
      <c r="M80" s="83"/>
      <c r="N80" s="125"/>
    </row>
    <row r="81" spans="1:14" ht="15" thickBot="1" x14ac:dyDescent="0.4">
      <c r="A81" s="124"/>
      <c r="B81" s="2374"/>
      <c r="C81" s="950" t="s">
        <v>1665</v>
      </c>
      <c r="D81" s="918">
        <v>9.7000000000000003E-2</v>
      </c>
      <c r="E81" s="918">
        <v>8.8999999999999996E-2</v>
      </c>
      <c r="F81" s="918">
        <v>7.9000000000000001E-2</v>
      </c>
      <c r="G81" s="951">
        <v>5.7000000000000002E-2</v>
      </c>
      <c r="H81" s="951">
        <v>6.4000000000000001E-2</v>
      </c>
      <c r="I81" s="952">
        <f t="shared" si="2"/>
        <v>9.0399999999999994E-2</v>
      </c>
      <c r="J81" s="426" t="s">
        <v>464</v>
      </c>
      <c r="K81" s="953">
        <v>6</v>
      </c>
      <c r="L81" s="83"/>
      <c r="M81" s="83"/>
      <c r="N81" s="125"/>
    </row>
    <row r="82" spans="1:14" ht="15" thickBot="1" x14ac:dyDescent="0.4">
      <c r="A82" s="124"/>
      <c r="B82" s="2374"/>
      <c r="C82" s="950" t="s">
        <v>1630</v>
      </c>
      <c r="D82" s="918">
        <v>0.11600000000000001</v>
      </c>
      <c r="E82" s="918">
        <v>0.113</v>
      </c>
      <c r="F82" s="918">
        <v>0.1</v>
      </c>
      <c r="G82" s="951">
        <v>6.9000000000000006E-2</v>
      </c>
      <c r="H82" s="951">
        <v>8.4000000000000005E-2</v>
      </c>
      <c r="I82" s="952">
        <f t="shared" si="2"/>
        <v>0.11260000000000001</v>
      </c>
      <c r="J82" s="426" t="s">
        <v>738</v>
      </c>
      <c r="K82" s="953">
        <v>7</v>
      </c>
      <c r="L82" s="83"/>
      <c r="M82" s="83"/>
      <c r="N82" s="125"/>
    </row>
    <row r="83" spans="1:14" ht="15" thickBot="1" x14ac:dyDescent="0.4">
      <c r="A83" s="124"/>
      <c r="B83" s="2374"/>
      <c r="C83" s="950" t="s">
        <v>1649</v>
      </c>
      <c r="D83" s="918">
        <v>6.4000000000000001E-2</v>
      </c>
      <c r="E83" s="918">
        <v>6.3E-2</v>
      </c>
      <c r="F83" s="918">
        <v>5.6000000000000001E-2</v>
      </c>
      <c r="G83" s="951">
        <v>4.3999999999999997E-2</v>
      </c>
      <c r="H83" s="951">
        <v>4.9000000000000002E-2</v>
      </c>
      <c r="I83" s="952">
        <f t="shared" si="2"/>
        <v>6.2599999999999989E-2</v>
      </c>
      <c r="J83" s="83"/>
      <c r="K83" s="83"/>
      <c r="L83" s="83"/>
      <c r="M83" s="83"/>
      <c r="N83" s="125"/>
    </row>
    <row r="84" spans="1:14" ht="15" thickBot="1" x14ac:dyDescent="0.4">
      <c r="A84" s="124"/>
      <c r="B84" s="2374"/>
      <c r="C84" s="950" t="s">
        <v>1621</v>
      </c>
      <c r="D84" s="918">
        <v>0.105</v>
      </c>
      <c r="E84" s="918">
        <v>0.105</v>
      </c>
      <c r="F84" s="918">
        <v>9.1999999999999998E-2</v>
      </c>
      <c r="G84" s="951">
        <v>5.7000000000000002E-2</v>
      </c>
      <c r="H84" s="951">
        <v>6.8000000000000005E-2</v>
      </c>
      <c r="I84" s="952">
        <f t="shared" si="2"/>
        <v>0.1037</v>
      </c>
      <c r="J84" s="83"/>
      <c r="K84" s="83"/>
      <c r="L84" s="83"/>
      <c r="M84" s="83"/>
      <c r="N84" s="125"/>
    </row>
    <row r="85" spans="1:14" ht="15" thickBot="1" x14ac:dyDescent="0.4">
      <c r="A85" s="124"/>
      <c r="B85" s="2374"/>
      <c r="C85" s="950" t="s">
        <v>1500</v>
      </c>
      <c r="D85" s="918">
        <v>0.10299999999999999</v>
      </c>
      <c r="E85" s="918">
        <v>0.106</v>
      </c>
      <c r="F85" s="918">
        <v>9.1999999999999998E-2</v>
      </c>
      <c r="G85" s="951">
        <v>6.3E-2</v>
      </c>
      <c r="H85" s="951">
        <v>6.6000000000000003E-2</v>
      </c>
      <c r="I85" s="952">
        <f t="shared" si="2"/>
        <v>0.10369999999999999</v>
      </c>
      <c r="J85" s="83"/>
      <c r="K85" s="83"/>
      <c r="L85" s="83"/>
      <c r="M85" s="83"/>
      <c r="N85" s="125"/>
    </row>
    <row r="86" spans="1:14" ht="15" thickBot="1" x14ac:dyDescent="0.4">
      <c r="A86" s="124"/>
      <c r="B86" s="2374"/>
      <c r="C86" s="950" t="s">
        <v>1502</v>
      </c>
      <c r="D86" s="918">
        <v>0.12</v>
      </c>
      <c r="E86" s="918">
        <v>0.121</v>
      </c>
      <c r="F86" s="918">
        <v>0.109</v>
      </c>
      <c r="G86" s="951">
        <v>7.6999999999999999E-2</v>
      </c>
      <c r="H86" s="951">
        <v>9.0999999999999998E-2</v>
      </c>
      <c r="I86" s="952">
        <f t="shared" si="2"/>
        <v>0.1195</v>
      </c>
      <c r="J86" s="83"/>
      <c r="K86" s="83"/>
      <c r="L86" s="83"/>
      <c r="M86" s="83"/>
      <c r="N86" s="125"/>
    </row>
    <row r="87" spans="1:14" ht="15" thickBot="1" x14ac:dyDescent="0.4">
      <c r="A87" s="124"/>
      <c r="B87" s="2374"/>
      <c r="C87" s="950" t="s">
        <v>1658</v>
      </c>
      <c r="D87" s="918">
        <v>0.115</v>
      </c>
      <c r="E87" s="918">
        <v>0.11899999999999999</v>
      </c>
      <c r="F87" s="918">
        <v>0.10100000000000001</v>
      </c>
      <c r="G87" s="951">
        <v>8.6999999999999994E-2</v>
      </c>
      <c r="H87" s="951">
        <v>9.9000000000000005E-2</v>
      </c>
      <c r="I87" s="952">
        <f t="shared" si="2"/>
        <v>0.11599999999999999</v>
      </c>
      <c r="J87" s="83"/>
      <c r="K87" s="83"/>
      <c r="L87" s="83"/>
      <c r="M87" s="83"/>
      <c r="N87" s="125"/>
    </row>
    <row r="88" spans="1:14" ht="15" thickBot="1" x14ac:dyDescent="0.4">
      <c r="A88" s="124"/>
      <c r="B88" s="2374"/>
      <c r="C88" s="950" t="s">
        <v>1659</v>
      </c>
      <c r="D88" s="918">
        <v>0.11700000000000001</v>
      </c>
      <c r="E88" s="918">
        <v>0.121</v>
      </c>
      <c r="F88" s="918">
        <v>0.10299999999999999</v>
      </c>
      <c r="G88" s="951">
        <v>8.8999999999999996E-2</v>
      </c>
      <c r="H88" s="951">
        <v>0.10100000000000001</v>
      </c>
      <c r="I88" s="952">
        <f t="shared" si="2"/>
        <v>0.11799999999999999</v>
      </c>
      <c r="J88" s="83"/>
      <c r="K88" s="83"/>
      <c r="L88" s="83"/>
      <c r="M88" s="83"/>
      <c r="N88" s="125"/>
    </row>
    <row r="89" spans="1:14" ht="15" thickBot="1" x14ac:dyDescent="0.4">
      <c r="A89" s="124"/>
      <c r="B89" s="2374"/>
      <c r="C89" s="950" t="s">
        <v>1660</v>
      </c>
      <c r="D89" s="918">
        <v>4.8000000000000001E-2</v>
      </c>
      <c r="E89" s="918">
        <v>4.4999999999999998E-2</v>
      </c>
      <c r="F89" s="918">
        <v>3.4000000000000002E-2</v>
      </c>
      <c r="G89" s="951">
        <v>0.02</v>
      </c>
      <c r="H89" s="951">
        <v>2.1999999999999999E-2</v>
      </c>
      <c r="I89" s="952">
        <f t="shared" si="2"/>
        <v>4.48E-2</v>
      </c>
      <c r="J89" s="83"/>
      <c r="K89" s="83"/>
      <c r="L89" s="83"/>
      <c r="M89" s="83"/>
      <c r="N89" s="125"/>
    </row>
    <row r="90" spans="1:14" ht="15" thickBot="1" x14ac:dyDescent="0.4">
      <c r="A90" s="124"/>
      <c r="B90" s="2374"/>
      <c r="C90" s="950" t="s">
        <v>1661</v>
      </c>
      <c r="D90" s="918">
        <v>8.6999999999999994E-2</v>
      </c>
      <c r="E90" s="918">
        <v>9.9000000000000005E-2</v>
      </c>
      <c r="F90" s="918">
        <v>0.08</v>
      </c>
      <c r="G90" s="951">
        <v>9.4E-2</v>
      </c>
      <c r="H90" s="951">
        <v>0.127</v>
      </c>
      <c r="I90" s="952">
        <f t="shared" si="2"/>
        <v>9.35E-2</v>
      </c>
      <c r="J90" s="83"/>
      <c r="K90" s="83"/>
      <c r="L90" s="83"/>
      <c r="M90" s="83"/>
      <c r="N90" s="125"/>
    </row>
    <row r="91" spans="1:14" ht="15" thickBot="1" x14ac:dyDescent="0.4">
      <c r="A91" s="124"/>
      <c r="B91" s="2374"/>
      <c r="C91" s="950" t="s">
        <v>1623</v>
      </c>
      <c r="D91" s="918">
        <v>0.115</v>
      </c>
      <c r="E91" s="918">
        <v>0.112</v>
      </c>
      <c r="F91" s="918">
        <v>0.10100000000000001</v>
      </c>
      <c r="G91" s="951">
        <v>6.9000000000000006E-2</v>
      </c>
      <c r="H91" s="951">
        <v>8.4000000000000005E-2</v>
      </c>
      <c r="I91" s="952">
        <f t="shared" si="2"/>
        <v>0.1118</v>
      </c>
      <c r="J91" s="83"/>
      <c r="K91" s="83"/>
      <c r="L91" s="83"/>
      <c r="M91" s="83"/>
      <c r="N91" s="125"/>
    </row>
    <row r="92" spans="1:14" ht="15" thickBot="1" x14ac:dyDescent="0.4">
      <c r="A92" s="124"/>
      <c r="B92" s="2374"/>
      <c r="C92" s="950" t="s">
        <v>1652</v>
      </c>
      <c r="D92" s="918">
        <v>0.104</v>
      </c>
      <c r="E92" s="918">
        <v>0.106</v>
      </c>
      <c r="F92" s="918">
        <v>0.10100000000000001</v>
      </c>
      <c r="G92" s="951">
        <v>8.2000000000000003E-2</v>
      </c>
      <c r="H92" s="951">
        <v>8.5999999999999993E-2</v>
      </c>
      <c r="I92" s="952">
        <f t="shared" si="2"/>
        <v>0.10489999999999999</v>
      </c>
      <c r="J92" s="83"/>
      <c r="K92" s="83"/>
      <c r="L92" s="83"/>
      <c r="M92" s="83"/>
      <c r="N92" s="125"/>
    </row>
    <row r="93" spans="1:14" ht="15" thickBot="1" x14ac:dyDescent="0.4">
      <c r="A93" s="124"/>
      <c r="B93" s="2374"/>
      <c r="C93" s="950" t="s">
        <v>1653</v>
      </c>
      <c r="D93" s="918">
        <v>0.115</v>
      </c>
      <c r="E93" s="918">
        <v>0.111</v>
      </c>
      <c r="F93" s="918">
        <v>9.9000000000000005E-2</v>
      </c>
      <c r="G93" s="951">
        <v>6.6000000000000003E-2</v>
      </c>
      <c r="H93" s="951">
        <v>8.2000000000000003E-2</v>
      </c>
      <c r="I93" s="952">
        <f t="shared" si="2"/>
        <v>0.111</v>
      </c>
      <c r="J93" s="83"/>
      <c r="K93" s="83"/>
      <c r="L93" s="83"/>
      <c r="M93" s="83"/>
      <c r="N93" s="125"/>
    </row>
    <row r="94" spans="1:14" ht="15" thickBot="1" x14ac:dyDescent="0.4">
      <c r="A94" s="124"/>
      <c r="B94" s="2374"/>
      <c r="C94" s="950" t="s">
        <v>1501</v>
      </c>
      <c r="D94" s="918">
        <v>6.8000000000000005E-2</v>
      </c>
      <c r="E94" s="918">
        <v>6.6000000000000003E-2</v>
      </c>
      <c r="F94" s="918">
        <v>6.0999999999999999E-2</v>
      </c>
      <c r="G94" s="951">
        <v>3.6999999999999998E-2</v>
      </c>
      <c r="H94" s="951">
        <v>4.1000000000000002E-2</v>
      </c>
      <c r="I94" s="952">
        <f t="shared" si="2"/>
        <v>6.6100000000000006E-2</v>
      </c>
      <c r="J94" s="83"/>
      <c r="K94" s="83"/>
      <c r="L94" s="83"/>
      <c r="M94" s="83"/>
      <c r="N94" s="125"/>
    </row>
    <row r="95" spans="1:14" ht="15" thickBot="1" x14ac:dyDescent="0.4">
      <c r="A95" s="124"/>
      <c r="B95" s="2374"/>
      <c r="C95" s="950" t="s">
        <v>1654</v>
      </c>
      <c r="D95" s="918">
        <v>0.1</v>
      </c>
      <c r="E95" s="918">
        <v>9.8000000000000004E-2</v>
      </c>
      <c r="F95" s="918">
        <v>0.09</v>
      </c>
      <c r="G95" s="951">
        <v>7.5999999999999998E-2</v>
      </c>
      <c r="H95" s="951">
        <v>7.5999999999999998E-2</v>
      </c>
      <c r="I95" s="952">
        <f t="shared" si="2"/>
        <v>9.7799999999999984E-2</v>
      </c>
      <c r="J95" s="83"/>
      <c r="K95" s="83"/>
      <c r="L95" s="83"/>
      <c r="M95" s="83"/>
      <c r="N95" s="125"/>
    </row>
    <row r="96" spans="1:14" ht="15" thickBot="1" x14ac:dyDescent="0.4">
      <c r="A96" s="124"/>
      <c r="B96" s="2374"/>
      <c r="C96" s="950" t="s">
        <v>1655</v>
      </c>
      <c r="D96" s="918">
        <v>0.11799999999999999</v>
      </c>
      <c r="E96" s="918">
        <v>0.115</v>
      </c>
      <c r="F96" s="918">
        <v>0.10299999999999999</v>
      </c>
      <c r="G96" s="951">
        <v>7.0999999999999994E-2</v>
      </c>
      <c r="H96" s="951">
        <v>9.1999999999999998E-2</v>
      </c>
      <c r="I96" s="952">
        <f t="shared" si="2"/>
        <v>0.1147</v>
      </c>
      <c r="J96" s="83"/>
      <c r="K96" s="83"/>
      <c r="L96" s="83"/>
      <c r="M96" s="83"/>
      <c r="N96" s="125"/>
    </row>
    <row r="97" spans="1:28" ht="15" thickBot="1" x14ac:dyDescent="0.4">
      <c r="A97" s="124"/>
      <c r="B97" s="2374"/>
      <c r="C97" s="950" t="s">
        <v>1656</v>
      </c>
      <c r="D97" s="918">
        <v>9.6000000000000002E-2</v>
      </c>
      <c r="E97" s="918">
        <v>9.6000000000000002E-2</v>
      </c>
      <c r="F97" s="918">
        <v>8.6999999999999994E-2</v>
      </c>
      <c r="G97" s="951">
        <v>7.4999999999999997E-2</v>
      </c>
      <c r="H97" s="951">
        <v>7.2999999999999995E-2</v>
      </c>
      <c r="I97" s="952">
        <f t="shared" si="2"/>
        <v>9.5100000000000004E-2</v>
      </c>
      <c r="J97" s="83"/>
      <c r="K97" s="83"/>
      <c r="L97" s="83"/>
      <c r="M97" s="83"/>
      <c r="N97" s="125"/>
    </row>
    <row r="98" spans="1:28" ht="15" thickBot="1" x14ac:dyDescent="0.4">
      <c r="A98" s="124"/>
      <c r="B98" s="2374"/>
      <c r="C98" s="950" t="s">
        <v>1657</v>
      </c>
      <c r="D98" s="918">
        <v>0.109</v>
      </c>
      <c r="E98" s="918">
        <v>0.11</v>
      </c>
      <c r="F98" s="918">
        <v>9.5000000000000001E-2</v>
      </c>
      <c r="G98" s="951">
        <v>7.0000000000000007E-2</v>
      </c>
      <c r="H98" s="951">
        <v>7.9000000000000001E-2</v>
      </c>
      <c r="I98" s="952">
        <f t="shared" si="2"/>
        <v>0.10820000000000002</v>
      </c>
      <c r="J98" s="83"/>
      <c r="K98" s="83"/>
      <c r="L98" s="83"/>
      <c r="M98" s="83"/>
      <c r="N98" s="125"/>
    </row>
    <row r="99" spans="1:28" ht="15" thickBot="1" x14ac:dyDescent="0.4">
      <c r="A99" s="124"/>
      <c r="B99" s="2374"/>
      <c r="C99" s="950" t="s">
        <v>1650</v>
      </c>
      <c r="D99" s="918">
        <v>0.11899999999999999</v>
      </c>
      <c r="E99" s="918">
        <v>0.11700000000000001</v>
      </c>
      <c r="F99" s="918">
        <v>0.109</v>
      </c>
      <c r="G99" s="951">
        <v>8.3000000000000004E-2</v>
      </c>
      <c r="H99" s="951">
        <v>9.9000000000000005E-2</v>
      </c>
      <c r="I99" s="952">
        <f t="shared" si="2"/>
        <v>0.11679999999999999</v>
      </c>
      <c r="J99" s="83"/>
      <c r="K99" s="83"/>
      <c r="L99" s="83"/>
      <c r="M99" s="83"/>
      <c r="N99" s="125"/>
    </row>
    <row r="100" spans="1:28" ht="15" thickBot="1" x14ac:dyDescent="0.4">
      <c r="A100" s="124"/>
      <c r="B100" s="2374"/>
      <c r="C100" s="950" t="s">
        <v>1801</v>
      </c>
      <c r="D100" s="918">
        <v>0.13200000000000001</v>
      </c>
      <c r="E100" s="918">
        <v>0.13400000000000001</v>
      </c>
      <c r="F100" s="918">
        <v>0.122</v>
      </c>
      <c r="G100" s="951">
        <v>8.2000000000000003E-2</v>
      </c>
      <c r="H100" s="951">
        <v>8.8999999999999996E-2</v>
      </c>
      <c r="I100" s="952">
        <f t="shared" si="2"/>
        <v>0.13219999999999998</v>
      </c>
      <c r="J100" s="83"/>
      <c r="K100" s="83"/>
      <c r="L100" s="83"/>
      <c r="M100" s="83"/>
      <c r="N100" s="125"/>
    </row>
    <row r="101" spans="1:28" ht="15" thickBot="1" x14ac:dyDescent="0.4">
      <c r="A101" s="124"/>
      <c r="B101" s="2374"/>
      <c r="C101" s="950" t="s">
        <v>1802</v>
      </c>
      <c r="D101" s="918">
        <v>0.13600000000000001</v>
      </c>
      <c r="E101" s="918">
        <v>0.13900000000000001</v>
      </c>
      <c r="F101" s="918">
        <v>0.128</v>
      </c>
      <c r="G101" s="951">
        <v>8.7999999999999995E-2</v>
      </c>
      <c r="H101" s="951">
        <v>9.7000000000000003E-2</v>
      </c>
      <c r="I101" s="952">
        <f t="shared" si="2"/>
        <v>0.13700000000000001</v>
      </c>
      <c r="J101" s="83"/>
      <c r="K101" s="83"/>
      <c r="L101" s="83"/>
      <c r="M101" s="83"/>
      <c r="N101" s="125"/>
    </row>
    <row r="102" spans="1:28" s="24" customFormat="1" ht="15" thickBot="1" x14ac:dyDescent="0.4">
      <c r="A102" s="124"/>
      <c r="B102" s="2374"/>
      <c r="C102" s="950" t="s">
        <v>1803</v>
      </c>
      <c r="D102" s="918">
        <v>0.1</v>
      </c>
      <c r="E102" s="918">
        <v>0.10199999999999999</v>
      </c>
      <c r="F102" s="918">
        <v>8.4000000000000005E-2</v>
      </c>
      <c r="G102" s="951">
        <v>0.05</v>
      </c>
      <c r="H102" s="951">
        <v>5.5E-2</v>
      </c>
      <c r="I102" s="952">
        <f t="shared" si="2"/>
        <v>9.9599999999999994E-2</v>
      </c>
      <c r="J102" s="83"/>
      <c r="K102" s="83"/>
      <c r="L102" s="83"/>
      <c r="M102" s="83"/>
      <c r="N102" s="125"/>
      <c r="O102"/>
      <c r="P102"/>
      <c r="Q102"/>
      <c r="R102"/>
      <c r="S102"/>
      <c r="T102"/>
      <c r="U102"/>
      <c r="V102"/>
      <c r="W102"/>
      <c r="X102"/>
      <c r="Y102"/>
      <c r="Z102"/>
      <c r="AA102"/>
      <c r="AB102"/>
    </row>
    <row r="103" spans="1:28" s="24" customFormat="1" ht="15" thickBot="1" x14ac:dyDescent="0.4">
      <c r="A103" s="124"/>
      <c r="B103" s="2374"/>
      <c r="C103" s="950" t="s">
        <v>1669</v>
      </c>
      <c r="D103" s="918">
        <v>7.2999999999999995E-2</v>
      </c>
      <c r="E103" s="918">
        <v>7.1999999999999995E-2</v>
      </c>
      <c r="F103" s="918">
        <v>6.2E-2</v>
      </c>
      <c r="G103" s="951">
        <v>3.3000000000000002E-2</v>
      </c>
      <c r="H103" s="951">
        <v>3.5000000000000003E-2</v>
      </c>
      <c r="I103" s="952">
        <f t="shared" si="2"/>
        <v>7.1299999999999988E-2</v>
      </c>
      <c r="J103" s="83"/>
      <c r="K103" s="83"/>
      <c r="L103" s="83"/>
      <c r="M103" s="83"/>
      <c r="N103" s="125"/>
      <c r="O103"/>
      <c r="P103"/>
      <c r="Q103"/>
      <c r="R103"/>
      <c r="S103"/>
      <c r="T103"/>
      <c r="U103"/>
      <c r="V103"/>
      <c r="W103"/>
      <c r="X103"/>
      <c r="Y103"/>
      <c r="Z103"/>
      <c r="AA103"/>
      <c r="AB103"/>
    </row>
    <row r="104" spans="1:28" s="24" customFormat="1" ht="15" thickBot="1" x14ac:dyDescent="0.4">
      <c r="A104" s="124"/>
      <c r="B104" s="2374"/>
      <c r="C104" s="950" t="s">
        <v>1498</v>
      </c>
      <c r="D104" s="918">
        <v>9.2999999999999999E-2</v>
      </c>
      <c r="E104" s="918">
        <v>9.2999999999999999E-2</v>
      </c>
      <c r="F104" s="918">
        <v>7.3999999999999996E-2</v>
      </c>
      <c r="G104" s="951">
        <v>4.4999999999999998E-2</v>
      </c>
      <c r="H104" s="951">
        <v>5.1999999999999998E-2</v>
      </c>
      <c r="I104" s="952">
        <f t="shared" si="2"/>
        <v>9.11E-2</v>
      </c>
      <c r="J104" s="83"/>
      <c r="K104" s="83"/>
      <c r="L104" s="83"/>
      <c r="M104" s="83"/>
      <c r="N104" s="125"/>
      <c r="O104"/>
      <c r="P104"/>
      <c r="Q104"/>
      <c r="R104"/>
      <c r="S104"/>
      <c r="T104"/>
      <c r="U104"/>
      <c r="V104"/>
      <c r="W104"/>
      <c r="X104"/>
      <c r="Y104"/>
      <c r="Z104"/>
      <c r="AA104"/>
      <c r="AB104"/>
    </row>
    <row r="105" spans="1:28" s="24" customFormat="1" ht="15" thickBot="1" x14ac:dyDescent="0.4">
      <c r="A105" s="124"/>
      <c r="B105" s="2374"/>
      <c r="C105" s="950" t="s">
        <v>1497</v>
      </c>
      <c r="D105" s="918">
        <v>0.10299999999999999</v>
      </c>
      <c r="E105" s="918">
        <v>0.104</v>
      </c>
      <c r="F105" s="918">
        <v>8.7999999999999995E-2</v>
      </c>
      <c r="G105" s="951">
        <v>5.6000000000000001E-2</v>
      </c>
      <c r="H105" s="951">
        <v>6.2E-2</v>
      </c>
      <c r="I105" s="952">
        <f t="shared" si="2"/>
        <v>0.1021</v>
      </c>
      <c r="J105" s="83"/>
      <c r="K105" s="83"/>
      <c r="L105" s="83"/>
      <c r="M105" s="83"/>
      <c r="N105" s="125"/>
      <c r="O105"/>
      <c r="P105"/>
      <c r="Q105"/>
      <c r="R105"/>
      <c r="S105"/>
      <c r="T105"/>
      <c r="U105"/>
      <c r="V105"/>
      <c r="W105"/>
      <c r="X105"/>
      <c r="Y105"/>
      <c r="Z105"/>
      <c r="AA105"/>
      <c r="AB105"/>
    </row>
    <row r="106" spans="1:28" s="24" customFormat="1" ht="15" thickBot="1" x14ac:dyDescent="0.4">
      <c r="A106" s="124"/>
      <c r="B106" s="2374"/>
      <c r="C106" s="950" t="s">
        <v>1670</v>
      </c>
      <c r="D106" s="918">
        <v>0.105</v>
      </c>
      <c r="E106" s="918">
        <v>9.8000000000000004E-2</v>
      </c>
      <c r="F106" s="918">
        <v>9.4E-2</v>
      </c>
      <c r="G106" s="951">
        <v>6.9000000000000006E-2</v>
      </c>
      <c r="H106" s="951">
        <v>7.9000000000000001E-2</v>
      </c>
      <c r="I106" s="952">
        <f t="shared" si="2"/>
        <v>9.9699999999999997E-2</v>
      </c>
      <c r="J106" s="83"/>
      <c r="K106" s="83"/>
      <c r="L106" s="83"/>
      <c r="M106" s="83"/>
      <c r="N106" s="125"/>
      <c r="O106"/>
      <c r="P106"/>
      <c r="Q106"/>
      <c r="R106"/>
      <c r="S106"/>
      <c r="T106"/>
      <c r="U106"/>
      <c r="V106"/>
      <c r="W106"/>
      <c r="X106"/>
      <c r="Y106"/>
      <c r="Z106"/>
      <c r="AA106"/>
      <c r="AB106"/>
    </row>
    <row r="107" spans="1:28" s="24" customFormat="1" ht="15" thickBot="1" x14ac:dyDescent="0.4">
      <c r="A107" s="124"/>
      <c r="B107" s="2374"/>
      <c r="C107" s="950" t="s">
        <v>1506</v>
      </c>
      <c r="D107" s="918">
        <v>8.7999999999999995E-2</v>
      </c>
      <c r="E107" s="918">
        <v>8.7999999999999995E-2</v>
      </c>
      <c r="F107" s="918">
        <v>7.9000000000000001E-2</v>
      </c>
      <c r="G107" s="951">
        <v>0.06</v>
      </c>
      <c r="H107" s="951">
        <v>7.0999999999999994E-2</v>
      </c>
      <c r="I107" s="952">
        <f t="shared" si="2"/>
        <v>8.7099999999999997E-2</v>
      </c>
      <c r="J107" s="83"/>
      <c r="K107" s="83"/>
      <c r="L107" s="83"/>
      <c r="M107" s="83"/>
      <c r="N107" s="125"/>
      <c r="O107"/>
      <c r="P107"/>
      <c r="Q107"/>
      <c r="R107"/>
      <c r="S107"/>
      <c r="T107"/>
      <c r="U107"/>
      <c r="V107"/>
      <c r="W107"/>
      <c r="X107"/>
      <c r="Y107"/>
      <c r="Z107"/>
      <c r="AA107"/>
      <c r="AB107"/>
    </row>
    <row r="108" spans="1:28" s="24" customFormat="1" ht="15" thickBot="1" x14ac:dyDescent="0.4">
      <c r="A108" s="124"/>
      <c r="B108" s="2374"/>
      <c r="C108" s="950" t="s">
        <v>1508</v>
      </c>
      <c r="D108" s="918">
        <v>9.0999999999999998E-2</v>
      </c>
      <c r="E108" s="918">
        <v>8.3000000000000004E-2</v>
      </c>
      <c r="F108" s="918">
        <v>7.8E-2</v>
      </c>
      <c r="G108" s="951">
        <v>5.0999999999999997E-2</v>
      </c>
      <c r="H108" s="951">
        <v>5.8000000000000003E-2</v>
      </c>
      <c r="I108" s="952">
        <f t="shared" si="2"/>
        <v>8.4900000000000003E-2</v>
      </c>
      <c r="J108" s="83"/>
      <c r="K108" s="83"/>
      <c r="L108" s="83"/>
      <c r="M108" s="83"/>
      <c r="N108" s="125"/>
      <c r="O108"/>
      <c r="P108"/>
      <c r="Q108"/>
      <c r="R108"/>
      <c r="S108"/>
      <c r="T108"/>
      <c r="U108"/>
      <c r="V108"/>
      <c r="W108"/>
      <c r="X108"/>
      <c r="Y108"/>
      <c r="Z108"/>
      <c r="AA108"/>
      <c r="AB108"/>
    </row>
    <row r="109" spans="1:28" s="24" customFormat="1" ht="15" thickBot="1" x14ac:dyDescent="0.4">
      <c r="A109" s="124"/>
      <c r="B109" s="2374"/>
      <c r="C109" s="950" t="s">
        <v>1507</v>
      </c>
      <c r="D109" s="918">
        <v>8.6999999999999994E-2</v>
      </c>
      <c r="E109" s="918">
        <v>8.1000000000000003E-2</v>
      </c>
      <c r="F109" s="918">
        <v>7.0999999999999994E-2</v>
      </c>
      <c r="G109" s="951">
        <v>4.9000000000000002E-2</v>
      </c>
      <c r="H109" s="951">
        <v>5.2999999999999999E-2</v>
      </c>
      <c r="I109" s="952">
        <f t="shared" si="2"/>
        <v>8.1799999999999984E-2</v>
      </c>
      <c r="J109" s="83"/>
      <c r="K109" s="83"/>
      <c r="L109" s="83"/>
      <c r="M109" s="83"/>
      <c r="N109" s="125"/>
      <c r="O109"/>
      <c r="P109"/>
      <c r="Q109"/>
      <c r="R109"/>
      <c r="S109"/>
      <c r="T109"/>
      <c r="U109"/>
      <c r="V109"/>
      <c r="W109"/>
      <c r="X109"/>
      <c r="Y109"/>
      <c r="Z109"/>
      <c r="AA109"/>
      <c r="AB109"/>
    </row>
    <row r="110" spans="1:28" s="24" customFormat="1" ht="15" thickBot="1" x14ac:dyDescent="0.4">
      <c r="A110" s="124"/>
      <c r="B110" s="2374"/>
      <c r="C110" s="950" t="s">
        <v>1510</v>
      </c>
      <c r="D110" s="918">
        <v>9.5000000000000001E-2</v>
      </c>
      <c r="E110" s="918">
        <v>8.8999999999999996E-2</v>
      </c>
      <c r="F110" s="918">
        <v>9.0999999999999998E-2</v>
      </c>
      <c r="G110" s="951">
        <v>5.7000000000000002E-2</v>
      </c>
      <c r="H110" s="951">
        <v>7.0000000000000007E-2</v>
      </c>
      <c r="I110" s="952">
        <f t="shared" si="2"/>
        <v>9.0999999999999998E-2</v>
      </c>
      <c r="J110" s="83"/>
      <c r="K110" s="83"/>
      <c r="L110" s="83"/>
      <c r="M110" s="83"/>
      <c r="N110" s="125"/>
      <c r="O110"/>
      <c r="P110"/>
      <c r="Q110"/>
      <c r="R110"/>
      <c r="S110"/>
      <c r="T110"/>
      <c r="U110"/>
      <c r="V110"/>
      <c r="W110"/>
      <c r="X110"/>
      <c r="Y110"/>
      <c r="Z110"/>
      <c r="AA110"/>
      <c r="AB110"/>
    </row>
    <row r="111" spans="1:28" s="24" customFormat="1" ht="15" thickBot="1" x14ac:dyDescent="0.4">
      <c r="A111" s="124"/>
      <c r="B111" s="2375"/>
      <c r="C111" s="950" t="s">
        <v>399</v>
      </c>
      <c r="D111" s="918">
        <v>0.10100000000000001</v>
      </c>
      <c r="E111" s="918">
        <v>0.1</v>
      </c>
      <c r="F111" s="918">
        <v>8.8999999999999996E-2</v>
      </c>
      <c r="G111" s="951">
        <v>6.4000000000000001E-2</v>
      </c>
      <c r="H111" s="951">
        <v>7.3999999999999996E-2</v>
      </c>
      <c r="I111" s="952">
        <f t="shared" si="2"/>
        <v>9.9199999999999997E-2</v>
      </c>
      <c r="J111" s="83"/>
      <c r="K111" s="83"/>
      <c r="L111" s="83"/>
      <c r="M111" s="83"/>
      <c r="N111" s="125"/>
      <c r="O111"/>
      <c r="P111"/>
      <c r="Q111"/>
      <c r="R111"/>
      <c r="S111"/>
      <c r="T111"/>
      <c r="U111"/>
      <c r="V111"/>
      <c r="W111"/>
      <c r="X111"/>
      <c r="Y111"/>
      <c r="Z111"/>
      <c r="AA111"/>
      <c r="AB111"/>
    </row>
    <row r="112" spans="1:28" s="24" customFormat="1" ht="28" thickBot="1" x14ac:dyDescent="0.4">
      <c r="A112" s="124"/>
      <c r="B112" s="954" t="str">
        <f>$I$51&amp;" "&amp;$H$51</f>
        <v>Space Heating Recirculation - Heating Season only</v>
      </c>
      <c r="C112" s="955" t="s">
        <v>1782</v>
      </c>
      <c r="D112" s="918">
        <v>0.32900000000000001</v>
      </c>
      <c r="E112" s="918">
        <v>0.32400000000000001</v>
      </c>
      <c r="F112" s="918">
        <v>0.29299999999999998</v>
      </c>
      <c r="G112" s="951">
        <v>0.26200000000000001</v>
      </c>
      <c r="H112" s="951">
        <v>0.27100000000000002</v>
      </c>
      <c r="I112" s="952">
        <f t="shared" si="2"/>
        <v>0.32239999999999996</v>
      </c>
      <c r="J112" s="83"/>
      <c r="K112" s="83"/>
      <c r="L112" s="83"/>
      <c r="M112" s="83"/>
      <c r="N112" s="125"/>
      <c r="O112"/>
      <c r="P112"/>
      <c r="Q112"/>
      <c r="R112"/>
      <c r="S112"/>
      <c r="T112"/>
      <c r="U112"/>
      <c r="V112"/>
      <c r="W112"/>
      <c r="X112"/>
      <c r="Y112"/>
      <c r="Z112"/>
      <c r="AA112"/>
      <c r="AB112"/>
    </row>
    <row r="113" spans="1:28" s="24" customFormat="1" ht="17" thickBot="1" x14ac:dyDescent="0.4">
      <c r="A113" s="124"/>
      <c r="B113" s="954" t="str">
        <f>$I$51&amp;" "&amp;$H$52</f>
        <v>Space Heating Recirculation- year round</v>
      </c>
      <c r="C113" s="955" t="s">
        <v>1804</v>
      </c>
      <c r="D113" s="918">
        <v>0.57199999999999995</v>
      </c>
      <c r="E113" s="918">
        <v>0.57199999999999995</v>
      </c>
      <c r="F113" s="918">
        <v>0.57199999999999995</v>
      </c>
      <c r="G113" s="951">
        <v>0.57199999999999995</v>
      </c>
      <c r="H113" s="951">
        <v>0.57199999999999995</v>
      </c>
      <c r="I113" s="952">
        <f t="shared" si="2"/>
        <v>0.57199999999999995</v>
      </c>
      <c r="J113" s="83"/>
      <c r="K113" s="83"/>
      <c r="L113" s="83"/>
      <c r="M113" s="83"/>
      <c r="N113" s="125"/>
      <c r="O113"/>
      <c r="P113"/>
      <c r="Q113"/>
      <c r="R113"/>
      <c r="S113"/>
      <c r="T113"/>
      <c r="U113"/>
      <c r="V113"/>
      <c r="W113"/>
      <c r="X113"/>
      <c r="Y113"/>
      <c r="Z113"/>
      <c r="AA113"/>
      <c r="AB113"/>
    </row>
    <row r="114" spans="1:28" s="24" customFormat="1" ht="15" thickBot="1" x14ac:dyDescent="0.4">
      <c r="A114" s="124"/>
      <c r="B114" s="956" t="str">
        <f>$I$50</f>
        <v>Domestic Hot Water</v>
      </c>
      <c r="C114" s="950" t="s">
        <v>1785</v>
      </c>
      <c r="D114" s="918">
        <v>0.57199999999999995</v>
      </c>
      <c r="E114" s="918">
        <v>0.57199999999999995</v>
      </c>
      <c r="F114" s="918">
        <v>0.57199999999999995</v>
      </c>
      <c r="G114" s="951">
        <v>0.57199999999999995</v>
      </c>
      <c r="H114" s="951">
        <v>0.57199999999999995</v>
      </c>
      <c r="I114" s="952">
        <f t="shared" si="2"/>
        <v>0.57199999999999995</v>
      </c>
      <c r="J114" s="83"/>
      <c r="K114" s="83"/>
      <c r="L114" s="83"/>
      <c r="M114" s="83"/>
      <c r="N114" s="125"/>
      <c r="O114"/>
      <c r="P114"/>
      <c r="Q114"/>
      <c r="R114"/>
      <c r="S114"/>
      <c r="T114"/>
      <c r="U114"/>
      <c r="V114"/>
      <c r="W114"/>
      <c r="X114"/>
      <c r="Y114"/>
      <c r="Z114"/>
      <c r="AA114"/>
      <c r="AB114"/>
    </row>
    <row r="115" spans="1:28" s="24" customFormat="1" ht="15" thickBot="1" x14ac:dyDescent="0.4">
      <c r="A115" s="124"/>
      <c r="B115" s="956" t="s">
        <v>1805</v>
      </c>
      <c r="C115" s="950" t="s">
        <v>295</v>
      </c>
      <c r="D115" s="2376" t="s">
        <v>295</v>
      </c>
      <c r="E115" s="2377"/>
      <c r="F115" s="2377"/>
      <c r="G115" s="2377"/>
      <c r="H115" s="2377"/>
      <c r="I115" s="2378"/>
      <c r="J115" s="83"/>
      <c r="K115" s="83"/>
      <c r="L115" s="83"/>
      <c r="M115" s="83"/>
      <c r="N115" s="125"/>
      <c r="O115"/>
      <c r="P115"/>
      <c r="Q115"/>
      <c r="R115"/>
      <c r="S115"/>
      <c r="T115"/>
      <c r="U115"/>
      <c r="V115"/>
      <c r="W115"/>
      <c r="X115"/>
      <c r="Y115"/>
      <c r="Z115"/>
      <c r="AA115"/>
      <c r="AB115"/>
    </row>
    <row r="116" spans="1:28" x14ac:dyDescent="0.35">
      <c r="A116" s="124"/>
      <c r="B116" s="83"/>
      <c r="C116" s="83"/>
      <c r="D116" s="83"/>
      <c r="E116" s="83"/>
      <c r="F116" s="83"/>
      <c r="G116" s="83"/>
      <c r="H116" s="83"/>
      <c r="I116" s="83"/>
      <c r="J116" s="83"/>
      <c r="K116" s="83"/>
      <c r="L116" s="83"/>
      <c r="M116" s="83"/>
      <c r="N116" s="125"/>
    </row>
    <row r="117" spans="1:28" x14ac:dyDescent="0.35">
      <c r="A117" s="124"/>
      <c r="B117" s="83"/>
      <c r="C117" s="83"/>
      <c r="D117" s="83"/>
      <c r="E117" s="83"/>
      <c r="F117" s="83"/>
      <c r="G117" s="83"/>
      <c r="H117" s="83"/>
      <c r="I117" s="83"/>
      <c r="J117" s="83"/>
      <c r="K117" s="83"/>
      <c r="L117" s="83"/>
      <c r="M117" s="83"/>
      <c r="N117" s="125"/>
    </row>
    <row r="118" spans="1:28" x14ac:dyDescent="0.35">
      <c r="A118" s="124"/>
      <c r="B118" s="83"/>
      <c r="C118" s="83"/>
      <c r="D118" s="83"/>
      <c r="E118" s="83"/>
      <c r="F118" s="83"/>
      <c r="G118" s="83"/>
      <c r="H118" s="83"/>
      <c r="I118" s="83"/>
      <c r="J118" s="83"/>
      <c r="K118" s="83"/>
      <c r="L118" s="83"/>
      <c r="M118" s="83"/>
      <c r="N118" s="125"/>
    </row>
    <row r="119" spans="1:28" ht="15" thickBot="1" x14ac:dyDescent="0.4">
      <c r="A119" s="124"/>
      <c r="B119" s="83" t="s">
        <v>1806</v>
      </c>
      <c r="C119" s="83"/>
      <c r="D119" s="83"/>
      <c r="E119" s="83"/>
      <c r="F119" s="83"/>
      <c r="G119" s="83"/>
      <c r="H119" s="83"/>
      <c r="I119" s="83"/>
      <c r="J119" s="83"/>
      <c r="K119" s="83"/>
      <c r="L119" s="83"/>
      <c r="M119" s="83"/>
      <c r="N119" s="125"/>
    </row>
    <row r="120" spans="1:28" ht="15" thickBot="1" x14ac:dyDescent="0.4">
      <c r="A120" s="124"/>
      <c r="B120" s="2325" t="s">
        <v>1771</v>
      </c>
      <c r="C120" s="2381" t="s">
        <v>838</v>
      </c>
      <c r="D120" s="2383" t="s">
        <v>1800</v>
      </c>
      <c r="E120" s="2384"/>
      <c r="F120" s="2384"/>
      <c r="G120" s="2384"/>
      <c r="H120" s="2384"/>
      <c r="I120" s="2385"/>
      <c r="J120" s="2379" t="s">
        <v>1459</v>
      </c>
      <c r="K120" s="2380"/>
      <c r="L120" s="83"/>
      <c r="M120" s="83"/>
      <c r="N120" s="125"/>
    </row>
    <row r="121" spans="1:28" ht="15" thickBot="1" x14ac:dyDescent="0.4">
      <c r="A121" s="124"/>
      <c r="B121" s="2327"/>
      <c r="C121" s="2382"/>
      <c r="D121" s="949" t="s">
        <v>1639</v>
      </c>
      <c r="E121" s="949" t="s">
        <v>1640</v>
      </c>
      <c r="F121" s="949" t="s">
        <v>1641</v>
      </c>
      <c r="G121" s="949" t="s">
        <v>1767</v>
      </c>
      <c r="H121" s="949" t="s">
        <v>1643</v>
      </c>
      <c r="I121" s="949" t="s">
        <v>1768</v>
      </c>
      <c r="J121" s="922" t="s">
        <v>1639</v>
      </c>
      <c r="K121" s="62">
        <v>2</v>
      </c>
      <c r="L121" s="83"/>
      <c r="M121" s="83"/>
      <c r="N121" s="125"/>
    </row>
    <row r="122" spans="1:28" ht="15" thickBot="1" x14ac:dyDescent="0.4">
      <c r="A122" s="124"/>
      <c r="B122" s="2373" t="s">
        <v>1807</v>
      </c>
      <c r="C122" s="950" t="s">
        <v>1648</v>
      </c>
      <c r="D122" s="918">
        <v>0.14199999999999999</v>
      </c>
      <c r="E122" s="918">
        <v>0.14499999999999999</v>
      </c>
      <c r="F122" s="918">
        <v>0.129</v>
      </c>
      <c r="G122" s="951">
        <v>8.5999999999999993E-2</v>
      </c>
      <c r="H122" s="951">
        <v>0.13200000000000001</v>
      </c>
      <c r="I122" s="952">
        <f t="shared" ref="I122:I158" si="3">$D122*$I$43+$E122*$I$44+$F122*$I$45</f>
        <v>0.14249999999999999</v>
      </c>
      <c r="J122" s="922" t="s">
        <v>1640</v>
      </c>
      <c r="K122" s="62">
        <v>3</v>
      </c>
      <c r="L122" s="83"/>
      <c r="M122" s="83"/>
      <c r="N122" s="125"/>
    </row>
    <row r="123" spans="1:28" ht="15" thickBot="1" x14ac:dyDescent="0.4">
      <c r="A123" s="124"/>
      <c r="B123" s="2374"/>
      <c r="C123" s="950" t="s">
        <v>1651</v>
      </c>
      <c r="D123" s="918">
        <v>0.13300000000000001</v>
      </c>
      <c r="E123" s="918">
        <v>0.13</v>
      </c>
      <c r="F123" s="918">
        <v>0.115</v>
      </c>
      <c r="G123" s="951">
        <v>8.4000000000000005E-2</v>
      </c>
      <c r="H123" s="951">
        <v>0.10100000000000001</v>
      </c>
      <c r="I123" s="952">
        <f t="shared" si="3"/>
        <v>0.12940000000000002</v>
      </c>
      <c r="J123" s="922" t="s">
        <v>1641</v>
      </c>
      <c r="K123" s="62">
        <v>4</v>
      </c>
      <c r="L123" s="83"/>
      <c r="M123" s="83"/>
      <c r="N123" s="125"/>
    </row>
    <row r="124" spans="1:28" ht="15" thickBot="1" x14ac:dyDescent="0.4">
      <c r="A124" s="124"/>
      <c r="B124" s="2374"/>
      <c r="C124" s="950" t="s">
        <v>1620</v>
      </c>
      <c r="D124" s="918">
        <v>0.121</v>
      </c>
      <c r="E124" s="918">
        <v>0.113</v>
      </c>
      <c r="F124" s="918">
        <v>0.10100000000000001</v>
      </c>
      <c r="G124" s="951">
        <v>5.6000000000000001E-2</v>
      </c>
      <c r="H124" s="951">
        <v>6.7000000000000004E-2</v>
      </c>
      <c r="I124" s="952">
        <f t="shared" si="3"/>
        <v>0.1142</v>
      </c>
      <c r="J124" s="922" t="s">
        <v>1767</v>
      </c>
      <c r="K124" s="62">
        <v>5</v>
      </c>
      <c r="L124" s="83"/>
      <c r="M124" s="83"/>
      <c r="N124" s="125"/>
    </row>
    <row r="125" spans="1:28" ht="15" thickBot="1" x14ac:dyDescent="0.4">
      <c r="A125" s="124"/>
      <c r="B125" s="2374"/>
      <c r="C125" s="950" t="s">
        <v>1665</v>
      </c>
      <c r="D125" s="918">
        <v>0.11700000000000001</v>
      </c>
      <c r="E125" s="918">
        <v>0.108</v>
      </c>
      <c r="F125" s="918">
        <v>9.6000000000000002E-2</v>
      </c>
      <c r="G125" s="951">
        <v>6.9000000000000006E-2</v>
      </c>
      <c r="H125" s="951">
        <v>7.6999999999999999E-2</v>
      </c>
      <c r="I125" s="952">
        <f t="shared" si="3"/>
        <v>0.10949999999999999</v>
      </c>
      <c r="J125" s="922" t="s">
        <v>1643</v>
      </c>
      <c r="K125" s="62">
        <v>6</v>
      </c>
      <c r="L125" s="83"/>
      <c r="M125" s="83"/>
      <c r="N125" s="125"/>
    </row>
    <row r="126" spans="1:28" ht="15" thickBot="1" x14ac:dyDescent="0.4">
      <c r="A126" s="124"/>
      <c r="B126" s="2374"/>
      <c r="C126" s="950" t="s">
        <v>1630</v>
      </c>
      <c r="D126" s="918">
        <v>0.14099999999999999</v>
      </c>
      <c r="E126" s="918">
        <v>0.13700000000000001</v>
      </c>
      <c r="F126" s="918">
        <v>0.121</v>
      </c>
      <c r="G126" s="951">
        <v>8.4000000000000005E-2</v>
      </c>
      <c r="H126" s="951">
        <v>0.10199999999999999</v>
      </c>
      <c r="I126" s="952">
        <f t="shared" si="3"/>
        <v>0.1366</v>
      </c>
      <c r="J126" s="62" t="s">
        <v>1768</v>
      </c>
      <c r="K126" s="62">
        <v>7</v>
      </c>
      <c r="L126" s="83"/>
      <c r="M126" s="83"/>
      <c r="N126" s="125"/>
    </row>
    <row r="127" spans="1:28" ht="15" thickBot="1" x14ac:dyDescent="0.4">
      <c r="A127" s="124"/>
      <c r="B127" s="2374"/>
      <c r="C127" s="950" t="s">
        <v>1649</v>
      </c>
      <c r="D127" s="918">
        <v>7.8E-2</v>
      </c>
      <c r="E127" s="918">
        <v>7.6999999999999999E-2</v>
      </c>
      <c r="F127" s="918">
        <v>6.7000000000000004E-2</v>
      </c>
      <c r="G127" s="951">
        <v>5.3999999999999999E-2</v>
      </c>
      <c r="H127" s="951">
        <v>0.06</v>
      </c>
      <c r="I127" s="952">
        <f t="shared" si="3"/>
        <v>7.6299999999999993E-2</v>
      </c>
      <c r="J127" s="83"/>
      <c r="K127" s="83"/>
      <c r="L127" s="83"/>
      <c r="M127" s="83"/>
      <c r="N127" s="125"/>
    </row>
    <row r="128" spans="1:28" ht="15" thickBot="1" x14ac:dyDescent="0.4">
      <c r="A128" s="124"/>
      <c r="B128" s="2374"/>
      <c r="C128" s="950" t="s">
        <v>1621</v>
      </c>
      <c r="D128" s="918">
        <v>0.127</v>
      </c>
      <c r="E128" s="918">
        <v>0.127</v>
      </c>
      <c r="F128" s="918">
        <v>0.111</v>
      </c>
      <c r="G128" s="951">
        <v>6.9000000000000006E-2</v>
      </c>
      <c r="H128" s="951">
        <v>8.3000000000000004E-2</v>
      </c>
      <c r="I128" s="952">
        <f t="shared" si="3"/>
        <v>0.12540000000000001</v>
      </c>
      <c r="J128" s="83"/>
      <c r="K128" s="83"/>
      <c r="L128" s="83"/>
      <c r="M128" s="83"/>
      <c r="N128" s="125"/>
    </row>
    <row r="129" spans="1:14" ht="15" thickBot="1" x14ac:dyDescent="0.4">
      <c r="A129" s="124"/>
      <c r="B129" s="2374"/>
      <c r="C129" s="950" t="s">
        <v>1500</v>
      </c>
      <c r="D129" s="918">
        <v>0.125</v>
      </c>
      <c r="E129" s="918">
        <v>0.128</v>
      </c>
      <c r="F129" s="918">
        <v>0.112</v>
      </c>
      <c r="G129" s="951">
        <v>7.5999999999999998E-2</v>
      </c>
      <c r="H129" s="951">
        <v>8.1000000000000003E-2</v>
      </c>
      <c r="I129" s="952">
        <f t="shared" si="3"/>
        <v>0.1255</v>
      </c>
      <c r="J129" s="83"/>
      <c r="K129" s="83"/>
      <c r="L129" s="83"/>
      <c r="M129" s="83"/>
      <c r="N129" s="125"/>
    </row>
    <row r="130" spans="1:14" ht="15" thickBot="1" x14ac:dyDescent="0.4">
      <c r="A130" s="124"/>
      <c r="B130" s="2374"/>
      <c r="C130" s="950" t="s">
        <v>1502</v>
      </c>
      <c r="D130" s="918">
        <v>0.14599999999999999</v>
      </c>
      <c r="E130" s="918">
        <v>0.14699999999999999</v>
      </c>
      <c r="F130" s="918">
        <v>0.13200000000000001</v>
      </c>
      <c r="G130" s="951">
        <v>9.4E-2</v>
      </c>
      <c r="H130" s="951">
        <v>0.11</v>
      </c>
      <c r="I130" s="952">
        <f t="shared" si="3"/>
        <v>0.14519999999999997</v>
      </c>
      <c r="J130" s="83"/>
      <c r="K130" s="83"/>
      <c r="L130" s="83"/>
      <c r="M130" s="83"/>
      <c r="N130" s="125"/>
    </row>
    <row r="131" spans="1:14" ht="15" thickBot="1" x14ac:dyDescent="0.4">
      <c r="A131" s="124"/>
      <c r="B131" s="2374"/>
      <c r="C131" s="950" t="s">
        <v>1658</v>
      </c>
      <c r="D131" s="918">
        <v>0.14000000000000001</v>
      </c>
      <c r="E131" s="918">
        <v>0.14399999999999999</v>
      </c>
      <c r="F131" s="918">
        <v>0.123</v>
      </c>
      <c r="G131" s="951">
        <v>0.105</v>
      </c>
      <c r="H131" s="951">
        <v>0.12</v>
      </c>
      <c r="I131" s="952">
        <f t="shared" si="3"/>
        <v>0.14069999999999999</v>
      </c>
      <c r="J131" s="83"/>
      <c r="K131" s="83"/>
      <c r="L131" s="83"/>
      <c r="M131" s="83"/>
      <c r="N131" s="125"/>
    </row>
    <row r="132" spans="1:14" ht="15" thickBot="1" x14ac:dyDescent="0.4">
      <c r="A132" s="124"/>
      <c r="B132" s="2374"/>
      <c r="C132" s="950" t="s">
        <v>1659</v>
      </c>
      <c r="D132" s="918">
        <v>0.14199999999999999</v>
      </c>
      <c r="E132" s="918">
        <v>0.14699999999999999</v>
      </c>
      <c r="F132" s="918">
        <v>0.125</v>
      </c>
      <c r="G132" s="951">
        <v>0.108</v>
      </c>
      <c r="H132" s="951">
        <v>0.123</v>
      </c>
      <c r="I132" s="952">
        <f t="shared" si="3"/>
        <v>0.14329999999999998</v>
      </c>
      <c r="J132" s="83"/>
      <c r="K132" s="83"/>
      <c r="L132" s="83"/>
      <c r="M132" s="83"/>
      <c r="N132" s="125"/>
    </row>
    <row r="133" spans="1:14" ht="15" thickBot="1" x14ac:dyDescent="0.4">
      <c r="A133" s="124"/>
      <c r="B133" s="2374"/>
      <c r="C133" s="950" t="s">
        <v>1660</v>
      </c>
      <c r="D133" s="918">
        <v>5.8000000000000003E-2</v>
      </c>
      <c r="E133" s="918">
        <v>5.5E-2</v>
      </c>
      <c r="F133" s="918">
        <v>4.1000000000000002E-2</v>
      </c>
      <c r="G133" s="951">
        <v>2.5000000000000001E-2</v>
      </c>
      <c r="H133" s="951">
        <v>2.7E-2</v>
      </c>
      <c r="I133" s="952">
        <f t="shared" si="3"/>
        <v>5.45E-2</v>
      </c>
      <c r="J133" s="83"/>
      <c r="K133" s="83"/>
      <c r="L133" s="83"/>
      <c r="M133" s="83"/>
      <c r="N133" s="125"/>
    </row>
    <row r="134" spans="1:14" ht="15" thickBot="1" x14ac:dyDescent="0.4">
      <c r="A134" s="124"/>
      <c r="B134" s="2374"/>
      <c r="C134" s="950" t="s">
        <v>1661</v>
      </c>
      <c r="D134" s="918">
        <v>0.105</v>
      </c>
      <c r="E134" s="918">
        <v>0.12</v>
      </c>
      <c r="F134" s="918">
        <v>9.8000000000000004E-2</v>
      </c>
      <c r="G134" s="951">
        <v>0.115</v>
      </c>
      <c r="H134" s="951">
        <v>0.154</v>
      </c>
      <c r="I134" s="952">
        <f t="shared" si="3"/>
        <v>0.1133</v>
      </c>
      <c r="J134" s="83"/>
      <c r="K134" s="83"/>
      <c r="L134" s="83"/>
      <c r="M134" s="83"/>
      <c r="N134" s="125"/>
    </row>
    <row r="135" spans="1:14" ht="15" thickBot="1" x14ac:dyDescent="0.4">
      <c r="A135" s="124"/>
      <c r="B135" s="2374"/>
      <c r="C135" s="950" t="s">
        <v>1623</v>
      </c>
      <c r="D135" s="918">
        <v>0.14000000000000001</v>
      </c>
      <c r="E135" s="918">
        <v>0.13600000000000001</v>
      </c>
      <c r="F135" s="918">
        <v>0.122</v>
      </c>
      <c r="G135" s="951">
        <v>8.4000000000000005E-2</v>
      </c>
      <c r="H135" s="951">
        <v>0.10199999999999999</v>
      </c>
      <c r="I135" s="952">
        <f t="shared" si="3"/>
        <v>0.1358</v>
      </c>
      <c r="J135" s="83"/>
      <c r="K135" s="83"/>
      <c r="L135" s="83"/>
      <c r="M135" s="83"/>
      <c r="N135" s="125"/>
    </row>
    <row r="136" spans="1:14" ht="15" thickBot="1" x14ac:dyDescent="0.4">
      <c r="A136" s="124"/>
      <c r="B136" s="2374"/>
      <c r="C136" s="950" t="s">
        <v>1652</v>
      </c>
      <c r="D136" s="918">
        <v>0.127</v>
      </c>
      <c r="E136" s="918">
        <v>0.129</v>
      </c>
      <c r="F136" s="918">
        <v>0.123</v>
      </c>
      <c r="G136" s="951">
        <v>0.1</v>
      </c>
      <c r="H136" s="951">
        <v>0.105</v>
      </c>
      <c r="I136" s="952">
        <f t="shared" si="3"/>
        <v>0.1278</v>
      </c>
      <c r="J136" s="83"/>
      <c r="K136" s="83"/>
      <c r="L136" s="83"/>
      <c r="M136" s="83"/>
      <c r="N136" s="125"/>
    </row>
    <row r="137" spans="1:14" ht="15" thickBot="1" x14ac:dyDescent="0.4">
      <c r="A137" s="124"/>
      <c r="B137" s="2374"/>
      <c r="C137" s="950" t="s">
        <v>1653</v>
      </c>
      <c r="D137" s="918">
        <v>0.13900000000000001</v>
      </c>
      <c r="E137" s="918">
        <v>0.13500000000000001</v>
      </c>
      <c r="F137" s="918">
        <v>0.12</v>
      </c>
      <c r="G137" s="951">
        <v>8.1000000000000003E-2</v>
      </c>
      <c r="H137" s="951">
        <v>9.9000000000000005E-2</v>
      </c>
      <c r="I137" s="952">
        <f t="shared" si="3"/>
        <v>0.13470000000000001</v>
      </c>
      <c r="J137" s="83"/>
      <c r="K137" s="83"/>
      <c r="L137" s="83"/>
      <c r="M137" s="83"/>
      <c r="N137" s="125"/>
    </row>
    <row r="138" spans="1:14" ht="15" thickBot="1" x14ac:dyDescent="0.4">
      <c r="A138" s="124"/>
      <c r="B138" s="2374"/>
      <c r="C138" s="950" t="s">
        <v>1501</v>
      </c>
      <c r="D138" s="918">
        <v>8.3000000000000004E-2</v>
      </c>
      <c r="E138" s="918">
        <v>0.08</v>
      </c>
      <c r="F138" s="918">
        <v>7.3999999999999996E-2</v>
      </c>
      <c r="G138" s="951">
        <v>4.4999999999999998E-2</v>
      </c>
      <c r="H138" s="951">
        <v>0.05</v>
      </c>
      <c r="I138" s="952">
        <f t="shared" si="3"/>
        <v>8.030000000000001E-2</v>
      </c>
      <c r="J138" s="83"/>
      <c r="K138" s="83"/>
      <c r="L138" s="83"/>
      <c r="M138" s="83"/>
      <c r="N138" s="125"/>
    </row>
    <row r="139" spans="1:14" ht="15" thickBot="1" x14ac:dyDescent="0.4">
      <c r="A139" s="124"/>
      <c r="B139" s="2374"/>
      <c r="C139" s="950" t="s">
        <v>1654</v>
      </c>
      <c r="D139" s="918">
        <v>0.121</v>
      </c>
      <c r="E139" s="918">
        <v>0.11899999999999999</v>
      </c>
      <c r="F139" s="918">
        <v>0.109</v>
      </c>
      <c r="G139" s="951">
        <v>9.2999999999999999E-2</v>
      </c>
      <c r="H139" s="951">
        <v>9.2999999999999999E-2</v>
      </c>
      <c r="I139" s="952">
        <f t="shared" si="3"/>
        <v>0.11859999999999998</v>
      </c>
      <c r="J139" s="83"/>
      <c r="K139" s="83"/>
      <c r="L139" s="83"/>
      <c r="M139" s="83"/>
      <c r="N139" s="125"/>
    </row>
    <row r="140" spans="1:14" ht="15" thickBot="1" x14ac:dyDescent="0.4">
      <c r="A140" s="124"/>
      <c r="B140" s="2374"/>
      <c r="C140" s="950" t="s">
        <v>1655</v>
      </c>
      <c r="D140" s="918">
        <v>0.14399999999999999</v>
      </c>
      <c r="E140" s="918">
        <v>0.14000000000000001</v>
      </c>
      <c r="F140" s="918">
        <v>0.125</v>
      </c>
      <c r="G140" s="951">
        <v>8.5999999999999993E-2</v>
      </c>
      <c r="H140" s="951">
        <v>0.111</v>
      </c>
      <c r="I140" s="952">
        <f t="shared" si="3"/>
        <v>0.13970000000000002</v>
      </c>
      <c r="J140" s="83"/>
      <c r="K140" s="83"/>
      <c r="L140" s="83"/>
      <c r="M140" s="83"/>
      <c r="N140" s="125"/>
    </row>
    <row r="141" spans="1:14" ht="15" thickBot="1" x14ac:dyDescent="0.4">
      <c r="A141" s="124"/>
      <c r="B141" s="2374"/>
      <c r="C141" s="950" t="s">
        <v>1656</v>
      </c>
      <c r="D141" s="918">
        <v>0.11700000000000001</v>
      </c>
      <c r="E141" s="918">
        <v>0.11600000000000001</v>
      </c>
      <c r="F141" s="918">
        <v>0.105</v>
      </c>
      <c r="G141" s="951">
        <v>9.0999999999999998E-2</v>
      </c>
      <c r="H141" s="951">
        <v>8.8999999999999996E-2</v>
      </c>
      <c r="I141" s="952">
        <f t="shared" si="3"/>
        <v>0.11519999999999998</v>
      </c>
      <c r="J141" s="83"/>
      <c r="K141" s="83"/>
      <c r="L141" s="83"/>
      <c r="M141" s="83"/>
      <c r="N141" s="125"/>
    </row>
    <row r="142" spans="1:14" ht="15" thickBot="1" x14ac:dyDescent="0.4">
      <c r="A142" s="124"/>
      <c r="B142" s="2374"/>
      <c r="C142" s="950" t="s">
        <v>1657</v>
      </c>
      <c r="D142" s="918">
        <v>0.13200000000000001</v>
      </c>
      <c r="E142" s="918">
        <v>0.13400000000000001</v>
      </c>
      <c r="F142" s="918">
        <v>0.115</v>
      </c>
      <c r="G142" s="951">
        <v>8.5000000000000006E-2</v>
      </c>
      <c r="H142" s="951">
        <v>9.6000000000000002E-2</v>
      </c>
      <c r="I142" s="952">
        <f t="shared" si="3"/>
        <v>0.13150000000000001</v>
      </c>
      <c r="J142" s="83"/>
      <c r="K142" s="83"/>
      <c r="L142" s="83"/>
      <c r="M142" s="83"/>
      <c r="N142" s="125"/>
    </row>
    <row r="143" spans="1:14" ht="15" thickBot="1" x14ac:dyDescent="0.4">
      <c r="A143" s="124"/>
      <c r="B143" s="2374"/>
      <c r="C143" s="950" t="s">
        <v>1650</v>
      </c>
      <c r="D143" s="918">
        <v>0.14399999999999999</v>
      </c>
      <c r="E143" s="918">
        <v>0.14199999999999999</v>
      </c>
      <c r="F143" s="918">
        <v>0.13300000000000001</v>
      </c>
      <c r="G143" s="951">
        <v>0.10100000000000001</v>
      </c>
      <c r="H143" s="951">
        <v>0.12</v>
      </c>
      <c r="I143" s="952">
        <f t="shared" si="3"/>
        <v>0.14169999999999999</v>
      </c>
      <c r="J143" s="83"/>
      <c r="K143" s="83"/>
      <c r="L143" s="83"/>
      <c r="M143" s="83"/>
      <c r="N143" s="125"/>
    </row>
    <row r="144" spans="1:14" ht="15" thickBot="1" x14ac:dyDescent="0.4">
      <c r="A144" s="124"/>
      <c r="B144" s="2374"/>
      <c r="C144" s="950" t="s">
        <v>1801</v>
      </c>
      <c r="D144" s="918">
        <v>0.16</v>
      </c>
      <c r="E144" s="918">
        <v>0.16200000000000001</v>
      </c>
      <c r="F144" s="918">
        <v>0.14799999999999999</v>
      </c>
      <c r="G144" s="951">
        <v>9.9000000000000005E-2</v>
      </c>
      <c r="H144" s="951">
        <v>0.108</v>
      </c>
      <c r="I144" s="952">
        <f t="shared" si="3"/>
        <v>0.16</v>
      </c>
      <c r="J144" s="83"/>
      <c r="K144" s="83"/>
      <c r="L144" s="83"/>
      <c r="M144" s="83"/>
      <c r="N144" s="125"/>
    </row>
    <row r="145" spans="1:14" ht="15" thickBot="1" x14ac:dyDescent="0.4">
      <c r="A145" s="124"/>
      <c r="B145" s="2374"/>
      <c r="C145" s="950" t="s">
        <v>1802</v>
      </c>
      <c r="D145" s="918">
        <v>0.16500000000000001</v>
      </c>
      <c r="E145" s="918">
        <v>0.16900000000000001</v>
      </c>
      <c r="F145" s="918">
        <v>0.155</v>
      </c>
      <c r="G145" s="951">
        <v>0.107</v>
      </c>
      <c r="H145" s="951">
        <v>0.11799999999999999</v>
      </c>
      <c r="I145" s="952">
        <f t="shared" si="3"/>
        <v>0.16639999999999999</v>
      </c>
      <c r="J145" s="83"/>
      <c r="K145" s="83"/>
      <c r="L145" s="83"/>
      <c r="M145" s="83"/>
      <c r="N145" s="125"/>
    </row>
    <row r="146" spans="1:14" ht="15" thickBot="1" x14ac:dyDescent="0.4">
      <c r="A146" s="124"/>
      <c r="B146" s="2374"/>
      <c r="C146" s="950" t="s">
        <v>1803</v>
      </c>
      <c r="D146" s="918">
        <v>0.121</v>
      </c>
      <c r="E146" s="918">
        <v>0.123</v>
      </c>
      <c r="F146" s="918">
        <v>0.10199999999999999</v>
      </c>
      <c r="G146" s="951">
        <v>0.06</v>
      </c>
      <c r="H146" s="951">
        <v>6.7000000000000004E-2</v>
      </c>
      <c r="I146" s="952">
        <f t="shared" si="3"/>
        <v>0.12029999999999999</v>
      </c>
      <c r="J146" s="83"/>
      <c r="K146" s="83"/>
      <c r="L146" s="83"/>
      <c r="M146" s="83"/>
      <c r="N146" s="125"/>
    </row>
    <row r="147" spans="1:14" ht="15" thickBot="1" x14ac:dyDescent="0.4">
      <c r="A147" s="124"/>
      <c r="B147" s="2374"/>
      <c r="C147" s="950" t="s">
        <v>1669</v>
      </c>
      <c r="D147" s="918">
        <v>8.8999999999999996E-2</v>
      </c>
      <c r="E147" s="918">
        <v>8.6999999999999994E-2</v>
      </c>
      <c r="F147" s="918">
        <v>7.4999999999999997E-2</v>
      </c>
      <c r="G147" s="951">
        <v>0.04</v>
      </c>
      <c r="H147" s="951">
        <v>4.2000000000000003E-2</v>
      </c>
      <c r="I147" s="952">
        <f t="shared" si="3"/>
        <v>8.6400000000000005E-2</v>
      </c>
      <c r="J147" s="83"/>
      <c r="K147" s="83"/>
      <c r="L147" s="83"/>
      <c r="M147" s="83"/>
      <c r="N147" s="125"/>
    </row>
    <row r="148" spans="1:14" ht="15" thickBot="1" x14ac:dyDescent="0.4">
      <c r="A148" s="124"/>
      <c r="B148" s="2374"/>
      <c r="C148" s="950" t="s">
        <v>1498</v>
      </c>
      <c r="D148" s="918">
        <v>0.113</v>
      </c>
      <c r="E148" s="918">
        <v>0.113</v>
      </c>
      <c r="F148" s="918">
        <v>0.09</v>
      </c>
      <c r="G148" s="951">
        <v>5.5E-2</v>
      </c>
      <c r="H148" s="951">
        <v>6.3E-2</v>
      </c>
      <c r="I148" s="952">
        <f t="shared" si="3"/>
        <v>0.11069999999999999</v>
      </c>
      <c r="J148" s="83"/>
      <c r="K148" s="83"/>
      <c r="L148" s="83"/>
      <c r="M148" s="83"/>
      <c r="N148" s="125"/>
    </row>
    <row r="149" spans="1:14" ht="15" thickBot="1" x14ac:dyDescent="0.4">
      <c r="A149" s="124"/>
      <c r="B149" s="2374"/>
      <c r="C149" s="950" t="s">
        <v>1497</v>
      </c>
      <c r="D149" s="918">
        <v>0.126</v>
      </c>
      <c r="E149" s="918">
        <v>0.126</v>
      </c>
      <c r="F149" s="918">
        <v>0.106</v>
      </c>
      <c r="G149" s="951">
        <v>6.8000000000000005E-2</v>
      </c>
      <c r="H149" s="951">
        <v>7.4999999999999997E-2</v>
      </c>
      <c r="I149" s="952">
        <f t="shared" si="3"/>
        <v>0.124</v>
      </c>
      <c r="J149" s="83"/>
      <c r="K149" s="83"/>
      <c r="L149" s="83"/>
      <c r="M149" s="83"/>
      <c r="N149" s="125"/>
    </row>
    <row r="150" spans="1:14" ht="15" thickBot="1" x14ac:dyDescent="0.4">
      <c r="A150" s="124"/>
      <c r="B150" s="2374"/>
      <c r="C150" s="950" t="s">
        <v>1670</v>
      </c>
      <c r="D150" s="918">
        <v>0.127</v>
      </c>
      <c r="E150" s="918">
        <v>0.11899999999999999</v>
      </c>
      <c r="F150" s="918">
        <v>0.114</v>
      </c>
      <c r="G150" s="951">
        <v>8.4000000000000005E-2</v>
      </c>
      <c r="H150" s="951">
        <v>9.5000000000000001E-2</v>
      </c>
      <c r="I150" s="952">
        <f t="shared" si="3"/>
        <v>0.12089999999999998</v>
      </c>
      <c r="J150" s="83"/>
      <c r="K150" s="83"/>
      <c r="L150" s="83"/>
      <c r="M150" s="83"/>
      <c r="N150" s="125"/>
    </row>
    <row r="151" spans="1:14" ht="15" thickBot="1" x14ac:dyDescent="0.4">
      <c r="A151" s="124"/>
      <c r="B151" s="2374"/>
      <c r="C151" s="950" t="s">
        <v>1506</v>
      </c>
      <c r="D151" s="918">
        <v>0.107</v>
      </c>
      <c r="E151" s="918">
        <v>0.107</v>
      </c>
      <c r="F151" s="918">
        <v>9.6000000000000002E-2</v>
      </c>
      <c r="G151" s="951">
        <v>7.2999999999999995E-2</v>
      </c>
      <c r="H151" s="951">
        <v>8.5999999999999993E-2</v>
      </c>
      <c r="I151" s="952">
        <f t="shared" si="3"/>
        <v>0.10589999999999999</v>
      </c>
      <c r="J151" s="83"/>
      <c r="K151" s="83"/>
      <c r="L151" s="83"/>
      <c r="M151" s="83"/>
      <c r="N151" s="125"/>
    </row>
    <row r="152" spans="1:14" ht="15" thickBot="1" x14ac:dyDescent="0.4">
      <c r="A152" s="124"/>
      <c r="B152" s="2374"/>
      <c r="C152" s="950" t="s">
        <v>1508</v>
      </c>
      <c r="D152" s="918">
        <v>0.11</v>
      </c>
      <c r="E152" s="918">
        <v>0.10100000000000001</v>
      </c>
      <c r="F152" s="918">
        <v>9.5000000000000001E-2</v>
      </c>
      <c r="G152" s="951">
        <v>6.2E-2</v>
      </c>
      <c r="H152" s="951">
        <v>7.0999999999999994E-2</v>
      </c>
      <c r="I152" s="952">
        <f t="shared" si="3"/>
        <v>0.1031</v>
      </c>
      <c r="J152" s="83"/>
      <c r="K152" s="83"/>
      <c r="L152" s="83"/>
      <c r="M152" s="83"/>
      <c r="N152" s="125"/>
    </row>
    <row r="153" spans="1:14" ht="15" thickBot="1" x14ac:dyDescent="0.4">
      <c r="A153" s="124"/>
      <c r="B153" s="2374"/>
      <c r="C153" s="950" t="s">
        <v>1507</v>
      </c>
      <c r="D153" s="918">
        <v>0.106</v>
      </c>
      <c r="E153" s="918">
        <v>9.8000000000000004E-2</v>
      </c>
      <c r="F153" s="918">
        <v>8.5999999999999993E-2</v>
      </c>
      <c r="G153" s="951">
        <v>5.8999999999999997E-2</v>
      </c>
      <c r="H153" s="951">
        <v>6.4000000000000001E-2</v>
      </c>
      <c r="I153" s="952">
        <f t="shared" si="3"/>
        <v>9.9199999999999983E-2</v>
      </c>
      <c r="J153" s="83"/>
      <c r="K153" s="83"/>
      <c r="L153" s="83"/>
      <c r="M153" s="83"/>
      <c r="N153" s="125"/>
    </row>
    <row r="154" spans="1:14" ht="15" thickBot="1" x14ac:dyDescent="0.4">
      <c r="A154" s="124"/>
      <c r="B154" s="2374"/>
      <c r="C154" s="950" t="s">
        <v>1510</v>
      </c>
      <c r="D154" s="918">
        <v>0.115</v>
      </c>
      <c r="E154" s="918">
        <v>0.108</v>
      </c>
      <c r="F154" s="918">
        <v>0.111</v>
      </c>
      <c r="G154" s="951">
        <v>6.9000000000000006E-2</v>
      </c>
      <c r="H154" s="951">
        <v>8.5000000000000006E-2</v>
      </c>
      <c r="I154" s="952">
        <f t="shared" si="3"/>
        <v>0.1104</v>
      </c>
      <c r="J154" s="83"/>
      <c r="K154" s="83"/>
      <c r="L154" s="83"/>
      <c r="M154" s="83"/>
      <c r="N154" s="125"/>
    </row>
    <row r="155" spans="1:14" ht="15" thickBot="1" x14ac:dyDescent="0.4">
      <c r="A155" s="124"/>
      <c r="B155" s="2375"/>
      <c r="C155" s="950" t="s">
        <v>399</v>
      </c>
      <c r="D155" s="918">
        <v>0.123</v>
      </c>
      <c r="E155" s="918">
        <v>0.122</v>
      </c>
      <c r="F155" s="918">
        <v>0.108</v>
      </c>
      <c r="G155" s="951">
        <v>7.8E-2</v>
      </c>
      <c r="H155" s="951">
        <v>0.09</v>
      </c>
      <c r="I155" s="952">
        <f t="shared" si="3"/>
        <v>0.12090000000000001</v>
      </c>
      <c r="J155" s="83"/>
      <c r="K155" s="83"/>
      <c r="L155" s="83"/>
      <c r="M155" s="83"/>
      <c r="N155" s="125"/>
    </row>
    <row r="156" spans="1:14" ht="27.5" thickBot="1" x14ac:dyDescent="0.4">
      <c r="A156" s="124"/>
      <c r="B156" s="954" t="s">
        <v>1808</v>
      </c>
      <c r="C156" s="955" t="s">
        <v>1782</v>
      </c>
      <c r="D156" s="918">
        <v>0.39900000000000002</v>
      </c>
      <c r="E156" s="918">
        <v>0.39300000000000002</v>
      </c>
      <c r="F156" s="918">
        <v>0.35599999999999998</v>
      </c>
      <c r="G156" s="951">
        <v>0.31900000000000001</v>
      </c>
      <c r="H156" s="951">
        <v>0.32900000000000001</v>
      </c>
      <c r="I156" s="952">
        <f t="shared" si="3"/>
        <v>0.39110000000000006</v>
      </c>
      <c r="J156" s="83"/>
      <c r="K156" s="83"/>
      <c r="L156" s="83"/>
      <c r="M156" s="83"/>
      <c r="N156" s="125"/>
    </row>
    <row r="157" spans="1:14" ht="23" thickBot="1" x14ac:dyDescent="0.4">
      <c r="A157" s="124"/>
      <c r="B157" s="954" t="s">
        <v>1809</v>
      </c>
      <c r="C157" s="955" t="s">
        <v>1804</v>
      </c>
      <c r="D157" s="918">
        <v>0.69399999999999995</v>
      </c>
      <c r="E157" s="918">
        <v>0.69399999999999995</v>
      </c>
      <c r="F157" s="918">
        <v>0.69399999999999995</v>
      </c>
      <c r="G157" s="951">
        <v>0.69399999999999995</v>
      </c>
      <c r="H157" s="951">
        <v>0.69399999999999995</v>
      </c>
      <c r="I157" s="952">
        <f t="shared" si="3"/>
        <v>0.69399999999999995</v>
      </c>
      <c r="J157" s="83"/>
      <c r="K157" s="83"/>
      <c r="L157" s="83"/>
      <c r="M157" s="83"/>
      <c r="N157" s="125"/>
    </row>
    <row r="158" spans="1:14" ht="15" thickBot="1" x14ac:dyDescent="0.4">
      <c r="A158" s="124"/>
      <c r="B158" s="956" t="str">
        <f>I50</f>
        <v>Domestic Hot Water</v>
      </c>
      <c r="C158" s="950" t="s">
        <v>1785</v>
      </c>
      <c r="D158" s="918">
        <v>0.69399999999999995</v>
      </c>
      <c r="E158" s="918">
        <v>0.69399999999999995</v>
      </c>
      <c r="F158" s="918">
        <v>0.69399999999999995</v>
      </c>
      <c r="G158" s="951">
        <v>0.69399999999999995</v>
      </c>
      <c r="H158" s="951">
        <v>0.69399999999999995</v>
      </c>
      <c r="I158" s="952">
        <f t="shared" si="3"/>
        <v>0.69399999999999995</v>
      </c>
      <c r="J158" s="83"/>
      <c r="K158" s="83"/>
      <c r="L158" s="83"/>
      <c r="M158" s="83"/>
      <c r="N158" s="125"/>
    </row>
    <row r="159" spans="1:14" ht="15" thickBot="1" x14ac:dyDescent="0.4">
      <c r="A159" s="124"/>
      <c r="B159" s="956" t="s">
        <v>1805</v>
      </c>
      <c r="C159" s="950" t="s">
        <v>295</v>
      </c>
      <c r="D159" s="2376" t="s">
        <v>295</v>
      </c>
      <c r="E159" s="2377"/>
      <c r="F159" s="2377"/>
      <c r="G159" s="2377"/>
      <c r="H159" s="2377"/>
      <c r="I159" s="2378"/>
      <c r="J159" s="83"/>
      <c r="K159" s="83"/>
      <c r="L159" s="83"/>
      <c r="M159" s="83"/>
      <c r="N159" s="125"/>
    </row>
    <row r="160" spans="1:14" x14ac:dyDescent="0.35">
      <c r="A160" s="124"/>
      <c r="B160" s="83"/>
      <c r="C160" s="83"/>
      <c r="D160" s="83"/>
      <c r="E160" s="83"/>
      <c r="F160" s="83"/>
      <c r="G160" s="83"/>
      <c r="H160" s="83"/>
      <c r="I160" s="83"/>
      <c r="J160" s="83"/>
      <c r="K160" s="83"/>
      <c r="L160" s="83"/>
      <c r="M160" s="83"/>
      <c r="N160" s="125"/>
    </row>
    <row r="161" spans="1:14" x14ac:dyDescent="0.35">
      <c r="A161" s="124"/>
      <c r="B161" s="83"/>
      <c r="C161" s="83"/>
      <c r="D161" s="83"/>
      <c r="E161" s="83"/>
      <c r="F161" s="83"/>
      <c r="G161" s="83"/>
      <c r="H161" s="83"/>
      <c r="I161" s="83"/>
      <c r="J161" s="83"/>
      <c r="K161" s="83"/>
      <c r="L161" s="83"/>
      <c r="M161" s="83"/>
      <c r="N161" s="125"/>
    </row>
    <row r="162" spans="1:14" x14ac:dyDescent="0.35">
      <c r="A162" s="124"/>
      <c r="B162" s="83"/>
      <c r="C162" s="83"/>
      <c r="D162" s="83"/>
      <c r="E162" s="83"/>
      <c r="F162" s="83"/>
      <c r="G162" s="83"/>
      <c r="H162" s="83"/>
      <c r="I162" s="83"/>
      <c r="J162" s="83"/>
      <c r="K162" s="83"/>
      <c r="L162" s="83"/>
      <c r="M162" s="83"/>
      <c r="N162" s="125"/>
    </row>
    <row r="163" spans="1:14" x14ac:dyDescent="0.35">
      <c r="A163" s="124"/>
      <c r="B163" s="135"/>
      <c r="C163" s="135"/>
      <c r="D163" s="135"/>
      <c r="E163" s="83"/>
      <c r="F163" s="83"/>
      <c r="G163" s="83"/>
      <c r="H163" s="83"/>
      <c r="I163" s="83"/>
      <c r="J163" s="83"/>
      <c r="K163" s="83"/>
      <c r="L163" s="83"/>
      <c r="M163" s="83"/>
      <c r="N163" s="125"/>
    </row>
    <row r="164" spans="1:14" x14ac:dyDescent="0.35">
      <c r="A164" s="124"/>
      <c r="B164" s="135"/>
      <c r="C164" s="135"/>
      <c r="D164" s="135"/>
      <c r="E164" s="83"/>
      <c r="F164" s="83"/>
      <c r="G164" s="83"/>
      <c r="H164" s="83"/>
      <c r="I164" s="83"/>
      <c r="J164" s="83"/>
      <c r="K164" s="83"/>
      <c r="L164" s="83"/>
      <c r="M164" s="83"/>
      <c r="N164" s="125"/>
    </row>
    <row r="165" spans="1:14" x14ac:dyDescent="0.35">
      <c r="A165" s="124"/>
      <c r="B165" s="135"/>
      <c r="C165" s="135"/>
      <c r="D165" s="135"/>
      <c r="E165" s="83"/>
      <c r="F165" s="83"/>
      <c r="G165" s="83"/>
      <c r="H165" s="83"/>
      <c r="I165" s="83"/>
      <c r="J165" s="83"/>
      <c r="K165" s="83"/>
      <c r="L165" s="83"/>
      <c r="M165" s="83"/>
      <c r="N165" s="125"/>
    </row>
    <row r="166" spans="1:14" x14ac:dyDescent="0.35">
      <c r="A166" s="124"/>
      <c r="B166" s="135"/>
      <c r="C166" s="135"/>
      <c r="D166" s="135"/>
      <c r="E166" s="83"/>
      <c r="F166" s="83"/>
      <c r="G166" s="83"/>
      <c r="H166" s="83"/>
      <c r="I166" s="83"/>
      <c r="J166" s="83"/>
      <c r="K166" s="83"/>
      <c r="L166" s="83"/>
      <c r="M166" s="83"/>
      <c r="N166" s="125"/>
    </row>
    <row r="167" spans="1:14" x14ac:dyDescent="0.35">
      <c r="A167" s="124"/>
      <c r="B167" s="83"/>
      <c r="C167" s="83"/>
      <c r="D167" s="83"/>
      <c r="E167" s="83"/>
      <c r="F167" s="83"/>
      <c r="G167" s="83"/>
      <c r="H167" s="83"/>
      <c r="I167" s="83"/>
      <c r="J167" s="83"/>
      <c r="K167" s="83"/>
      <c r="L167" s="83"/>
      <c r="M167" s="83"/>
      <c r="N167" s="125"/>
    </row>
    <row r="168" spans="1:14" x14ac:dyDescent="0.35">
      <c r="A168" s="124"/>
      <c r="B168" s="83"/>
      <c r="C168" s="83"/>
      <c r="D168" s="83"/>
      <c r="E168" s="83"/>
      <c r="F168" s="83"/>
      <c r="G168" s="83"/>
      <c r="H168" s="83"/>
      <c r="I168" s="83"/>
      <c r="J168" s="83"/>
      <c r="K168" s="83"/>
      <c r="L168" s="83"/>
      <c r="M168" s="83"/>
      <c r="N168" s="125"/>
    </row>
    <row r="169" spans="1:14" ht="15" thickBot="1" x14ac:dyDescent="0.4">
      <c r="A169" s="321"/>
      <c r="B169" s="201"/>
      <c r="C169" s="201"/>
      <c r="D169" s="201"/>
      <c r="E169" s="201"/>
      <c r="F169" s="201"/>
      <c r="G169" s="201"/>
      <c r="H169" s="201"/>
      <c r="I169" s="201"/>
      <c r="J169" s="201"/>
      <c r="K169" s="201"/>
      <c r="L169" s="201"/>
      <c r="M169" s="201"/>
      <c r="N169" s="203"/>
    </row>
  </sheetData>
  <dataConsolidate/>
  <customSheetViews>
    <customSheetView guid="{11DE45F5-F478-4ED6-8DFF-12002C22A637}" scale="85" showPageBreaks="1" fitToPage="1" view="pageBreakPreview">
      <pageMargins left="0.7" right="0.7" top="0.75" bottom="0.75" header="0.3" footer="0.3"/>
      <pageSetup scale="21" orientation="portrait" r:id="rId1"/>
    </customSheetView>
    <customSheetView guid="{ECD6FE6A-9548-414E-B8AA-6998703C57E0}" scale="85" showPageBreaks="1" fitToPage="1" view="pageBreakPreview">
      <pageMargins left="0.7" right="0.7" top="0.75" bottom="0.75" header="0.3" footer="0.3"/>
      <pageSetup scale="21" orientation="portrait" r:id="rId2"/>
    </customSheetView>
  </customSheetViews>
  <mergeCells count="23">
    <mergeCell ref="B36:C36"/>
    <mergeCell ref="E36:F36"/>
    <mergeCell ref="P1:R1"/>
    <mergeCell ref="S1:U1"/>
    <mergeCell ref="V1:X1"/>
    <mergeCell ref="C24:I24"/>
    <mergeCell ref="H42:I42"/>
    <mergeCell ref="A48:B48"/>
    <mergeCell ref="H49:I49"/>
    <mergeCell ref="B60:F60"/>
    <mergeCell ref="B69:C69"/>
    <mergeCell ref="B122:B155"/>
    <mergeCell ref="D159:I159"/>
    <mergeCell ref="J76:K76"/>
    <mergeCell ref="B78:B111"/>
    <mergeCell ref="D115:I115"/>
    <mergeCell ref="B120:B121"/>
    <mergeCell ref="C120:C121"/>
    <mergeCell ref="D120:I120"/>
    <mergeCell ref="J120:K120"/>
    <mergeCell ref="B76:B77"/>
    <mergeCell ref="C76:C77"/>
    <mergeCell ref="D76:I76"/>
  </mergeCells>
  <dataValidations disablePrompts="1" count="7">
    <dataValidation type="list" allowBlank="1" showInputMessage="1" showErrorMessage="1" sqref="K3:K7" xr:uid="{00000000-0002-0000-2000-000000000000}">
      <formula1>IF(J3=$H$50,$C$78:$C$111,IF(J3=$H$51,$C$112,IF(J3=$H$52,$C$113,$C$114)))</formula1>
    </dataValidation>
    <dataValidation type="list" allowBlank="1" showInputMessage="1" showErrorMessage="1" sqref="G3:G7" xr:uid="{00000000-0002-0000-2000-000001000000}">
      <formula1>$H$55:$H$56</formula1>
    </dataValidation>
    <dataValidation type="list" allowBlank="1" showInputMessage="1" showErrorMessage="1" sqref="H3:H7" xr:uid="{00000000-0002-0000-2000-000002000000}">
      <formula1>$I$55:$I$56</formula1>
    </dataValidation>
    <dataValidation type="list" allowBlank="1" showInputMessage="1" showErrorMessage="1" sqref="J3:J7" xr:uid="{00000000-0002-0000-2000-000003000000}">
      <formula1>IF(I3=$I$51,$H$50:$H$52,$H$53)</formula1>
    </dataValidation>
    <dataValidation type="list" allowBlank="1" showInputMessage="1" showErrorMessage="1" sqref="I3:I7" xr:uid="{00000000-0002-0000-2000-000004000000}">
      <formula1>$I$50:$I$51</formula1>
    </dataValidation>
    <dataValidation type="list" allowBlank="1" showInputMessage="1" showErrorMessage="1" sqref="E3:E7" xr:uid="{00000000-0002-0000-2000-000005000000}">
      <formula1>$H$38:$H$39</formula1>
    </dataValidation>
    <dataValidation type="list" allowBlank="1" showInputMessage="1" showErrorMessage="1" sqref="D3:D7" xr:uid="{00000000-0002-0000-2000-000006000000}">
      <formula1>MeasureType</formula1>
    </dataValidation>
  </dataValidations>
  <pageMargins left="0.7" right="0.7" top="0.75" bottom="0.75" header="0.3" footer="0.3"/>
  <pageSetup scale="21" orientation="portrait"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000-000007000000}">
          <x14:formula1>
            <xm:f>'T:\EEP Planning Models\Planning Tools\Measure_Data\Custom TRM EEP 3\[HIM_CI_TRMv5 0.xlsx]List'!#REF!</xm:f>
          </x14:formula1>
          <xm:sqref>L3:L7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tint="0.79998168889431442"/>
  </sheetPr>
  <dimension ref="A1:Q39"/>
  <sheetViews>
    <sheetView view="pageBreakPreview" zoomScale="60" zoomScaleNormal="100" workbookViewId="0"/>
  </sheetViews>
  <sheetFormatPr defaultRowHeight="14.5" x14ac:dyDescent="0.35"/>
  <cols>
    <col min="1" max="1" width="24.7265625" customWidth="1"/>
    <col min="2" max="2" width="38.26953125" bestFit="1" customWidth="1"/>
    <col min="3" max="3" width="39.7265625" customWidth="1"/>
    <col min="4" max="4" width="20" bestFit="1" customWidth="1"/>
    <col min="5" max="5" width="8.453125" bestFit="1" customWidth="1"/>
    <col min="6" max="6" width="22" bestFit="1" customWidth="1"/>
    <col min="7" max="7" width="10" bestFit="1" customWidth="1"/>
    <col min="8" max="8" width="8.453125" bestFit="1" customWidth="1"/>
    <col min="9" max="9" width="5.81640625" bestFit="1" customWidth="1"/>
    <col min="10" max="10" width="5.7265625" bestFit="1" customWidth="1"/>
    <col min="11" max="11" width="8.81640625" bestFit="1" customWidth="1"/>
    <col min="12" max="12" width="12" bestFit="1" customWidth="1"/>
    <col min="13" max="13" width="5.7265625" bestFit="1" customWidth="1"/>
    <col min="14" max="14" width="9.54296875" bestFit="1" customWidth="1"/>
    <col min="15" max="15" width="22.7265625" bestFit="1" customWidth="1"/>
    <col min="16" max="16" width="16.1796875" bestFit="1" customWidth="1"/>
    <col min="17" max="17" width="23.26953125" bestFit="1" customWidth="1"/>
  </cols>
  <sheetData>
    <row r="1" spans="1:17" x14ac:dyDescent="0.35">
      <c r="A1" s="1721" t="s">
        <v>3202</v>
      </c>
      <c r="B1" s="1733" t="s">
        <v>3187</v>
      </c>
      <c r="C1" s="1144"/>
      <c r="D1" s="1144"/>
      <c r="E1" s="1143"/>
      <c r="F1" s="1143"/>
      <c r="G1" s="1143"/>
      <c r="H1" s="1143"/>
      <c r="I1" s="1143"/>
      <c r="J1" s="2216" t="s">
        <v>335</v>
      </c>
      <c r="K1" s="2217"/>
      <c r="L1" s="2218"/>
      <c r="M1" s="2216" t="s">
        <v>336</v>
      </c>
      <c r="N1" s="2217"/>
      <c r="O1" s="2217"/>
      <c r="P1" s="2389" t="s">
        <v>337</v>
      </c>
      <c r="Q1" s="2390"/>
    </row>
    <row r="2" spans="1:17" ht="43.5" x14ac:dyDescent="0.35">
      <c r="A2" s="1145" t="s">
        <v>338</v>
      </c>
      <c r="B2" s="1145" t="s">
        <v>1</v>
      </c>
      <c r="C2" s="1129" t="s">
        <v>339</v>
      </c>
      <c r="D2" s="1129" t="s">
        <v>688</v>
      </c>
      <c r="E2" s="1128" t="s">
        <v>342</v>
      </c>
      <c r="F2" s="1128" t="s">
        <v>3188</v>
      </c>
      <c r="G2" s="1128" t="s">
        <v>343</v>
      </c>
      <c r="H2" s="1128" t="s">
        <v>366</v>
      </c>
      <c r="I2" s="1128" t="s">
        <v>367</v>
      </c>
      <c r="J2" s="1649" t="s">
        <v>347</v>
      </c>
      <c r="K2" s="1649" t="s">
        <v>348</v>
      </c>
      <c r="L2" s="1230" t="s">
        <v>349</v>
      </c>
      <c r="M2" s="1649" t="s">
        <v>347</v>
      </c>
      <c r="N2" s="1649" t="s">
        <v>348</v>
      </c>
      <c r="O2" s="1646" t="s">
        <v>349</v>
      </c>
      <c r="P2" s="1642" t="s">
        <v>3189</v>
      </c>
      <c r="Q2" s="1642" t="s">
        <v>680</v>
      </c>
    </row>
    <row r="3" spans="1:17" ht="29" x14ac:dyDescent="0.35">
      <c r="A3" s="1142" t="s">
        <v>3192</v>
      </c>
      <c r="B3" s="1206" t="str">
        <f>$B$1&amp;" - "&amp;F3</f>
        <v xml:space="preserve">Modulating Commercial Gas Clothes Dryer - On-Premise Laundromats  </v>
      </c>
      <c r="C3" s="1734" t="s">
        <v>3020</v>
      </c>
      <c r="D3" s="1133" t="s">
        <v>2277</v>
      </c>
      <c r="E3" s="135"/>
      <c r="F3" s="135" t="s">
        <v>3193</v>
      </c>
      <c r="G3" s="1151">
        <f>+$B$18</f>
        <v>14</v>
      </c>
      <c r="H3" s="1180"/>
      <c r="I3" s="1231"/>
      <c r="J3" s="1154"/>
      <c r="K3" s="1155"/>
      <c r="L3" s="1234">
        <f>+P3*Q3</f>
        <v>649.26</v>
      </c>
      <c r="M3" s="1154"/>
      <c r="N3" s="1154"/>
      <c r="O3" s="1156">
        <f>L3*G3</f>
        <v>9089.64</v>
      </c>
      <c r="P3" s="747">
        <f>+VLOOKUP(F3,$A$28:$B$30,2,FALSE)</f>
        <v>3607</v>
      </c>
      <c r="Q3" s="62">
        <f>+$B$16</f>
        <v>0.18</v>
      </c>
    </row>
    <row r="4" spans="1:17" s="24" customFormat="1" ht="29" x14ac:dyDescent="0.35">
      <c r="A4" s="1142" t="s">
        <v>3194</v>
      </c>
      <c r="B4" s="1206" t="s">
        <v>3195</v>
      </c>
      <c r="C4" s="1142" t="s">
        <v>3022</v>
      </c>
      <c r="D4" s="1133" t="s">
        <v>2277</v>
      </c>
      <c r="E4" s="135"/>
      <c r="F4" s="135" t="s">
        <v>3193</v>
      </c>
      <c r="G4" s="1151">
        <f>+$B$18</f>
        <v>14</v>
      </c>
      <c r="H4" s="1180"/>
      <c r="I4" s="1231"/>
      <c r="J4" s="1154"/>
      <c r="K4" s="1155"/>
      <c r="L4" s="1234">
        <f>+P4*Q4</f>
        <v>649.26</v>
      </c>
      <c r="M4" s="1154"/>
      <c r="N4" s="1154"/>
      <c r="O4" s="1156">
        <f>L4*G4</f>
        <v>9089.64</v>
      </c>
      <c r="P4" s="747">
        <f>+VLOOKUP(F4,$A$28:$B$30,2,FALSE)</f>
        <v>3607</v>
      </c>
      <c r="Q4" s="62">
        <f>+$B$16</f>
        <v>0.18</v>
      </c>
    </row>
    <row r="5" spans="1:17" s="24" customFormat="1" x14ac:dyDescent="0.35">
      <c r="A5" s="1142"/>
      <c r="B5" s="1206"/>
      <c r="C5" s="1142"/>
      <c r="D5" s="1133"/>
      <c r="E5" s="135"/>
      <c r="F5" s="135"/>
      <c r="G5" s="1151"/>
      <c r="H5" s="1180"/>
      <c r="I5" s="1231"/>
      <c r="J5" s="1154"/>
      <c r="K5" s="1155"/>
      <c r="L5" s="1234"/>
      <c r="M5" s="1154"/>
      <c r="N5" s="1154"/>
      <c r="O5" s="1156"/>
      <c r="P5" s="747"/>
      <c r="Q5" s="62"/>
    </row>
    <row r="7" spans="1:17" ht="15" thickBot="1" x14ac:dyDescent="0.4"/>
    <row r="8" spans="1:17" ht="15" thickBot="1" x14ac:dyDescent="0.4">
      <c r="A8" s="188" t="s">
        <v>408</v>
      </c>
      <c r="B8" s="78"/>
      <c r="C8" s="78"/>
      <c r="D8" s="79"/>
    </row>
    <row r="9" spans="1:17" ht="15" thickBot="1" x14ac:dyDescent="0.4">
      <c r="A9" s="321" t="s">
        <v>3196</v>
      </c>
      <c r="B9" s="201"/>
      <c r="C9" s="201"/>
      <c r="D9" s="203"/>
    </row>
    <row r="10" spans="1:17" ht="15" thickBot="1" x14ac:dyDescent="0.4">
      <c r="A10" s="188" t="s">
        <v>2571</v>
      </c>
      <c r="B10" s="1384" t="e">
        <f>+#REF!</f>
        <v>#REF!</v>
      </c>
    </row>
    <row r="11" spans="1:17" ht="15" thickBot="1" x14ac:dyDescent="0.4">
      <c r="A11" s="188" t="s">
        <v>2572</v>
      </c>
      <c r="B11" s="701" t="s">
        <v>3055</v>
      </c>
    </row>
    <row r="12" spans="1:17" ht="15" thickBot="1" x14ac:dyDescent="0.4"/>
    <row r="13" spans="1:17" ht="15" thickBot="1" x14ac:dyDescent="0.4">
      <c r="A13" s="763" t="s">
        <v>413</v>
      </c>
      <c r="B13" s="1654" t="s">
        <v>414</v>
      </c>
      <c r="C13" s="765" t="s">
        <v>415</v>
      </c>
      <c r="D13" s="472"/>
      <c r="E13" s="472"/>
      <c r="F13" s="472"/>
      <c r="G13" s="472"/>
      <c r="H13" s="472"/>
      <c r="I13" s="472"/>
      <c r="J13" s="472"/>
      <c r="K13" s="472"/>
      <c r="L13" s="472"/>
      <c r="M13" s="472"/>
      <c r="N13" s="473"/>
    </row>
    <row r="14" spans="1:17" s="1728" customFormat="1" ht="45" customHeight="1" x14ac:dyDescent="0.35">
      <c r="A14" s="1497" t="s">
        <v>3189</v>
      </c>
      <c r="B14" s="1498"/>
      <c r="C14" s="1498" t="s">
        <v>3197</v>
      </c>
      <c r="D14" s="1498"/>
      <c r="E14" s="1498"/>
      <c r="F14" s="1498"/>
      <c r="G14" s="1498"/>
      <c r="H14" s="1498"/>
      <c r="I14" s="1498"/>
      <c r="J14" s="1498"/>
      <c r="K14" s="1498"/>
      <c r="L14" s="1498"/>
      <c r="M14" s="1498"/>
      <c r="N14" s="1500"/>
      <c r="O14"/>
      <c r="P14"/>
      <c r="Q14"/>
    </row>
    <row r="15" spans="1:17" s="1729" customFormat="1" ht="35.25" customHeight="1" thickBot="1" x14ac:dyDescent="0.4">
      <c r="A15" s="1453"/>
      <c r="B15" s="1454"/>
      <c r="C15" s="1454" t="s">
        <v>3198</v>
      </c>
      <c r="D15" s="1454"/>
      <c r="E15" s="1454"/>
      <c r="F15" s="1454"/>
      <c r="G15" s="1454"/>
      <c r="H15" s="1454"/>
      <c r="I15" s="1454"/>
      <c r="J15" s="1454"/>
      <c r="K15" s="1454"/>
      <c r="L15" s="1454"/>
      <c r="M15" s="1454"/>
      <c r="N15" s="1458"/>
      <c r="O15"/>
      <c r="P15"/>
      <c r="Q15"/>
    </row>
    <row r="16" spans="1:17" s="1728" customFormat="1" x14ac:dyDescent="0.35">
      <c r="A16" s="1497" t="s">
        <v>680</v>
      </c>
      <c r="B16" s="1498">
        <v>0.18</v>
      </c>
      <c r="C16" s="1498" t="s">
        <v>2242</v>
      </c>
      <c r="D16" s="1498"/>
      <c r="E16" s="1498"/>
      <c r="F16" s="1498"/>
      <c r="G16" s="1498"/>
      <c r="H16" s="1498"/>
      <c r="I16" s="1498"/>
      <c r="J16" s="1498"/>
      <c r="K16" s="1498"/>
      <c r="L16" s="1498"/>
      <c r="M16" s="1498"/>
      <c r="N16" s="1500"/>
      <c r="O16"/>
      <c r="P16"/>
      <c r="Q16"/>
    </row>
    <row r="17" spans="1:17" s="1728" customFormat="1" ht="15" thickBot="1" x14ac:dyDescent="0.4">
      <c r="A17" s="1499"/>
      <c r="B17" s="1450"/>
      <c r="C17" s="1450" t="s">
        <v>3199</v>
      </c>
      <c r="D17" s="1450"/>
      <c r="E17" s="1450"/>
      <c r="F17" s="1450"/>
      <c r="G17" s="1450"/>
      <c r="H17" s="1450"/>
      <c r="I17" s="1450"/>
      <c r="J17" s="1450"/>
      <c r="K17" s="1450"/>
      <c r="L17" s="1450"/>
      <c r="M17" s="1450"/>
      <c r="N17" s="1501"/>
      <c r="O17"/>
      <c r="P17"/>
      <c r="Q17"/>
    </row>
    <row r="18" spans="1:17" s="1728" customFormat="1" x14ac:dyDescent="0.35">
      <c r="A18" s="1497" t="s">
        <v>1117</v>
      </c>
      <c r="B18" s="1498">
        <v>14</v>
      </c>
      <c r="C18" s="1498" t="s">
        <v>2076</v>
      </c>
      <c r="D18" s="1498"/>
      <c r="E18" s="1498"/>
      <c r="F18" s="1498"/>
      <c r="G18" s="1498"/>
      <c r="H18" s="1498"/>
      <c r="I18" s="1498"/>
      <c r="J18" s="1498"/>
      <c r="K18" s="1498"/>
      <c r="L18" s="1498"/>
      <c r="M18" s="1498"/>
      <c r="N18" s="1500"/>
      <c r="O18"/>
      <c r="P18"/>
      <c r="Q18"/>
    </row>
    <row r="19" spans="1:17" s="1728" customFormat="1" ht="15" thickBot="1" x14ac:dyDescent="0.4">
      <c r="A19" s="1499"/>
      <c r="B19" s="1450"/>
      <c r="C19" s="1450" t="s">
        <v>3200</v>
      </c>
      <c r="D19" s="1450"/>
      <c r="E19" s="1450"/>
      <c r="F19" s="1450"/>
      <c r="G19" s="1450"/>
      <c r="H19" s="1450"/>
      <c r="I19" s="1450"/>
      <c r="J19" s="1450"/>
      <c r="K19" s="1450"/>
      <c r="L19" s="1450"/>
      <c r="M19" s="1450"/>
      <c r="N19" s="1501"/>
      <c r="O19"/>
      <c r="P19"/>
      <c r="Q19"/>
    </row>
    <row r="20" spans="1:17" s="1728" customFormat="1" x14ac:dyDescent="0.35">
      <c r="A20" s="1497" t="s">
        <v>344</v>
      </c>
      <c r="B20" s="1498"/>
      <c r="C20" s="1498"/>
      <c r="D20" s="1498"/>
      <c r="E20" s="1498"/>
      <c r="F20" s="1498"/>
      <c r="G20" s="1498"/>
      <c r="H20" s="1498"/>
      <c r="I20" s="1498"/>
      <c r="J20" s="1498"/>
      <c r="K20" s="1498"/>
      <c r="L20" s="1498"/>
      <c r="M20" s="1498"/>
      <c r="N20" s="1500"/>
      <c r="O20"/>
      <c r="P20"/>
      <c r="Q20"/>
    </row>
    <row r="21" spans="1:17" s="1728" customFormat="1" ht="15" thickBot="1" x14ac:dyDescent="0.4">
      <c r="A21" s="1499"/>
      <c r="B21" s="1450"/>
      <c r="C21" s="1450"/>
      <c r="D21" s="1450"/>
      <c r="E21" s="1450"/>
      <c r="F21" s="1450"/>
      <c r="G21" s="1450"/>
      <c r="H21" s="1450"/>
      <c r="I21" s="1450"/>
      <c r="J21" s="1450"/>
      <c r="K21" s="1450"/>
      <c r="L21" s="1450"/>
      <c r="M21" s="1450"/>
      <c r="N21" s="1501"/>
      <c r="O21"/>
      <c r="P21"/>
      <c r="Q21"/>
    </row>
    <row r="24" spans="1:17" ht="15" thickBot="1" x14ac:dyDescent="0.4"/>
    <row r="25" spans="1:17" ht="15" thickBot="1" x14ac:dyDescent="0.4">
      <c r="A25" s="122" t="s">
        <v>539</v>
      </c>
      <c r="B25" s="78"/>
      <c r="C25" s="79"/>
    </row>
    <row r="26" spans="1:17" x14ac:dyDescent="0.35">
      <c r="A26" s="124"/>
      <c r="B26" s="83"/>
      <c r="C26" s="125"/>
    </row>
    <row r="27" spans="1:17" x14ac:dyDescent="0.35">
      <c r="A27" s="1730" t="s">
        <v>1401</v>
      </c>
      <c r="B27" s="1731" t="s">
        <v>3201</v>
      </c>
      <c r="C27" s="125"/>
    </row>
    <row r="28" spans="1:17" x14ac:dyDescent="0.35">
      <c r="A28" s="360" t="s">
        <v>3190</v>
      </c>
      <c r="B28" s="1732">
        <v>1483</v>
      </c>
      <c r="C28" s="125"/>
    </row>
    <row r="29" spans="1:17" x14ac:dyDescent="0.35">
      <c r="A29" s="360" t="s">
        <v>3191</v>
      </c>
      <c r="B29" s="1732">
        <v>1074</v>
      </c>
      <c r="C29" s="125"/>
    </row>
    <row r="30" spans="1:17" x14ac:dyDescent="0.35">
      <c r="A30" s="360" t="s">
        <v>3193</v>
      </c>
      <c r="B30" s="1732">
        <v>3607</v>
      </c>
      <c r="C30" s="125"/>
    </row>
    <row r="31" spans="1:17" x14ac:dyDescent="0.35">
      <c r="A31" s="124"/>
      <c r="B31" s="83"/>
      <c r="C31" s="125"/>
    </row>
    <row r="32" spans="1:17" x14ac:dyDescent="0.35">
      <c r="A32" s="124"/>
      <c r="B32" s="83"/>
      <c r="C32" s="125"/>
    </row>
    <row r="33" spans="1:3" x14ac:dyDescent="0.35">
      <c r="A33" s="124"/>
      <c r="B33" s="83"/>
      <c r="C33" s="125"/>
    </row>
    <row r="34" spans="1:3" x14ac:dyDescent="0.35">
      <c r="A34" s="124"/>
      <c r="B34" s="83"/>
      <c r="C34" s="125"/>
    </row>
    <row r="35" spans="1:3" x14ac:dyDescent="0.35">
      <c r="A35" s="124"/>
      <c r="B35" s="83"/>
      <c r="C35" s="125"/>
    </row>
    <row r="36" spans="1:3" x14ac:dyDescent="0.35">
      <c r="A36" s="124"/>
      <c r="B36" s="83"/>
      <c r="C36" s="125"/>
    </row>
    <row r="37" spans="1:3" x14ac:dyDescent="0.35">
      <c r="A37" s="124"/>
      <c r="B37" s="83"/>
      <c r="C37" s="125"/>
    </row>
    <row r="38" spans="1:3" x14ac:dyDescent="0.35">
      <c r="A38" s="124"/>
      <c r="B38" s="83"/>
      <c r="C38" s="125"/>
    </row>
    <row r="39" spans="1:3" ht="15" thickBot="1" x14ac:dyDescent="0.4">
      <c r="A39" s="321"/>
      <c r="B39" s="201"/>
      <c r="C39" s="203"/>
    </row>
  </sheetData>
  <customSheetViews>
    <customSheetView guid="{11DE45F5-F478-4ED6-8DFF-12002C22A637}" scale="60" showPageBreaks="1" view="pageBreakPreview">
      <pageMargins left="0.7" right="0.7" top="0.75" bottom="0.75" header="0.3" footer="0.3"/>
      <pageSetup scale="10" orientation="landscape" verticalDpi="300" r:id="rId1"/>
    </customSheetView>
    <customSheetView guid="{ECD6FE6A-9548-414E-B8AA-6998703C57E0}" scale="60" showPageBreaks="1" view="pageBreakPreview">
      <pageMargins left="0.7" right="0.7" top="0.75" bottom="0.75" header="0.3" footer="0.3"/>
      <pageSetup scale="10" orientation="landscape" verticalDpi="300" r:id="rId2"/>
    </customSheetView>
  </customSheetViews>
  <mergeCells count="3">
    <mergeCell ref="J1:L1"/>
    <mergeCell ref="M1:O1"/>
    <mergeCell ref="P1:Q1"/>
  </mergeCells>
  <dataValidations count="5">
    <dataValidation type="list" allowBlank="1" showInputMessage="1" showErrorMessage="1" sqref="J5" xr:uid="{00000000-0002-0000-2100-000000000000}">
      <formula1>Fuel2</formula1>
    </dataValidation>
    <dataValidation type="list" allowBlank="1" showInputMessage="1" showErrorMessage="1" sqref="K5" xr:uid="{00000000-0002-0000-2100-000001000000}">
      <formula1>Climate1</formula1>
    </dataValidation>
    <dataValidation type="list" allowBlank="1" showInputMessage="1" showErrorMessage="1" sqref="F5 E3:E5" xr:uid="{00000000-0002-0000-2100-000002000000}">
      <formula1>PgTs1</formula1>
    </dataValidation>
    <dataValidation type="list" allowBlank="1" showInputMessage="1" showErrorMessage="1" sqref="D3:D4" xr:uid="{00000000-0002-0000-2100-000003000000}">
      <formula1>MeasureType</formula1>
    </dataValidation>
    <dataValidation type="list" allowBlank="1" showInputMessage="1" showErrorMessage="1" sqref="I3:I4" xr:uid="{00000000-0002-0000-2100-000004000000}">
      <formula1>#REF!</formula1>
    </dataValidation>
  </dataValidations>
  <pageMargins left="0.7" right="0.7" top="0.75" bottom="0.75" header="0.3" footer="0.3"/>
  <pageSetup scale="10" orientation="landscape" verticalDpi="300"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5000000}">
          <x14:formula1>
            <xm:f>'http://sp.weccusa.org/sites/nicor/Nicor Workflow Automation/Version 3/[Inputs-HIM_Res_TRMv3 0.xlsx]List'!#REF!</xm:f>
          </x14:formula1>
          <xm:sqref>D5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59999389629810485"/>
    <pageSetUpPr fitToPage="1"/>
  </sheetPr>
  <dimension ref="A2:BJ150"/>
  <sheetViews>
    <sheetView view="pageBreakPreview" zoomScale="55" zoomScaleNormal="90" zoomScaleSheetLayoutView="55" workbookViewId="0"/>
  </sheetViews>
  <sheetFormatPr defaultRowHeight="14.5" x14ac:dyDescent="0.35"/>
  <cols>
    <col min="1" max="1" width="19.7265625" customWidth="1"/>
    <col min="2" max="2" width="32.453125" customWidth="1"/>
    <col min="3" max="3" width="16.54296875" customWidth="1"/>
    <col min="4" max="4" width="20.453125" customWidth="1"/>
    <col min="5" max="5" width="11.54296875" customWidth="1"/>
    <col min="6" max="6" width="14.453125" bestFit="1" customWidth="1"/>
    <col min="7" max="7" width="21" customWidth="1"/>
    <col min="8" max="8" width="8.1796875" customWidth="1"/>
    <col min="9" max="9" width="11" customWidth="1"/>
    <col min="10" max="10" width="10.81640625" customWidth="1"/>
    <col min="11" max="11" width="11.1796875" customWidth="1"/>
    <col min="12" max="12" width="11.26953125" customWidth="1"/>
    <col min="13" max="13" width="12.1796875" customWidth="1"/>
    <col min="16" max="16" width="9.453125" bestFit="1" customWidth="1"/>
    <col min="17" max="17" width="9.453125" customWidth="1"/>
    <col min="18" max="18" width="11" customWidth="1"/>
    <col min="20" max="20" width="11" bestFit="1" customWidth="1"/>
    <col min="21" max="23" width="9.7265625" bestFit="1" customWidth="1"/>
    <col min="25" max="25" width="15" bestFit="1" customWidth="1"/>
    <col min="26" max="26" width="11.1796875" bestFit="1" customWidth="1"/>
    <col min="28" max="28" width="10.453125" bestFit="1" customWidth="1"/>
    <col min="54" max="54" width="12.1796875" bestFit="1" customWidth="1"/>
  </cols>
  <sheetData>
    <row r="2" spans="1:62" ht="45" customHeight="1" x14ac:dyDescent="0.35">
      <c r="A2" s="1123" t="s">
        <v>333</v>
      </c>
      <c r="B2" s="1144" t="s">
        <v>687</v>
      </c>
      <c r="C2" s="1125"/>
      <c r="D2" s="1125"/>
      <c r="E2" s="1177"/>
      <c r="F2" s="1177"/>
      <c r="G2" s="1177"/>
      <c r="H2" s="1177"/>
      <c r="I2" s="1177"/>
      <c r="J2" s="1177"/>
      <c r="K2" s="1177"/>
      <c r="L2" s="1177"/>
      <c r="M2" s="1240"/>
      <c r="N2" s="1177"/>
      <c r="O2" s="1177"/>
      <c r="P2" s="1177"/>
      <c r="Q2" s="1241"/>
      <c r="R2" s="2219" t="s">
        <v>335</v>
      </c>
      <c r="S2" s="2220"/>
      <c r="T2" s="2274"/>
      <c r="U2" s="2219" t="s">
        <v>336</v>
      </c>
      <c r="V2" s="2220"/>
      <c r="W2" s="2220"/>
      <c r="X2" s="2393" t="s">
        <v>337</v>
      </c>
      <c r="Y2" s="2394"/>
      <c r="Z2" s="2394"/>
      <c r="AA2" s="2394"/>
      <c r="AB2" s="2394"/>
      <c r="AC2" s="2394"/>
      <c r="AD2" s="2394"/>
      <c r="AE2" s="2394"/>
      <c r="AF2" s="2394"/>
      <c r="AG2" s="2394"/>
      <c r="AH2" s="2394"/>
      <c r="AI2" s="2394"/>
      <c r="AJ2" s="2394"/>
      <c r="AK2" s="2394"/>
      <c r="AL2" s="2394"/>
      <c r="AM2" s="2394"/>
      <c r="AN2" s="2394"/>
      <c r="AO2" s="2394"/>
      <c r="AP2" s="2394"/>
      <c r="AQ2" s="2394"/>
      <c r="AR2" s="2394"/>
      <c r="AS2" s="2394"/>
      <c r="AT2" s="2394"/>
      <c r="AU2" s="2394"/>
      <c r="AV2" s="2394"/>
      <c r="AW2" s="2394"/>
      <c r="AX2" s="2394"/>
      <c r="AY2" s="2394"/>
      <c r="AZ2" s="2394"/>
      <c r="BA2" s="2394"/>
      <c r="BB2" s="2394"/>
      <c r="BC2" s="2394"/>
      <c r="BD2" s="2394"/>
      <c r="BE2" s="2394"/>
      <c r="BF2" s="2394"/>
      <c r="BG2" s="2394"/>
      <c r="BH2" s="2395"/>
    </row>
    <row r="3" spans="1:62" ht="92" x14ac:dyDescent="0.4">
      <c r="A3" s="1145" t="s">
        <v>338</v>
      </c>
      <c r="B3" s="1129" t="s">
        <v>1</v>
      </c>
      <c r="C3" s="1129" t="s">
        <v>339</v>
      </c>
      <c r="D3" s="1129" t="s">
        <v>688</v>
      </c>
      <c r="E3" s="1177" t="s">
        <v>342</v>
      </c>
      <c r="F3" s="1177" t="s">
        <v>343</v>
      </c>
      <c r="G3" s="1177" t="s">
        <v>344</v>
      </c>
      <c r="H3" s="1125" t="s">
        <v>345</v>
      </c>
      <c r="I3" s="1125" t="s">
        <v>689</v>
      </c>
      <c r="J3" s="1125" t="s">
        <v>690</v>
      </c>
      <c r="K3" s="1125" t="s">
        <v>691</v>
      </c>
      <c r="L3" s="1125" t="s">
        <v>692</v>
      </c>
      <c r="M3" s="1125" t="s">
        <v>693</v>
      </c>
      <c r="N3" s="1125" t="s">
        <v>694</v>
      </c>
      <c r="O3" s="1125" t="s">
        <v>695</v>
      </c>
      <c r="P3" s="1125" t="s">
        <v>370</v>
      </c>
      <c r="Q3" s="1125" t="s">
        <v>696</v>
      </c>
      <c r="R3" s="1127" t="s">
        <v>347</v>
      </c>
      <c r="S3" s="1127" t="s">
        <v>348</v>
      </c>
      <c r="T3" s="1127" t="s">
        <v>349</v>
      </c>
      <c r="U3" s="1127" t="s">
        <v>347</v>
      </c>
      <c r="V3" s="1127" t="s">
        <v>348</v>
      </c>
      <c r="W3" s="1127" t="s">
        <v>349</v>
      </c>
      <c r="X3" s="328" t="s">
        <v>697</v>
      </c>
      <c r="Y3" s="328" t="s">
        <v>698</v>
      </c>
      <c r="Z3" s="328" t="s">
        <v>699</v>
      </c>
      <c r="AA3" s="329" t="s">
        <v>700</v>
      </c>
      <c r="AB3" s="329" t="s">
        <v>701</v>
      </c>
      <c r="AC3" s="330" t="s">
        <v>702</v>
      </c>
      <c r="AD3" s="330" t="s">
        <v>703</v>
      </c>
      <c r="AE3" s="328" t="s">
        <v>704</v>
      </c>
      <c r="AF3" s="328" t="s">
        <v>705</v>
      </c>
      <c r="AG3" s="330" t="s">
        <v>706</v>
      </c>
      <c r="AH3" s="328" t="s">
        <v>707</v>
      </c>
      <c r="AI3" s="328" t="s">
        <v>708</v>
      </c>
      <c r="AJ3" s="330" t="s">
        <v>709</v>
      </c>
      <c r="AK3" s="329" t="s">
        <v>710</v>
      </c>
      <c r="AL3" s="329" t="s">
        <v>711</v>
      </c>
      <c r="AM3" s="330" t="s">
        <v>712</v>
      </c>
      <c r="AN3" s="328" t="s">
        <v>713</v>
      </c>
      <c r="AO3" s="330" t="s">
        <v>714</v>
      </c>
      <c r="AP3" s="328" t="s">
        <v>715</v>
      </c>
      <c r="AQ3" s="328" t="s">
        <v>615</v>
      </c>
      <c r="AR3" s="328" t="s">
        <v>715</v>
      </c>
      <c r="AS3" s="328" t="s">
        <v>716</v>
      </c>
      <c r="AT3" s="328" t="s">
        <v>717</v>
      </c>
      <c r="AU3" s="328" t="s">
        <v>718</v>
      </c>
      <c r="AV3" s="328" t="s">
        <v>719</v>
      </c>
      <c r="AW3" s="328" t="s">
        <v>720</v>
      </c>
      <c r="AX3" s="328" t="s">
        <v>721</v>
      </c>
      <c r="AY3" s="328" t="s">
        <v>380</v>
      </c>
      <c r="AZ3" s="328" t="s">
        <v>722</v>
      </c>
      <c r="BA3" s="328" t="s">
        <v>723</v>
      </c>
      <c r="BB3" s="329" t="s">
        <v>724</v>
      </c>
      <c r="BC3" s="329" t="s">
        <v>725</v>
      </c>
      <c r="BD3" s="329" t="s">
        <v>726</v>
      </c>
      <c r="BE3" s="329" t="s">
        <v>727</v>
      </c>
      <c r="BF3" s="329" t="s">
        <v>728</v>
      </c>
      <c r="BG3" s="329" t="s">
        <v>729</v>
      </c>
      <c r="BH3" s="329" t="s">
        <v>2521</v>
      </c>
    </row>
    <row r="4" spans="1:62" ht="43.5" x14ac:dyDescent="0.35">
      <c r="A4" s="1242" t="s">
        <v>731</v>
      </c>
      <c r="B4" s="1242" t="str">
        <f>$B$2&amp;" - "&amp;I4&amp;", "&amp;N4&amp;" Btu/H"&amp;", "&amp;J4</f>
        <v>Duct Insulation and Sealing - Evaluation of Distribution Efficiency, 35208 Btu/H, Single family</v>
      </c>
      <c r="C4" s="1133" t="s">
        <v>248</v>
      </c>
      <c r="D4" s="1133" t="s">
        <v>732</v>
      </c>
      <c r="E4" s="1158" t="s">
        <v>495</v>
      </c>
      <c r="F4" s="1158">
        <f>+$B$97</f>
        <v>20</v>
      </c>
      <c r="G4" s="1243"/>
      <c r="H4" s="1244" t="s">
        <v>733</v>
      </c>
      <c r="I4" s="1150" t="s">
        <v>734</v>
      </c>
      <c r="J4" s="1150" t="s">
        <v>735</v>
      </c>
      <c r="K4" s="1150" t="s">
        <v>736</v>
      </c>
      <c r="L4" s="135" t="b">
        <v>0</v>
      </c>
      <c r="M4" s="1150" t="s">
        <v>737</v>
      </c>
      <c r="N4" s="1245">
        <v>35208</v>
      </c>
      <c r="O4" s="1245">
        <v>90595</v>
      </c>
      <c r="P4" s="135" t="s">
        <v>738</v>
      </c>
      <c r="Q4" s="1245" t="s">
        <v>739</v>
      </c>
      <c r="R4" s="1171"/>
      <c r="S4" s="1246"/>
      <c r="T4" s="1247">
        <f>IF(I4=$A$122,AU4,AV4)</f>
        <v>181.00609989316254</v>
      </c>
      <c r="U4" s="1247"/>
      <c r="V4" s="1246"/>
      <c r="W4" s="1247">
        <f>T4*F4</f>
        <v>3620.1219978632507</v>
      </c>
      <c r="X4" s="331">
        <f>(AA4-AC4)*AE4</f>
        <v>387</v>
      </c>
      <c r="Y4" s="331">
        <f t="shared" ref="Y4" si="0">(AB4-AD4)*AF4</f>
        <v>139</v>
      </c>
      <c r="Z4" s="332">
        <f>(X4-Y4)*BB4*(AI4+AJ4)</f>
        <v>119.03999999999999</v>
      </c>
      <c r="AA4" s="1">
        <f>$C$116</f>
        <v>4800</v>
      </c>
      <c r="AB4" s="1">
        <f>$C$117</f>
        <v>4600</v>
      </c>
      <c r="AC4" s="1">
        <f>$D$116</f>
        <v>4500</v>
      </c>
      <c r="AD4" s="1">
        <f>$D$117</f>
        <v>4500</v>
      </c>
      <c r="AE4" s="1">
        <f>$E$116</f>
        <v>1.29</v>
      </c>
      <c r="AF4" s="1">
        <f>$E$117</f>
        <v>1.39</v>
      </c>
      <c r="AG4" s="1">
        <f>$F$116</f>
        <v>0.72</v>
      </c>
      <c r="AH4" s="1">
        <f>$F$117</f>
        <v>0.78</v>
      </c>
      <c r="AI4" s="1">
        <f>+$B$55</f>
        <v>0.5</v>
      </c>
      <c r="AJ4" s="1">
        <f>+$B$58</f>
        <v>0.25</v>
      </c>
      <c r="AK4" s="333">
        <f>N4</f>
        <v>35208</v>
      </c>
      <c r="AL4" s="333">
        <f>O4</f>
        <v>90595</v>
      </c>
      <c r="AM4" s="1">
        <f>VLOOKUP(P4,$A$136:$D$142,IF(J4=$A$126,2,3),FALSE)</f>
        <v>568.6</v>
      </c>
      <c r="AN4" s="1">
        <f>VLOOKUP(K4,$B$109:$C$111,2,FALSE)</f>
        <v>11.5</v>
      </c>
      <c r="AO4" s="334">
        <f>VLOOKUP(P4,$A$136:$D$142,4,FALSE)</f>
        <v>1870.1</v>
      </c>
      <c r="AP4" s="1">
        <f>IF(M4=$A$109,VLOOKUP(K4,$B$109:$E$111,4,FALSE),1)</f>
        <v>2.13</v>
      </c>
      <c r="AQ4" s="1">
        <v>0.91500000000000004</v>
      </c>
      <c r="AR4" s="1">
        <f>+$H$127</f>
        <v>0.7</v>
      </c>
      <c r="AS4" s="1">
        <f>((Z4/((AK4/BE4)*BF4))*AM4*AK4*BA4)/BG4/AN4+IF(L4=$A$124,(((Z4/((AK4/BE4)*BF4))*AO4*AK4*AZ4)/AP4/BH4),0)</f>
        <v>176.57254956521737</v>
      </c>
      <c r="AT4" s="1">
        <f>(((AH4-AG4)/AH4)*AM4*AK4*BA4)/BG4/AN4+IF(L4=$A$124,(((AH4-AG4)/AH4)*AO4*AK4*AZ4)/AP4/BH4,0)</f>
        <v>133.9081525083613</v>
      </c>
      <c r="AU4" s="1">
        <f>IF(L4=$A$125,(((Z4/(AL4*BD4))*AO4*AL4*AZ4*(AW4/AX4))/BC4),0)</f>
        <v>251.37387533875344</v>
      </c>
      <c r="AV4" s="1">
        <f>IF(L4=$A$125,(((AH4-AG4)/AH4)*AO4*AL4*AZ4*(AW4/AX4))/BC4,0)</f>
        <v>181.00609989316254</v>
      </c>
      <c r="AW4" s="1">
        <f>+$B$79</f>
        <v>0.83</v>
      </c>
      <c r="AX4" s="1">
        <f>+$G$124</f>
        <v>0.59759999999999991</v>
      </c>
      <c r="AY4" s="1">
        <f>+$B$87</f>
        <v>3.1399999999999997E-2</v>
      </c>
      <c r="AZ4" s="1">
        <f>+VLOOKUP($Q4,$D$122:$E$123,2,FALSE)</f>
        <v>1</v>
      </c>
      <c r="BA4" s="1">
        <f>+VLOOKUP($Q4,$D$127:$E$128,2,FALSE)</f>
        <v>1</v>
      </c>
      <c r="BB4" s="1">
        <f>+$B$91</f>
        <v>0.64</v>
      </c>
      <c r="BC4" s="1">
        <f>+$B$89</f>
        <v>100000</v>
      </c>
      <c r="BD4" s="1">
        <f>+$B$90</f>
        <v>1.23E-2</v>
      </c>
      <c r="BE4" s="1">
        <f>+$B$92</f>
        <v>12000</v>
      </c>
      <c r="BF4" s="1">
        <f>+$B$93</f>
        <v>400</v>
      </c>
      <c r="BG4" s="1">
        <f>+$B$94</f>
        <v>1000</v>
      </c>
      <c r="BH4" s="1">
        <f>+$B$95</f>
        <v>3412</v>
      </c>
      <c r="BJ4" s="144"/>
    </row>
    <row r="8" spans="1:62" ht="15" thickBot="1" x14ac:dyDescent="0.4"/>
    <row r="9" spans="1:62" ht="15" thickBot="1" x14ac:dyDescent="0.4">
      <c r="A9" s="76" t="s">
        <v>408</v>
      </c>
      <c r="B9" s="78"/>
      <c r="C9" s="78"/>
      <c r="D9" s="78"/>
      <c r="E9" s="78"/>
      <c r="F9" s="78"/>
      <c r="G9" s="79"/>
    </row>
    <row r="10" spans="1:62" x14ac:dyDescent="0.35">
      <c r="A10" s="335" t="s">
        <v>741</v>
      </c>
      <c r="B10" s="83"/>
      <c r="C10" s="83"/>
      <c r="D10" s="83"/>
      <c r="E10" s="83"/>
      <c r="F10" s="83"/>
      <c r="G10" s="84"/>
    </row>
    <row r="11" spans="1:62" x14ac:dyDescent="0.35">
      <c r="A11" s="847" t="s">
        <v>742</v>
      </c>
      <c r="B11" s="83"/>
      <c r="C11" s="83"/>
      <c r="D11" s="83"/>
      <c r="E11" s="83"/>
      <c r="F11" s="83"/>
      <c r="G11" s="84"/>
    </row>
    <row r="12" spans="1:62" ht="15" x14ac:dyDescent="0.4">
      <c r="A12" s="81" t="s">
        <v>743</v>
      </c>
      <c r="B12" s="83"/>
      <c r="C12" s="82"/>
      <c r="D12" s="83"/>
      <c r="E12" s="83"/>
      <c r="F12" s="83"/>
      <c r="G12" s="84"/>
    </row>
    <row r="13" spans="1:62" ht="15" x14ac:dyDescent="0.4">
      <c r="A13" s="847" t="s">
        <v>744</v>
      </c>
      <c r="B13" s="83"/>
      <c r="C13" s="83"/>
      <c r="D13" s="83"/>
      <c r="E13" s="83"/>
      <c r="F13" s="83"/>
      <c r="G13" s="84"/>
    </row>
    <row r="14" spans="1:62" ht="15" x14ac:dyDescent="0.4">
      <c r="A14" s="81" t="s">
        <v>745</v>
      </c>
      <c r="B14" s="82"/>
      <c r="C14" s="83"/>
      <c r="D14" s="83"/>
      <c r="E14" s="83"/>
      <c r="F14" s="83"/>
      <c r="G14" s="84"/>
    </row>
    <row r="15" spans="1:62" x14ac:dyDescent="0.35">
      <c r="A15" s="847" t="s">
        <v>746</v>
      </c>
      <c r="B15" s="83"/>
      <c r="C15" s="83"/>
      <c r="D15" s="83"/>
      <c r="E15" s="83"/>
      <c r="F15" s="83"/>
      <c r="G15" s="84"/>
    </row>
    <row r="16" spans="1:62" ht="15" x14ac:dyDescent="0.4">
      <c r="A16" s="81" t="s">
        <v>747</v>
      </c>
      <c r="B16" s="82"/>
      <c r="C16" s="83"/>
      <c r="D16" s="83"/>
      <c r="E16" s="83"/>
      <c r="F16" s="83"/>
      <c r="G16" s="84"/>
    </row>
    <row r="17" spans="1:9" x14ac:dyDescent="0.35">
      <c r="A17" s="81" t="s">
        <v>748</v>
      </c>
      <c r="B17" s="82"/>
      <c r="C17" s="83"/>
      <c r="D17" s="83"/>
      <c r="E17" s="83"/>
      <c r="F17" s="83"/>
      <c r="G17" s="84"/>
    </row>
    <row r="18" spans="1:9" ht="15" x14ac:dyDescent="0.4">
      <c r="A18" s="81" t="s">
        <v>749</v>
      </c>
      <c r="B18" s="82"/>
      <c r="C18" s="83"/>
      <c r="D18" s="83"/>
      <c r="E18" s="83"/>
      <c r="F18" s="83"/>
      <c r="G18" s="84"/>
    </row>
    <row r="19" spans="1:9" x14ac:dyDescent="0.35">
      <c r="A19" s="335" t="s">
        <v>750</v>
      </c>
      <c r="B19" s="82"/>
      <c r="C19" s="83"/>
      <c r="D19" s="83"/>
      <c r="E19" s="83"/>
      <c r="F19" s="83"/>
      <c r="G19" s="84"/>
    </row>
    <row r="20" spans="1:9" ht="15" x14ac:dyDescent="0.4">
      <c r="A20" s="81" t="s">
        <v>751</v>
      </c>
      <c r="B20" s="82"/>
      <c r="C20" s="83"/>
      <c r="D20" s="83"/>
      <c r="E20" s="83"/>
      <c r="F20" s="83"/>
      <c r="G20" s="84"/>
    </row>
    <row r="21" spans="1:9" x14ac:dyDescent="0.35">
      <c r="A21" s="81" t="s">
        <v>752</v>
      </c>
      <c r="B21" s="83"/>
      <c r="C21" s="83"/>
      <c r="D21" s="83"/>
      <c r="E21" s="83"/>
      <c r="F21" s="83"/>
      <c r="G21" s="84"/>
    </row>
    <row r="22" spans="1:9" ht="15" x14ac:dyDescent="0.4">
      <c r="A22" s="81" t="s">
        <v>753</v>
      </c>
      <c r="B22" s="83"/>
      <c r="C22" s="82"/>
      <c r="D22" s="83"/>
      <c r="E22" s="83"/>
      <c r="F22" s="83"/>
      <c r="G22" s="84"/>
    </row>
    <row r="23" spans="1:9" x14ac:dyDescent="0.35">
      <c r="A23" s="81" t="s">
        <v>754</v>
      </c>
      <c r="B23" s="65"/>
      <c r="C23" s="82"/>
      <c r="D23" s="83"/>
      <c r="E23" s="83"/>
      <c r="F23" s="83"/>
      <c r="G23" s="84"/>
    </row>
    <row r="24" spans="1:9" x14ac:dyDescent="0.35">
      <c r="A24" s="1238" t="s">
        <v>755</v>
      </c>
      <c r="B24" s="83"/>
      <c r="C24" s="82"/>
      <c r="D24" s="83"/>
      <c r="E24" s="83"/>
      <c r="F24" s="83"/>
      <c r="G24" s="84"/>
      <c r="I24" t="s">
        <v>756</v>
      </c>
    </row>
    <row r="25" spans="1:9" x14ac:dyDescent="0.35">
      <c r="A25" s="335" t="s">
        <v>741</v>
      </c>
      <c r="B25" s="83"/>
      <c r="C25" s="82"/>
      <c r="D25" s="83"/>
      <c r="E25" s="83"/>
      <c r="F25" s="83"/>
      <c r="G25" s="84"/>
    </row>
    <row r="26" spans="1:9" x14ac:dyDescent="0.35">
      <c r="A26" s="135" t="s">
        <v>757</v>
      </c>
      <c r="B26" s="1239" t="s">
        <v>758</v>
      </c>
      <c r="C26" s="82"/>
      <c r="D26" s="83"/>
      <c r="E26" s="83"/>
      <c r="F26" s="83"/>
      <c r="G26" s="84"/>
    </row>
    <row r="27" spans="1:9" x14ac:dyDescent="0.35">
      <c r="A27" s="335" t="s">
        <v>750</v>
      </c>
      <c r="B27" s="83"/>
      <c r="C27" s="82"/>
      <c r="D27" s="83"/>
      <c r="E27" s="83"/>
      <c r="F27" s="83"/>
      <c r="G27" s="84"/>
    </row>
    <row r="28" spans="1:9" ht="15" thickBot="1" x14ac:dyDescent="0.4">
      <c r="A28" s="85" t="s">
        <v>759</v>
      </c>
      <c r="B28" s="305"/>
      <c r="C28" s="305"/>
      <c r="D28" s="86"/>
      <c r="E28" s="86"/>
      <c r="F28" s="86"/>
      <c r="G28" s="87"/>
    </row>
    <row r="29" spans="1:9" ht="15" thickBot="1" x14ac:dyDescent="0.4">
      <c r="A29" s="188" t="s">
        <v>2571</v>
      </c>
      <c r="B29" s="1384" t="e">
        <f>+#REF!</f>
        <v>#REF!</v>
      </c>
      <c r="C29" s="337"/>
    </row>
    <row r="30" spans="1:9" ht="15" thickBot="1" x14ac:dyDescent="0.4">
      <c r="A30" s="188" t="s">
        <v>2572</v>
      </c>
      <c r="B30" s="701" t="s">
        <v>3010</v>
      </c>
    </row>
    <row r="37" spans="1:24" ht="15" thickBot="1" x14ac:dyDescent="0.4"/>
    <row r="38" spans="1:24" ht="15" thickBot="1" x14ac:dyDescent="0.4">
      <c r="A38" s="88" t="s">
        <v>413</v>
      </c>
      <c r="B38" s="579" t="s">
        <v>414</v>
      </c>
      <c r="C38" s="90" t="s">
        <v>415</v>
      </c>
      <c r="D38" s="78"/>
      <c r="E38" s="78"/>
      <c r="F38" s="78"/>
      <c r="G38" s="78"/>
      <c r="H38" s="78"/>
      <c r="I38" s="78"/>
      <c r="J38" s="78"/>
      <c r="K38" s="78"/>
      <c r="L38" s="78"/>
      <c r="M38" s="78"/>
      <c r="N38" s="78"/>
      <c r="O38" s="78"/>
      <c r="P38" s="78"/>
      <c r="Q38" s="78"/>
      <c r="R38" s="78"/>
      <c r="S38" s="78"/>
      <c r="T38" s="78"/>
      <c r="U38" s="78"/>
      <c r="V38" s="78"/>
      <c r="W38" s="78"/>
      <c r="X38" s="79"/>
    </row>
    <row r="39" spans="1:24" x14ac:dyDescent="0.35">
      <c r="A39" s="118" t="s">
        <v>760</v>
      </c>
      <c r="B39" s="94"/>
      <c r="C39" s="94" t="s">
        <v>761</v>
      </c>
      <c r="D39" s="94"/>
      <c r="E39" s="94"/>
      <c r="F39" s="94"/>
      <c r="G39" s="94"/>
      <c r="H39" s="94"/>
      <c r="I39" s="94"/>
      <c r="J39" s="94"/>
      <c r="K39" s="94"/>
      <c r="L39" s="94"/>
      <c r="M39" s="94"/>
      <c r="N39" s="94"/>
      <c r="O39" s="94"/>
      <c r="P39" s="94"/>
      <c r="Q39" s="94"/>
      <c r="R39" s="94"/>
      <c r="S39" s="94"/>
      <c r="T39" s="94"/>
      <c r="U39" s="94"/>
      <c r="V39" s="94"/>
      <c r="W39" s="94"/>
      <c r="X39" s="95"/>
    </row>
    <row r="40" spans="1:24" ht="15" thickBot="1" x14ac:dyDescent="0.4">
      <c r="A40" s="111"/>
      <c r="B40" s="99"/>
      <c r="C40" s="99" t="s">
        <v>762</v>
      </c>
      <c r="D40" s="99"/>
      <c r="E40" s="99"/>
      <c r="F40" s="99"/>
      <c r="G40" s="99"/>
      <c r="H40" s="99"/>
      <c r="I40" s="99"/>
      <c r="J40" s="99"/>
      <c r="K40" s="99"/>
      <c r="L40" s="99"/>
      <c r="M40" s="99"/>
      <c r="N40" s="99"/>
      <c r="O40" s="99"/>
      <c r="P40" s="99"/>
      <c r="Q40" s="99"/>
      <c r="R40" s="99"/>
      <c r="S40" s="99"/>
      <c r="T40" s="99"/>
      <c r="U40" s="99"/>
      <c r="V40" s="99"/>
      <c r="W40" s="99"/>
      <c r="X40" s="100"/>
    </row>
    <row r="41" spans="1:24" x14ac:dyDescent="0.35">
      <c r="A41" s="118" t="s">
        <v>763</v>
      </c>
      <c r="B41" s="94"/>
      <c r="C41" s="94" t="s">
        <v>761</v>
      </c>
      <c r="D41" s="94"/>
      <c r="E41" s="94"/>
      <c r="F41" s="94"/>
      <c r="G41" s="94"/>
      <c r="H41" s="94"/>
      <c r="I41" s="94"/>
      <c r="J41" s="94"/>
      <c r="K41" s="94"/>
      <c r="L41" s="94"/>
      <c r="M41" s="94"/>
      <c r="N41" s="94"/>
      <c r="O41" s="94"/>
      <c r="P41" s="94"/>
      <c r="Q41" s="94"/>
      <c r="R41" s="94"/>
      <c r="S41" s="94"/>
      <c r="T41" s="94"/>
      <c r="U41" s="94"/>
      <c r="V41" s="94"/>
      <c r="W41" s="94"/>
      <c r="X41" s="95"/>
    </row>
    <row r="42" spans="1:24" ht="15" thickBot="1" x14ac:dyDescent="0.4">
      <c r="A42" s="111"/>
      <c r="B42" s="99"/>
      <c r="C42" s="99" t="s">
        <v>762</v>
      </c>
      <c r="D42" s="99"/>
      <c r="E42" s="99"/>
      <c r="F42" s="99"/>
      <c r="G42" s="99"/>
      <c r="H42" s="99"/>
      <c r="I42" s="99"/>
      <c r="J42" s="99"/>
      <c r="K42" s="99"/>
      <c r="L42" s="99"/>
      <c r="M42" s="99"/>
      <c r="N42" s="99"/>
      <c r="O42" s="99"/>
      <c r="P42" s="99"/>
      <c r="Q42" s="99"/>
      <c r="R42" s="99"/>
      <c r="S42" s="99"/>
      <c r="T42" s="99"/>
      <c r="U42" s="99"/>
      <c r="V42" s="99"/>
      <c r="W42" s="99"/>
      <c r="X42" s="100"/>
    </row>
    <row r="43" spans="1:24" x14ac:dyDescent="0.35">
      <c r="A43" s="118" t="s">
        <v>764</v>
      </c>
      <c r="B43" s="94"/>
      <c r="C43" s="94" t="s">
        <v>765</v>
      </c>
      <c r="D43" s="94"/>
      <c r="E43" s="94"/>
      <c r="F43" s="94"/>
      <c r="G43" s="94"/>
      <c r="H43" s="94"/>
      <c r="I43" s="94"/>
      <c r="J43" s="94"/>
      <c r="K43" s="94"/>
      <c r="L43" s="94"/>
      <c r="M43" s="94"/>
      <c r="N43" s="94"/>
      <c r="O43" s="94"/>
      <c r="P43" s="94"/>
      <c r="Q43" s="94"/>
      <c r="R43" s="94"/>
      <c r="S43" s="94"/>
      <c r="T43" s="94"/>
      <c r="U43" s="94"/>
      <c r="V43" s="94"/>
      <c r="W43" s="94"/>
      <c r="X43" s="95"/>
    </row>
    <row r="44" spans="1:24" ht="15" thickBot="1" x14ac:dyDescent="0.4">
      <c r="A44" s="111"/>
      <c r="B44" s="99"/>
      <c r="C44" s="99" t="s">
        <v>762</v>
      </c>
      <c r="D44" s="99"/>
      <c r="E44" s="99"/>
      <c r="F44" s="99"/>
      <c r="G44" s="99"/>
      <c r="H44" s="99"/>
      <c r="I44" s="99"/>
      <c r="J44" s="99"/>
      <c r="K44" s="99"/>
      <c r="L44" s="99"/>
      <c r="M44" s="99"/>
      <c r="N44" s="99"/>
      <c r="O44" s="99"/>
      <c r="P44" s="99"/>
      <c r="Q44" s="99"/>
      <c r="R44" s="99"/>
      <c r="S44" s="99"/>
      <c r="T44" s="99"/>
      <c r="U44" s="99"/>
      <c r="V44" s="99"/>
      <c r="W44" s="99"/>
      <c r="X44" s="100"/>
    </row>
    <row r="45" spans="1:24" x14ac:dyDescent="0.35">
      <c r="A45" s="118" t="s">
        <v>766</v>
      </c>
      <c r="B45" s="94"/>
      <c r="C45" s="94" t="s">
        <v>765</v>
      </c>
      <c r="D45" s="94"/>
      <c r="E45" s="94"/>
      <c r="F45" s="94"/>
      <c r="G45" s="94"/>
      <c r="H45" s="94"/>
      <c r="I45" s="94"/>
      <c r="J45" s="94"/>
      <c r="K45" s="94"/>
      <c r="L45" s="94"/>
      <c r="M45" s="94"/>
      <c r="N45" s="94"/>
      <c r="O45" s="94"/>
      <c r="P45" s="94"/>
      <c r="Q45" s="94"/>
      <c r="R45" s="94"/>
      <c r="S45" s="94"/>
      <c r="T45" s="94"/>
      <c r="U45" s="94"/>
      <c r="V45" s="94"/>
      <c r="W45" s="94"/>
      <c r="X45" s="95"/>
    </row>
    <row r="46" spans="1:24" ht="15" thickBot="1" x14ac:dyDescent="0.4">
      <c r="A46" s="111"/>
      <c r="B46" s="99"/>
      <c r="C46" s="99" t="s">
        <v>762</v>
      </c>
      <c r="D46" s="99"/>
      <c r="E46" s="99"/>
      <c r="F46" s="99"/>
      <c r="G46" s="99"/>
      <c r="H46" s="99"/>
      <c r="I46" s="99"/>
      <c r="J46" s="99"/>
      <c r="K46" s="99"/>
      <c r="L46" s="99"/>
      <c r="M46" s="99"/>
      <c r="N46" s="99"/>
      <c r="O46" s="99"/>
      <c r="P46" s="99"/>
      <c r="Q46" s="99"/>
      <c r="R46" s="99"/>
      <c r="S46" s="99"/>
      <c r="T46" s="99"/>
      <c r="U46" s="99"/>
      <c r="V46" s="99"/>
      <c r="W46" s="99"/>
      <c r="X46" s="100"/>
    </row>
    <row r="47" spans="1:24" x14ac:dyDescent="0.35">
      <c r="A47" s="118" t="s">
        <v>704</v>
      </c>
      <c r="B47" s="94"/>
      <c r="C47" s="94" t="s">
        <v>767</v>
      </c>
      <c r="D47" s="94"/>
      <c r="E47" s="94"/>
      <c r="F47" s="94"/>
      <c r="G47" s="94"/>
      <c r="H47" s="94"/>
      <c r="I47" s="94"/>
      <c r="J47" s="94"/>
      <c r="K47" s="94"/>
      <c r="L47" s="94"/>
      <c r="M47" s="94"/>
      <c r="N47" s="94"/>
      <c r="O47" s="94"/>
      <c r="P47" s="94"/>
      <c r="Q47" s="94"/>
      <c r="R47" s="94"/>
      <c r="S47" s="94"/>
      <c r="T47" s="94"/>
      <c r="U47" s="94"/>
      <c r="V47" s="94"/>
      <c r="W47" s="94"/>
      <c r="X47" s="95"/>
    </row>
    <row r="48" spans="1:24" ht="15" thickBot="1" x14ac:dyDescent="0.4">
      <c r="A48" s="111"/>
      <c r="B48" s="99"/>
      <c r="C48" s="99" t="s">
        <v>2522</v>
      </c>
      <c r="D48" s="99"/>
      <c r="E48" s="99"/>
      <c r="F48" s="99"/>
      <c r="G48" s="99"/>
      <c r="H48" s="99"/>
      <c r="I48" s="99"/>
      <c r="J48" s="99"/>
      <c r="K48" s="99"/>
      <c r="L48" s="99"/>
      <c r="M48" s="99"/>
      <c r="N48" s="99"/>
      <c r="O48" s="99"/>
      <c r="P48" s="99"/>
      <c r="Q48" s="99"/>
      <c r="R48" s="99"/>
      <c r="S48" s="99"/>
      <c r="T48" s="99"/>
      <c r="U48" s="99"/>
      <c r="V48" s="99"/>
      <c r="W48" s="99"/>
      <c r="X48" s="100"/>
    </row>
    <row r="49" spans="1:24" x14ac:dyDescent="0.35">
      <c r="A49" s="118" t="s">
        <v>705</v>
      </c>
      <c r="B49" s="94"/>
      <c r="C49" s="94" t="s">
        <v>767</v>
      </c>
      <c r="D49" s="94"/>
      <c r="E49" s="94"/>
      <c r="F49" s="94"/>
      <c r="G49" s="94"/>
      <c r="H49" s="94"/>
      <c r="I49" s="94"/>
      <c r="J49" s="94"/>
      <c r="K49" s="94"/>
      <c r="L49" s="94"/>
      <c r="M49" s="94"/>
      <c r="N49" s="94"/>
      <c r="O49" s="94"/>
      <c r="P49" s="94"/>
      <c r="Q49" s="94"/>
      <c r="R49" s="94"/>
      <c r="S49" s="94"/>
      <c r="T49" s="94"/>
      <c r="U49" s="94"/>
      <c r="V49" s="94"/>
      <c r="W49" s="94"/>
      <c r="X49" s="95"/>
    </row>
    <row r="50" spans="1:24" ht="15" thickBot="1" x14ac:dyDescent="0.4">
      <c r="A50" s="111"/>
      <c r="B50" s="99"/>
      <c r="C50" s="99" t="s">
        <v>2522</v>
      </c>
      <c r="D50" s="99"/>
      <c r="E50" s="99"/>
      <c r="F50" s="99"/>
      <c r="G50" s="99"/>
      <c r="H50" s="99"/>
      <c r="I50" s="99"/>
      <c r="J50" s="99"/>
      <c r="K50" s="99"/>
      <c r="L50" s="99"/>
      <c r="M50" s="99"/>
      <c r="N50" s="99"/>
      <c r="O50" s="99"/>
      <c r="P50" s="99"/>
      <c r="Q50" s="99"/>
      <c r="R50" s="99"/>
      <c r="S50" s="99"/>
      <c r="T50" s="99"/>
      <c r="U50" s="99"/>
      <c r="V50" s="99"/>
      <c r="W50" s="99"/>
      <c r="X50" s="100"/>
    </row>
    <row r="51" spans="1:24" x14ac:dyDescent="0.35">
      <c r="A51" s="118" t="s">
        <v>768</v>
      </c>
      <c r="B51" s="94">
        <f>+$F$116</f>
        <v>0.72</v>
      </c>
      <c r="C51" s="94" t="s">
        <v>769</v>
      </c>
      <c r="D51" s="94"/>
      <c r="E51" s="94"/>
      <c r="F51" s="94"/>
      <c r="G51" s="94"/>
      <c r="H51" s="94"/>
      <c r="I51" s="94"/>
      <c r="J51" s="94"/>
      <c r="K51" s="94"/>
      <c r="L51" s="94"/>
      <c r="M51" s="94"/>
      <c r="N51" s="94"/>
      <c r="O51" s="94"/>
      <c r="P51" s="94"/>
      <c r="Q51" s="94"/>
      <c r="R51" s="94"/>
      <c r="S51" s="94"/>
      <c r="T51" s="94"/>
      <c r="U51" s="94"/>
      <c r="V51" s="94"/>
      <c r="W51" s="94"/>
      <c r="X51" s="95"/>
    </row>
    <row r="52" spans="1:24" ht="15" thickBot="1" x14ac:dyDescent="0.4">
      <c r="A52" s="111"/>
      <c r="B52" s="99"/>
      <c r="C52" s="99" t="s">
        <v>762</v>
      </c>
      <c r="D52" s="99"/>
      <c r="E52" s="99"/>
      <c r="F52" s="99"/>
      <c r="G52" s="99"/>
      <c r="H52" s="99"/>
      <c r="I52" s="99"/>
      <c r="J52" s="99"/>
      <c r="K52" s="99"/>
      <c r="L52" s="99"/>
      <c r="M52" s="99"/>
      <c r="N52" s="99"/>
      <c r="O52" s="99"/>
      <c r="P52" s="99"/>
      <c r="Q52" s="99"/>
      <c r="R52" s="99"/>
      <c r="S52" s="99"/>
      <c r="T52" s="99"/>
      <c r="U52" s="99"/>
      <c r="V52" s="99"/>
      <c r="W52" s="99"/>
      <c r="X52" s="100"/>
    </row>
    <row r="53" spans="1:24" x14ac:dyDescent="0.35">
      <c r="A53" s="118" t="s">
        <v>770</v>
      </c>
      <c r="B53" s="94"/>
      <c r="C53" s="94" t="s">
        <v>771</v>
      </c>
      <c r="D53" s="94"/>
      <c r="E53" s="94"/>
      <c r="F53" s="94"/>
      <c r="G53" s="94"/>
      <c r="H53" s="94"/>
      <c r="I53" s="94"/>
      <c r="J53" s="94"/>
      <c r="K53" s="94"/>
      <c r="L53" s="94"/>
      <c r="M53" s="94"/>
      <c r="N53" s="94"/>
      <c r="O53" s="94"/>
      <c r="P53" s="94"/>
      <c r="Q53" s="94"/>
      <c r="R53" s="94"/>
      <c r="S53" s="94"/>
      <c r="T53" s="94"/>
      <c r="U53" s="94"/>
      <c r="V53" s="94"/>
      <c r="W53" s="94"/>
      <c r="X53" s="95"/>
    </row>
    <row r="54" spans="1:24" ht="15" thickBot="1" x14ac:dyDescent="0.4">
      <c r="A54" s="111"/>
      <c r="B54" s="99"/>
      <c r="C54" s="99" t="s">
        <v>762</v>
      </c>
      <c r="D54" s="99"/>
      <c r="E54" s="99"/>
      <c r="F54" s="99"/>
      <c r="G54" s="99"/>
      <c r="H54" s="99"/>
      <c r="I54" s="99"/>
      <c r="J54" s="99"/>
      <c r="K54" s="99"/>
      <c r="L54" s="99"/>
      <c r="M54" s="99"/>
      <c r="N54" s="99"/>
      <c r="O54" s="99"/>
      <c r="P54" s="99"/>
      <c r="Q54" s="99"/>
      <c r="R54" s="99"/>
      <c r="S54" s="99"/>
      <c r="T54" s="99"/>
      <c r="U54" s="99"/>
      <c r="V54" s="99"/>
      <c r="W54" s="99"/>
      <c r="X54" s="100"/>
    </row>
    <row r="55" spans="1:24" x14ac:dyDescent="0.35">
      <c r="A55" s="118" t="s">
        <v>708</v>
      </c>
      <c r="B55" s="94">
        <v>0.5</v>
      </c>
      <c r="C55" s="94" t="s">
        <v>772</v>
      </c>
      <c r="D55" s="94"/>
      <c r="E55" s="94"/>
      <c r="F55" s="94"/>
      <c r="G55" s="94"/>
      <c r="H55" s="94"/>
      <c r="I55" s="94"/>
      <c r="J55" s="94"/>
      <c r="K55" s="94"/>
      <c r="L55" s="94"/>
      <c r="M55" s="94"/>
      <c r="N55" s="94"/>
      <c r="O55" s="94"/>
      <c r="P55" s="94"/>
      <c r="Q55" s="94"/>
      <c r="R55" s="94"/>
      <c r="S55" s="94"/>
      <c r="T55" s="94"/>
      <c r="U55" s="94"/>
      <c r="V55" s="94"/>
      <c r="W55" s="94"/>
      <c r="X55" s="95"/>
    </row>
    <row r="56" spans="1:24" x14ac:dyDescent="0.35">
      <c r="A56" s="311"/>
      <c r="B56" s="67"/>
      <c r="C56" s="67" t="s">
        <v>773</v>
      </c>
      <c r="D56" s="67"/>
      <c r="E56" s="67"/>
      <c r="F56" s="67"/>
      <c r="G56" s="67"/>
      <c r="H56" s="67"/>
      <c r="I56" s="67"/>
      <c r="J56" s="67"/>
      <c r="K56" s="67"/>
      <c r="L56" s="67"/>
      <c r="M56" s="67"/>
      <c r="N56" s="67"/>
      <c r="O56" s="67"/>
      <c r="P56" s="67"/>
      <c r="Q56" s="67"/>
      <c r="R56" s="67"/>
      <c r="S56" s="67"/>
      <c r="T56" s="67"/>
      <c r="U56" s="67"/>
      <c r="V56" s="67"/>
      <c r="W56" s="67"/>
      <c r="X56" s="310"/>
    </row>
    <row r="57" spans="1:24" ht="15" thickBot="1" x14ac:dyDescent="0.4">
      <c r="A57" s="111"/>
      <c r="B57" s="99"/>
      <c r="C57" s="99" t="s">
        <v>774</v>
      </c>
      <c r="D57" s="99"/>
      <c r="E57" s="99"/>
      <c r="F57" s="99"/>
      <c r="G57" s="99"/>
      <c r="H57" s="99"/>
      <c r="I57" s="99"/>
      <c r="J57" s="99"/>
      <c r="K57" s="99"/>
      <c r="L57" s="99"/>
      <c r="M57" s="99"/>
      <c r="N57" s="99"/>
      <c r="O57" s="99"/>
      <c r="P57" s="99"/>
      <c r="Q57" s="99"/>
      <c r="R57" s="99"/>
      <c r="S57" s="99"/>
      <c r="T57" s="99"/>
      <c r="U57" s="99"/>
      <c r="V57" s="99"/>
      <c r="W57" s="99"/>
      <c r="X57" s="100"/>
    </row>
    <row r="58" spans="1:24" x14ac:dyDescent="0.35">
      <c r="A58" s="118" t="s">
        <v>709</v>
      </c>
      <c r="B58" s="94">
        <v>0.25</v>
      </c>
      <c r="C58" s="94" t="s">
        <v>775</v>
      </c>
      <c r="D58" s="94"/>
      <c r="E58" s="94"/>
      <c r="F58" s="94"/>
      <c r="G58" s="94"/>
      <c r="H58" s="94"/>
      <c r="I58" s="94"/>
      <c r="J58" s="94"/>
      <c r="K58" s="94"/>
      <c r="L58" s="94"/>
      <c r="M58" s="94"/>
      <c r="N58" s="94"/>
      <c r="O58" s="94"/>
      <c r="P58" s="94"/>
      <c r="Q58" s="94"/>
      <c r="R58" s="94"/>
      <c r="S58" s="94"/>
      <c r="T58" s="94"/>
      <c r="U58" s="94"/>
      <c r="V58" s="94"/>
      <c r="W58" s="94"/>
      <c r="X58" s="95"/>
    </row>
    <row r="59" spans="1:24" x14ac:dyDescent="0.35">
      <c r="A59" s="311"/>
      <c r="B59" s="67"/>
      <c r="C59" s="67" t="s">
        <v>776</v>
      </c>
      <c r="D59" s="67"/>
      <c r="E59" s="67"/>
      <c r="F59" s="67"/>
      <c r="G59" s="67"/>
      <c r="H59" s="67"/>
      <c r="I59" s="67"/>
      <c r="J59" s="67"/>
      <c r="K59" s="67"/>
      <c r="L59" s="67"/>
      <c r="M59" s="67"/>
      <c r="N59" s="67"/>
      <c r="O59" s="67"/>
      <c r="P59" s="67"/>
      <c r="Q59" s="67"/>
      <c r="R59" s="67"/>
      <c r="S59" s="67"/>
      <c r="T59" s="67"/>
      <c r="U59" s="67"/>
      <c r="V59" s="67"/>
      <c r="W59" s="67"/>
      <c r="X59" s="310"/>
    </row>
    <row r="60" spans="1:24" ht="15" thickBot="1" x14ac:dyDescent="0.4">
      <c r="A60" s="111"/>
      <c r="B60" s="99"/>
      <c r="C60" s="99" t="s">
        <v>777</v>
      </c>
      <c r="D60" s="99"/>
      <c r="E60" s="99"/>
      <c r="F60" s="99"/>
      <c r="G60" s="99"/>
      <c r="H60" s="99"/>
      <c r="I60" s="99"/>
      <c r="J60" s="99"/>
      <c r="K60" s="99"/>
      <c r="L60" s="99"/>
      <c r="M60" s="99"/>
      <c r="N60" s="99"/>
      <c r="O60" s="99"/>
      <c r="P60" s="99"/>
      <c r="Q60" s="99"/>
      <c r="R60" s="99"/>
      <c r="S60" s="99"/>
      <c r="T60" s="99"/>
      <c r="U60" s="99"/>
      <c r="V60" s="99"/>
      <c r="W60" s="99"/>
      <c r="X60" s="100"/>
    </row>
    <row r="61" spans="1:24" x14ac:dyDescent="0.35">
      <c r="A61" s="118" t="s">
        <v>710</v>
      </c>
      <c r="B61" s="94"/>
      <c r="C61" s="94" t="s">
        <v>778</v>
      </c>
      <c r="D61" s="94"/>
      <c r="E61" s="94"/>
      <c r="F61" s="94"/>
      <c r="G61" s="94"/>
      <c r="H61" s="94"/>
      <c r="I61" s="94"/>
      <c r="J61" s="94"/>
      <c r="K61" s="94"/>
      <c r="L61" s="94"/>
      <c r="M61" s="94"/>
      <c r="N61" s="94"/>
      <c r="O61" s="94"/>
      <c r="P61" s="94"/>
      <c r="Q61" s="94"/>
      <c r="R61" s="94"/>
      <c r="S61" s="94"/>
      <c r="T61" s="94"/>
      <c r="U61" s="94"/>
      <c r="V61" s="94"/>
      <c r="W61" s="94"/>
      <c r="X61" s="95"/>
    </row>
    <row r="62" spans="1:24" x14ac:dyDescent="0.35">
      <c r="A62" s="311"/>
      <c r="B62" s="67"/>
      <c r="C62" s="67" t="s">
        <v>468</v>
      </c>
      <c r="D62" s="67"/>
      <c r="E62" s="67"/>
      <c r="F62" s="67"/>
      <c r="G62" s="67"/>
      <c r="H62" s="67"/>
      <c r="I62" s="67"/>
      <c r="J62" s="67"/>
      <c r="K62" s="67"/>
      <c r="L62" s="67"/>
      <c r="M62" s="67"/>
      <c r="N62" s="67"/>
      <c r="O62" s="67"/>
      <c r="P62" s="67"/>
      <c r="Q62" s="67"/>
      <c r="R62" s="67"/>
      <c r="S62" s="67"/>
      <c r="T62" s="67"/>
      <c r="U62" s="67"/>
      <c r="V62" s="67"/>
      <c r="W62" s="67"/>
      <c r="X62" s="310"/>
    </row>
    <row r="63" spans="1:24" ht="15" thickBot="1" x14ac:dyDescent="0.4">
      <c r="A63" s="111"/>
      <c r="B63" s="99"/>
      <c r="C63" s="99" t="s">
        <v>762</v>
      </c>
      <c r="D63" s="99"/>
      <c r="E63" s="99"/>
      <c r="F63" s="99"/>
      <c r="G63" s="99"/>
      <c r="H63" s="99"/>
      <c r="I63" s="99"/>
      <c r="J63" s="99"/>
      <c r="K63" s="99"/>
      <c r="L63" s="99"/>
      <c r="M63" s="99"/>
      <c r="N63" s="99"/>
      <c r="O63" s="99"/>
      <c r="P63" s="99"/>
      <c r="Q63" s="99"/>
      <c r="R63" s="99"/>
      <c r="S63" s="99"/>
      <c r="T63" s="99"/>
      <c r="U63" s="99"/>
      <c r="V63" s="99"/>
      <c r="W63" s="99"/>
      <c r="X63" s="100"/>
    </row>
    <row r="64" spans="1:24" x14ac:dyDescent="0.35">
      <c r="A64" s="118" t="s">
        <v>711</v>
      </c>
      <c r="B64" s="94"/>
      <c r="C64" s="94" t="s">
        <v>779</v>
      </c>
      <c r="D64" s="94"/>
      <c r="E64" s="94"/>
      <c r="F64" s="94"/>
      <c r="G64" s="94"/>
      <c r="H64" s="94"/>
      <c r="I64" s="94"/>
      <c r="J64" s="94"/>
      <c r="K64" s="94"/>
      <c r="L64" s="94"/>
      <c r="M64" s="94"/>
      <c r="N64" s="94"/>
      <c r="O64" s="94"/>
      <c r="P64" s="94"/>
      <c r="Q64" s="94"/>
      <c r="R64" s="94"/>
      <c r="S64" s="94"/>
      <c r="T64" s="94"/>
      <c r="U64" s="94"/>
      <c r="V64" s="94"/>
      <c r="W64" s="94"/>
      <c r="X64" s="95"/>
    </row>
    <row r="65" spans="1:24" x14ac:dyDescent="0.35">
      <c r="A65" s="311"/>
      <c r="B65" s="67"/>
      <c r="C65" s="67" t="s">
        <v>468</v>
      </c>
      <c r="D65" s="67"/>
      <c r="E65" s="67"/>
      <c r="F65" s="67"/>
      <c r="G65" s="67"/>
      <c r="H65" s="67"/>
      <c r="I65" s="67"/>
      <c r="J65" s="67"/>
      <c r="K65" s="67"/>
      <c r="L65" s="67"/>
      <c r="M65" s="67"/>
      <c r="N65" s="67"/>
      <c r="O65" s="67"/>
      <c r="P65" s="67"/>
      <c r="Q65" s="67"/>
      <c r="R65" s="67"/>
      <c r="S65" s="67"/>
      <c r="T65" s="67"/>
      <c r="U65" s="67"/>
      <c r="V65" s="67"/>
      <c r="W65" s="67"/>
      <c r="X65" s="310"/>
    </row>
    <row r="66" spans="1:24" ht="15" thickBot="1" x14ac:dyDescent="0.4">
      <c r="A66" s="111"/>
      <c r="B66" s="99"/>
      <c r="C66" s="99" t="s">
        <v>762</v>
      </c>
      <c r="D66" s="99"/>
      <c r="E66" s="99"/>
      <c r="F66" s="99"/>
      <c r="G66" s="99"/>
      <c r="H66" s="99"/>
      <c r="I66" s="99"/>
      <c r="J66" s="99"/>
      <c r="K66" s="99"/>
      <c r="L66" s="99"/>
      <c r="M66" s="99"/>
      <c r="N66" s="99"/>
      <c r="O66" s="99"/>
      <c r="P66" s="99"/>
      <c r="Q66" s="99"/>
      <c r="R66" s="99"/>
      <c r="S66" s="99"/>
      <c r="T66" s="99"/>
      <c r="U66" s="99"/>
      <c r="V66" s="99"/>
      <c r="W66" s="99"/>
      <c r="X66" s="100"/>
    </row>
    <row r="67" spans="1:24" x14ac:dyDescent="0.35">
      <c r="A67" s="118" t="s">
        <v>712</v>
      </c>
      <c r="B67" s="94"/>
      <c r="C67" s="94" t="s">
        <v>780</v>
      </c>
      <c r="D67" s="94"/>
      <c r="E67" s="94"/>
      <c r="F67" s="94"/>
      <c r="G67" s="94"/>
      <c r="H67" s="94"/>
      <c r="I67" s="94"/>
      <c r="J67" s="94"/>
      <c r="K67" s="94"/>
      <c r="L67" s="94"/>
      <c r="M67" s="94"/>
      <c r="N67" s="94"/>
      <c r="O67" s="94"/>
      <c r="P67" s="94"/>
      <c r="Q67" s="94"/>
      <c r="R67" s="94"/>
      <c r="S67" s="94"/>
      <c r="T67" s="94"/>
      <c r="U67" s="94"/>
      <c r="V67" s="94"/>
      <c r="W67" s="94"/>
      <c r="X67" s="95"/>
    </row>
    <row r="68" spans="1:24" ht="15" thickBot="1" x14ac:dyDescent="0.4">
      <c r="A68" s="111"/>
      <c r="B68" s="99"/>
      <c r="C68" s="99" t="s">
        <v>781</v>
      </c>
      <c r="D68" s="99"/>
      <c r="E68" s="99"/>
      <c r="F68" s="99"/>
      <c r="G68" s="99"/>
      <c r="H68" s="99"/>
      <c r="I68" s="99"/>
      <c r="J68" s="99"/>
      <c r="K68" s="99"/>
      <c r="L68" s="99"/>
      <c r="M68" s="99"/>
      <c r="N68" s="99"/>
      <c r="O68" s="99"/>
      <c r="P68" s="99"/>
      <c r="Q68" s="99"/>
      <c r="R68" s="99"/>
      <c r="S68" s="99"/>
      <c r="T68" s="99"/>
      <c r="U68" s="99"/>
      <c r="V68" s="99"/>
      <c r="W68" s="99"/>
      <c r="X68" s="100"/>
    </row>
    <row r="69" spans="1:24" x14ac:dyDescent="0.35">
      <c r="A69" s="118" t="s">
        <v>713</v>
      </c>
      <c r="B69" s="94"/>
      <c r="C69" s="94" t="s">
        <v>782</v>
      </c>
      <c r="D69" s="94"/>
      <c r="E69" s="94"/>
      <c r="F69" s="94"/>
      <c r="G69" s="94"/>
      <c r="H69" s="94"/>
      <c r="I69" s="94"/>
      <c r="J69" s="94"/>
      <c r="K69" s="94"/>
      <c r="L69" s="94"/>
      <c r="M69" s="94"/>
      <c r="N69" s="94"/>
      <c r="O69" s="94"/>
      <c r="P69" s="94"/>
      <c r="Q69" s="94"/>
      <c r="R69" s="94"/>
      <c r="S69" s="94"/>
      <c r="T69" s="94"/>
      <c r="U69" s="94"/>
      <c r="V69" s="94"/>
      <c r="W69" s="94"/>
      <c r="X69" s="95"/>
    </row>
    <row r="70" spans="1:24" ht="15" thickBot="1" x14ac:dyDescent="0.4">
      <c r="A70" s="111"/>
      <c r="B70" s="99"/>
      <c r="C70" s="98" t="s">
        <v>783</v>
      </c>
      <c r="D70" s="99"/>
      <c r="E70" s="99"/>
      <c r="F70" s="99"/>
      <c r="G70" s="99"/>
      <c r="H70" s="99"/>
      <c r="I70" s="99"/>
      <c r="J70" s="99"/>
      <c r="K70" s="99"/>
      <c r="L70" s="99"/>
      <c r="M70" s="99"/>
      <c r="N70" s="99"/>
      <c r="O70" s="99"/>
      <c r="P70" s="99"/>
      <c r="Q70" s="99"/>
      <c r="R70" s="99"/>
      <c r="S70" s="99"/>
      <c r="T70" s="99"/>
      <c r="U70" s="99"/>
      <c r="V70" s="99"/>
      <c r="W70" s="99"/>
      <c r="X70" s="100"/>
    </row>
    <row r="71" spans="1:24" x14ac:dyDescent="0.35">
      <c r="A71" s="118" t="s">
        <v>714</v>
      </c>
      <c r="B71" s="94"/>
      <c r="C71" s="94" t="s">
        <v>784</v>
      </c>
      <c r="D71" s="94"/>
      <c r="E71" s="94"/>
      <c r="F71" s="94"/>
      <c r="G71" s="94"/>
      <c r="H71" s="94"/>
      <c r="I71" s="94"/>
      <c r="J71" s="94"/>
      <c r="K71" s="94"/>
      <c r="L71" s="94"/>
      <c r="M71" s="94"/>
      <c r="N71" s="94"/>
      <c r="O71" s="94"/>
      <c r="P71" s="94"/>
      <c r="Q71" s="94"/>
      <c r="R71" s="94"/>
      <c r="S71" s="94"/>
      <c r="T71" s="94"/>
      <c r="U71" s="94"/>
      <c r="V71" s="94"/>
      <c r="W71" s="94"/>
      <c r="X71" s="95"/>
    </row>
    <row r="72" spans="1:24" ht="15" thickBot="1" x14ac:dyDescent="0.4">
      <c r="A72" s="111"/>
      <c r="B72" s="99"/>
      <c r="C72" s="99" t="s">
        <v>781</v>
      </c>
      <c r="D72" s="99"/>
      <c r="E72" s="99"/>
      <c r="F72" s="99"/>
      <c r="G72" s="99"/>
      <c r="H72" s="99"/>
      <c r="I72" s="99"/>
      <c r="J72" s="99"/>
      <c r="K72" s="99"/>
      <c r="L72" s="99"/>
      <c r="M72" s="99"/>
      <c r="N72" s="99"/>
      <c r="O72" s="99"/>
      <c r="P72" s="99"/>
      <c r="Q72" s="99"/>
      <c r="R72" s="99"/>
      <c r="S72" s="99"/>
      <c r="T72" s="99"/>
      <c r="U72" s="99"/>
      <c r="V72" s="99"/>
      <c r="W72" s="99"/>
      <c r="X72" s="100"/>
    </row>
    <row r="73" spans="1:24" x14ac:dyDescent="0.35">
      <c r="A73" s="118" t="s">
        <v>715</v>
      </c>
      <c r="B73" s="94" t="s">
        <v>2523</v>
      </c>
      <c r="C73" s="94" t="s">
        <v>785</v>
      </c>
      <c r="D73" s="94"/>
      <c r="E73" s="94"/>
      <c r="F73" s="94"/>
      <c r="G73" s="94"/>
      <c r="H73" s="94"/>
      <c r="I73" s="94"/>
      <c r="J73" s="94"/>
      <c r="K73" s="94"/>
      <c r="L73" s="94"/>
      <c r="M73" s="94"/>
      <c r="N73" s="94"/>
      <c r="O73" s="94"/>
      <c r="P73" s="94"/>
      <c r="Q73" s="94"/>
      <c r="R73" s="94"/>
      <c r="S73" s="94"/>
      <c r="T73" s="94"/>
      <c r="U73" s="94"/>
      <c r="V73" s="94"/>
      <c r="W73" s="94"/>
      <c r="X73" s="95"/>
    </row>
    <row r="74" spans="1:24" ht="15" thickBot="1" x14ac:dyDescent="0.4">
      <c r="A74" s="111"/>
      <c r="B74" s="99"/>
      <c r="C74" s="98" t="s">
        <v>783</v>
      </c>
      <c r="D74" s="99"/>
      <c r="E74" s="99"/>
      <c r="F74" s="99"/>
      <c r="G74" s="99"/>
      <c r="H74" s="99"/>
      <c r="I74" s="99"/>
      <c r="J74" s="99"/>
      <c r="K74" s="99"/>
      <c r="L74" s="99"/>
      <c r="M74" s="99"/>
      <c r="N74" s="99"/>
      <c r="O74" s="99"/>
      <c r="P74" s="99"/>
      <c r="Q74" s="99"/>
      <c r="R74" s="99"/>
      <c r="S74" s="99"/>
      <c r="T74" s="99"/>
      <c r="U74" s="99"/>
      <c r="V74" s="99"/>
      <c r="W74" s="99"/>
      <c r="X74" s="100"/>
    </row>
    <row r="75" spans="1:24" x14ac:dyDescent="0.35">
      <c r="A75" s="118" t="s">
        <v>615</v>
      </c>
      <c r="B75" s="94"/>
      <c r="C75" s="115" t="s">
        <v>786</v>
      </c>
      <c r="D75" s="94"/>
      <c r="E75" s="94"/>
      <c r="F75" s="94"/>
      <c r="G75" s="94"/>
      <c r="H75" s="94"/>
      <c r="I75" s="94"/>
      <c r="J75" s="94"/>
      <c r="K75" s="94"/>
      <c r="L75" s="94"/>
      <c r="M75" s="94"/>
      <c r="N75" s="94"/>
      <c r="O75" s="94"/>
      <c r="P75" s="94"/>
      <c r="Q75" s="94"/>
      <c r="R75" s="94"/>
      <c r="S75" s="94"/>
      <c r="T75" s="94"/>
      <c r="U75" s="94"/>
      <c r="V75" s="94"/>
      <c r="W75" s="94"/>
      <c r="X75" s="95"/>
    </row>
    <row r="76" spans="1:24" ht="15" thickBot="1" x14ac:dyDescent="0.4">
      <c r="A76" s="111"/>
      <c r="B76" s="99"/>
      <c r="C76" s="108" t="s">
        <v>787</v>
      </c>
      <c r="D76" s="99"/>
      <c r="E76" s="99"/>
      <c r="F76" s="99"/>
      <c r="G76" s="99"/>
      <c r="H76" s="99"/>
      <c r="I76" s="99"/>
      <c r="J76" s="99"/>
      <c r="K76" s="99"/>
      <c r="L76" s="99"/>
      <c r="M76" s="99"/>
      <c r="N76" s="99"/>
      <c r="O76" s="99"/>
      <c r="P76" s="99"/>
      <c r="Q76" s="99"/>
      <c r="R76" s="99"/>
      <c r="S76" s="99"/>
      <c r="T76" s="99"/>
      <c r="U76" s="99"/>
      <c r="V76" s="99"/>
      <c r="W76" s="99"/>
      <c r="X76" s="100"/>
    </row>
    <row r="77" spans="1:24" x14ac:dyDescent="0.35">
      <c r="A77" s="118" t="s">
        <v>715</v>
      </c>
      <c r="B77" s="94"/>
      <c r="C77" s="94" t="s">
        <v>785</v>
      </c>
      <c r="D77" s="94"/>
      <c r="E77" s="94"/>
      <c r="F77" s="94"/>
      <c r="G77" s="94"/>
      <c r="H77" s="94"/>
      <c r="I77" s="94"/>
      <c r="J77" s="94"/>
      <c r="K77" s="94"/>
      <c r="L77" s="94"/>
      <c r="M77" s="94"/>
      <c r="N77" s="94"/>
      <c r="O77" s="94"/>
      <c r="P77" s="94"/>
      <c r="Q77" s="94"/>
      <c r="R77" s="94"/>
      <c r="S77" s="94"/>
      <c r="T77" s="94"/>
      <c r="U77" s="94"/>
      <c r="V77" s="94"/>
      <c r="W77" s="94"/>
      <c r="X77" s="95"/>
    </row>
    <row r="78" spans="1:24" ht="15" thickBot="1" x14ac:dyDescent="0.4">
      <c r="A78" s="111"/>
      <c r="B78" s="99"/>
      <c r="C78" s="98" t="s">
        <v>783</v>
      </c>
      <c r="D78" s="99"/>
      <c r="E78" s="99"/>
      <c r="F78" s="99"/>
      <c r="G78" s="99"/>
      <c r="H78" s="99"/>
      <c r="I78" s="99"/>
      <c r="J78" s="99"/>
      <c r="K78" s="99"/>
      <c r="L78" s="99"/>
      <c r="M78" s="99"/>
      <c r="N78" s="99"/>
      <c r="O78" s="99"/>
      <c r="P78" s="99"/>
      <c r="Q78" s="99"/>
      <c r="R78" s="99"/>
      <c r="S78" s="99"/>
      <c r="T78" s="99"/>
      <c r="U78" s="99"/>
      <c r="V78" s="99"/>
      <c r="W78" s="99"/>
      <c r="X78" s="100"/>
    </row>
    <row r="79" spans="1:24" x14ac:dyDescent="0.35">
      <c r="A79" s="118" t="s">
        <v>720</v>
      </c>
      <c r="B79" s="338">
        <v>0.83</v>
      </c>
      <c r="C79" s="94" t="s">
        <v>788</v>
      </c>
      <c r="D79" s="94"/>
      <c r="E79" s="94"/>
      <c r="F79" s="94"/>
      <c r="G79" s="94"/>
      <c r="H79" s="94"/>
      <c r="I79" s="94"/>
      <c r="J79" s="94"/>
      <c r="K79" s="94"/>
      <c r="L79" s="94"/>
      <c r="M79" s="94"/>
      <c r="N79" s="94"/>
      <c r="O79" s="94"/>
      <c r="P79" s="94"/>
      <c r="Q79" s="94"/>
      <c r="R79" s="94"/>
      <c r="S79" s="94"/>
      <c r="T79" s="94"/>
      <c r="U79" s="94"/>
      <c r="V79" s="94"/>
      <c r="W79" s="94"/>
      <c r="X79" s="95"/>
    </row>
    <row r="80" spans="1:24" ht="15" thickBot="1" x14ac:dyDescent="0.4">
      <c r="A80" s="111"/>
      <c r="B80" s="99"/>
      <c r="C80" s="99" t="s">
        <v>789</v>
      </c>
      <c r="D80" s="99"/>
      <c r="E80" s="99"/>
      <c r="F80" s="99"/>
      <c r="G80" s="99"/>
      <c r="H80" s="99"/>
      <c r="I80" s="99"/>
      <c r="J80" s="99"/>
      <c r="K80" s="99"/>
      <c r="L80" s="99"/>
      <c r="M80" s="99"/>
      <c r="N80" s="99"/>
      <c r="O80" s="99"/>
      <c r="P80" s="99"/>
      <c r="Q80" s="99"/>
      <c r="R80" s="99"/>
      <c r="S80" s="99"/>
      <c r="T80" s="99"/>
      <c r="U80" s="99"/>
      <c r="V80" s="99"/>
      <c r="W80" s="99"/>
      <c r="X80" s="100"/>
    </row>
    <row r="81" spans="1:24" x14ac:dyDescent="0.35">
      <c r="A81" s="118" t="s">
        <v>721</v>
      </c>
      <c r="B81" s="338">
        <v>0.7</v>
      </c>
      <c r="C81" s="94" t="s">
        <v>790</v>
      </c>
      <c r="D81" s="94"/>
      <c r="E81" s="94"/>
      <c r="F81" s="94"/>
      <c r="G81" s="94"/>
      <c r="H81" s="94"/>
      <c r="I81" s="94"/>
      <c r="J81" s="94"/>
      <c r="K81" s="94"/>
      <c r="L81" s="94"/>
      <c r="M81" s="94"/>
      <c r="N81" s="94"/>
      <c r="O81" s="94"/>
      <c r="P81" s="94"/>
      <c r="Q81" s="94"/>
      <c r="R81" s="94"/>
      <c r="S81" s="94"/>
      <c r="T81" s="94"/>
      <c r="U81" s="94"/>
      <c r="V81" s="94"/>
      <c r="W81" s="94"/>
      <c r="X81" s="95"/>
    </row>
    <row r="82" spans="1:24" ht="15" thickBot="1" x14ac:dyDescent="0.4">
      <c r="A82" s="111"/>
      <c r="B82" s="99"/>
      <c r="C82" s="99" t="s">
        <v>791</v>
      </c>
      <c r="D82" s="99"/>
      <c r="E82" s="99"/>
      <c r="F82" s="99"/>
      <c r="G82" s="99"/>
      <c r="H82" s="99"/>
      <c r="I82" s="99"/>
      <c r="J82" s="99"/>
      <c r="K82" s="99"/>
      <c r="L82" s="99"/>
      <c r="M82" s="99"/>
      <c r="N82" s="99"/>
      <c r="O82" s="99"/>
      <c r="P82" s="99"/>
      <c r="Q82" s="99"/>
      <c r="R82" s="99"/>
      <c r="S82" s="99"/>
      <c r="T82" s="99"/>
      <c r="U82" s="99"/>
      <c r="V82" s="99"/>
      <c r="W82" s="99"/>
      <c r="X82" s="100"/>
    </row>
    <row r="83" spans="1:24" ht="29" x14ac:dyDescent="0.35">
      <c r="A83" s="193" t="s">
        <v>722</v>
      </c>
      <c r="B83" s="339" t="s">
        <v>792</v>
      </c>
      <c r="C83" s="194" t="s">
        <v>793</v>
      </c>
      <c r="D83" s="194"/>
      <c r="E83" s="194"/>
      <c r="F83" s="194"/>
      <c r="G83" s="194"/>
      <c r="H83" s="194"/>
      <c r="I83" s="194"/>
      <c r="J83" s="194"/>
      <c r="K83" s="194"/>
      <c r="L83" s="194"/>
      <c r="M83" s="194"/>
      <c r="N83" s="194"/>
      <c r="O83" s="194"/>
      <c r="P83" s="194"/>
      <c r="Q83" s="194"/>
      <c r="R83" s="194"/>
      <c r="S83" s="194"/>
      <c r="T83" s="194"/>
      <c r="U83" s="194"/>
      <c r="V83" s="194"/>
      <c r="W83" s="194"/>
      <c r="X83" s="195"/>
    </row>
    <row r="84" spans="1:24" ht="15" thickBot="1" x14ac:dyDescent="0.4">
      <c r="A84" s="197"/>
      <c r="B84" s="340"/>
      <c r="C84" s="198" t="s">
        <v>794</v>
      </c>
      <c r="D84" s="198"/>
      <c r="E84" s="198"/>
      <c r="F84" s="198"/>
      <c r="G84" s="198"/>
      <c r="H84" s="198"/>
      <c r="I84" s="198"/>
      <c r="J84" s="198"/>
      <c r="K84" s="198"/>
      <c r="L84" s="198"/>
      <c r="M84" s="198"/>
      <c r="N84" s="198"/>
      <c r="O84" s="198"/>
      <c r="P84" s="198"/>
      <c r="Q84" s="198"/>
      <c r="R84" s="198"/>
      <c r="S84" s="198"/>
      <c r="T84" s="198"/>
      <c r="U84" s="198"/>
      <c r="V84" s="198"/>
      <c r="W84" s="198"/>
      <c r="X84" s="199"/>
    </row>
    <row r="85" spans="1:24" ht="29" x14ac:dyDescent="0.35">
      <c r="A85" s="341" t="s">
        <v>723</v>
      </c>
      <c r="B85" s="342" t="s">
        <v>792</v>
      </c>
      <c r="C85" s="343" t="s">
        <v>795</v>
      </c>
      <c r="D85" s="343"/>
      <c r="E85" s="343"/>
      <c r="F85" s="343"/>
      <c r="G85" s="343"/>
      <c r="H85" s="343"/>
      <c r="I85" s="343"/>
      <c r="J85" s="343"/>
      <c r="K85" s="343"/>
      <c r="L85" s="343"/>
      <c r="M85" s="343"/>
      <c r="N85" s="343"/>
      <c r="O85" s="343"/>
      <c r="P85" s="343"/>
      <c r="Q85" s="343"/>
      <c r="R85" s="343"/>
      <c r="S85" s="343"/>
      <c r="T85" s="343"/>
      <c r="U85" s="343"/>
      <c r="V85" s="343"/>
      <c r="W85" s="343"/>
      <c r="X85" s="344"/>
    </row>
    <row r="86" spans="1:24" ht="15" thickBot="1" x14ac:dyDescent="0.4">
      <c r="A86" s="345"/>
      <c r="B86" s="346"/>
      <c r="C86" s="109" t="s">
        <v>794</v>
      </c>
      <c r="D86" s="184"/>
      <c r="E86" s="184"/>
      <c r="F86" s="184"/>
      <c r="G86" s="184"/>
      <c r="H86" s="184"/>
      <c r="I86" s="184"/>
      <c r="J86" s="184"/>
      <c r="K86" s="184"/>
      <c r="L86" s="184"/>
      <c r="M86" s="184"/>
      <c r="N86" s="184"/>
      <c r="O86" s="184"/>
      <c r="P86" s="184"/>
      <c r="Q86" s="184"/>
      <c r="R86" s="184"/>
      <c r="S86" s="184"/>
      <c r="T86" s="184"/>
      <c r="U86" s="184"/>
      <c r="V86" s="184"/>
      <c r="W86" s="184"/>
      <c r="X86" s="347"/>
    </row>
    <row r="87" spans="1:24" x14ac:dyDescent="0.35">
      <c r="A87" s="118" t="s">
        <v>380</v>
      </c>
      <c r="B87" s="348">
        <v>3.1399999999999997E-2</v>
      </c>
      <c r="C87" s="115" t="s">
        <v>426</v>
      </c>
      <c r="D87" s="94"/>
      <c r="E87" s="94"/>
      <c r="F87" s="94"/>
      <c r="G87" s="94"/>
      <c r="H87" s="94"/>
      <c r="I87" s="94"/>
      <c r="J87" s="94"/>
      <c r="K87" s="94"/>
      <c r="L87" s="94"/>
      <c r="M87" s="94"/>
      <c r="N87" s="94"/>
      <c r="O87" s="94"/>
      <c r="P87" s="94"/>
      <c r="Q87" s="94"/>
      <c r="R87" s="94"/>
      <c r="S87" s="94"/>
      <c r="T87" s="94"/>
      <c r="U87" s="94"/>
      <c r="V87" s="94"/>
      <c r="W87" s="94"/>
      <c r="X87" s="95"/>
    </row>
    <row r="88" spans="1:24" ht="15" thickBot="1" x14ac:dyDescent="0.4">
      <c r="A88" s="111"/>
      <c r="B88" s="99"/>
      <c r="C88" s="108" t="s">
        <v>787</v>
      </c>
      <c r="D88" s="99"/>
      <c r="E88" s="99"/>
      <c r="F88" s="99"/>
      <c r="G88" s="99"/>
      <c r="H88" s="99"/>
      <c r="I88" s="99"/>
      <c r="J88" s="99"/>
      <c r="K88" s="99"/>
      <c r="L88" s="99"/>
      <c r="M88" s="99"/>
      <c r="N88" s="99"/>
      <c r="O88" s="99"/>
      <c r="P88" s="99"/>
      <c r="Q88" s="99"/>
      <c r="R88" s="99"/>
      <c r="S88" s="99"/>
      <c r="T88" s="99"/>
      <c r="U88" s="99"/>
      <c r="V88" s="99"/>
      <c r="W88" s="99"/>
      <c r="X88" s="100"/>
    </row>
    <row r="89" spans="1:24" x14ac:dyDescent="0.35">
      <c r="A89" s="311" t="s">
        <v>796</v>
      </c>
      <c r="B89" s="67">
        <v>100000</v>
      </c>
      <c r="C89" s="349" t="s">
        <v>725</v>
      </c>
      <c r="D89" s="67"/>
      <c r="E89" s="67"/>
      <c r="F89" s="67"/>
      <c r="G89" s="67"/>
      <c r="H89" s="67"/>
      <c r="I89" s="67"/>
      <c r="J89" s="67"/>
      <c r="K89" s="67"/>
      <c r="L89" s="67"/>
      <c r="M89" s="67"/>
      <c r="N89" s="67"/>
      <c r="O89" s="67"/>
      <c r="P89" s="67"/>
      <c r="Q89" s="67"/>
      <c r="R89" s="67"/>
      <c r="S89" s="67"/>
      <c r="T89" s="67"/>
      <c r="U89" s="67"/>
      <c r="V89" s="67"/>
      <c r="W89" s="67"/>
      <c r="X89" s="310"/>
    </row>
    <row r="90" spans="1:24" x14ac:dyDescent="0.35">
      <c r="A90" s="311"/>
      <c r="B90" s="67">
        <v>1.23E-2</v>
      </c>
      <c r="C90" s="349" t="s">
        <v>726</v>
      </c>
      <c r="D90" s="67"/>
      <c r="E90" s="67"/>
      <c r="F90" s="67"/>
      <c r="G90" s="67"/>
      <c r="H90" s="67"/>
      <c r="I90" s="67"/>
      <c r="J90" s="67"/>
      <c r="K90" s="67"/>
      <c r="L90" s="67"/>
      <c r="M90" s="67"/>
      <c r="N90" s="67"/>
      <c r="O90" s="67"/>
      <c r="P90" s="67"/>
      <c r="Q90" s="67"/>
      <c r="R90" s="67"/>
      <c r="S90" s="67"/>
      <c r="T90" s="67"/>
      <c r="U90" s="67"/>
      <c r="V90" s="67"/>
      <c r="W90" s="67"/>
      <c r="X90" s="310"/>
    </row>
    <row r="91" spans="1:24" x14ac:dyDescent="0.35">
      <c r="A91" s="311"/>
      <c r="B91" s="184">
        <v>0.64</v>
      </c>
      <c r="C91" s="349" t="s">
        <v>724</v>
      </c>
      <c r="D91" s="67"/>
      <c r="E91" s="67"/>
      <c r="F91" s="67"/>
      <c r="G91" s="67"/>
      <c r="H91" s="67"/>
      <c r="I91" s="67"/>
      <c r="J91" s="67"/>
      <c r="K91" s="67"/>
      <c r="L91" s="67"/>
      <c r="M91" s="67"/>
      <c r="N91" s="67"/>
      <c r="O91" s="67"/>
      <c r="P91" s="67"/>
      <c r="Q91" s="67"/>
      <c r="R91" s="67"/>
      <c r="S91" s="67"/>
      <c r="T91" s="67"/>
      <c r="U91" s="67"/>
      <c r="V91" s="67"/>
      <c r="W91" s="67"/>
      <c r="X91" s="310"/>
    </row>
    <row r="92" spans="1:24" x14ac:dyDescent="0.35">
      <c r="A92" s="311"/>
      <c r="B92" s="184">
        <v>12000</v>
      </c>
      <c r="C92" s="349" t="s">
        <v>797</v>
      </c>
      <c r="D92" s="67"/>
      <c r="E92" s="67"/>
      <c r="F92" s="67"/>
      <c r="G92" s="67"/>
      <c r="H92" s="67"/>
      <c r="I92" s="67"/>
      <c r="J92" s="67"/>
      <c r="K92" s="67"/>
      <c r="L92" s="67"/>
      <c r="M92" s="67"/>
      <c r="N92" s="67"/>
      <c r="O92" s="67"/>
      <c r="P92" s="67"/>
      <c r="Q92" s="67"/>
      <c r="R92" s="67"/>
      <c r="S92" s="67"/>
      <c r="T92" s="67"/>
      <c r="U92" s="67"/>
      <c r="V92" s="67"/>
      <c r="W92" s="67"/>
      <c r="X92" s="310"/>
    </row>
    <row r="93" spans="1:24" x14ac:dyDescent="0.35">
      <c r="A93" s="311"/>
      <c r="B93" s="184">
        <v>400</v>
      </c>
      <c r="C93" s="349" t="s">
        <v>798</v>
      </c>
      <c r="D93" s="67"/>
      <c r="E93" s="67"/>
      <c r="F93" s="67"/>
      <c r="G93" s="67"/>
      <c r="H93" s="67"/>
      <c r="I93" s="67"/>
      <c r="J93" s="67"/>
      <c r="K93" s="67"/>
      <c r="L93" s="67"/>
      <c r="M93" s="67"/>
      <c r="N93" s="67"/>
      <c r="O93" s="67"/>
      <c r="P93" s="67"/>
      <c r="Q93" s="67"/>
      <c r="R93" s="67"/>
      <c r="S93" s="67"/>
      <c r="T93" s="67"/>
      <c r="U93" s="67"/>
      <c r="V93" s="67"/>
      <c r="W93" s="67"/>
      <c r="X93" s="310"/>
    </row>
    <row r="94" spans="1:24" x14ac:dyDescent="0.35">
      <c r="A94" s="311"/>
      <c r="B94" s="184">
        <v>1000</v>
      </c>
      <c r="C94" s="349" t="s">
        <v>729</v>
      </c>
      <c r="D94" s="67"/>
      <c r="E94" s="67"/>
      <c r="F94" s="67"/>
      <c r="G94" s="67"/>
      <c r="H94" s="67"/>
      <c r="I94" s="67"/>
      <c r="J94" s="67"/>
      <c r="K94" s="67"/>
      <c r="L94" s="67"/>
      <c r="M94" s="67"/>
      <c r="N94" s="67"/>
      <c r="O94" s="67"/>
      <c r="P94" s="67"/>
      <c r="Q94" s="67"/>
      <c r="R94" s="67"/>
      <c r="S94" s="67"/>
      <c r="T94" s="67"/>
      <c r="U94" s="67"/>
      <c r="V94" s="67"/>
      <c r="W94" s="67"/>
      <c r="X94" s="310"/>
    </row>
    <row r="95" spans="1:24" x14ac:dyDescent="0.35">
      <c r="A95" s="311"/>
      <c r="B95" s="184">
        <v>3412</v>
      </c>
      <c r="C95" s="349" t="s">
        <v>730</v>
      </c>
      <c r="D95" s="67"/>
      <c r="E95" s="67"/>
      <c r="F95" s="67"/>
      <c r="G95" s="67"/>
      <c r="H95" s="67"/>
      <c r="I95" s="67"/>
      <c r="J95" s="67"/>
      <c r="K95" s="67"/>
      <c r="L95" s="67"/>
      <c r="M95" s="67"/>
      <c r="N95" s="67"/>
      <c r="O95" s="67"/>
      <c r="P95" s="67"/>
      <c r="Q95" s="67"/>
      <c r="R95" s="67"/>
      <c r="S95" s="67"/>
      <c r="T95" s="67"/>
      <c r="U95" s="67"/>
      <c r="V95" s="67"/>
      <c r="W95" s="67"/>
      <c r="X95" s="310"/>
    </row>
    <row r="96" spans="1:24" ht="15" thickBot="1" x14ac:dyDescent="0.4">
      <c r="A96" s="311"/>
      <c r="B96" s="184">
        <v>29.3</v>
      </c>
      <c r="C96" s="349" t="s">
        <v>390</v>
      </c>
      <c r="D96" s="67"/>
      <c r="E96" s="67"/>
      <c r="F96" s="67"/>
      <c r="G96" s="67"/>
      <c r="H96" s="67"/>
      <c r="I96" s="67"/>
      <c r="J96" s="67"/>
      <c r="K96" s="67"/>
      <c r="L96" s="67"/>
      <c r="M96" s="67"/>
      <c r="N96" s="67"/>
      <c r="O96" s="67"/>
      <c r="P96" s="67"/>
      <c r="Q96" s="67"/>
      <c r="R96" s="67"/>
      <c r="S96" s="67"/>
      <c r="T96" s="67"/>
      <c r="U96" s="67"/>
      <c r="V96" s="67"/>
      <c r="W96" s="67"/>
      <c r="X96" s="310"/>
    </row>
    <row r="97" spans="1:24" x14ac:dyDescent="0.35">
      <c r="A97" s="118" t="s">
        <v>443</v>
      </c>
      <c r="B97" s="94">
        <v>20</v>
      </c>
      <c r="C97" s="94" t="s">
        <v>799</v>
      </c>
      <c r="D97" s="94"/>
      <c r="E97" s="94"/>
      <c r="F97" s="94"/>
      <c r="G97" s="94"/>
      <c r="H97" s="94"/>
      <c r="I97" s="94"/>
      <c r="J97" s="94"/>
      <c r="K97" s="94"/>
      <c r="L97" s="94"/>
      <c r="M97" s="94"/>
      <c r="N97" s="94"/>
      <c r="O97" s="94"/>
      <c r="P97" s="94"/>
      <c r="Q97" s="94"/>
      <c r="R97" s="94"/>
      <c r="S97" s="94"/>
      <c r="T97" s="94"/>
      <c r="U97" s="94"/>
      <c r="V97" s="94"/>
      <c r="W97" s="94"/>
      <c r="X97" s="95"/>
    </row>
    <row r="98" spans="1:24" ht="15" thickBot="1" x14ac:dyDescent="0.4">
      <c r="A98" s="111"/>
      <c r="B98" s="99"/>
      <c r="C98" s="99" t="s">
        <v>787</v>
      </c>
      <c r="D98" s="99"/>
      <c r="E98" s="99"/>
      <c r="F98" s="99"/>
      <c r="G98" s="99"/>
      <c r="H98" s="99"/>
      <c r="I98" s="99"/>
      <c r="J98" s="99"/>
      <c r="K98" s="99"/>
      <c r="L98" s="99"/>
      <c r="M98" s="99"/>
      <c r="N98" s="99"/>
      <c r="O98" s="99"/>
      <c r="P98" s="99"/>
      <c r="Q98" s="99"/>
      <c r="R98" s="99"/>
      <c r="S98" s="99"/>
      <c r="T98" s="99"/>
      <c r="U98" s="99"/>
      <c r="V98" s="99"/>
      <c r="W98" s="99"/>
      <c r="X98" s="100"/>
    </row>
    <row r="99" spans="1:24" x14ac:dyDescent="0.35">
      <c r="A99" s="118" t="s">
        <v>344</v>
      </c>
      <c r="B99" s="94"/>
      <c r="C99" s="94"/>
      <c r="D99" s="94"/>
      <c r="E99" s="94"/>
      <c r="F99" s="94"/>
      <c r="G99" s="94"/>
      <c r="H99" s="94"/>
      <c r="I99" s="94"/>
      <c r="J99" s="94"/>
      <c r="K99" s="94"/>
      <c r="L99" s="94"/>
      <c r="M99" s="94"/>
      <c r="N99" s="94"/>
      <c r="O99" s="94"/>
      <c r="P99" s="94"/>
      <c r="Q99" s="94"/>
      <c r="R99" s="94"/>
      <c r="S99" s="94"/>
      <c r="T99" s="94"/>
      <c r="U99" s="94"/>
      <c r="V99" s="94"/>
      <c r="W99" s="94"/>
      <c r="X99" s="95"/>
    </row>
    <row r="100" spans="1:24" ht="15" thickBot="1" x14ac:dyDescent="0.4">
      <c r="A100" s="111"/>
      <c r="B100" s="99"/>
      <c r="C100" s="99"/>
      <c r="D100" s="99"/>
      <c r="E100" s="99"/>
      <c r="F100" s="99"/>
      <c r="G100" s="99"/>
      <c r="H100" s="99"/>
      <c r="I100" s="99"/>
      <c r="J100" s="99"/>
      <c r="K100" s="99"/>
      <c r="L100" s="99"/>
      <c r="M100" s="99"/>
      <c r="N100" s="99"/>
      <c r="O100" s="99"/>
      <c r="P100" s="99"/>
      <c r="Q100" s="99"/>
      <c r="R100" s="99"/>
      <c r="S100" s="99"/>
      <c r="T100" s="99"/>
      <c r="U100" s="99"/>
      <c r="V100" s="99"/>
      <c r="W100" s="99"/>
      <c r="X100" s="100"/>
    </row>
    <row r="104" spans="1:24" ht="15" thickBot="1" x14ac:dyDescent="0.4"/>
    <row r="105" spans="1:24" ht="15" thickBot="1" x14ac:dyDescent="0.4">
      <c r="A105" s="122" t="s">
        <v>446</v>
      </c>
      <c r="B105" s="123"/>
      <c r="C105" s="78"/>
      <c r="D105" s="78"/>
      <c r="E105" s="78"/>
      <c r="F105" s="78"/>
      <c r="G105" s="78"/>
      <c r="H105" s="78"/>
      <c r="I105" s="79"/>
    </row>
    <row r="106" spans="1:24" x14ac:dyDescent="0.35">
      <c r="A106" s="124"/>
      <c r="B106" s="83"/>
      <c r="C106" s="83"/>
      <c r="D106" s="83"/>
      <c r="E106" s="83"/>
      <c r="F106" s="83"/>
      <c r="G106" s="83"/>
      <c r="H106" s="83"/>
      <c r="I106" s="125"/>
    </row>
    <row r="107" spans="1:24" x14ac:dyDescent="0.35">
      <c r="A107" s="124"/>
      <c r="B107" s="83"/>
      <c r="C107" s="83"/>
      <c r="D107" s="83"/>
      <c r="E107" s="83"/>
      <c r="F107" s="83"/>
      <c r="G107" s="83"/>
      <c r="H107" s="83"/>
      <c r="I107" s="125"/>
    </row>
    <row r="108" spans="1:24" ht="26" x14ac:dyDescent="0.35">
      <c r="A108" s="350" t="s">
        <v>693</v>
      </c>
      <c r="B108" s="351" t="s">
        <v>691</v>
      </c>
      <c r="C108" s="352" t="s">
        <v>800</v>
      </c>
      <c r="D108" s="353" t="s">
        <v>801</v>
      </c>
      <c r="E108" s="353" t="s">
        <v>802</v>
      </c>
      <c r="F108" s="83"/>
      <c r="G108" s="83"/>
      <c r="H108" s="83"/>
      <c r="I108" s="125"/>
    </row>
    <row r="109" spans="1:24" x14ac:dyDescent="0.35">
      <c r="A109" s="2396" t="s">
        <v>737</v>
      </c>
      <c r="B109" s="354" t="s">
        <v>803</v>
      </c>
      <c r="C109" s="354">
        <v>10</v>
      </c>
      <c r="D109" s="354">
        <v>6.8</v>
      </c>
      <c r="E109" s="354">
        <v>2</v>
      </c>
      <c r="F109" s="83"/>
      <c r="G109" s="83"/>
      <c r="H109" s="83"/>
      <c r="I109" s="125"/>
    </row>
    <row r="110" spans="1:24" x14ac:dyDescent="0.35">
      <c r="A110" s="2397"/>
      <c r="B110" s="354" t="s">
        <v>804</v>
      </c>
      <c r="C110" s="354">
        <v>13</v>
      </c>
      <c r="D110" s="354">
        <v>7.7</v>
      </c>
      <c r="E110" s="354">
        <v>2.2599999999999998</v>
      </c>
      <c r="F110" s="83"/>
      <c r="G110" s="83"/>
      <c r="H110" s="83"/>
      <c r="I110" s="125"/>
    </row>
    <row r="111" spans="1:24" x14ac:dyDescent="0.35">
      <c r="A111" s="2397"/>
      <c r="B111" s="354" t="s">
        <v>736</v>
      </c>
      <c r="C111" s="354">
        <f>AVERAGE(C109:C110)</f>
        <v>11.5</v>
      </c>
      <c r="D111" s="354">
        <f t="shared" ref="D111:E111" si="1">AVERAGE(D109:D110)</f>
        <v>7.25</v>
      </c>
      <c r="E111" s="354">
        <f t="shared" si="1"/>
        <v>2.13</v>
      </c>
      <c r="F111" s="83"/>
      <c r="G111" s="83"/>
      <c r="H111" s="83"/>
      <c r="I111" s="125"/>
    </row>
    <row r="112" spans="1:24" x14ac:dyDescent="0.35">
      <c r="A112" s="2398"/>
      <c r="B112" s="354" t="s">
        <v>805</v>
      </c>
      <c r="C112" s="354">
        <v>14</v>
      </c>
      <c r="D112" s="354">
        <v>8.1999999999999993</v>
      </c>
      <c r="E112" s="354">
        <v>2.4</v>
      </c>
      <c r="F112" s="83"/>
      <c r="G112" s="83"/>
      <c r="H112" s="83"/>
      <c r="I112" s="125"/>
    </row>
    <row r="113" spans="1:9" x14ac:dyDescent="0.35">
      <c r="A113" s="354" t="s">
        <v>806</v>
      </c>
      <c r="B113" s="62"/>
      <c r="C113" s="62"/>
      <c r="D113" s="354" t="s">
        <v>357</v>
      </c>
      <c r="E113" s="354">
        <v>1</v>
      </c>
      <c r="F113" s="83"/>
      <c r="G113" s="83"/>
      <c r="H113" s="83"/>
      <c r="I113" s="125"/>
    </row>
    <row r="114" spans="1:9" x14ac:dyDescent="0.35">
      <c r="A114" s="124"/>
      <c r="B114" s="83"/>
      <c r="C114" s="83"/>
      <c r="D114" s="83"/>
      <c r="E114" s="83"/>
      <c r="F114" s="83"/>
      <c r="G114" s="83"/>
      <c r="H114" s="83"/>
      <c r="I114" s="125"/>
    </row>
    <row r="115" spans="1:9" ht="36.5" x14ac:dyDescent="0.35">
      <c r="A115" s="355" t="s">
        <v>807</v>
      </c>
      <c r="B115" s="355"/>
      <c r="C115" s="356" t="s">
        <v>808</v>
      </c>
      <c r="D115" s="356" t="s">
        <v>809</v>
      </c>
      <c r="E115" s="356" t="s">
        <v>810</v>
      </c>
      <c r="F115" s="356" t="s">
        <v>811</v>
      </c>
      <c r="G115" s="83"/>
      <c r="H115" s="83"/>
      <c r="I115" s="125"/>
    </row>
    <row r="116" spans="1:9" x14ac:dyDescent="0.35">
      <c r="A116" s="355"/>
      <c r="B116" s="355" t="s">
        <v>812</v>
      </c>
      <c r="C116" s="357">
        <v>4800</v>
      </c>
      <c r="D116" s="357">
        <v>4500</v>
      </c>
      <c r="E116" s="357">
        <v>1.29</v>
      </c>
      <c r="F116" s="357">
        <v>0.72</v>
      </c>
      <c r="G116" s="83"/>
      <c r="H116" s="83"/>
      <c r="I116" s="125"/>
    </row>
    <row r="117" spans="1:9" x14ac:dyDescent="0.35">
      <c r="A117" s="355"/>
      <c r="B117" s="355" t="s">
        <v>813</v>
      </c>
      <c r="C117" s="357">
        <v>4600</v>
      </c>
      <c r="D117" s="357">
        <v>4500</v>
      </c>
      <c r="E117" s="357">
        <v>1.39</v>
      </c>
      <c r="F117" s="357">
        <v>0.78</v>
      </c>
      <c r="G117" s="83"/>
      <c r="H117" s="83"/>
      <c r="I117" s="125"/>
    </row>
    <row r="118" spans="1:9" x14ac:dyDescent="0.35">
      <c r="A118" s="124"/>
      <c r="B118" s="83"/>
      <c r="C118" s="83"/>
      <c r="D118" s="83"/>
      <c r="E118" s="83"/>
      <c r="F118" s="83"/>
      <c r="G118" s="83"/>
      <c r="H118" s="83"/>
      <c r="I118" s="125"/>
    </row>
    <row r="119" spans="1:9" x14ac:dyDescent="0.35">
      <c r="A119" s="124"/>
      <c r="B119" s="83"/>
      <c r="C119" s="83"/>
      <c r="D119" s="83"/>
      <c r="E119" s="83"/>
      <c r="F119" s="83"/>
      <c r="G119" s="83"/>
      <c r="H119" s="83"/>
      <c r="I119" s="125"/>
    </row>
    <row r="120" spans="1:9" x14ac:dyDescent="0.35">
      <c r="A120" s="124"/>
      <c r="B120" s="83"/>
      <c r="C120" s="83"/>
      <c r="D120" s="83"/>
      <c r="E120" s="83"/>
      <c r="F120" s="83"/>
      <c r="G120" s="83"/>
      <c r="H120" s="83"/>
      <c r="I120" s="125"/>
    </row>
    <row r="121" spans="1:9" x14ac:dyDescent="0.35">
      <c r="A121" s="2392" t="s">
        <v>814</v>
      </c>
      <c r="B121" s="2391"/>
      <c r="C121" s="83"/>
      <c r="D121" s="2391" t="s">
        <v>722</v>
      </c>
      <c r="E121" s="2391"/>
      <c r="F121" s="83"/>
      <c r="G121" s="2391" t="s">
        <v>721</v>
      </c>
      <c r="H121" s="2391"/>
      <c r="I121" s="125"/>
    </row>
    <row r="122" spans="1:9" x14ac:dyDescent="0.35">
      <c r="A122" s="358" t="s">
        <v>815</v>
      </c>
      <c r="B122" s="62"/>
      <c r="C122" s="83"/>
      <c r="D122" s="62" t="s">
        <v>740</v>
      </c>
      <c r="E122" s="62">
        <v>0.4</v>
      </c>
      <c r="F122" s="83"/>
      <c r="G122" s="62" t="s">
        <v>816</v>
      </c>
      <c r="H122" s="62"/>
      <c r="I122" s="125"/>
    </row>
    <row r="123" spans="1:9" x14ac:dyDescent="0.35">
      <c r="A123" s="358" t="s">
        <v>734</v>
      </c>
      <c r="B123" s="62"/>
      <c r="C123" s="83"/>
      <c r="D123" s="62" t="s">
        <v>739</v>
      </c>
      <c r="E123" s="62">
        <v>1</v>
      </c>
      <c r="F123" s="83"/>
      <c r="G123" s="359" t="s">
        <v>817</v>
      </c>
      <c r="H123" s="62"/>
      <c r="I123" s="125"/>
    </row>
    <row r="124" spans="1:9" x14ac:dyDescent="0.35">
      <c r="A124" s="360" t="b">
        <v>1</v>
      </c>
      <c r="B124" s="62"/>
      <c r="C124" s="83"/>
      <c r="D124" s="62" t="s">
        <v>818</v>
      </c>
      <c r="E124" s="62">
        <f>+AVERAGE(E122:E123)</f>
        <v>0.7</v>
      </c>
      <c r="F124" s="83"/>
      <c r="G124" s="62">
        <f>+F116*AW4</f>
        <v>0.59759999999999991</v>
      </c>
      <c r="H124" s="62"/>
      <c r="I124" s="125"/>
    </row>
    <row r="125" spans="1:9" x14ac:dyDescent="0.35">
      <c r="A125" s="360" t="b">
        <v>0</v>
      </c>
      <c r="B125" s="62"/>
      <c r="C125" s="83"/>
      <c r="F125" s="83"/>
      <c r="G125" s="83"/>
      <c r="H125" s="83"/>
      <c r="I125" s="125"/>
    </row>
    <row r="126" spans="1:9" x14ac:dyDescent="0.35">
      <c r="A126" s="360" t="s">
        <v>735</v>
      </c>
      <c r="B126" s="62"/>
      <c r="C126" s="83"/>
      <c r="D126" s="2391" t="s">
        <v>723</v>
      </c>
      <c r="E126" s="2391"/>
      <c r="F126" s="83"/>
      <c r="G126" s="2391" t="s">
        <v>715</v>
      </c>
      <c r="H126" s="2391"/>
      <c r="I126" s="125"/>
    </row>
    <row r="127" spans="1:9" x14ac:dyDescent="0.35">
      <c r="A127" s="360" t="s">
        <v>819</v>
      </c>
      <c r="B127" s="62"/>
      <c r="C127" s="83"/>
      <c r="D127" s="62" t="s">
        <v>740</v>
      </c>
      <c r="E127" s="62">
        <v>0</v>
      </c>
      <c r="F127" s="83"/>
      <c r="G127" s="62" t="s">
        <v>468</v>
      </c>
      <c r="H127" s="361">
        <v>0.7</v>
      </c>
      <c r="I127" s="125"/>
    </row>
    <row r="128" spans="1:9" x14ac:dyDescent="0.35">
      <c r="A128" s="124"/>
      <c r="B128" s="83"/>
      <c r="C128" s="83"/>
      <c r="D128" s="62" t="s">
        <v>739</v>
      </c>
      <c r="E128" s="62">
        <v>1</v>
      </c>
      <c r="F128" s="83"/>
      <c r="G128" s="83"/>
      <c r="H128" s="83"/>
      <c r="I128" s="125"/>
    </row>
    <row r="129" spans="1:9" x14ac:dyDescent="0.35">
      <c r="A129" s="2392" t="s">
        <v>820</v>
      </c>
      <c r="B129" s="2391"/>
      <c r="C129" s="83"/>
      <c r="D129" s="62" t="s">
        <v>818</v>
      </c>
      <c r="E129" s="62">
        <f>+AVERAGE(E127:E128)</f>
        <v>0.5</v>
      </c>
      <c r="F129" s="83"/>
      <c r="G129" s="83"/>
      <c r="H129" s="83"/>
      <c r="I129" s="125"/>
    </row>
    <row r="130" spans="1:9" x14ac:dyDescent="0.35">
      <c r="A130" s="358" t="s">
        <v>733</v>
      </c>
      <c r="B130" s="62"/>
      <c r="C130" s="83"/>
      <c r="D130" s="83"/>
      <c r="E130" s="83"/>
      <c r="F130" s="83"/>
      <c r="G130" s="83"/>
      <c r="H130" s="83"/>
      <c r="I130" s="125"/>
    </row>
    <row r="131" spans="1:9" x14ac:dyDescent="0.35">
      <c r="A131" s="358" t="s">
        <v>821</v>
      </c>
      <c r="B131" s="62"/>
      <c r="C131" s="83"/>
      <c r="D131" s="83"/>
      <c r="E131" s="83"/>
      <c r="F131" s="83"/>
      <c r="G131" s="83"/>
      <c r="H131" s="83"/>
      <c r="I131" s="125"/>
    </row>
    <row r="132" spans="1:9" x14ac:dyDescent="0.35">
      <c r="A132" s="360" t="s">
        <v>822</v>
      </c>
      <c r="B132" s="62"/>
      <c r="C132" s="83"/>
      <c r="D132" s="83"/>
      <c r="E132" s="83"/>
      <c r="F132" s="83"/>
      <c r="G132" s="83"/>
      <c r="H132" s="83"/>
      <c r="I132" s="125"/>
    </row>
    <row r="133" spans="1:9" x14ac:dyDescent="0.35">
      <c r="A133" s="124"/>
      <c r="B133" s="83"/>
      <c r="C133" s="83"/>
      <c r="D133" s="83"/>
      <c r="E133" s="83"/>
      <c r="F133" s="83"/>
      <c r="G133" s="83"/>
      <c r="H133" s="83"/>
      <c r="I133" s="125"/>
    </row>
    <row r="134" spans="1:9" x14ac:dyDescent="0.35">
      <c r="A134" s="362" t="s">
        <v>370</v>
      </c>
      <c r="B134" s="363" t="s">
        <v>823</v>
      </c>
      <c r="C134" s="221" t="s">
        <v>823</v>
      </c>
      <c r="D134" s="83"/>
      <c r="E134" s="83"/>
      <c r="F134" s="83"/>
      <c r="G134" s="83"/>
      <c r="H134" s="83"/>
      <c r="I134" s="125"/>
    </row>
    <row r="135" spans="1:9" x14ac:dyDescent="0.35">
      <c r="A135" s="364"/>
      <c r="B135" s="363" t="s">
        <v>400</v>
      </c>
      <c r="C135" s="365" t="s">
        <v>466</v>
      </c>
      <c r="D135" s="221" t="s">
        <v>824</v>
      </c>
      <c r="E135" s="83"/>
      <c r="F135" s="83"/>
      <c r="G135" s="83"/>
      <c r="H135" s="83"/>
      <c r="I135" s="125"/>
    </row>
    <row r="136" spans="1:9" x14ac:dyDescent="0.35">
      <c r="A136" s="366" t="s">
        <v>457</v>
      </c>
      <c r="B136" s="126">
        <v>512</v>
      </c>
      <c r="C136" s="367">
        <v>467</v>
      </c>
      <c r="D136" s="133">
        <v>1969</v>
      </c>
      <c r="E136" s="83"/>
      <c r="F136" s="83"/>
      <c r="G136" s="83"/>
      <c r="H136" s="83"/>
      <c r="I136" s="125"/>
    </row>
    <row r="137" spans="1:9" x14ac:dyDescent="0.35">
      <c r="A137" s="366" t="s">
        <v>459</v>
      </c>
      <c r="B137" s="126">
        <v>570</v>
      </c>
      <c r="C137" s="367">
        <v>506</v>
      </c>
      <c r="D137" s="133">
        <v>1840</v>
      </c>
      <c r="E137" s="83"/>
      <c r="F137" s="83"/>
      <c r="G137" s="83"/>
      <c r="H137" s="83"/>
      <c r="I137" s="125"/>
    </row>
    <row r="138" spans="1:9" x14ac:dyDescent="0.35">
      <c r="A138" s="366" t="s">
        <v>461</v>
      </c>
      <c r="B138" s="126">
        <v>730</v>
      </c>
      <c r="C138" s="367">
        <v>663</v>
      </c>
      <c r="D138" s="133">
        <v>1754</v>
      </c>
      <c r="E138" s="83"/>
      <c r="F138" s="83"/>
      <c r="G138" s="83"/>
      <c r="H138" s="83"/>
      <c r="I138" s="125"/>
    </row>
    <row r="139" spans="1:9" x14ac:dyDescent="0.35">
      <c r="A139" s="366" t="s">
        <v>463</v>
      </c>
      <c r="B139" s="133">
        <v>1035</v>
      </c>
      <c r="C139" s="367">
        <v>940</v>
      </c>
      <c r="D139" s="133">
        <v>1266</v>
      </c>
      <c r="E139" s="83"/>
      <c r="F139" s="83"/>
      <c r="G139" s="83"/>
      <c r="H139" s="83"/>
      <c r="I139" s="125"/>
    </row>
    <row r="140" spans="1:9" x14ac:dyDescent="0.35">
      <c r="A140" s="366" t="s">
        <v>464</v>
      </c>
      <c r="B140" s="126">
        <v>903</v>
      </c>
      <c r="C140" s="367">
        <v>820</v>
      </c>
      <c r="D140" s="133">
        <v>1288</v>
      </c>
      <c r="E140" s="83"/>
      <c r="F140" s="83"/>
      <c r="G140" s="83"/>
      <c r="H140" s="83"/>
      <c r="I140" s="125"/>
    </row>
    <row r="141" spans="1:9" x14ac:dyDescent="0.35">
      <c r="A141" s="366" t="s">
        <v>399</v>
      </c>
      <c r="B141" s="126">
        <v>629</v>
      </c>
      <c r="C141" s="367">
        <v>564</v>
      </c>
      <c r="D141" s="133">
        <v>1821</v>
      </c>
      <c r="E141" s="83"/>
      <c r="F141" s="83"/>
      <c r="G141" s="83"/>
      <c r="H141" s="83"/>
      <c r="I141" s="125"/>
    </row>
    <row r="142" spans="1:9" x14ac:dyDescent="0.35">
      <c r="A142" s="366" t="s">
        <v>738</v>
      </c>
      <c r="B142" s="126">
        <f>B136*$C$145+B137*$C$146+B138*$C$147</f>
        <v>568.6</v>
      </c>
      <c r="C142" s="367">
        <f>C136*$C$145+C137*$C$146+C138*$C$147</f>
        <v>509.99999999999994</v>
      </c>
      <c r="D142" s="133">
        <f>D136*$C$145+D137*$C$146+D138*$C$147</f>
        <v>1870.1</v>
      </c>
      <c r="E142" s="83"/>
      <c r="F142" s="83"/>
      <c r="G142" s="83"/>
      <c r="H142" s="83"/>
      <c r="I142" s="125"/>
    </row>
    <row r="143" spans="1:9" x14ac:dyDescent="0.35">
      <c r="A143" s="124"/>
      <c r="B143" s="83"/>
      <c r="C143" s="83"/>
      <c r="D143" s="83"/>
      <c r="E143" s="83"/>
      <c r="F143" s="83"/>
      <c r="G143" s="83"/>
      <c r="H143" s="83"/>
      <c r="I143" s="125"/>
    </row>
    <row r="144" spans="1:9" x14ac:dyDescent="0.35">
      <c r="A144" s="2307" t="s">
        <v>825</v>
      </c>
      <c r="B144" s="2311"/>
      <c r="C144" s="2311"/>
      <c r="D144" s="83"/>
      <c r="E144" s="83"/>
      <c r="F144" s="83"/>
      <c r="G144" s="83"/>
      <c r="H144" s="83"/>
      <c r="I144" s="125"/>
    </row>
    <row r="145" spans="1:9" x14ac:dyDescent="0.35">
      <c r="A145" s="360" t="s">
        <v>458</v>
      </c>
      <c r="B145" s="62" t="s">
        <v>826</v>
      </c>
      <c r="C145" s="62">
        <v>0.3</v>
      </c>
      <c r="D145" s="83"/>
      <c r="E145" s="83"/>
      <c r="F145" s="83"/>
      <c r="G145" s="83"/>
      <c r="H145" s="83"/>
      <c r="I145" s="125"/>
    </row>
    <row r="146" spans="1:9" x14ac:dyDescent="0.35">
      <c r="A146" s="360" t="s">
        <v>460</v>
      </c>
      <c r="B146" s="62" t="s">
        <v>827</v>
      </c>
      <c r="C146" s="62">
        <v>0.6</v>
      </c>
      <c r="D146" s="83"/>
      <c r="E146" s="83"/>
      <c r="F146" s="83"/>
      <c r="G146" s="83"/>
      <c r="H146" s="83"/>
      <c r="I146" s="125"/>
    </row>
    <row r="147" spans="1:9" x14ac:dyDescent="0.35">
      <c r="A147" s="360" t="s">
        <v>462</v>
      </c>
      <c r="B147" s="62" t="s">
        <v>828</v>
      </c>
      <c r="C147" s="62">
        <v>0.1</v>
      </c>
      <c r="D147" s="83"/>
      <c r="E147" s="83"/>
      <c r="F147" s="83"/>
      <c r="G147" s="83"/>
      <c r="H147" s="83"/>
      <c r="I147" s="125"/>
    </row>
    <row r="148" spans="1:9" x14ac:dyDescent="0.35">
      <c r="A148" s="124"/>
      <c r="B148" s="83"/>
      <c r="C148" s="83"/>
      <c r="D148" s="83"/>
      <c r="E148" s="83"/>
      <c r="F148" s="83"/>
      <c r="G148" s="83"/>
      <c r="H148" s="83"/>
      <c r="I148" s="125"/>
    </row>
    <row r="149" spans="1:9" x14ac:dyDescent="0.35">
      <c r="A149" s="124"/>
      <c r="B149" s="83"/>
      <c r="C149" s="83"/>
      <c r="D149" s="83"/>
      <c r="E149" s="83"/>
      <c r="F149" s="83"/>
      <c r="G149" s="83"/>
      <c r="H149" s="83"/>
      <c r="I149" s="125"/>
    </row>
    <row r="150" spans="1:9" ht="15" thickBot="1" x14ac:dyDescent="0.4">
      <c r="A150" s="321"/>
      <c r="B150" s="201"/>
      <c r="C150" s="201"/>
      <c r="D150" s="201"/>
      <c r="E150" s="201"/>
      <c r="F150" s="201"/>
      <c r="G150" s="201"/>
      <c r="H150" s="201"/>
      <c r="I150" s="203"/>
    </row>
  </sheetData>
  <customSheetViews>
    <customSheetView guid="{11DE45F5-F478-4ED6-8DFF-12002C22A637}" scale="55" showPageBreaks="1" fitToPage="1" view="pageBreakPreview">
      <pageMargins left="0.7" right="0.7" top="0.75" bottom="0.75" header="0.3" footer="0.3"/>
      <pageSetup scale="19" orientation="landscape" verticalDpi="1200" r:id="rId1"/>
    </customSheetView>
    <customSheetView guid="{ECD6FE6A-9548-414E-B8AA-6998703C57E0}" scale="55" showPageBreaks="1" fitToPage="1" view="pageBreakPreview">
      <pageMargins left="0.7" right="0.7" top="0.75" bottom="0.75" header="0.3" footer="0.3"/>
      <pageSetup scale="19" orientation="landscape" verticalDpi="1200" r:id="rId2"/>
    </customSheetView>
  </customSheetViews>
  <mergeCells count="11">
    <mergeCell ref="D126:E126"/>
    <mergeCell ref="G126:H126"/>
    <mergeCell ref="A129:B129"/>
    <mergeCell ref="A144:C144"/>
    <mergeCell ref="X2:BH2"/>
    <mergeCell ref="R2:T2"/>
    <mergeCell ref="U2:W2"/>
    <mergeCell ref="A109:A112"/>
    <mergeCell ref="A121:B121"/>
    <mergeCell ref="D121:E121"/>
    <mergeCell ref="G121:H121"/>
  </mergeCells>
  <dataValidations disablePrompts="1" count="9">
    <dataValidation type="list" allowBlank="1" showInputMessage="1" showErrorMessage="1" sqref="Q4" xr:uid="{00000000-0002-0000-2200-000000000000}">
      <formula1>$D$122:$D$124</formula1>
    </dataValidation>
    <dataValidation type="list" allowBlank="1" showInputMessage="1" showErrorMessage="1" sqref="P4" xr:uid="{00000000-0002-0000-2200-000001000000}">
      <formula1>$A$136:$A$142</formula1>
    </dataValidation>
    <dataValidation type="list" allowBlank="1" showInputMessage="1" showErrorMessage="1" sqref="K4" xr:uid="{00000000-0002-0000-2200-000002000000}">
      <formula1>$B$109:$B$111</formula1>
    </dataValidation>
    <dataValidation type="list" allowBlank="1" showInputMessage="1" showErrorMessage="1" sqref="D4" xr:uid="{00000000-0002-0000-2200-000003000000}">
      <formula1>MeasureType</formula1>
    </dataValidation>
    <dataValidation type="list" allowBlank="1" showInputMessage="1" showErrorMessage="1" sqref="M4" xr:uid="{00000000-0002-0000-2200-000004000000}">
      <formula1>DISl5</formula1>
    </dataValidation>
    <dataValidation type="list" allowBlank="1" showInputMessage="1" showErrorMessage="1" sqref="L4" xr:uid="{00000000-0002-0000-2200-000005000000}">
      <formula1>TrFl1</formula1>
    </dataValidation>
    <dataValidation type="list" allowBlank="1" showInputMessage="1" showErrorMessage="1" sqref="J4" xr:uid="{00000000-0002-0000-2200-000006000000}">
      <formula1>DISl3</formula1>
    </dataValidation>
    <dataValidation type="list" allowBlank="1" showInputMessage="1" showErrorMessage="1" sqref="I4" xr:uid="{00000000-0002-0000-2200-000007000000}">
      <formula1>DISl2</formula1>
    </dataValidation>
    <dataValidation type="list" allowBlank="1" showInputMessage="1" showErrorMessage="1" sqref="H4" xr:uid="{00000000-0002-0000-2200-000008000000}">
      <formula1>DISl1</formula1>
    </dataValidation>
  </dataValidations>
  <pageMargins left="0.7" right="0.7" top="0.75" bottom="0.75" header="0.3" footer="0.3"/>
  <pageSetup scale="19" orientation="landscape" verticalDpi="1200" r:id="rId3"/>
  <legacy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59999389629810485"/>
    <pageSetUpPr fitToPage="1"/>
  </sheetPr>
  <dimension ref="A1:Y57"/>
  <sheetViews>
    <sheetView view="pageBreakPreview" topLeftCell="D1" zoomScale="85" zoomScaleNormal="100" zoomScaleSheetLayoutView="85" workbookViewId="0">
      <selection activeCell="U29" sqref="U29"/>
    </sheetView>
  </sheetViews>
  <sheetFormatPr defaultRowHeight="14.5" x14ac:dyDescent="0.35"/>
  <cols>
    <col min="1" max="1" width="23" customWidth="1"/>
    <col min="2" max="2" width="42.81640625" customWidth="1"/>
    <col min="3" max="3" width="29.1796875" customWidth="1"/>
    <col min="4" max="4" width="20.1796875" customWidth="1"/>
    <col min="5" max="5" width="12.453125" customWidth="1"/>
    <col min="6" max="6" width="14.453125" customWidth="1"/>
    <col min="7" max="7" width="14.1796875" customWidth="1"/>
    <col min="8" max="8" width="11.54296875" customWidth="1"/>
    <col min="9" max="9" width="11" customWidth="1"/>
    <col min="11" max="11" width="8.54296875" bestFit="1" customWidth="1"/>
    <col min="12" max="13" width="12.453125" customWidth="1"/>
    <col min="14" max="14" width="11.1796875" bestFit="1" customWidth="1"/>
    <col min="15" max="15" width="11.54296875" bestFit="1" customWidth="1"/>
    <col min="16" max="16" width="9.54296875" bestFit="1" customWidth="1"/>
    <col min="17" max="17" width="10" customWidth="1"/>
    <col min="18" max="18" width="11.7265625" customWidth="1"/>
    <col min="19" max="19" width="10.81640625" customWidth="1"/>
    <col min="22" max="22" width="21" bestFit="1" customWidth="1"/>
    <col min="23" max="23" width="11.54296875" bestFit="1" customWidth="1"/>
    <col min="31" max="31" width="14.453125" customWidth="1"/>
  </cols>
  <sheetData>
    <row r="1" spans="1:25" x14ac:dyDescent="0.35">
      <c r="A1" s="1145" t="s">
        <v>330</v>
      </c>
      <c r="B1" s="1143" t="s">
        <v>2357</v>
      </c>
      <c r="C1" s="1143"/>
      <c r="D1" s="1143"/>
      <c r="E1" s="1143"/>
      <c r="F1" s="1143"/>
      <c r="G1" s="1143"/>
      <c r="H1" s="1143"/>
      <c r="I1" s="1143"/>
      <c r="J1" s="1143"/>
      <c r="K1" s="1143"/>
      <c r="L1" s="1235"/>
      <c r="M1" s="1235"/>
      <c r="N1" s="2216" t="s">
        <v>335</v>
      </c>
      <c r="O1" s="2217"/>
      <c r="P1" s="2217"/>
      <c r="Q1" s="2216" t="s">
        <v>336</v>
      </c>
      <c r="R1" s="2217"/>
      <c r="S1" s="2217"/>
      <c r="T1" s="2408" t="s">
        <v>337</v>
      </c>
      <c r="U1" s="2221"/>
      <c r="V1" s="2221"/>
      <c r="W1" s="2221"/>
    </row>
    <row r="2" spans="1:25" ht="43.5" x14ac:dyDescent="0.35">
      <c r="A2" s="1145" t="s">
        <v>338</v>
      </c>
      <c r="B2" s="1145" t="s">
        <v>1</v>
      </c>
      <c r="C2" s="1129" t="s">
        <v>339</v>
      </c>
      <c r="D2" s="1129" t="s">
        <v>340</v>
      </c>
      <c r="E2" s="1128" t="s">
        <v>343</v>
      </c>
      <c r="F2" s="1128" t="s">
        <v>344</v>
      </c>
      <c r="G2" s="1145" t="s">
        <v>345</v>
      </c>
      <c r="H2" s="1128" t="s">
        <v>342</v>
      </c>
      <c r="I2" s="1128" t="s">
        <v>2358</v>
      </c>
      <c r="J2" s="1128" t="s">
        <v>370</v>
      </c>
      <c r="K2" s="1128" t="s">
        <v>505</v>
      </c>
      <c r="L2" s="1128" t="s">
        <v>372</v>
      </c>
      <c r="M2" s="1128" t="s">
        <v>346</v>
      </c>
      <c r="N2" s="1146" t="s">
        <v>347</v>
      </c>
      <c r="O2" s="1146" t="s">
        <v>348</v>
      </c>
      <c r="P2" s="1146" t="s">
        <v>349</v>
      </c>
      <c r="Q2" s="1146" t="s">
        <v>347</v>
      </c>
      <c r="R2" s="1146" t="s">
        <v>348</v>
      </c>
      <c r="S2" s="1147" t="s">
        <v>349</v>
      </c>
      <c r="T2" s="1919" t="s">
        <v>1461</v>
      </c>
      <c r="U2" s="1248" t="s">
        <v>507</v>
      </c>
      <c r="V2" s="1248" t="s">
        <v>508</v>
      </c>
      <c r="W2" s="1922" t="s">
        <v>3410</v>
      </c>
      <c r="X2" s="24"/>
      <c r="Y2" s="24"/>
    </row>
    <row r="3" spans="1:25" ht="29" x14ac:dyDescent="0.35">
      <c r="A3" s="1142" t="s">
        <v>2361</v>
      </c>
      <c r="B3" s="1142" t="str">
        <f t="shared" ref="B3" si="0">$B$1&amp;" "&amp;L3&amp;" "&amp;I3&amp;" - "&amp;K3</f>
        <v>Gas High Efficiency Boiler Single-Family AFUE 95% - June 2013 onwards</v>
      </c>
      <c r="C3" s="1142" t="s">
        <v>249</v>
      </c>
      <c r="D3" s="1133" t="s">
        <v>1464</v>
      </c>
      <c r="E3" s="1151">
        <f>+$B$21</f>
        <v>25</v>
      </c>
      <c r="F3" s="1152"/>
      <c r="G3" s="1137"/>
      <c r="H3" s="135" t="s">
        <v>356</v>
      </c>
      <c r="I3" s="1148" t="s">
        <v>511</v>
      </c>
      <c r="J3" s="1150" t="s">
        <v>459</v>
      </c>
      <c r="K3" s="1150" t="s">
        <v>2360</v>
      </c>
      <c r="L3" s="1150" t="s">
        <v>355</v>
      </c>
      <c r="M3" s="1150"/>
      <c r="N3" s="1154"/>
      <c r="O3" s="1155"/>
      <c r="P3" s="1895">
        <f>(T3*W3*(V3/U3-1))/100000</f>
        <v>199.36252097560964</v>
      </c>
      <c r="Q3" s="1154"/>
      <c r="R3" s="1251"/>
      <c r="S3" s="1921">
        <f t="shared" ref="S3" si="1">P3*E3</f>
        <v>4984.0630243902415</v>
      </c>
      <c r="T3" s="1920">
        <f>VLOOKUP(J3,$A$37:$B$42,2,FALSE)</f>
        <v>976</v>
      </c>
      <c r="U3" s="75">
        <f>+$B$17</f>
        <v>0.82</v>
      </c>
      <c r="V3" s="324">
        <f>VLOOKUP(I3,$A$31:$D$33,4,FALSE)</f>
        <v>0.95</v>
      </c>
      <c r="W3" s="1923">
        <v>128844</v>
      </c>
      <c r="X3" s="24"/>
      <c r="Y3" s="807"/>
    </row>
    <row r="4" spans="1:25" x14ac:dyDescent="0.35">
      <c r="A4" s="1142"/>
      <c r="B4" s="1142"/>
      <c r="C4" s="1142"/>
      <c r="D4" s="1142"/>
      <c r="E4" s="1142"/>
      <c r="F4" s="1142"/>
      <c r="G4" s="1142"/>
      <c r="H4" s="1142"/>
      <c r="I4" s="1142"/>
      <c r="J4" s="1142"/>
      <c r="K4" s="1142"/>
      <c r="L4" s="1142"/>
      <c r="M4" s="1142"/>
      <c r="N4" s="1142"/>
      <c r="O4" s="1142"/>
      <c r="P4" s="1142"/>
      <c r="Q4" s="1142"/>
      <c r="R4" s="1142"/>
      <c r="S4" s="1142"/>
    </row>
    <row r="5" spans="1:25" ht="15" thickBot="1" x14ac:dyDescent="0.4"/>
    <row r="6" spans="1:25" ht="15" thickBot="1" x14ac:dyDescent="0.4">
      <c r="A6" s="76" t="s">
        <v>408</v>
      </c>
      <c r="B6" s="77"/>
      <c r="C6" s="78"/>
      <c r="D6" s="78"/>
      <c r="E6" s="79"/>
    </row>
    <row r="7" spans="1:25" ht="15" thickBot="1" x14ac:dyDescent="0.4">
      <c r="A7" s="1916" t="s">
        <v>3415</v>
      </c>
      <c r="B7" s="1917"/>
      <c r="C7" s="1917"/>
      <c r="D7" s="1917"/>
      <c r="E7" s="1918"/>
    </row>
    <row r="8" spans="1:25" ht="15" thickBot="1" x14ac:dyDescent="0.4">
      <c r="A8" s="188" t="s">
        <v>2571</v>
      </c>
      <c r="B8" s="1930" t="e">
        <f>+#REF!</f>
        <v>#REF!</v>
      </c>
    </row>
    <row r="9" spans="1:25" ht="15" thickBot="1" x14ac:dyDescent="0.4">
      <c r="A9" s="188" t="s">
        <v>2572</v>
      </c>
      <c r="B9" s="1931" t="s">
        <v>3424</v>
      </c>
    </row>
    <row r="10" spans="1:25" ht="15" thickBot="1" x14ac:dyDescent="0.4"/>
    <row r="11" spans="1:25" ht="15" thickBot="1" x14ac:dyDescent="0.4">
      <c r="A11" s="88" t="s">
        <v>413</v>
      </c>
      <c r="B11" s="579" t="s">
        <v>414</v>
      </c>
      <c r="C11" s="90" t="s">
        <v>415</v>
      </c>
      <c r="D11" s="78"/>
      <c r="E11" s="78"/>
      <c r="F11" s="78"/>
      <c r="G11" s="78"/>
      <c r="H11" s="78"/>
      <c r="I11" s="78"/>
      <c r="J11" s="79"/>
    </row>
    <row r="12" spans="1:25" x14ac:dyDescent="0.35">
      <c r="A12" s="1900" t="s">
        <v>2359</v>
      </c>
      <c r="B12" s="1901">
        <f>VLOOKUP($J$3,$A$37:$B$42,2,FALSE)</f>
        <v>976</v>
      </c>
      <c r="C12" s="1902" t="s">
        <v>2362</v>
      </c>
      <c r="D12" s="1901"/>
      <c r="E12" s="1901"/>
      <c r="F12" s="1901"/>
      <c r="G12" s="1901"/>
      <c r="H12" s="1901"/>
      <c r="I12" s="1901"/>
      <c r="J12" s="1903"/>
    </row>
    <row r="13" spans="1:25" x14ac:dyDescent="0.35">
      <c r="A13" s="1904"/>
      <c r="B13" s="1905"/>
      <c r="C13" s="1906" t="s">
        <v>2363</v>
      </c>
      <c r="D13" s="1905"/>
      <c r="E13" s="1905"/>
      <c r="F13" s="1905"/>
      <c r="G13" s="1905"/>
      <c r="H13" s="1905"/>
      <c r="I13" s="1905"/>
      <c r="J13" s="1907"/>
    </row>
    <row r="14" spans="1:25" ht="15" thickBot="1" x14ac:dyDescent="0.4">
      <c r="A14" s="1908"/>
      <c r="B14" s="1909"/>
      <c r="C14" s="1910" t="s">
        <v>1089</v>
      </c>
      <c r="D14" s="1909"/>
      <c r="E14" s="1909"/>
      <c r="F14" s="1909"/>
      <c r="G14" s="1909"/>
      <c r="H14" s="1909"/>
      <c r="I14" s="1909"/>
      <c r="J14" s="1911"/>
    </row>
    <row r="15" spans="1:25" x14ac:dyDescent="0.35">
      <c r="A15" s="1912" t="s">
        <v>378</v>
      </c>
      <c r="B15" s="1901"/>
      <c r="C15" s="1901" t="s">
        <v>422</v>
      </c>
      <c r="D15" s="1901"/>
      <c r="E15" s="1901"/>
      <c r="F15" s="1901"/>
      <c r="G15" s="1901"/>
      <c r="H15" s="1901"/>
      <c r="I15" s="1901"/>
      <c r="J15" s="1903"/>
    </row>
    <row r="16" spans="1:25" ht="15" thickBot="1" x14ac:dyDescent="0.4">
      <c r="A16" s="1913"/>
      <c r="B16" s="1909"/>
      <c r="C16" s="1909" t="s">
        <v>528</v>
      </c>
      <c r="D16" s="1909"/>
      <c r="E16" s="1909"/>
      <c r="F16" s="1909"/>
      <c r="G16" s="1909"/>
      <c r="H16" s="1909"/>
      <c r="I16" s="1909"/>
      <c r="J16" s="1911"/>
    </row>
    <row r="17" spans="1:10" x14ac:dyDescent="0.35">
      <c r="A17" s="442" t="s">
        <v>507</v>
      </c>
      <c r="B17" s="92">
        <v>0.82</v>
      </c>
      <c r="C17" s="93" t="s">
        <v>2364</v>
      </c>
      <c r="D17" s="94"/>
      <c r="E17" s="94"/>
      <c r="F17" s="94"/>
      <c r="G17" s="94"/>
      <c r="H17" s="94"/>
      <c r="I17" s="94"/>
      <c r="J17" s="95"/>
    </row>
    <row r="18" spans="1:10" ht="15" thickBot="1" x14ac:dyDescent="0.4">
      <c r="A18" s="96"/>
      <c r="B18" s="99"/>
      <c r="C18" s="98" t="s">
        <v>2373</v>
      </c>
      <c r="D18" s="99"/>
      <c r="E18" s="99"/>
      <c r="F18" s="99"/>
      <c r="G18" s="99"/>
      <c r="H18" s="99"/>
      <c r="I18" s="99"/>
      <c r="J18" s="100"/>
    </row>
    <row r="19" spans="1:10" x14ac:dyDescent="0.35">
      <c r="A19" s="442" t="s">
        <v>508</v>
      </c>
      <c r="B19" s="327">
        <f>VLOOKUP($I$3,$A$31:$D$33,4,FALSE)</f>
        <v>0.95</v>
      </c>
      <c r="C19" s="93" t="s">
        <v>2374</v>
      </c>
      <c r="D19" s="94"/>
      <c r="E19" s="94"/>
      <c r="F19" s="94"/>
      <c r="G19" s="94"/>
      <c r="H19" s="94"/>
      <c r="I19" s="94"/>
      <c r="J19" s="95"/>
    </row>
    <row r="20" spans="1:10" ht="15" thickBot="1" x14ac:dyDescent="0.4">
      <c r="A20" s="96"/>
      <c r="B20" s="99"/>
      <c r="C20" s="98" t="s">
        <v>2365</v>
      </c>
      <c r="D20" s="99"/>
      <c r="E20" s="99"/>
      <c r="F20" s="99"/>
      <c r="G20" s="99"/>
      <c r="H20" s="99"/>
      <c r="I20" s="99"/>
      <c r="J20" s="100"/>
    </row>
    <row r="21" spans="1:10" x14ac:dyDescent="0.35">
      <c r="A21" s="118" t="s">
        <v>443</v>
      </c>
      <c r="B21" s="94">
        <v>25</v>
      </c>
      <c r="C21" s="94" t="s">
        <v>1019</v>
      </c>
      <c r="D21" s="94"/>
      <c r="E21" s="94"/>
      <c r="F21" s="94"/>
      <c r="G21" s="94"/>
      <c r="H21" s="94"/>
      <c r="I21" s="94"/>
      <c r="J21" s="95"/>
    </row>
    <row r="22" spans="1:10" x14ac:dyDescent="0.35">
      <c r="A22" s="311"/>
      <c r="B22" s="67"/>
      <c r="C22" s="67" t="s">
        <v>2366</v>
      </c>
      <c r="D22" s="67"/>
      <c r="E22" s="67"/>
      <c r="F22" s="67"/>
      <c r="G22" s="67"/>
      <c r="H22" s="67"/>
      <c r="I22" s="67"/>
      <c r="J22" s="310"/>
    </row>
    <row r="23" spans="1:10" ht="15" thickBot="1" x14ac:dyDescent="0.4">
      <c r="A23" s="111"/>
      <c r="B23" s="99"/>
      <c r="C23" s="108" t="s">
        <v>2367</v>
      </c>
      <c r="D23" s="99"/>
      <c r="E23" s="99"/>
      <c r="F23" s="99"/>
      <c r="G23" s="99"/>
      <c r="H23" s="99"/>
      <c r="I23" s="99"/>
      <c r="J23" s="100"/>
    </row>
    <row r="24" spans="1:10" x14ac:dyDescent="0.35">
      <c r="A24" s="311" t="s">
        <v>344</v>
      </c>
      <c r="B24" s="67"/>
      <c r="C24" s="67"/>
      <c r="D24" s="67"/>
      <c r="E24" s="67"/>
      <c r="F24" s="67"/>
      <c r="G24" s="67"/>
      <c r="H24" s="67"/>
      <c r="I24" s="67"/>
      <c r="J24" s="310"/>
    </row>
    <row r="25" spans="1:10" ht="15" thickBot="1" x14ac:dyDescent="0.4">
      <c r="A25" s="111"/>
      <c r="B25" s="99"/>
      <c r="C25" s="108"/>
      <c r="D25" s="99"/>
      <c r="E25" s="99"/>
      <c r="F25" s="99"/>
      <c r="G25" s="99"/>
      <c r="H25" s="99"/>
      <c r="I25" s="99"/>
      <c r="J25" s="100"/>
    </row>
    <row r="26" spans="1:10" ht="15" thickBot="1" x14ac:dyDescent="0.4">
      <c r="C26" s="349"/>
    </row>
    <row r="27" spans="1:10" ht="15" thickBot="1" x14ac:dyDescent="0.4">
      <c r="A27" s="122" t="s">
        <v>539</v>
      </c>
      <c r="B27" s="123"/>
      <c r="C27" s="78"/>
      <c r="D27" s="78"/>
      <c r="E27" s="79"/>
    </row>
    <row r="28" spans="1:10" x14ac:dyDescent="0.35">
      <c r="A28" s="124"/>
      <c r="B28" s="2308" t="s">
        <v>2368</v>
      </c>
      <c r="C28" s="2309"/>
      <c r="D28" s="83"/>
      <c r="E28" s="125"/>
    </row>
    <row r="29" spans="1:10" x14ac:dyDescent="0.35">
      <c r="A29" s="794" t="s">
        <v>340</v>
      </c>
      <c r="B29" s="454" t="s">
        <v>572</v>
      </c>
      <c r="C29" s="454" t="s">
        <v>573</v>
      </c>
      <c r="D29" s="454" t="s">
        <v>508</v>
      </c>
      <c r="E29" s="454" t="s">
        <v>507</v>
      </c>
    </row>
    <row r="30" spans="1:10" x14ac:dyDescent="0.35">
      <c r="A30" s="1083" t="s">
        <v>2369</v>
      </c>
      <c r="B30" s="1249"/>
      <c r="C30" s="1249"/>
      <c r="D30" s="139" t="s">
        <v>357</v>
      </c>
      <c r="E30" s="139">
        <v>0.82</v>
      </c>
    </row>
    <row r="31" spans="1:10" x14ac:dyDescent="0.35">
      <c r="A31" s="1083" t="s">
        <v>2370</v>
      </c>
      <c r="B31" s="1249"/>
      <c r="C31" s="1249"/>
      <c r="D31" s="139">
        <v>0.875</v>
      </c>
      <c r="E31" s="139" t="s">
        <v>357</v>
      </c>
    </row>
    <row r="32" spans="1:10" x14ac:dyDescent="0.35">
      <c r="A32" s="1083" t="s">
        <v>551</v>
      </c>
      <c r="B32" s="1249"/>
      <c r="C32" s="1249"/>
      <c r="D32" s="139">
        <v>0.92500000000000004</v>
      </c>
      <c r="E32" s="139" t="s">
        <v>357</v>
      </c>
    </row>
    <row r="33" spans="1:9" x14ac:dyDescent="0.35">
      <c r="A33" s="1083" t="s">
        <v>511</v>
      </c>
      <c r="B33" s="1249"/>
      <c r="C33" s="1249"/>
      <c r="D33" s="139">
        <v>0.95</v>
      </c>
      <c r="E33" s="139" t="s">
        <v>357</v>
      </c>
    </row>
    <row r="34" spans="1:9" x14ac:dyDescent="0.35">
      <c r="A34" s="124"/>
      <c r="B34" s="83"/>
      <c r="C34" s="83"/>
      <c r="D34" s="83"/>
      <c r="E34" s="125"/>
    </row>
    <row r="35" spans="1:9" ht="15" thickBot="1" x14ac:dyDescent="0.4">
      <c r="A35" s="124"/>
      <c r="B35" s="83"/>
      <c r="C35" s="83"/>
      <c r="D35" s="83"/>
      <c r="E35" s="125"/>
    </row>
    <row r="36" spans="1:9" x14ac:dyDescent="0.35">
      <c r="A36" s="1915" t="s">
        <v>370</v>
      </c>
      <c r="B36" s="1891" t="s">
        <v>1461</v>
      </c>
      <c r="C36" s="83"/>
      <c r="D36" s="2409" t="s">
        <v>550</v>
      </c>
      <c r="E36" s="2410"/>
      <c r="H36" s="1250"/>
      <c r="I36" s="869"/>
    </row>
    <row r="37" spans="1:9" x14ac:dyDescent="0.35">
      <c r="A37" s="1914" t="s">
        <v>457</v>
      </c>
      <c r="B37" s="1890">
        <v>1022</v>
      </c>
      <c r="C37" s="83"/>
      <c r="D37" s="1885" t="s">
        <v>355</v>
      </c>
      <c r="E37" s="1886">
        <v>1</v>
      </c>
    </row>
    <row r="38" spans="1:9" x14ac:dyDescent="0.35">
      <c r="A38" s="1914" t="s">
        <v>459</v>
      </c>
      <c r="B38" s="1890">
        <v>976</v>
      </c>
      <c r="C38" s="83"/>
      <c r="D38" s="1885" t="s">
        <v>361</v>
      </c>
      <c r="E38" s="1886">
        <v>0.65</v>
      </c>
    </row>
    <row r="39" spans="1:9" ht="15" thickBot="1" x14ac:dyDescent="0.4">
      <c r="A39" s="1914" t="s">
        <v>461</v>
      </c>
      <c r="B39" s="1890">
        <v>836</v>
      </c>
      <c r="C39" s="83"/>
      <c r="D39" s="1887" t="s">
        <v>468</v>
      </c>
      <c r="E39" s="1888" t="s">
        <v>295</v>
      </c>
    </row>
    <row r="40" spans="1:9" x14ac:dyDescent="0.35">
      <c r="A40" s="1914" t="s">
        <v>463</v>
      </c>
      <c r="B40" s="1890">
        <v>645</v>
      </c>
      <c r="C40" s="83"/>
      <c r="D40" s="83"/>
      <c r="E40" s="125"/>
    </row>
    <row r="41" spans="1:9" x14ac:dyDescent="0.35">
      <c r="A41" s="1914" t="s">
        <v>464</v>
      </c>
      <c r="B41" s="1890">
        <v>656</v>
      </c>
      <c r="C41" s="83"/>
      <c r="D41" s="83"/>
      <c r="E41" s="125"/>
    </row>
    <row r="42" spans="1:9" x14ac:dyDescent="0.35">
      <c r="A42" s="1914" t="s">
        <v>399</v>
      </c>
      <c r="B42" s="1890">
        <v>928</v>
      </c>
      <c r="C42" s="83"/>
      <c r="D42" s="83"/>
      <c r="E42" s="125"/>
    </row>
    <row r="43" spans="1:9" x14ac:dyDescent="0.35">
      <c r="A43" s="124"/>
      <c r="B43" s="83"/>
      <c r="C43" s="83"/>
      <c r="D43" s="83"/>
      <c r="E43" s="125"/>
    </row>
    <row r="44" spans="1:9" x14ac:dyDescent="0.35">
      <c r="A44" s="124"/>
      <c r="B44" s="83"/>
      <c r="C44" s="83"/>
      <c r="D44" s="83"/>
      <c r="E44" s="125"/>
    </row>
    <row r="45" spans="1:9" x14ac:dyDescent="0.35">
      <c r="A45" s="794" t="s">
        <v>505</v>
      </c>
      <c r="B45" s="221" t="s">
        <v>2371</v>
      </c>
      <c r="C45" s="83"/>
      <c r="D45" s="83"/>
      <c r="E45" s="125"/>
    </row>
    <row r="46" spans="1:9" x14ac:dyDescent="0.35">
      <c r="A46" s="1083" t="s">
        <v>513</v>
      </c>
      <c r="B46" s="127">
        <v>0.8</v>
      </c>
      <c r="C46" s="83"/>
      <c r="D46" s="83"/>
      <c r="E46" s="125"/>
    </row>
    <row r="47" spans="1:9" x14ac:dyDescent="0.35">
      <c r="A47" s="1083" t="s">
        <v>2360</v>
      </c>
      <c r="B47" s="127">
        <v>0.82</v>
      </c>
      <c r="C47" s="83"/>
      <c r="D47" s="83"/>
      <c r="E47" s="125"/>
    </row>
    <row r="48" spans="1:9" x14ac:dyDescent="0.35">
      <c r="A48" s="124"/>
      <c r="B48" s="83"/>
      <c r="C48" s="83"/>
      <c r="D48" s="83"/>
      <c r="E48" s="125"/>
    </row>
    <row r="49" spans="1:5" x14ac:dyDescent="0.35">
      <c r="A49" s="794" t="s">
        <v>342</v>
      </c>
      <c r="B49" s="221"/>
      <c r="C49" s="83"/>
      <c r="D49" s="83"/>
      <c r="E49" s="125"/>
    </row>
    <row r="50" spans="1:5" x14ac:dyDescent="0.35">
      <c r="A50" s="360" t="s">
        <v>356</v>
      </c>
      <c r="B50" s="62" t="s">
        <v>542</v>
      </c>
      <c r="C50" s="83"/>
      <c r="D50" s="83"/>
      <c r="E50" s="125"/>
    </row>
    <row r="51" spans="1:5" x14ac:dyDescent="0.35">
      <c r="A51" s="360" t="s">
        <v>494</v>
      </c>
      <c r="B51" s="62" t="s">
        <v>543</v>
      </c>
      <c r="C51" s="83"/>
      <c r="D51" s="83"/>
      <c r="E51" s="125"/>
    </row>
    <row r="52" spans="1:5" x14ac:dyDescent="0.35">
      <c r="A52" s="124"/>
      <c r="B52" s="83"/>
      <c r="C52" s="83"/>
      <c r="D52" s="83"/>
      <c r="E52" s="125"/>
    </row>
    <row r="53" spans="1:5" ht="15" thickBot="1" x14ac:dyDescent="0.4">
      <c r="A53" s="321"/>
      <c r="B53" s="201"/>
      <c r="C53" s="201"/>
      <c r="D53" s="201"/>
      <c r="E53" s="203"/>
    </row>
    <row r="54" spans="1:5" ht="15" thickBot="1" x14ac:dyDescent="0.4"/>
    <row r="55" spans="1:5" x14ac:dyDescent="0.35">
      <c r="A55" s="2399" t="s">
        <v>2372</v>
      </c>
      <c r="B55" s="2400"/>
      <c r="C55" s="2400"/>
      <c r="D55" s="2400"/>
      <c r="E55" s="2401"/>
    </row>
    <row r="56" spans="1:5" x14ac:dyDescent="0.35">
      <c r="A56" s="2402"/>
      <c r="B56" s="2403"/>
      <c r="C56" s="2403"/>
      <c r="D56" s="2403"/>
      <c r="E56" s="2404"/>
    </row>
    <row r="57" spans="1:5" ht="15" thickBot="1" x14ac:dyDescent="0.4">
      <c r="A57" s="2405"/>
      <c r="B57" s="2406"/>
      <c r="C57" s="2406"/>
      <c r="D57" s="2406"/>
      <c r="E57" s="2407"/>
    </row>
  </sheetData>
  <customSheetViews>
    <customSheetView guid="{11DE45F5-F478-4ED6-8DFF-12002C22A637}" scale="85" showPageBreaks="1" fitToPage="1" view="pageBreakPreview" topLeftCell="G1">
      <selection activeCell="U15" sqref="U15"/>
      <pageMargins left="0.7" right="0.7" top="0.75" bottom="0.75" header="0.3" footer="0.3"/>
      <pageSetup scale="36" orientation="landscape" r:id="rId1"/>
    </customSheetView>
    <customSheetView guid="{ECD6FE6A-9548-414E-B8AA-6998703C57E0}" scale="85" showPageBreaks="1" fitToPage="1" view="pageBreakPreview" topLeftCell="G1">
      <selection activeCell="U15" sqref="U15"/>
      <pageMargins left="0.7" right="0.7" top="0.75" bottom="0.75" header="0.3" footer="0.3"/>
      <pageSetup scale="36" orientation="landscape" r:id="rId2"/>
    </customSheetView>
  </customSheetViews>
  <mergeCells count="6">
    <mergeCell ref="A55:E57"/>
    <mergeCell ref="N1:P1"/>
    <mergeCell ref="Q1:S1"/>
    <mergeCell ref="T1:W1"/>
    <mergeCell ref="B28:C28"/>
    <mergeCell ref="D36:E36"/>
  </mergeCells>
  <dataValidations count="6">
    <dataValidation type="list" allowBlank="1" showInputMessage="1" showErrorMessage="1" sqref="L3" xr:uid="{00000000-0002-0000-2300-000000000000}">
      <formula1>$D$37:$D$38</formula1>
    </dataValidation>
    <dataValidation type="list" allowBlank="1" showInputMessage="1" showErrorMessage="1" sqref="D3" xr:uid="{00000000-0002-0000-2300-000001000000}">
      <formula1>MeasureType</formula1>
    </dataValidation>
    <dataValidation type="list" allowBlank="1" showInputMessage="1" showErrorMessage="1" sqref="H3" xr:uid="{00000000-0002-0000-2300-000002000000}">
      <formula1>FBMo1</formula1>
    </dataValidation>
    <dataValidation type="list" allowBlank="1" showInputMessage="1" showErrorMessage="1" sqref="J3" xr:uid="{00000000-0002-0000-2300-000003000000}">
      <formula1>Climate1</formula1>
    </dataValidation>
    <dataValidation type="list" allowBlank="1" showInputMessage="1" showErrorMessage="1" sqref="I3" xr:uid="{00000000-0002-0000-2300-000004000000}">
      <formula1>GHEB1</formula1>
    </dataValidation>
    <dataValidation type="list" allowBlank="1" showInputMessage="1" showErrorMessage="1" sqref="K3" xr:uid="{00000000-0002-0000-2300-000005000000}">
      <formula1>GHEB2</formula1>
    </dataValidation>
  </dataValidations>
  <pageMargins left="0.7" right="0.7" top="0.75" bottom="0.75" header="0.3" footer="0.3"/>
  <pageSetup scale="36" orientation="landscap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59999389629810485"/>
    <pageSetUpPr fitToPage="1"/>
  </sheetPr>
  <dimension ref="A2:AR162"/>
  <sheetViews>
    <sheetView view="pageBreakPreview" zoomScale="70" zoomScaleNormal="100" zoomScaleSheetLayoutView="70" workbookViewId="0">
      <selection activeCell="A14" sqref="A14"/>
    </sheetView>
  </sheetViews>
  <sheetFormatPr defaultRowHeight="14.5" x14ac:dyDescent="0.35"/>
  <cols>
    <col min="1" max="1" width="23.81640625" customWidth="1"/>
    <col min="2" max="2" width="51.81640625" customWidth="1"/>
    <col min="3" max="3" width="34" bestFit="1" customWidth="1"/>
    <col min="4" max="14" width="14.7265625" customWidth="1"/>
    <col min="15" max="15" width="16.1796875" bestFit="1" customWidth="1"/>
    <col min="16" max="16" width="12.7265625" customWidth="1"/>
    <col min="18" max="18" width="9.54296875" bestFit="1" customWidth="1"/>
    <col min="19" max="19" width="12" customWidth="1"/>
    <col min="20" max="20" width="13.453125" bestFit="1" customWidth="1"/>
    <col min="21" max="21" width="11.1796875" bestFit="1" customWidth="1"/>
    <col min="22" max="22" width="9.54296875" bestFit="1" customWidth="1"/>
    <col min="23" max="23" width="11.453125" customWidth="1"/>
    <col min="24" max="24" width="7.7265625" customWidth="1"/>
    <col min="25" max="25" width="12.7265625" bestFit="1" customWidth="1"/>
    <col min="26" max="26" width="10.81640625" bestFit="1" customWidth="1"/>
    <col min="27" max="27" width="7" bestFit="1" customWidth="1"/>
    <col min="28" max="28" width="12.1796875" customWidth="1"/>
    <col min="31" max="31" width="38" bestFit="1" customWidth="1"/>
    <col min="41" max="41" width="9.81640625" bestFit="1" customWidth="1"/>
  </cols>
  <sheetData>
    <row r="2" spans="1:34" x14ac:dyDescent="0.35">
      <c r="A2" s="1144" t="s">
        <v>331</v>
      </c>
      <c r="B2" s="1144" t="s">
        <v>502</v>
      </c>
      <c r="C2" s="1144"/>
      <c r="D2" s="1144"/>
      <c r="E2" s="1143"/>
      <c r="F2" s="1143"/>
      <c r="G2" s="1143"/>
      <c r="H2" s="1143"/>
      <c r="I2" s="1143"/>
      <c r="J2" s="1143"/>
      <c r="K2" s="1143"/>
      <c r="L2" s="1143"/>
      <c r="M2" s="1235"/>
      <c r="N2" s="2216" t="s">
        <v>335</v>
      </c>
      <c r="O2" s="2217"/>
      <c r="P2" s="2217"/>
      <c r="Q2" s="2216" t="s">
        <v>336</v>
      </c>
      <c r="R2" s="2217"/>
      <c r="S2" s="2217"/>
      <c r="T2" s="2199" t="s">
        <v>337</v>
      </c>
      <c r="U2" s="2199"/>
      <c r="V2" s="2199"/>
      <c r="W2" s="1850"/>
      <c r="X2" s="147"/>
      <c r="Y2" s="1402"/>
      <c r="Z2" s="1402"/>
      <c r="AA2" s="148" t="s">
        <v>503</v>
      </c>
    </row>
    <row r="3" spans="1:34" ht="29" x14ac:dyDescent="0.35">
      <c r="A3" s="1145" t="s">
        <v>338</v>
      </c>
      <c r="B3" s="1145" t="s">
        <v>1</v>
      </c>
      <c r="C3" s="1129" t="s">
        <v>339</v>
      </c>
      <c r="D3" s="1129" t="s">
        <v>340</v>
      </c>
      <c r="E3" s="1128" t="s">
        <v>343</v>
      </c>
      <c r="F3" s="1128" t="s">
        <v>344</v>
      </c>
      <c r="G3" s="1145" t="s">
        <v>345</v>
      </c>
      <c r="H3" s="1128" t="s">
        <v>342</v>
      </c>
      <c r="I3" s="1128" t="s">
        <v>504</v>
      </c>
      <c r="J3" s="1128" t="s">
        <v>367</v>
      </c>
      <c r="K3" s="1128" t="s">
        <v>370</v>
      </c>
      <c r="L3" s="1128" t="s">
        <v>505</v>
      </c>
      <c r="M3" s="1128" t="s">
        <v>372</v>
      </c>
      <c r="N3" s="1146" t="s">
        <v>347</v>
      </c>
      <c r="O3" s="1146" t="s">
        <v>348</v>
      </c>
      <c r="P3" s="1146" t="s">
        <v>349</v>
      </c>
      <c r="Q3" s="1146" t="s">
        <v>347</v>
      </c>
      <c r="R3" s="1146" t="s">
        <v>348</v>
      </c>
      <c r="S3" s="1146" t="s">
        <v>349</v>
      </c>
      <c r="T3" s="1870" t="s">
        <v>506</v>
      </c>
      <c r="U3" s="149" t="s">
        <v>507</v>
      </c>
      <c r="V3" s="149" t="s">
        <v>508</v>
      </c>
      <c r="W3" s="1874" t="s">
        <v>3408</v>
      </c>
      <c r="X3" s="1871" t="s">
        <v>378</v>
      </c>
      <c r="Y3" s="149" t="s">
        <v>2773</v>
      </c>
      <c r="Z3" s="149" t="s">
        <v>2774</v>
      </c>
      <c r="AA3" s="62"/>
    </row>
    <row r="4" spans="1:34" ht="29" x14ac:dyDescent="0.35">
      <c r="A4" s="1142" t="s">
        <v>509</v>
      </c>
      <c r="B4" s="1142" t="str">
        <f>$B$2&amp;" "&amp;VLOOKUP(I4, $A$73:$B$80, 2, FALSE)&amp;" - "&amp;H4&amp;" - "&amp;M4</f>
        <v>Gas High Efficiency Furnace AFUE ≥95% - TOS - Single-Family</v>
      </c>
      <c r="C4" s="1142" t="s">
        <v>250</v>
      </c>
      <c r="D4" s="1133" t="s">
        <v>510</v>
      </c>
      <c r="E4" s="1151">
        <f t="shared" ref="E4:E10" si="0">+VLOOKUP(H4,$A$56:$B$58,2,FALSE)</f>
        <v>20</v>
      </c>
      <c r="F4" s="1152"/>
      <c r="G4" s="1232" t="s">
        <v>357</v>
      </c>
      <c r="H4" s="135" t="s">
        <v>356</v>
      </c>
      <c r="I4" s="135" t="s">
        <v>511</v>
      </c>
      <c r="J4" s="135" t="s">
        <v>512</v>
      </c>
      <c r="K4" s="1150" t="s">
        <v>459</v>
      </c>
      <c r="L4" s="1148" t="s">
        <v>513</v>
      </c>
      <c r="M4" s="1148" t="s">
        <v>355</v>
      </c>
      <c r="N4" s="1154"/>
      <c r="O4" s="1155"/>
      <c r="P4" s="1895">
        <f>+VLOOKUP(K4,$G$62:$H$67,2,FALSE)*W4/(1-Z4)*((V4*(1-Z4)/(U4*(1-Y4)))-1)/100000</f>
        <v>163.85733974358956</v>
      </c>
      <c r="Q4" s="1154"/>
      <c r="R4" s="1154"/>
      <c r="S4" s="1895">
        <f t="shared" ref="S4:S8" si="1">P4*E4</f>
        <v>3277.1467948717914</v>
      </c>
      <c r="T4" s="1868">
        <f t="shared" ref="T4:T10" si="2">VLOOKUP(K4,$G$62:$H$67,2,FALSE)</f>
        <v>976</v>
      </c>
      <c r="U4" s="151">
        <f t="shared" ref="U4:U10" si="3">IF(H4=$A$52,0.644,0.8)</f>
        <v>0.8</v>
      </c>
      <c r="V4" s="152">
        <f t="shared" ref="V4:V10" si="4">IF(H4=$A$50,VLOOKUP(I4,$A$85:$B$91,2,FALSE),VLOOKUP(I4,$D$56:$G$58,4,FALSE))</f>
        <v>0.95</v>
      </c>
      <c r="W4" s="1875">
        <v>83809</v>
      </c>
      <c r="X4" s="1872">
        <f t="shared" ref="X4:X10" si="5">+VLOOKUP($M4,$J$62:$K$64,2,FALSE)</f>
        <v>1</v>
      </c>
      <c r="Y4" s="324">
        <f>+$B$29</f>
        <v>6.4000000000000001E-2</v>
      </c>
      <c r="Z4" s="1898">
        <v>6.4000000000000001E-2</v>
      </c>
      <c r="AA4" s="62" t="s">
        <v>512</v>
      </c>
    </row>
    <row r="5" spans="1:34" ht="45.75" customHeight="1" x14ac:dyDescent="0.35">
      <c r="A5" s="1142" t="s">
        <v>514</v>
      </c>
      <c r="B5" s="1142" t="str">
        <f>$B$2&amp;" "&amp;VLOOKUP(I5, $A$73:$B$80, 2, FALSE)&amp;" - "&amp;H5&amp;" - "&amp;M5</f>
        <v>Gas High Efficiency Furnace AFUE ≥97% - TOS - Single-Family</v>
      </c>
      <c r="C5" s="1142" t="s">
        <v>251</v>
      </c>
      <c r="D5" s="1133" t="s">
        <v>510</v>
      </c>
      <c r="E5" s="1151">
        <f t="shared" si="0"/>
        <v>20</v>
      </c>
      <c r="F5" s="1152"/>
      <c r="G5" s="1232" t="s">
        <v>357</v>
      </c>
      <c r="H5" s="135" t="s">
        <v>356</v>
      </c>
      <c r="I5" s="135" t="s">
        <v>515</v>
      </c>
      <c r="J5" s="135" t="s">
        <v>512</v>
      </c>
      <c r="K5" s="1150" t="s">
        <v>459</v>
      </c>
      <c r="L5" s="1148" t="s">
        <v>513</v>
      </c>
      <c r="M5" s="1148" t="s">
        <v>355</v>
      </c>
      <c r="N5" s="1154"/>
      <c r="O5" s="1155"/>
      <c r="P5" s="1895">
        <f t="shared" ref="P5:P10" si="6">+VLOOKUP(K5,$G$62:$H$67,2,FALSE)*W5/(1-Z5)*((V5*(1-Z5)/(U5*(1-Y5)))-1)/100000</f>
        <v>182.32808760683753</v>
      </c>
      <c r="Q5" s="1154"/>
      <c r="R5" s="1154"/>
      <c r="S5" s="1895">
        <f t="shared" si="1"/>
        <v>3646.5617521367503</v>
      </c>
      <c r="T5" s="1868">
        <f t="shared" si="2"/>
        <v>976</v>
      </c>
      <c r="U5" s="151">
        <f t="shared" si="3"/>
        <v>0.8</v>
      </c>
      <c r="V5" s="152">
        <f t="shared" si="4"/>
        <v>0.97</v>
      </c>
      <c r="W5" s="1875">
        <v>82285</v>
      </c>
      <c r="X5" s="1872">
        <f t="shared" si="5"/>
        <v>1</v>
      </c>
      <c r="Y5" s="324">
        <v>6.4000000000000001E-2</v>
      </c>
      <c r="Z5" s="1898">
        <v>6.4000000000000001E-2</v>
      </c>
      <c r="AA5" s="62" t="s">
        <v>512</v>
      </c>
    </row>
    <row r="6" spans="1:34" s="99" customFormat="1" ht="29.5" thickBot="1" x14ac:dyDescent="0.4">
      <c r="A6" s="1252" t="s">
        <v>517</v>
      </c>
      <c r="B6" s="1253" t="str">
        <f>$B$2&amp;" "&amp;VLOOKUP(I6, $A$73:$B$80, 2, FALSE)&amp;" - "&amp;H6&amp;" - "&amp;M6</f>
        <v>Gas High Efficiency Furnace AFUE ≥95% - TOS - Multi-Family</v>
      </c>
      <c r="C6" s="1253" t="s">
        <v>254</v>
      </c>
      <c r="D6" s="1253" t="s">
        <v>510</v>
      </c>
      <c r="E6" s="1254">
        <f t="shared" si="0"/>
        <v>20</v>
      </c>
      <c r="F6" s="1255"/>
      <c r="G6" s="1256" t="s">
        <v>357</v>
      </c>
      <c r="H6" s="201" t="s">
        <v>356</v>
      </c>
      <c r="I6" s="201" t="s">
        <v>511</v>
      </c>
      <c r="J6" s="201" t="s">
        <v>512</v>
      </c>
      <c r="K6" s="1257" t="s">
        <v>459</v>
      </c>
      <c r="L6" s="1258" t="s">
        <v>513</v>
      </c>
      <c r="M6" s="1258" t="s">
        <v>361</v>
      </c>
      <c r="N6" s="1259"/>
      <c r="O6" s="1260"/>
      <c r="P6" s="1896">
        <f t="shared" si="6"/>
        <v>100.83769230769219</v>
      </c>
      <c r="Q6" s="204"/>
      <c r="R6" s="204"/>
      <c r="S6" s="1897">
        <f t="shared" si="1"/>
        <v>2016.7538461538438</v>
      </c>
      <c r="T6" s="1868">
        <f t="shared" si="2"/>
        <v>976</v>
      </c>
      <c r="U6" s="151">
        <f t="shared" si="3"/>
        <v>0.8</v>
      </c>
      <c r="V6" s="62">
        <f t="shared" si="4"/>
        <v>0.95</v>
      </c>
      <c r="W6" s="1875">
        <v>51576</v>
      </c>
      <c r="X6" s="1872">
        <f t="shared" si="5"/>
        <v>0.65</v>
      </c>
      <c r="Y6" s="324">
        <v>6.4000000000000001E-2</v>
      </c>
      <c r="Z6" s="1898">
        <v>6.4000000000000001E-2</v>
      </c>
      <c r="AA6" s="62" t="s">
        <v>512</v>
      </c>
      <c r="AB6" s="157" t="s">
        <v>518</v>
      </c>
      <c r="AC6" s="158" t="s">
        <v>519</v>
      </c>
      <c r="AD6" s="159" t="s">
        <v>43</v>
      </c>
      <c r="AE6" s="159" t="s">
        <v>520</v>
      </c>
      <c r="AF6" s="159" t="s">
        <v>44</v>
      </c>
      <c r="AG6" s="159" t="s">
        <v>521</v>
      </c>
      <c r="AH6" s="160" t="s">
        <v>344</v>
      </c>
    </row>
    <row r="7" spans="1:34" ht="32.25" customHeight="1" x14ac:dyDescent="0.35">
      <c r="A7" s="1142" t="s">
        <v>522</v>
      </c>
      <c r="B7" s="1131" t="str">
        <f>$B$2&amp;" "&amp;I7&amp;" - "&amp;H7&amp;" - "&amp;AA7</f>
        <v>Gas High Efficiency Furnace AFUE 95% - EREP - TRM</v>
      </c>
      <c r="C7" s="1142" t="s">
        <v>252</v>
      </c>
      <c r="D7" s="1133" t="s">
        <v>510</v>
      </c>
      <c r="E7" s="1151">
        <f t="shared" si="0"/>
        <v>6</v>
      </c>
      <c r="F7" s="1152"/>
      <c r="G7" s="1232" t="s">
        <v>357</v>
      </c>
      <c r="H7" s="135" t="s">
        <v>358</v>
      </c>
      <c r="I7" s="83" t="s">
        <v>511</v>
      </c>
      <c r="J7" s="1261" t="s">
        <v>358</v>
      </c>
      <c r="K7" s="1150" t="s">
        <v>459</v>
      </c>
      <c r="L7" s="1148"/>
      <c r="M7" s="1148" t="s">
        <v>355</v>
      </c>
      <c r="N7" s="1154"/>
      <c r="O7" s="1155"/>
      <c r="P7" s="1899">
        <f t="shared" si="6"/>
        <v>415.24096034400361</v>
      </c>
      <c r="Q7" s="1154"/>
      <c r="R7" s="1154"/>
      <c r="S7" s="1895">
        <f t="shared" si="1"/>
        <v>2491.4457620640214</v>
      </c>
      <c r="T7" s="1868">
        <f t="shared" si="2"/>
        <v>976</v>
      </c>
      <c r="U7" s="151">
        <f t="shared" si="3"/>
        <v>0.64400000000000002</v>
      </c>
      <c r="V7" s="62">
        <f t="shared" si="4"/>
        <v>0.95</v>
      </c>
      <c r="W7" s="1875">
        <v>83809</v>
      </c>
      <c r="X7" s="1872">
        <f t="shared" si="5"/>
        <v>1</v>
      </c>
      <c r="Y7" s="324">
        <v>6.4000000000000001E-2</v>
      </c>
      <c r="Z7" s="1898">
        <v>6.4000000000000001E-2</v>
      </c>
      <c r="AA7" s="62" t="s">
        <v>512</v>
      </c>
      <c r="AB7" s="162">
        <f>+$B$85</f>
        <v>0.9</v>
      </c>
      <c r="AC7" s="163">
        <f>+$AA$18</f>
        <v>0.02</v>
      </c>
      <c r="AD7" s="161">
        <v>0</v>
      </c>
      <c r="AE7" s="64">
        <v>0</v>
      </c>
      <c r="AF7" s="161">
        <f>T7*(1/AB7-1/V7)</f>
        <v>57.076023391812967</v>
      </c>
      <c r="AG7" s="164">
        <f>+$AA$20</f>
        <v>20</v>
      </c>
      <c r="AH7" s="165">
        <f>IFERROR(INDEX($C$84:$C$91,MATCH($I7,$A$84:$A$91,0))-INDEX($C$84:$C$91,MATCH($AB7,$B$84:$B$91,0)),0)</f>
        <v>808</v>
      </c>
    </row>
    <row r="8" spans="1:34" ht="32.25" customHeight="1" thickBot="1" x14ac:dyDescent="0.4">
      <c r="A8" s="1253" t="s">
        <v>523</v>
      </c>
      <c r="B8" s="1262" t="str">
        <f>$B$2&amp;" "&amp;I8&amp;" - "&amp;H8&amp;" - "&amp;AA8</f>
        <v>Gas High Efficiency Furnace AFUE 97% - EREP - TRM</v>
      </c>
      <c r="C8" s="1253" t="s">
        <v>253</v>
      </c>
      <c r="D8" s="1263" t="s">
        <v>510</v>
      </c>
      <c r="E8" s="1264">
        <f t="shared" si="0"/>
        <v>6</v>
      </c>
      <c r="F8" s="1255"/>
      <c r="G8" s="1256" t="s">
        <v>357</v>
      </c>
      <c r="H8" s="201" t="s">
        <v>358</v>
      </c>
      <c r="I8" s="201" t="s">
        <v>515</v>
      </c>
      <c r="J8" s="1265" t="s">
        <v>358</v>
      </c>
      <c r="K8" s="1257" t="s">
        <v>459</v>
      </c>
      <c r="L8" s="1258"/>
      <c r="M8" s="1258" t="s">
        <v>355</v>
      </c>
      <c r="N8" s="1259"/>
      <c r="O8" s="1260"/>
      <c r="P8" s="1896">
        <f t="shared" si="6"/>
        <v>434.33654775176501</v>
      </c>
      <c r="Q8" s="1259"/>
      <c r="R8" s="1259"/>
      <c r="S8" s="1896">
        <f t="shared" si="1"/>
        <v>2606.0192865105901</v>
      </c>
      <c r="T8" s="1869">
        <f t="shared" si="2"/>
        <v>976</v>
      </c>
      <c r="U8" s="167">
        <f t="shared" si="3"/>
        <v>0.64400000000000002</v>
      </c>
      <c r="V8" s="168">
        <f t="shared" si="4"/>
        <v>0.97</v>
      </c>
      <c r="W8" s="1875">
        <v>82285</v>
      </c>
      <c r="X8" s="1873">
        <f t="shared" si="5"/>
        <v>1</v>
      </c>
      <c r="Y8" s="1506">
        <v>6.4000000000000001E-2</v>
      </c>
      <c r="Z8" s="1938">
        <v>6.4000000000000001E-2</v>
      </c>
      <c r="AA8" s="168" t="s">
        <v>512</v>
      </c>
      <c r="AB8" s="169">
        <f>+$B$85</f>
        <v>0.9</v>
      </c>
      <c r="AC8" s="170">
        <f>+$AA$18</f>
        <v>0.02</v>
      </c>
      <c r="AD8" s="166">
        <v>0</v>
      </c>
      <c r="AE8" s="156">
        <v>0</v>
      </c>
      <c r="AF8" s="166">
        <f>T8*(1/AB8-1/V8)</f>
        <v>78.258877434135101</v>
      </c>
      <c r="AG8" s="171">
        <f>+$AA$20</f>
        <v>20</v>
      </c>
      <c r="AH8" s="172">
        <f>IFERROR(INDEX($C$84:$C$91,MATCH($I8,$A$84:$A$91,0))-INDEX($C$84:$C$91,MATCH($AB8,$B$84:$B$91,0)),0)</f>
        <v>1232</v>
      </c>
    </row>
    <row r="9" spans="1:34" ht="29" x14ac:dyDescent="0.35">
      <c r="A9" s="1142" t="s">
        <v>2771</v>
      </c>
      <c r="B9" s="1142" t="s">
        <v>2767</v>
      </c>
      <c r="C9" s="1142" t="s">
        <v>2768</v>
      </c>
      <c r="D9" s="1133" t="s">
        <v>510</v>
      </c>
      <c r="E9" s="1151">
        <f t="shared" si="0"/>
        <v>20</v>
      </c>
      <c r="F9" s="1152"/>
      <c r="G9" s="1232" t="s">
        <v>357</v>
      </c>
      <c r="H9" s="135" t="s">
        <v>356</v>
      </c>
      <c r="I9" s="135" t="s">
        <v>511</v>
      </c>
      <c r="J9" s="135" t="s">
        <v>512</v>
      </c>
      <c r="K9" s="1150" t="s">
        <v>459</v>
      </c>
      <c r="L9" s="1148" t="s">
        <v>513</v>
      </c>
      <c r="M9" s="1148" t="s">
        <v>355</v>
      </c>
      <c r="N9" s="1154"/>
      <c r="O9" s="1155"/>
      <c r="P9" s="1899">
        <f t="shared" si="6"/>
        <v>219.78731170940165</v>
      </c>
      <c r="Q9" s="1154"/>
      <c r="R9" s="1154"/>
      <c r="S9" s="1895">
        <f t="shared" ref="S9:S10" si="7">P9*E9</f>
        <v>4395.7462341880328</v>
      </c>
      <c r="T9" s="1868">
        <f t="shared" si="2"/>
        <v>976</v>
      </c>
      <c r="U9" s="151">
        <f t="shared" si="3"/>
        <v>0.8</v>
      </c>
      <c r="V9" s="152">
        <f t="shared" si="4"/>
        <v>0.95</v>
      </c>
      <c r="W9" s="1875">
        <v>83809</v>
      </c>
      <c r="X9" s="1872">
        <f t="shared" si="5"/>
        <v>1</v>
      </c>
      <c r="Y9" s="324">
        <v>6.4000000000000001E-2</v>
      </c>
      <c r="Z9" s="1937">
        <f t="shared" ref="Z9:Z10" si="8">+$B$31</f>
        <v>0</v>
      </c>
      <c r="AA9" s="62" t="s">
        <v>512</v>
      </c>
    </row>
    <row r="10" spans="1:34" ht="45.75" customHeight="1" x14ac:dyDescent="0.35">
      <c r="A10" s="1142" t="s">
        <v>2772</v>
      </c>
      <c r="B10" s="1142" t="s">
        <v>2769</v>
      </c>
      <c r="C10" s="1142" t="s">
        <v>2770</v>
      </c>
      <c r="D10" s="1133" t="s">
        <v>510</v>
      </c>
      <c r="E10" s="1151">
        <f t="shared" si="0"/>
        <v>20</v>
      </c>
      <c r="F10" s="1152"/>
      <c r="G10" s="1232" t="s">
        <v>357</v>
      </c>
      <c r="H10" s="135" t="s">
        <v>356</v>
      </c>
      <c r="I10" s="135" t="s">
        <v>515</v>
      </c>
      <c r="J10" s="135" t="s">
        <v>512</v>
      </c>
      <c r="K10" s="1150" t="s">
        <v>459</v>
      </c>
      <c r="L10" s="1148" t="s">
        <v>513</v>
      </c>
      <c r="M10" s="1148" t="s">
        <v>355</v>
      </c>
      <c r="N10" s="1154"/>
      <c r="O10" s="1155"/>
      <c r="P10" s="1895">
        <f t="shared" si="6"/>
        <v>237.24101752136741</v>
      </c>
      <c r="Q10" s="1154"/>
      <c r="R10" s="1154"/>
      <c r="S10" s="1895">
        <f t="shared" si="7"/>
        <v>4744.8203504273479</v>
      </c>
      <c r="T10" s="1868">
        <f t="shared" si="2"/>
        <v>976</v>
      </c>
      <c r="U10" s="151">
        <f t="shared" si="3"/>
        <v>0.8</v>
      </c>
      <c r="V10" s="152">
        <f t="shared" si="4"/>
        <v>0.97</v>
      </c>
      <c r="W10" s="1875">
        <v>82285</v>
      </c>
      <c r="X10" s="1872">
        <f t="shared" si="5"/>
        <v>1</v>
      </c>
      <c r="Y10" s="324">
        <v>6.4000000000000001E-2</v>
      </c>
      <c r="Z10" s="324">
        <f t="shared" si="8"/>
        <v>0</v>
      </c>
      <c r="AA10" s="62" t="s">
        <v>512</v>
      </c>
    </row>
    <row r="11" spans="1:34" s="24" customFormat="1" ht="45.75" customHeight="1" x14ac:dyDescent="0.35">
      <c r="A11" s="173"/>
      <c r="B11" s="173"/>
      <c r="C11" s="173"/>
      <c r="D11" s="173"/>
      <c r="E11" s="174"/>
      <c r="F11" s="175"/>
      <c r="G11" s="176"/>
      <c r="K11" s="177"/>
      <c r="L11" s="178"/>
      <c r="M11" s="178"/>
      <c r="N11" s="179"/>
      <c r="O11" s="180"/>
      <c r="P11" s="179"/>
      <c r="Q11" s="179"/>
      <c r="R11" s="179"/>
      <c r="S11" s="179"/>
      <c r="T11" s="181"/>
      <c r="U11" s="182"/>
      <c r="V11" s="183"/>
      <c r="W11" s="183"/>
      <c r="X11" s="179"/>
      <c r="Y11" s="179"/>
      <c r="Z11" s="179"/>
      <c r="AA11" s="184"/>
    </row>
    <row r="12" spans="1:34" ht="15" thickBot="1" x14ac:dyDescent="0.4"/>
    <row r="13" spans="1:34" ht="15" thickBot="1" x14ac:dyDescent="0.4">
      <c r="A13" s="76" t="s">
        <v>408</v>
      </c>
      <c r="B13" s="77"/>
      <c r="C13" s="78"/>
      <c r="D13" s="78"/>
      <c r="E13" s="79"/>
    </row>
    <row r="14" spans="1:34" ht="15" thickBot="1" x14ac:dyDescent="0.4">
      <c r="A14" s="1876" t="s">
        <v>3409</v>
      </c>
      <c r="B14" s="1877"/>
      <c r="C14" s="1877"/>
      <c r="D14" s="1877"/>
      <c r="E14" s="1878"/>
    </row>
    <row r="15" spans="1:34" ht="15" thickBot="1" x14ac:dyDescent="0.4">
      <c r="A15" s="188" t="s">
        <v>2571</v>
      </c>
      <c r="B15" s="1930" t="e">
        <f>+#REF!</f>
        <v>#REF!</v>
      </c>
    </row>
    <row r="16" spans="1:34" ht="15" thickBot="1" x14ac:dyDescent="0.4">
      <c r="A16" s="188" t="s">
        <v>2572</v>
      </c>
      <c r="B16" s="1931" t="s">
        <v>3423</v>
      </c>
      <c r="T16" s="188" t="s">
        <v>415</v>
      </c>
      <c r="U16" s="78"/>
      <c r="V16" s="78"/>
      <c r="W16" s="78"/>
      <c r="X16" s="78"/>
      <c r="Y16" s="78"/>
      <c r="Z16" s="78"/>
      <c r="AA16" s="78"/>
      <c r="AB16" s="78"/>
      <c r="AC16" s="78"/>
      <c r="AD16" s="78"/>
      <c r="AE16" s="79"/>
    </row>
    <row r="17" spans="1:31" ht="15" thickBot="1" x14ac:dyDescent="0.4">
      <c r="T17" s="192">
        <v>42310</v>
      </c>
      <c r="U17" s="83"/>
      <c r="V17" s="83"/>
      <c r="W17" s="83"/>
      <c r="X17" s="83"/>
      <c r="Y17" s="83"/>
      <c r="Z17" s="83"/>
      <c r="AA17" s="83"/>
      <c r="AB17" s="83"/>
      <c r="AC17" s="83"/>
      <c r="AD17" s="83"/>
      <c r="AE17" s="125"/>
    </row>
    <row r="18" spans="1:31" ht="15" thickBot="1" x14ac:dyDescent="0.4">
      <c r="A18" s="88" t="s">
        <v>413</v>
      </c>
      <c r="B18" s="89" t="s">
        <v>414</v>
      </c>
      <c r="C18" s="90" t="s">
        <v>415</v>
      </c>
      <c r="D18" s="78"/>
      <c r="E18" s="78"/>
      <c r="F18" s="78"/>
      <c r="G18" s="78"/>
      <c r="H18" s="78"/>
      <c r="I18" s="78"/>
      <c r="J18" s="79"/>
      <c r="T18" s="762" t="s">
        <v>527</v>
      </c>
      <c r="U18" s="83"/>
      <c r="V18" s="83"/>
      <c r="W18" s="83"/>
      <c r="X18" s="83"/>
      <c r="Y18" s="83"/>
      <c r="Z18" s="83"/>
      <c r="AA18" s="196">
        <v>0.02</v>
      </c>
      <c r="AB18" s="83"/>
      <c r="AC18" s="83"/>
      <c r="AD18" s="83"/>
      <c r="AE18" s="125"/>
    </row>
    <row r="19" spans="1:31" ht="15" thickBot="1" x14ac:dyDescent="0.4">
      <c r="A19" s="1879" t="s">
        <v>524</v>
      </c>
      <c r="B19" s="1880"/>
      <c r="C19" s="1880" t="s">
        <v>525</v>
      </c>
      <c r="D19" s="1880"/>
      <c r="E19" s="1880"/>
      <c r="F19" s="1880"/>
      <c r="G19" s="1880"/>
      <c r="H19" s="1880"/>
      <c r="I19" s="1880"/>
      <c r="J19" s="1881"/>
      <c r="T19" s="200" t="s">
        <v>529</v>
      </c>
      <c r="U19" s="201"/>
      <c r="V19" s="201"/>
      <c r="W19" s="201"/>
      <c r="X19" s="201"/>
      <c r="Y19" s="201"/>
      <c r="Z19" s="201"/>
      <c r="AA19" s="202">
        <v>0.9</v>
      </c>
      <c r="AB19" s="201"/>
      <c r="AC19" s="201"/>
      <c r="AD19" s="201"/>
      <c r="AE19" s="203"/>
    </row>
    <row r="20" spans="1:31" ht="15" thickBot="1" x14ac:dyDescent="0.4">
      <c r="A20" s="1882"/>
      <c r="B20" s="1883"/>
      <c r="C20" s="1883" t="s">
        <v>526</v>
      </c>
      <c r="D20" s="1883"/>
      <c r="E20" s="1883"/>
      <c r="F20" s="1883"/>
      <c r="G20" s="1883"/>
      <c r="H20" s="1883"/>
      <c r="I20" s="1883"/>
      <c r="J20" s="1884"/>
      <c r="T20" s="200" t="s">
        <v>521</v>
      </c>
      <c r="U20" s="201"/>
      <c r="V20" s="201"/>
      <c r="W20" s="201"/>
      <c r="X20" s="201"/>
      <c r="Y20" s="201"/>
      <c r="Z20" s="201"/>
      <c r="AA20" s="204">
        <v>20</v>
      </c>
      <c r="AB20" s="201"/>
      <c r="AC20" s="201"/>
      <c r="AD20" s="201"/>
      <c r="AE20" s="203"/>
    </row>
    <row r="21" spans="1:31" x14ac:dyDescent="0.35">
      <c r="A21" s="1879" t="s">
        <v>378</v>
      </c>
      <c r="B21" s="1880"/>
      <c r="C21" s="1880" t="s">
        <v>422</v>
      </c>
      <c r="D21" s="1880"/>
      <c r="E21" s="1880"/>
      <c r="F21" s="1880"/>
      <c r="G21" s="1880"/>
      <c r="H21" s="1880"/>
      <c r="I21" s="1880"/>
      <c r="J21" s="1881"/>
      <c r="M21" s="24"/>
    </row>
    <row r="22" spans="1:31" ht="15" thickBot="1" x14ac:dyDescent="0.4">
      <c r="A22" s="1882"/>
      <c r="B22" s="1883"/>
      <c r="C22" s="1883" t="s">
        <v>528</v>
      </c>
      <c r="D22" s="1883"/>
      <c r="E22" s="1883"/>
      <c r="F22" s="1883"/>
      <c r="G22" s="1883"/>
      <c r="H22" s="1883"/>
      <c r="I22" s="1883"/>
      <c r="J22" s="1884"/>
      <c r="M22" s="24"/>
    </row>
    <row r="23" spans="1:31" x14ac:dyDescent="0.35">
      <c r="A23" s="185" t="s">
        <v>530</v>
      </c>
      <c r="B23" s="186"/>
      <c r="C23" s="186" t="s">
        <v>531</v>
      </c>
      <c r="D23" s="186"/>
      <c r="E23" s="186"/>
      <c r="F23" s="186"/>
      <c r="G23" s="186"/>
      <c r="H23" s="186"/>
      <c r="I23" s="186"/>
      <c r="J23" s="187"/>
    </row>
    <row r="24" spans="1:31" ht="15" thickBot="1" x14ac:dyDescent="0.4">
      <c r="A24" s="189"/>
      <c r="B24" s="190"/>
      <c r="C24" s="190" t="s">
        <v>532</v>
      </c>
      <c r="D24" s="190"/>
      <c r="E24" s="190"/>
      <c r="F24" s="190"/>
      <c r="G24" s="190"/>
      <c r="H24" s="190"/>
      <c r="I24" s="190"/>
      <c r="J24" s="191"/>
    </row>
    <row r="25" spans="1:31" x14ac:dyDescent="0.35">
      <c r="A25" s="185" t="s">
        <v>507</v>
      </c>
      <c r="B25" s="186"/>
      <c r="C25" s="186" t="s">
        <v>533</v>
      </c>
      <c r="D25" s="186"/>
      <c r="E25" s="186"/>
      <c r="F25" s="186"/>
      <c r="G25" s="186"/>
      <c r="H25" s="186"/>
      <c r="I25" s="186"/>
      <c r="J25" s="187"/>
    </row>
    <row r="26" spans="1:31" ht="15" thickBot="1" x14ac:dyDescent="0.4">
      <c r="A26" s="189"/>
      <c r="B26" s="190"/>
      <c r="C26" s="205" t="s">
        <v>534</v>
      </c>
      <c r="D26" s="190"/>
      <c r="E26" s="190"/>
      <c r="F26" s="190"/>
      <c r="G26" s="190"/>
      <c r="H26" s="190"/>
      <c r="I26" s="190"/>
      <c r="J26" s="191"/>
    </row>
    <row r="27" spans="1:31" x14ac:dyDescent="0.35">
      <c r="A27" s="185" t="s">
        <v>508</v>
      </c>
      <c r="B27" s="186"/>
      <c r="C27" s="186" t="s">
        <v>535</v>
      </c>
      <c r="D27" s="186"/>
      <c r="E27" s="186"/>
      <c r="F27" s="186"/>
      <c r="G27" s="186"/>
      <c r="H27" s="186"/>
      <c r="I27" s="186"/>
      <c r="J27" s="187"/>
    </row>
    <row r="28" spans="1:31" ht="15" thickBot="1" x14ac:dyDescent="0.4">
      <c r="A28" s="189"/>
      <c r="B28" s="190"/>
      <c r="C28" s="190" t="s">
        <v>536</v>
      </c>
      <c r="D28" s="190"/>
      <c r="E28" s="190"/>
      <c r="F28" s="190"/>
      <c r="G28" s="190"/>
      <c r="H28" s="190"/>
      <c r="I28" s="190"/>
      <c r="J28" s="191"/>
    </row>
    <row r="29" spans="1:31" x14ac:dyDescent="0.35">
      <c r="A29" s="185" t="s">
        <v>2773</v>
      </c>
      <c r="B29" s="1504">
        <v>6.4000000000000001E-2</v>
      </c>
      <c r="C29" s="186" t="s">
        <v>2775</v>
      </c>
      <c r="D29" s="186"/>
      <c r="E29" s="186"/>
      <c r="F29" s="186"/>
      <c r="G29" s="186"/>
      <c r="H29" s="186"/>
      <c r="I29" s="186"/>
      <c r="J29" s="187"/>
    </row>
    <row r="30" spans="1:31" ht="15" thickBot="1" x14ac:dyDescent="0.4">
      <c r="A30" s="189"/>
      <c r="B30" s="190"/>
      <c r="C30" s="190" t="s">
        <v>2776</v>
      </c>
      <c r="D30" s="190"/>
      <c r="E30" s="190"/>
      <c r="F30" s="190"/>
      <c r="G30" s="190"/>
      <c r="H30" s="190"/>
      <c r="I30" s="190"/>
      <c r="J30" s="191"/>
    </row>
    <row r="31" spans="1:31" x14ac:dyDescent="0.35">
      <c r="A31" s="185" t="s">
        <v>2774</v>
      </c>
      <c r="B31" s="1505">
        <v>0</v>
      </c>
      <c r="C31" s="186" t="s">
        <v>2777</v>
      </c>
      <c r="D31" s="186"/>
      <c r="E31" s="186"/>
      <c r="F31" s="186"/>
      <c r="G31" s="186"/>
      <c r="H31" s="186"/>
      <c r="I31" s="186"/>
      <c r="J31" s="187"/>
    </row>
    <row r="32" spans="1:31" ht="15" thickBot="1" x14ac:dyDescent="0.4">
      <c r="A32" s="189"/>
      <c r="B32" s="190"/>
      <c r="C32" s="190" t="s">
        <v>2778</v>
      </c>
      <c r="D32" s="190"/>
      <c r="E32" s="190"/>
      <c r="F32" s="190"/>
      <c r="G32" s="190"/>
      <c r="H32" s="190"/>
      <c r="I32" s="190"/>
      <c r="J32" s="191"/>
    </row>
    <row r="33" spans="1:10" x14ac:dyDescent="0.35">
      <c r="A33" s="185" t="s">
        <v>443</v>
      </c>
      <c r="B33" s="186"/>
      <c r="C33" s="186" t="s">
        <v>537</v>
      </c>
      <c r="D33" s="186"/>
      <c r="E33" s="186"/>
      <c r="F33" s="186"/>
      <c r="G33" s="186"/>
      <c r="H33" s="186"/>
      <c r="I33" s="186"/>
      <c r="J33" s="187"/>
    </row>
    <row r="34" spans="1:10" x14ac:dyDescent="0.35">
      <c r="A34" s="206"/>
      <c r="B34" s="207"/>
      <c r="C34" s="207" t="s">
        <v>538</v>
      </c>
      <c r="D34" s="207"/>
      <c r="E34" s="207"/>
      <c r="F34" s="207"/>
      <c r="G34" s="207"/>
      <c r="H34" s="207"/>
      <c r="I34" s="207"/>
      <c r="J34" s="208"/>
    </row>
    <row r="35" spans="1:10" ht="15" thickBot="1" x14ac:dyDescent="0.4">
      <c r="A35" s="189"/>
      <c r="B35" s="190"/>
      <c r="C35" s="190"/>
      <c r="D35" s="190"/>
      <c r="E35" s="190"/>
      <c r="F35" s="190"/>
      <c r="G35" s="190"/>
      <c r="H35" s="190"/>
      <c r="I35" s="190"/>
      <c r="J35" s="191"/>
    </row>
    <row r="36" spans="1:10" x14ac:dyDescent="0.35">
      <c r="A36" s="185" t="s">
        <v>344</v>
      </c>
      <c r="B36" s="186"/>
      <c r="C36" s="186"/>
      <c r="D36" s="186"/>
      <c r="E36" s="186"/>
      <c r="F36" s="186"/>
      <c r="G36" s="186"/>
      <c r="H36" s="186"/>
      <c r="I36" s="186"/>
      <c r="J36" s="187"/>
    </row>
    <row r="37" spans="1:10" x14ac:dyDescent="0.35">
      <c r="A37" s="206"/>
      <c r="B37" s="207"/>
      <c r="C37" s="2412"/>
      <c r="D37" s="2412"/>
      <c r="E37" s="2412"/>
      <c r="F37" s="2412"/>
      <c r="G37" s="2412"/>
      <c r="H37" s="2412"/>
      <c r="I37" s="2412"/>
      <c r="J37" s="2413"/>
    </row>
    <row r="38" spans="1:10" ht="30" customHeight="1" thickBot="1" x14ac:dyDescent="0.4">
      <c r="A38" s="189"/>
      <c r="B38" s="190"/>
      <c r="C38" s="2416"/>
      <c r="D38" s="2416"/>
      <c r="E38" s="2416"/>
      <c r="F38" s="2416"/>
      <c r="G38" s="2416"/>
      <c r="H38" s="2416"/>
      <c r="I38" s="2416"/>
      <c r="J38" s="2417"/>
    </row>
    <row r="39" spans="1:10" x14ac:dyDescent="0.35">
      <c r="A39" s="118" t="s">
        <v>3410</v>
      </c>
      <c r="B39" s="94"/>
      <c r="C39" s="94" t="s">
        <v>3412</v>
      </c>
      <c r="D39" s="94"/>
      <c r="E39" s="94"/>
      <c r="F39" s="94"/>
      <c r="G39" s="94"/>
      <c r="H39" s="94"/>
      <c r="I39" s="94"/>
      <c r="J39" s="95"/>
    </row>
    <row r="40" spans="1:10" x14ac:dyDescent="0.35">
      <c r="A40" s="311"/>
      <c r="B40" s="67"/>
      <c r="C40" s="67" t="s">
        <v>3413</v>
      </c>
      <c r="D40" s="67"/>
      <c r="E40" s="67"/>
      <c r="F40" s="67"/>
      <c r="G40" s="67"/>
      <c r="H40" s="67"/>
      <c r="I40" s="67"/>
      <c r="J40" s="310"/>
    </row>
    <row r="41" spans="1:10" ht="15" thickBot="1" x14ac:dyDescent="0.4">
      <c r="A41" s="111" t="s">
        <v>3411</v>
      </c>
      <c r="B41" s="99"/>
      <c r="C41" s="99" t="s">
        <v>3414</v>
      </c>
      <c r="D41" s="99"/>
      <c r="E41" s="99"/>
      <c r="F41" s="99"/>
      <c r="G41" s="99"/>
      <c r="H41" s="99"/>
      <c r="I41" s="99"/>
      <c r="J41" s="100"/>
    </row>
    <row r="43" spans="1:10" ht="31.5" customHeight="1" x14ac:dyDescent="0.35"/>
    <row r="46" spans="1:10" ht="15" thickBot="1" x14ac:dyDescent="0.4"/>
    <row r="47" spans="1:10" ht="15" thickBot="1" x14ac:dyDescent="0.4">
      <c r="A47" s="122" t="s">
        <v>539</v>
      </c>
      <c r="B47" s="123"/>
      <c r="C47" s="78"/>
      <c r="D47" s="78"/>
      <c r="E47" s="78"/>
      <c r="F47" s="78"/>
      <c r="G47" s="78"/>
      <c r="H47" s="78"/>
      <c r="I47" s="79"/>
    </row>
    <row r="49" spans="1:13" x14ac:dyDescent="0.35">
      <c r="A49" s="209" t="s">
        <v>342</v>
      </c>
      <c r="B49" s="209"/>
      <c r="C49" s="209" t="s">
        <v>540</v>
      </c>
      <c r="D49" s="209" t="s">
        <v>541</v>
      </c>
    </row>
    <row r="50" spans="1:13" x14ac:dyDescent="0.35">
      <c r="A50" s="1" t="s">
        <v>356</v>
      </c>
      <c r="B50" s="1" t="s">
        <v>542</v>
      </c>
      <c r="C50" s="210" t="s">
        <v>512</v>
      </c>
      <c r="D50" s="211">
        <v>0.8</v>
      </c>
    </row>
    <row r="51" spans="1:13" x14ac:dyDescent="0.35">
      <c r="A51" s="1" t="s">
        <v>494</v>
      </c>
      <c r="B51" s="1" t="s">
        <v>543</v>
      </c>
      <c r="C51" s="210" t="s">
        <v>544</v>
      </c>
      <c r="D51" s="211"/>
      <c r="I51" s="2414" t="s">
        <v>2779</v>
      </c>
      <c r="J51" s="2415"/>
    </row>
    <row r="52" spans="1:13" x14ac:dyDescent="0.35">
      <c r="A52" s="1" t="s">
        <v>358</v>
      </c>
      <c r="B52" s="1" t="s">
        <v>545</v>
      </c>
      <c r="C52" s="1" t="s">
        <v>358</v>
      </c>
      <c r="D52" s="212">
        <v>0.64</v>
      </c>
      <c r="I52" s="1" t="s">
        <v>2780</v>
      </c>
      <c r="J52" s="1">
        <f>40*2</f>
        <v>80</v>
      </c>
    </row>
    <row r="53" spans="1:13" x14ac:dyDescent="0.35">
      <c r="I53" s="1" t="s">
        <v>2120</v>
      </c>
      <c r="J53" s="1">
        <v>60</v>
      </c>
    </row>
    <row r="54" spans="1:13" x14ac:dyDescent="0.35">
      <c r="I54" s="1" t="s">
        <v>1165</v>
      </c>
      <c r="J54" s="1">
        <f>+SUM(J52:J53)</f>
        <v>140</v>
      </c>
    </row>
    <row r="55" spans="1:13" x14ac:dyDescent="0.35">
      <c r="A55" s="213" t="s">
        <v>546</v>
      </c>
      <c r="B55" s="213" t="s">
        <v>443</v>
      </c>
      <c r="C55" s="69"/>
      <c r="D55" s="209" t="s">
        <v>546</v>
      </c>
      <c r="E55" s="209" t="s">
        <v>443</v>
      </c>
      <c r="F55" s="209" t="s">
        <v>363</v>
      </c>
      <c r="G55" s="209" t="s">
        <v>547</v>
      </c>
    </row>
    <row r="56" spans="1:13" x14ac:dyDescent="0.35">
      <c r="A56" s="1" t="s">
        <v>356</v>
      </c>
      <c r="B56" s="214">
        <v>20</v>
      </c>
      <c r="C56" s="69"/>
      <c r="D56" s="1"/>
      <c r="E56" s="215"/>
      <c r="F56" s="216"/>
      <c r="G56" s="1"/>
    </row>
    <row r="57" spans="1:13" x14ac:dyDescent="0.35">
      <c r="A57" s="1" t="s">
        <v>494</v>
      </c>
      <c r="B57" s="214">
        <v>20</v>
      </c>
      <c r="C57" s="69"/>
      <c r="D57" s="1" t="s">
        <v>511</v>
      </c>
      <c r="E57" s="215"/>
      <c r="F57" s="216">
        <f>F130</f>
        <v>0.64400000000000002</v>
      </c>
      <c r="G57" s="1">
        <v>0.95</v>
      </c>
    </row>
    <row r="58" spans="1:13" x14ac:dyDescent="0.35">
      <c r="A58" s="217" t="s">
        <v>358</v>
      </c>
      <c r="B58" s="218">
        <v>6</v>
      </c>
      <c r="C58" s="219"/>
      <c r="D58" s="1" t="s">
        <v>515</v>
      </c>
      <c r="E58" s="215"/>
      <c r="F58" s="216">
        <f>F130</f>
        <v>0.64400000000000002</v>
      </c>
      <c r="G58" s="1">
        <v>0.97</v>
      </c>
    </row>
    <row r="59" spans="1:13" x14ac:dyDescent="0.35">
      <c r="J59" s="220"/>
    </row>
    <row r="60" spans="1:13" ht="25.5" customHeight="1" thickBot="1" x14ac:dyDescent="0.4">
      <c r="B60" s="2311" t="s">
        <v>547</v>
      </c>
      <c r="C60" s="2249" t="s">
        <v>344</v>
      </c>
      <c r="D60" s="2250"/>
    </row>
    <row r="61" spans="1:13" ht="26" x14ac:dyDescent="0.35">
      <c r="B61" s="2311"/>
      <c r="C61" s="70" t="s">
        <v>513</v>
      </c>
      <c r="D61" s="70" t="s">
        <v>548</v>
      </c>
      <c r="G61" s="1891" t="s">
        <v>370</v>
      </c>
      <c r="H61" s="1892" t="s">
        <v>1461</v>
      </c>
      <c r="J61" s="2409" t="s">
        <v>550</v>
      </c>
      <c r="K61" s="2410"/>
      <c r="M61" s="74"/>
    </row>
    <row r="62" spans="1:13" x14ac:dyDescent="0.35">
      <c r="A62" t="s">
        <v>551</v>
      </c>
      <c r="B62" s="223">
        <v>0.9</v>
      </c>
      <c r="C62" s="71">
        <v>630</v>
      </c>
      <c r="D62" s="71">
        <v>630</v>
      </c>
      <c r="G62" s="1889" t="s">
        <v>457</v>
      </c>
      <c r="H62" s="1890">
        <v>1022</v>
      </c>
      <c r="J62" s="1885" t="s">
        <v>355</v>
      </c>
      <c r="K62" s="1886">
        <v>1</v>
      </c>
      <c r="L62" s="226"/>
    </row>
    <row r="63" spans="1:13" x14ac:dyDescent="0.35">
      <c r="A63" t="s">
        <v>552</v>
      </c>
      <c r="B63" s="223">
        <v>0.91</v>
      </c>
      <c r="C63" s="71">
        <v>716</v>
      </c>
      <c r="D63" s="71">
        <v>716</v>
      </c>
      <c r="E63" s="72"/>
      <c r="G63" s="1889" t="s">
        <v>459</v>
      </c>
      <c r="H63" s="1890">
        <v>976</v>
      </c>
      <c r="J63" s="1885" t="s">
        <v>361</v>
      </c>
      <c r="K63" s="1886">
        <v>0.65</v>
      </c>
      <c r="L63" s="226"/>
    </row>
    <row r="64" spans="1:13" ht="15" thickBot="1" x14ac:dyDescent="0.4">
      <c r="A64" t="s">
        <v>516</v>
      </c>
      <c r="B64" s="223">
        <v>0.92</v>
      </c>
      <c r="C64" s="71">
        <v>802</v>
      </c>
      <c r="D64" s="71">
        <v>802</v>
      </c>
      <c r="G64" s="1889" t="s">
        <v>461</v>
      </c>
      <c r="H64" s="1890">
        <v>836</v>
      </c>
      <c r="J64" s="1887" t="s">
        <v>468</v>
      </c>
      <c r="K64" s="1888" t="s">
        <v>295</v>
      </c>
    </row>
    <row r="65" spans="1:13" x14ac:dyDescent="0.35">
      <c r="A65" t="s">
        <v>553</v>
      </c>
      <c r="B65" s="223">
        <v>0.93</v>
      </c>
      <c r="C65" s="71">
        <v>1014</v>
      </c>
      <c r="D65" s="71">
        <v>1014</v>
      </c>
      <c r="G65" s="1889" t="s">
        <v>463</v>
      </c>
      <c r="H65" s="1890">
        <v>645</v>
      </c>
    </row>
    <row r="66" spans="1:13" x14ac:dyDescent="0.35">
      <c r="A66" t="s">
        <v>554</v>
      </c>
      <c r="B66" s="223">
        <v>0.94</v>
      </c>
      <c r="C66" s="71">
        <v>1226</v>
      </c>
      <c r="D66" s="71">
        <v>1226</v>
      </c>
      <c r="E66" s="72"/>
      <c r="G66" s="1889" t="s">
        <v>464</v>
      </c>
      <c r="H66" s="1890">
        <v>656</v>
      </c>
    </row>
    <row r="67" spans="1:13" x14ac:dyDescent="0.35">
      <c r="A67" t="s">
        <v>511</v>
      </c>
      <c r="B67" s="223">
        <v>0.95</v>
      </c>
      <c r="C67" s="71">
        <v>1438</v>
      </c>
      <c r="D67" s="71">
        <v>1438</v>
      </c>
      <c r="G67" s="1889" t="s">
        <v>399</v>
      </c>
      <c r="H67" s="1890">
        <v>928</v>
      </c>
    </row>
    <row r="68" spans="1:13" x14ac:dyDescent="0.35">
      <c r="A68" t="s">
        <v>555</v>
      </c>
      <c r="B68" s="223">
        <v>0.96</v>
      </c>
      <c r="C68" s="71">
        <v>1650</v>
      </c>
      <c r="D68" s="71">
        <v>1650</v>
      </c>
      <c r="G68" s="227"/>
      <c r="H68" s="228"/>
      <c r="M68" s="229"/>
    </row>
    <row r="69" spans="1:13" x14ac:dyDescent="0.35">
      <c r="A69" t="s">
        <v>399</v>
      </c>
      <c r="B69" s="223">
        <v>0.95</v>
      </c>
      <c r="C69" s="71">
        <f>C68</f>
        <v>1650</v>
      </c>
      <c r="D69" s="71">
        <f>D68</f>
        <v>1650</v>
      </c>
      <c r="M69" s="229"/>
    </row>
    <row r="71" spans="1:13" ht="15" hidden="1" thickBot="1" x14ac:dyDescent="0.4">
      <c r="A71" s="230" t="s">
        <v>556</v>
      </c>
      <c r="C71" s="184"/>
      <c r="D71" s="184"/>
      <c r="E71" s="184"/>
    </row>
    <row r="72" spans="1:13" ht="15" hidden="1" thickBot="1" x14ac:dyDescent="0.4">
      <c r="A72" s="70" t="s">
        <v>557</v>
      </c>
      <c r="B72" s="70" t="s">
        <v>558</v>
      </c>
      <c r="C72" s="184"/>
      <c r="D72" s="231" t="s">
        <v>372</v>
      </c>
      <c r="E72" s="232" t="s">
        <v>378</v>
      </c>
    </row>
    <row r="73" spans="1:13" ht="15" hidden="1" thickBot="1" x14ac:dyDescent="0.4">
      <c r="A73" s="233" t="s">
        <v>551</v>
      </c>
      <c r="B73" s="233" t="s">
        <v>559</v>
      </c>
      <c r="C73" s="234"/>
      <c r="D73" s="235" t="s">
        <v>355</v>
      </c>
      <c r="E73" s="236">
        <v>1</v>
      </c>
    </row>
    <row r="74" spans="1:13" ht="15" hidden="1" thickBot="1" x14ac:dyDescent="0.4">
      <c r="A74" s="233" t="s">
        <v>552</v>
      </c>
      <c r="B74" s="233" t="s">
        <v>559</v>
      </c>
      <c r="C74" s="237"/>
      <c r="D74" s="235" t="s">
        <v>361</v>
      </c>
      <c r="E74" s="238">
        <v>0.65</v>
      </c>
    </row>
    <row r="75" spans="1:13" ht="15" hidden="1" thickBot="1" x14ac:dyDescent="0.4">
      <c r="A75" s="233" t="s">
        <v>516</v>
      </c>
      <c r="B75" s="233" t="s">
        <v>560</v>
      </c>
      <c r="C75" s="239"/>
      <c r="D75" s="235" t="s">
        <v>468</v>
      </c>
      <c r="E75" s="240" t="s">
        <v>295</v>
      </c>
    </row>
    <row r="76" spans="1:13" hidden="1" x14ac:dyDescent="0.35">
      <c r="A76" s="233" t="s">
        <v>553</v>
      </c>
      <c r="B76" s="233" t="s">
        <v>560</v>
      </c>
      <c r="C76" s="239"/>
      <c r="D76" s="239"/>
    </row>
    <row r="77" spans="1:13" hidden="1" x14ac:dyDescent="0.35">
      <c r="A77" s="233" t="s">
        <v>554</v>
      </c>
      <c r="B77" s="233" t="s">
        <v>560</v>
      </c>
      <c r="C77" s="239"/>
      <c r="D77" s="239"/>
      <c r="E77" s="184"/>
    </row>
    <row r="78" spans="1:13" hidden="1" x14ac:dyDescent="0.35">
      <c r="A78" s="233" t="s">
        <v>511</v>
      </c>
      <c r="B78" s="233" t="s">
        <v>561</v>
      </c>
      <c r="C78" s="241"/>
      <c r="D78" s="241"/>
    </row>
    <row r="79" spans="1:13" hidden="1" x14ac:dyDescent="0.35">
      <c r="A79" s="233" t="s">
        <v>555</v>
      </c>
      <c r="B79" s="233" t="s">
        <v>561</v>
      </c>
      <c r="C79" s="241"/>
      <c r="D79" s="241"/>
    </row>
    <row r="80" spans="1:13" hidden="1" x14ac:dyDescent="0.35">
      <c r="A80" s="233" t="s">
        <v>515</v>
      </c>
      <c r="B80" s="233" t="s">
        <v>562</v>
      </c>
    </row>
    <row r="81" spans="1:15" ht="15" thickBot="1" x14ac:dyDescent="0.4">
      <c r="B81" s="242" t="s">
        <v>563</v>
      </c>
      <c r="C81" s="184"/>
      <c r="D81" s="184"/>
      <c r="E81" s="184"/>
      <c r="G81" s="184"/>
    </row>
    <row r="82" spans="1:15" ht="39" x14ac:dyDescent="0.35">
      <c r="B82" s="243" t="s">
        <v>547</v>
      </c>
      <c r="C82" s="243" t="s">
        <v>564</v>
      </c>
      <c r="D82" s="243" t="s">
        <v>565</v>
      </c>
      <c r="E82" s="243" t="s">
        <v>566</v>
      </c>
      <c r="F82" s="243" t="s">
        <v>567</v>
      </c>
      <c r="G82" s="244"/>
    </row>
    <row r="83" spans="1:15" ht="15" thickBot="1" x14ac:dyDescent="0.4">
      <c r="B83" s="245"/>
      <c r="C83" s="245"/>
      <c r="D83" s="245"/>
      <c r="E83" s="245"/>
      <c r="F83" s="245"/>
      <c r="G83" s="246"/>
    </row>
    <row r="84" spans="1:15" ht="15" thickBot="1" x14ac:dyDescent="0.4">
      <c r="B84" s="247">
        <v>0.8</v>
      </c>
      <c r="C84" s="248">
        <v>2011</v>
      </c>
      <c r="D84" s="249" t="s">
        <v>568</v>
      </c>
      <c r="E84" s="249"/>
      <c r="F84" s="250"/>
      <c r="G84" s="251"/>
    </row>
    <row r="85" spans="1:15" ht="15" thickBot="1" x14ac:dyDescent="0.4">
      <c r="A85" t="s">
        <v>551</v>
      </c>
      <c r="B85" s="247">
        <v>0.9</v>
      </c>
      <c r="C85" s="248">
        <v>2641</v>
      </c>
      <c r="D85" s="248">
        <f>D62</f>
        <v>630</v>
      </c>
      <c r="E85" s="248"/>
      <c r="F85" s="252"/>
      <c r="G85" s="251"/>
    </row>
    <row r="86" spans="1:15" ht="15" thickBot="1" x14ac:dyDescent="0.4">
      <c r="A86" t="s">
        <v>552</v>
      </c>
      <c r="B86" s="247">
        <v>0.91</v>
      </c>
      <c r="C86" s="248">
        <v>2727</v>
      </c>
      <c r="D86" s="248">
        <f>D63</f>
        <v>716</v>
      </c>
      <c r="E86" s="248"/>
      <c r="F86" s="252"/>
      <c r="G86" s="246"/>
    </row>
    <row r="87" spans="1:15" ht="15" thickBot="1" x14ac:dyDescent="0.4">
      <c r="A87" t="s">
        <v>516</v>
      </c>
      <c r="B87" s="247">
        <v>0.92</v>
      </c>
      <c r="C87" s="248">
        <v>2813</v>
      </c>
      <c r="D87" s="248">
        <f>D64</f>
        <v>802</v>
      </c>
      <c r="E87" s="248"/>
      <c r="F87" s="253"/>
      <c r="G87" s="251"/>
    </row>
    <row r="88" spans="1:15" ht="15" thickBot="1" x14ac:dyDescent="0.4">
      <c r="A88" t="s">
        <v>553</v>
      </c>
      <c r="B88" s="254">
        <v>0.92500000000000004</v>
      </c>
      <c r="C88" s="248">
        <v>3025</v>
      </c>
      <c r="D88" s="1893">
        <v>1014</v>
      </c>
      <c r="E88" s="248"/>
      <c r="F88" s="253"/>
      <c r="G88" s="184"/>
    </row>
    <row r="89" spans="1:15" ht="15" thickBot="1" x14ac:dyDescent="0.4">
      <c r="A89" t="s">
        <v>511</v>
      </c>
      <c r="B89" s="247">
        <v>0.95</v>
      </c>
      <c r="C89" s="248">
        <v>3449</v>
      </c>
      <c r="D89" s="1893">
        <v>1438</v>
      </c>
      <c r="E89" s="248"/>
      <c r="F89" s="255"/>
      <c r="G89" s="251"/>
    </row>
    <row r="90" spans="1:15" ht="15" thickBot="1" x14ac:dyDescent="0.4">
      <c r="A90" t="s">
        <v>555</v>
      </c>
      <c r="B90" s="247">
        <v>0.96</v>
      </c>
      <c r="C90" s="248">
        <v>3661</v>
      </c>
      <c r="D90" s="1893">
        <v>1650</v>
      </c>
      <c r="E90" s="248"/>
      <c r="F90" s="253"/>
      <c r="G90" s="246"/>
    </row>
    <row r="91" spans="1:15" ht="15" thickBot="1" x14ac:dyDescent="0.4">
      <c r="A91" t="s">
        <v>515</v>
      </c>
      <c r="B91" s="247">
        <v>0.97</v>
      </c>
      <c r="C91" s="252">
        <f>C90+C90-C89</f>
        <v>3873</v>
      </c>
      <c r="D91" s="1894">
        <v>1650</v>
      </c>
      <c r="E91" s="252"/>
      <c r="F91" s="253"/>
      <c r="H91" s="246"/>
    </row>
    <row r="92" spans="1:15" x14ac:dyDescent="0.35">
      <c r="A92" t="s">
        <v>399</v>
      </c>
      <c r="B92" s="256"/>
      <c r="C92" s="257"/>
      <c r="D92" s="257"/>
      <c r="E92" s="257"/>
      <c r="F92" s="258"/>
      <c r="H92" s="246"/>
    </row>
    <row r="93" spans="1:15" x14ac:dyDescent="0.35">
      <c r="B93" s="2411"/>
      <c r="C93" s="2411"/>
      <c r="D93" s="2411"/>
      <c r="E93" s="2411"/>
      <c r="F93" s="2411"/>
      <c r="G93" s="2411"/>
      <c r="H93" s="2411"/>
      <c r="I93" s="2411"/>
      <c r="N93" s="226"/>
      <c r="O93" s="72"/>
    </row>
    <row r="94" spans="1:15" x14ac:dyDescent="0.35">
      <c r="B94" s="1"/>
      <c r="C94" s="269" t="s">
        <v>574</v>
      </c>
      <c r="D94" s="269"/>
      <c r="E94" s="2"/>
      <c r="N94" s="226"/>
      <c r="O94" s="72"/>
    </row>
    <row r="95" spans="1:15" ht="26" x14ac:dyDescent="0.35">
      <c r="B95" s="271" t="s">
        <v>547</v>
      </c>
      <c r="C95" s="271" t="s">
        <v>575</v>
      </c>
      <c r="D95" s="271" t="s">
        <v>576</v>
      </c>
      <c r="E95" s="272" t="s">
        <v>577</v>
      </c>
      <c r="F95" s="273"/>
      <c r="G95" s="273"/>
      <c r="H95" s="259"/>
      <c r="I95" s="260"/>
      <c r="N95" s="226"/>
      <c r="O95" s="72"/>
    </row>
    <row r="96" spans="1:15" x14ac:dyDescent="0.35">
      <c r="B96" s="275" t="s">
        <v>578</v>
      </c>
      <c r="C96" s="275">
        <v>23</v>
      </c>
      <c r="D96" s="276">
        <v>7.0000000000000007E-2</v>
      </c>
      <c r="E96" s="277">
        <v>340</v>
      </c>
      <c r="F96" s="278"/>
      <c r="G96" s="278"/>
      <c r="H96" s="259"/>
      <c r="I96" s="260"/>
      <c r="N96" s="226"/>
      <c r="O96" s="72"/>
    </row>
    <row r="97" spans="2:20" x14ac:dyDescent="0.35">
      <c r="B97" s="275">
        <v>95</v>
      </c>
      <c r="C97" s="275">
        <v>146</v>
      </c>
      <c r="D97" s="276">
        <v>0.24</v>
      </c>
      <c r="E97" s="277">
        <v>617</v>
      </c>
      <c r="F97" s="278"/>
      <c r="G97" s="278"/>
      <c r="H97" s="226"/>
      <c r="I97" s="261"/>
      <c r="N97" s="226"/>
      <c r="O97" s="72"/>
    </row>
    <row r="98" spans="2:20" x14ac:dyDescent="0.35">
      <c r="B98" s="275">
        <v>96</v>
      </c>
      <c r="C98" s="275">
        <v>216</v>
      </c>
      <c r="D98" s="276">
        <v>0.73</v>
      </c>
      <c r="E98" s="277">
        <v>294</v>
      </c>
      <c r="F98" s="278"/>
      <c r="G98" s="278"/>
      <c r="H98" s="226"/>
      <c r="I98" s="226"/>
      <c r="N98" s="226"/>
      <c r="O98" s="72"/>
    </row>
    <row r="99" spans="2:20" x14ac:dyDescent="0.35">
      <c r="B99" s="275">
        <v>97</v>
      </c>
      <c r="C99" s="275">
        <v>123</v>
      </c>
      <c r="D99" s="276">
        <v>0.8</v>
      </c>
      <c r="E99" s="277">
        <v>153</v>
      </c>
      <c r="F99" s="278"/>
      <c r="G99" s="278"/>
      <c r="H99" s="226"/>
      <c r="I99" s="226"/>
    </row>
    <row r="100" spans="2:20" x14ac:dyDescent="0.35">
      <c r="B100" s="275">
        <v>98</v>
      </c>
      <c r="C100" s="275">
        <v>18</v>
      </c>
      <c r="D100" s="276">
        <v>0.95</v>
      </c>
      <c r="E100" s="277">
        <v>19</v>
      </c>
      <c r="F100" s="278"/>
      <c r="G100" s="278"/>
      <c r="L100" s="268"/>
      <c r="M100" s="268"/>
      <c r="N100" s="268"/>
      <c r="O100" s="268"/>
      <c r="P100" s="268"/>
      <c r="Q100" s="268"/>
      <c r="R100" s="268"/>
    </row>
    <row r="101" spans="2:20" x14ac:dyDescent="0.35">
      <c r="B101" s="246" t="s">
        <v>579</v>
      </c>
      <c r="C101" s="246"/>
      <c r="D101" s="246"/>
      <c r="E101" s="246"/>
      <c r="F101" s="246"/>
      <c r="G101" s="246"/>
      <c r="N101" s="273"/>
    </row>
    <row r="102" spans="2:20" ht="15" thickBot="1" x14ac:dyDescent="0.4">
      <c r="N102" s="278"/>
      <c r="O102" s="268"/>
      <c r="P102" s="268"/>
      <c r="Q102" s="268"/>
      <c r="R102" s="268"/>
    </row>
    <row r="103" spans="2:20" ht="15" thickBot="1" x14ac:dyDescent="0.4">
      <c r="B103" s="296" t="s">
        <v>595</v>
      </c>
      <c r="C103" s="297" t="s">
        <v>596</v>
      </c>
      <c r="N103" s="278"/>
    </row>
    <row r="104" spans="2:20" ht="15" thickBot="1" x14ac:dyDescent="0.4">
      <c r="B104" s="298" t="s">
        <v>597</v>
      </c>
      <c r="C104" s="299">
        <v>7.0000000000000007E-2</v>
      </c>
      <c r="N104" s="278"/>
    </row>
    <row r="105" spans="2:20" ht="26.5" thickBot="1" x14ac:dyDescent="0.4">
      <c r="B105" s="298" t="s">
        <v>598</v>
      </c>
      <c r="C105" s="299">
        <v>0.14000000000000001</v>
      </c>
      <c r="D105" s="72"/>
      <c r="N105" s="278"/>
    </row>
    <row r="106" spans="2:20" ht="26.5" thickBot="1" x14ac:dyDescent="0.4">
      <c r="B106" s="298" t="s">
        <v>599</v>
      </c>
      <c r="C106" s="299">
        <v>0.46</v>
      </c>
      <c r="D106" s="72"/>
      <c r="F106" s="242"/>
      <c r="G106" s="263"/>
      <c r="N106" s="278"/>
      <c r="S106" s="184"/>
      <c r="T106" s="184"/>
    </row>
    <row r="107" spans="2:20" x14ac:dyDescent="0.35">
      <c r="F107" s="184"/>
      <c r="G107" s="184"/>
      <c r="N107" s="246"/>
      <c r="O107" s="246"/>
      <c r="P107" s="246"/>
      <c r="Q107" s="246"/>
      <c r="R107" s="246"/>
      <c r="S107" s="184"/>
      <c r="T107" s="184"/>
    </row>
    <row r="108" spans="2:20" x14ac:dyDescent="0.35">
      <c r="F108" s="184"/>
      <c r="G108" s="184"/>
      <c r="S108" s="184"/>
      <c r="T108" s="184"/>
    </row>
    <row r="109" spans="2:20" x14ac:dyDescent="0.35">
      <c r="F109" s="184"/>
      <c r="G109" s="259"/>
      <c r="S109" s="184"/>
      <c r="T109" s="184"/>
    </row>
    <row r="110" spans="2:20" x14ac:dyDescent="0.35">
      <c r="F110" s="184"/>
      <c r="G110" s="259"/>
      <c r="S110" s="184"/>
      <c r="T110" s="184"/>
    </row>
    <row r="111" spans="2:20" x14ac:dyDescent="0.35">
      <c r="F111" s="184"/>
      <c r="G111" s="259"/>
      <c r="S111" s="184"/>
      <c r="T111" s="184"/>
    </row>
    <row r="112" spans="2:20" x14ac:dyDescent="0.35">
      <c r="F112" s="184"/>
      <c r="G112" s="259"/>
      <c r="H112" s="146"/>
      <c r="I112" s="146"/>
      <c r="J112" s="146"/>
      <c r="K112" s="146"/>
      <c r="L112" s="146"/>
      <c r="M112" s="146"/>
      <c r="N112" s="146"/>
      <c r="O112" s="146"/>
      <c r="P112" s="146"/>
      <c r="Q112" s="146"/>
      <c r="R112" s="146"/>
      <c r="S112" s="184"/>
      <c r="T112" s="184"/>
    </row>
    <row r="114" spans="1:44" x14ac:dyDescent="0.35">
      <c r="B114" s="266"/>
      <c r="C114" s="267"/>
      <c r="D114" s="267"/>
      <c r="E114" s="242"/>
      <c r="F114" s="263"/>
      <c r="G114" s="263"/>
      <c r="AE114" s="268"/>
      <c r="AF114" s="268"/>
      <c r="AG114" s="268"/>
      <c r="AH114" s="268"/>
      <c r="AI114" s="268"/>
      <c r="AJ114" s="268"/>
    </row>
    <row r="115" spans="1:44" x14ac:dyDescent="0.35">
      <c r="A115" s="242"/>
      <c r="B115" s="184"/>
      <c r="C115" s="270"/>
      <c r="E115" s="242"/>
      <c r="F115" s="184"/>
      <c r="G115" s="184"/>
    </row>
    <row r="116" spans="1:44" x14ac:dyDescent="0.35">
      <c r="A116" s="242"/>
      <c r="B116" s="242"/>
      <c r="C116" s="242"/>
      <c r="D116" s="268"/>
      <c r="E116" s="274"/>
      <c r="F116" s="274"/>
      <c r="G116" s="274"/>
      <c r="AE116" s="268"/>
      <c r="AF116" s="268"/>
      <c r="AG116" s="268"/>
      <c r="AH116" s="268"/>
    </row>
    <row r="117" spans="1:44" x14ac:dyDescent="0.35">
      <c r="A117" s="242"/>
      <c r="B117" s="242"/>
      <c r="C117" s="242"/>
      <c r="E117" s="274"/>
      <c r="F117" s="279"/>
      <c r="G117" s="279"/>
    </row>
    <row r="118" spans="1:44" x14ac:dyDescent="0.35">
      <c r="A118" s="184"/>
      <c r="B118" s="280"/>
      <c r="C118" s="280"/>
      <c r="E118" s="281"/>
      <c r="F118" s="282"/>
      <c r="G118" s="282"/>
    </row>
    <row r="119" spans="1:44" x14ac:dyDescent="0.35">
      <c r="A119" s="184"/>
      <c r="B119" s="280"/>
      <c r="C119" s="280"/>
      <c r="E119" s="283"/>
      <c r="F119" s="184"/>
      <c r="G119" s="184"/>
    </row>
    <row r="120" spans="1:44" x14ac:dyDescent="0.35">
      <c r="A120" s="184"/>
      <c r="B120" s="280"/>
      <c r="C120" s="280"/>
      <c r="E120" s="283"/>
      <c r="F120" s="284"/>
      <c r="G120" s="284"/>
    </row>
    <row r="121" spans="1:44" x14ac:dyDescent="0.35">
      <c r="A121" s="184"/>
      <c r="B121" s="184"/>
      <c r="C121" s="184"/>
      <c r="E121" s="283"/>
      <c r="F121" s="284"/>
      <c r="G121" s="284"/>
      <c r="AE121" s="246"/>
    </row>
    <row r="122" spans="1:44" hidden="1" x14ac:dyDescent="0.35">
      <c r="E122" s="184"/>
      <c r="F122" s="184"/>
      <c r="G122" s="184"/>
    </row>
    <row r="123" spans="1:44" hidden="1" x14ac:dyDescent="0.35">
      <c r="A123" s="184" t="s">
        <v>580</v>
      </c>
    </row>
    <row r="124" spans="1:44" hidden="1" x14ac:dyDescent="0.35">
      <c r="A124" s="184"/>
      <c r="G124" s="60"/>
    </row>
    <row r="125" spans="1:44" hidden="1" x14ac:dyDescent="0.35">
      <c r="A125" s="184" t="s">
        <v>581</v>
      </c>
      <c r="F125">
        <v>2017</v>
      </c>
      <c r="G125">
        <v>2018</v>
      </c>
      <c r="AE125">
        <v>2043</v>
      </c>
      <c r="AF125">
        <v>2044</v>
      </c>
      <c r="AG125">
        <v>2045</v>
      </c>
      <c r="AH125">
        <v>2046</v>
      </c>
      <c r="AI125">
        <v>2047</v>
      </c>
      <c r="AJ125">
        <v>2048</v>
      </c>
      <c r="AK125">
        <v>2049</v>
      </c>
      <c r="AL125">
        <v>2050</v>
      </c>
      <c r="AM125">
        <v>2051</v>
      </c>
      <c r="AN125">
        <v>2052</v>
      </c>
      <c r="AO125">
        <v>2053</v>
      </c>
      <c r="AP125">
        <v>2054</v>
      </c>
      <c r="AQ125">
        <v>2055</v>
      </c>
      <c r="AR125">
        <v>2056</v>
      </c>
    </row>
    <row r="126" spans="1:44" hidden="1" x14ac:dyDescent="0.35">
      <c r="A126" t="s">
        <v>582</v>
      </c>
      <c r="F126" s="146">
        <v>0.71104840886146892</v>
      </c>
      <c r="G126" s="146">
        <v>0.74302738318109951</v>
      </c>
      <c r="AE126" s="146">
        <v>1.9811844738034685</v>
      </c>
      <c r="AF126" s="146">
        <v>2.0419208091084871</v>
      </c>
      <c r="AG126" s="146">
        <v>2.1049729708866662</v>
      </c>
      <c r="AH126">
        <v>2.1714333009206834</v>
      </c>
      <c r="AI126">
        <v>2.2394659943681909</v>
      </c>
      <c r="AJ126">
        <v>2.3103373520014236</v>
      </c>
      <c r="AK126">
        <v>2.3802227665925115</v>
      </c>
      <c r="AL126">
        <v>2.4542353529335315</v>
      </c>
      <c r="AM126">
        <v>2.5295028948067828</v>
      </c>
      <c r="AN126">
        <v>2.6067650515512657</v>
      </c>
      <c r="AO126">
        <v>2.6861057951150413</v>
      </c>
      <c r="AP126">
        <v>2.7676104269623965</v>
      </c>
      <c r="AQ126">
        <v>2.8513652899839479</v>
      </c>
      <c r="AR126">
        <v>2.9374574428893712</v>
      </c>
    </row>
    <row r="127" spans="1:44" hidden="1" x14ac:dyDescent="0.35">
      <c r="F127" s="68" t="s">
        <v>583</v>
      </c>
    </row>
    <row r="128" spans="1:44" hidden="1" x14ac:dyDescent="0.35">
      <c r="D128" s="285"/>
      <c r="E128" s="1"/>
      <c r="F128" s="1" t="s">
        <v>584</v>
      </c>
      <c r="G128" s="1"/>
    </row>
    <row r="129" spans="2:18" ht="29" hidden="1" x14ac:dyDescent="0.35">
      <c r="D129" s="286"/>
      <c r="E129" s="286"/>
      <c r="F129" s="286" t="s">
        <v>585</v>
      </c>
      <c r="G129" s="286" t="s">
        <v>586</v>
      </c>
    </row>
    <row r="130" spans="2:18" hidden="1" x14ac:dyDescent="0.35">
      <c r="B130" t="s">
        <v>587</v>
      </c>
      <c r="D130" s="287"/>
      <c r="E130" s="288"/>
      <c r="F130" s="287">
        <v>0.64400000000000002</v>
      </c>
      <c r="G130" s="289">
        <v>0.9</v>
      </c>
    </row>
    <row r="131" spans="2:18" hidden="1" x14ac:dyDescent="0.35">
      <c r="B131" t="s">
        <v>588</v>
      </c>
      <c r="D131" s="287"/>
      <c r="E131" s="1"/>
      <c r="F131" s="287">
        <v>0.95</v>
      </c>
      <c r="G131" s="25"/>
    </row>
    <row r="132" spans="2:18" hidden="1" x14ac:dyDescent="0.35">
      <c r="B132" t="s">
        <v>589</v>
      </c>
      <c r="D132" s="224"/>
      <c r="E132" s="1"/>
      <c r="F132" s="224">
        <f>H63</f>
        <v>976</v>
      </c>
      <c r="G132" s="25"/>
    </row>
    <row r="133" spans="2:18" hidden="1" x14ac:dyDescent="0.35">
      <c r="B133" t="s">
        <v>590</v>
      </c>
      <c r="D133" s="290"/>
      <c r="E133" s="1"/>
      <c r="F133" s="291">
        <f>P7</f>
        <v>415.24096034400361</v>
      </c>
      <c r="G133" s="25">
        <f>ROUND(((1/G130)-(1/F131))*F132,0)</f>
        <v>57</v>
      </c>
    </row>
    <row r="134" spans="2:18" hidden="1" x14ac:dyDescent="0.35">
      <c r="B134" t="s">
        <v>443</v>
      </c>
      <c r="D134" s="1"/>
      <c r="E134" s="1"/>
      <c r="F134" s="25">
        <v>6</v>
      </c>
      <c r="G134" s="25">
        <v>14</v>
      </c>
    </row>
    <row r="135" spans="2:18" hidden="1" x14ac:dyDescent="0.35">
      <c r="B135" t="s">
        <v>569</v>
      </c>
      <c r="D135" s="292"/>
      <c r="E135" s="1"/>
      <c r="F135" s="293" t="e">
        <f>#REF!</f>
        <v>#REF!</v>
      </c>
      <c r="G135" s="25"/>
    </row>
    <row r="136" spans="2:18" hidden="1" x14ac:dyDescent="0.35">
      <c r="B136" t="s">
        <v>570</v>
      </c>
      <c r="D136" s="292"/>
      <c r="E136" s="1"/>
      <c r="F136" s="293" t="e">
        <f>#REF!</f>
        <v>#REF!</v>
      </c>
      <c r="G136" s="25"/>
      <c r="H136" s="184"/>
      <c r="I136" s="184"/>
      <c r="J136" s="184"/>
      <c r="K136" s="184"/>
      <c r="L136" s="184"/>
      <c r="M136" s="184"/>
      <c r="N136" s="184"/>
      <c r="O136" s="184"/>
      <c r="P136" s="184"/>
      <c r="Q136" s="184"/>
      <c r="R136" s="184"/>
    </row>
    <row r="137" spans="2:18" hidden="1" x14ac:dyDescent="0.35">
      <c r="B137" t="s">
        <v>571</v>
      </c>
      <c r="D137" s="292"/>
      <c r="E137" s="1"/>
      <c r="F137" s="293" t="e">
        <f>#REF!</f>
        <v>#REF!</v>
      </c>
      <c r="G137" s="25"/>
      <c r="H137" s="293" t="e">
        <f>#REF!</f>
        <v>#REF!</v>
      </c>
      <c r="I137" s="25"/>
    </row>
    <row r="138" spans="2:18" hidden="1" x14ac:dyDescent="0.35">
      <c r="B138" t="s">
        <v>591</v>
      </c>
      <c r="D138" s="292"/>
      <c r="E138" s="292"/>
      <c r="F138" s="293">
        <f>C89</f>
        <v>3449</v>
      </c>
      <c r="G138" s="293">
        <f>PV($I$97,6,0,-$I$98)</f>
        <v>0</v>
      </c>
      <c r="H138" s="293">
        <v>3873</v>
      </c>
      <c r="I138" s="293">
        <f>PV($I$97,6,0,-$I$98)</f>
        <v>0</v>
      </c>
      <c r="K138" s="72"/>
    </row>
    <row r="139" spans="2:18" hidden="1" x14ac:dyDescent="0.35">
      <c r="B139" t="s">
        <v>592</v>
      </c>
      <c r="D139" s="292"/>
      <c r="E139" s="1"/>
      <c r="F139" s="293">
        <f>F138-G138</f>
        <v>3449</v>
      </c>
      <c r="G139" s="25"/>
      <c r="H139" s="293">
        <f>H138-I138</f>
        <v>3873</v>
      </c>
      <c r="I139" s="25"/>
    </row>
    <row r="140" spans="2:18" hidden="1" x14ac:dyDescent="0.35">
      <c r="B140" t="s">
        <v>593</v>
      </c>
      <c r="D140" s="292"/>
      <c r="E140" s="1"/>
      <c r="F140" s="293" t="e">
        <f>F139-F137</f>
        <v>#REF!</v>
      </c>
      <c r="G140" s="25"/>
      <c r="H140" s="293" t="e">
        <f>H139-H137</f>
        <v>#REF!</v>
      </c>
      <c r="I140" s="25"/>
    </row>
    <row r="141" spans="2:18" hidden="1" x14ac:dyDescent="0.35">
      <c r="B141" t="s">
        <v>594</v>
      </c>
      <c r="D141" s="26"/>
      <c r="E141" s="26"/>
      <c r="F141" s="28">
        <f ca="1">ROUND(NPV($I$97,OFFSET($F$126,0,0,1,F$134))*F133,0)</f>
        <v>604</v>
      </c>
      <c r="G141" s="28">
        <f ca="1">ROUND(PV($I$97,F134,0,(-(NPV($I$97,OFFSET($F$126,0,F134,1,G134))*G133))),0)</f>
        <v>0</v>
      </c>
      <c r="H141" s="28" t="e">
        <f ca="1">ROUND(NPV($I$97,OFFSET($F$126,0,0,1,#REF!))*#REF!,0)</f>
        <v>#REF!</v>
      </c>
      <c r="I141" s="28" t="e">
        <f ca="1">ROUND(PV($I$97,#REF!,0,(-(NPV($I$97,OFFSET($F$126,0,#REF!,1,#REF!))*#REF!))),0)</f>
        <v>#REF!</v>
      </c>
    </row>
    <row r="142" spans="2:18" hidden="1" x14ac:dyDescent="0.35">
      <c r="D142" s="1"/>
      <c r="E142" s="1"/>
      <c r="F142" s="1"/>
      <c r="G142" s="1"/>
      <c r="H142" s="1"/>
      <c r="I142" s="1"/>
    </row>
    <row r="143" spans="2:18" hidden="1" x14ac:dyDescent="0.35">
      <c r="D143" s="1"/>
      <c r="E143" s="1"/>
      <c r="F143" s="1"/>
      <c r="G143" s="1"/>
      <c r="H143" s="1"/>
      <c r="I143" s="1"/>
    </row>
    <row r="144" spans="2:18" hidden="1" x14ac:dyDescent="0.35">
      <c r="D144" s="32"/>
    </row>
    <row r="145" spans="2:44" hidden="1" x14ac:dyDescent="0.35"/>
    <row r="146" spans="2:44" hidden="1" x14ac:dyDescent="0.35"/>
    <row r="147" spans="2:44" hidden="1" x14ac:dyDescent="0.35"/>
    <row r="150" spans="2:44" x14ac:dyDescent="0.35">
      <c r="K150" s="184"/>
      <c r="L150" s="184"/>
      <c r="M150" s="184"/>
      <c r="N150" s="184"/>
      <c r="O150" s="184"/>
      <c r="P150" s="184"/>
      <c r="Q150" s="184"/>
      <c r="R150" s="184"/>
      <c r="AE150" s="184"/>
      <c r="AF150" s="184"/>
      <c r="AG150" s="184"/>
      <c r="AH150" s="184"/>
      <c r="AI150" s="184"/>
      <c r="AJ150" s="184"/>
      <c r="AK150" s="184"/>
      <c r="AL150" s="184"/>
      <c r="AM150" s="184"/>
      <c r="AN150" s="184"/>
      <c r="AO150" s="184"/>
      <c r="AP150" s="184"/>
      <c r="AQ150" s="184"/>
      <c r="AR150" s="184"/>
    </row>
    <row r="151" spans="2:44" x14ac:dyDescent="0.35">
      <c r="B151" s="184"/>
      <c r="C151" s="184"/>
      <c r="D151" s="184"/>
      <c r="K151" s="184"/>
      <c r="L151" s="184"/>
      <c r="M151" s="184"/>
      <c r="N151" s="184"/>
      <c r="O151" s="184"/>
      <c r="P151" s="184"/>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row>
    <row r="152" spans="2:44" x14ac:dyDescent="0.35">
      <c r="B152" s="184"/>
      <c r="C152" s="184"/>
      <c r="D152" s="265"/>
      <c r="K152" s="184"/>
      <c r="L152" s="184"/>
      <c r="M152" s="184"/>
      <c r="N152" s="184"/>
      <c r="O152" s="184"/>
      <c r="P152" s="184"/>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row>
    <row r="153" spans="2:44" x14ac:dyDescent="0.35">
      <c r="B153" s="237"/>
      <c r="C153" s="237"/>
      <c r="D153" s="237"/>
      <c r="K153" s="242"/>
      <c r="L153" s="242"/>
      <c r="M153" s="184"/>
      <c r="N153" s="242"/>
      <c r="O153" s="184"/>
      <c r="P153" s="184"/>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row>
    <row r="154" spans="2:44" x14ac:dyDescent="0.35">
      <c r="B154" s="237"/>
      <c r="C154" s="237"/>
      <c r="D154" s="237"/>
      <c r="K154" s="274"/>
      <c r="L154" s="274"/>
      <c r="M154" s="274"/>
      <c r="N154" s="274"/>
      <c r="O154" s="274"/>
      <c r="P154" s="184"/>
      <c r="Q154" s="184"/>
      <c r="R154" s="265"/>
      <c r="S154" s="184"/>
      <c r="T154" s="184"/>
      <c r="U154" s="184"/>
      <c r="V154" s="184"/>
      <c r="W154" s="184"/>
      <c r="X154" s="184"/>
      <c r="Y154" s="184"/>
      <c r="Z154" s="184"/>
      <c r="AA154" s="259"/>
      <c r="AB154" s="270"/>
      <c r="AC154" s="184"/>
      <c r="AD154" s="184"/>
      <c r="AE154" s="184"/>
      <c r="AF154" s="184"/>
      <c r="AG154" s="259"/>
      <c r="AH154" s="265"/>
      <c r="AI154" s="184"/>
      <c r="AJ154" s="294"/>
      <c r="AK154" s="184"/>
      <c r="AL154" s="184"/>
      <c r="AM154" s="184"/>
      <c r="AN154" s="184"/>
      <c r="AO154" s="295"/>
      <c r="AP154" s="184"/>
      <c r="AQ154" s="184"/>
      <c r="AR154" s="184"/>
    </row>
    <row r="155" spans="2:44" x14ac:dyDescent="0.35">
      <c r="B155" s="184"/>
      <c r="C155" s="184"/>
      <c r="D155" s="295"/>
      <c r="K155" s="274"/>
      <c r="L155" s="274"/>
      <c r="M155" s="279"/>
      <c r="N155" s="279"/>
      <c r="O155" s="274"/>
      <c r="P155" s="184"/>
      <c r="Q155" s="184"/>
      <c r="R155" s="265"/>
      <c r="S155" s="184"/>
      <c r="T155" s="184"/>
      <c r="U155" s="184"/>
      <c r="V155" s="184"/>
      <c r="W155" s="184"/>
      <c r="X155" s="184"/>
      <c r="Y155" s="184"/>
      <c r="Z155" s="184"/>
      <c r="AA155" s="259"/>
      <c r="AB155" s="270"/>
      <c r="AC155" s="184"/>
      <c r="AD155" s="184"/>
      <c r="AE155" s="184"/>
      <c r="AF155" s="184"/>
      <c r="AG155" s="259"/>
      <c r="AH155" s="265"/>
      <c r="AI155" s="184"/>
      <c r="AJ155" s="294"/>
      <c r="AK155" s="184"/>
      <c r="AL155" s="184"/>
      <c r="AM155" s="184"/>
      <c r="AN155" s="184"/>
      <c r="AO155" s="184"/>
      <c r="AP155" s="184"/>
      <c r="AQ155" s="184"/>
      <c r="AR155" s="184"/>
    </row>
    <row r="156" spans="2:44" x14ac:dyDescent="0.35">
      <c r="B156" s="184"/>
      <c r="C156" s="184"/>
      <c r="D156" s="295"/>
      <c r="K156" s="281"/>
      <c r="L156" s="281"/>
      <c r="M156" s="282"/>
      <c r="N156" s="282"/>
      <c r="O156" s="242"/>
      <c r="P156" s="184"/>
      <c r="Q156" s="184"/>
      <c r="R156" s="184"/>
      <c r="S156" s="184"/>
      <c r="T156" s="184"/>
      <c r="U156" s="184"/>
      <c r="V156" s="184"/>
      <c r="W156" s="184"/>
      <c r="X156" s="184"/>
      <c r="Y156" s="184"/>
      <c r="Z156" s="184"/>
      <c r="AA156" s="259"/>
      <c r="AB156" s="270"/>
      <c r="AC156" s="181"/>
      <c r="AD156" s="184"/>
      <c r="AE156" s="184"/>
      <c r="AF156" s="184"/>
      <c r="AG156" s="184"/>
      <c r="AH156" s="184"/>
      <c r="AI156" s="184"/>
      <c r="AJ156" s="184"/>
      <c r="AK156" s="184"/>
      <c r="AL156" s="184"/>
      <c r="AM156" s="184"/>
      <c r="AN156" s="184"/>
      <c r="AO156" s="184"/>
      <c r="AP156" s="184"/>
      <c r="AQ156" s="184"/>
      <c r="AR156" s="184"/>
    </row>
    <row r="157" spans="2:44" x14ac:dyDescent="0.35">
      <c r="B157" s="184"/>
      <c r="C157" s="184"/>
      <c r="D157" s="295"/>
      <c r="K157" s="283"/>
      <c r="L157" s="283"/>
      <c r="M157" s="282"/>
      <c r="N157" s="282"/>
      <c r="O157" s="242"/>
      <c r="P157" s="184"/>
      <c r="Q157" s="184"/>
      <c r="R157" s="184"/>
      <c r="S157" s="184"/>
      <c r="T157" s="184"/>
      <c r="U157" s="184"/>
      <c r="V157" s="184"/>
      <c r="W157" s="184"/>
      <c r="X157" s="184"/>
      <c r="Y157" s="184"/>
      <c r="Z157" s="184"/>
      <c r="AA157" s="259"/>
      <c r="AB157" s="270"/>
      <c r="AC157" s="181"/>
      <c r="AD157" s="184"/>
      <c r="AE157" s="184"/>
      <c r="AF157" s="184"/>
      <c r="AG157" s="184"/>
      <c r="AH157" s="184"/>
      <c r="AI157" s="184"/>
      <c r="AJ157" s="184"/>
      <c r="AK157" s="184"/>
      <c r="AL157" s="184"/>
      <c r="AM157" s="184"/>
      <c r="AN157" s="184"/>
      <c r="AO157" s="184"/>
      <c r="AP157" s="184"/>
      <c r="AQ157" s="184"/>
      <c r="AR157" s="184"/>
    </row>
    <row r="158" spans="2:44" x14ac:dyDescent="0.35">
      <c r="K158" s="283"/>
      <c r="L158" s="283"/>
      <c r="M158" s="282"/>
      <c r="N158" s="282"/>
      <c r="O158" s="242"/>
      <c r="P158" s="184"/>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row>
    <row r="159" spans="2:44" x14ac:dyDescent="0.35">
      <c r="K159" s="283"/>
      <c r="L159" s="283"/>
      <c r="M159" s="282"/>
      <c r="N159" s="282"/>
      <c r="O159" s="242"/>
      <c r="P159" s="184"/>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row>
    <row r="160" spans="2:44" x14ac:dyDescent="0.35">
      <c r="K160" s="184"/>
      <c r="L160" s="184"/>
      <c r="M160" s="184"/>
      <c r="N160" s="184"/>
      <c r="O160" s="184"/>
      <c r="P160" s="184"/>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row>
    <row r="161" spans="11:44" x14ac:dyDescent="0.35">
      <c r="K161" s="184"/>
      <c r="L161" s="184"/>
      <c r="M161" s="184"/>
      <c r="N161" s="184"/>
      <c r="O161" s="184"/>
      <c r="P161" s="184"/>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row>
    <row r="162" spans="11:44" x14ac:dyDescent="0.35">
      <c r="K162" s="184"/>
      <c r="L162" s="184"/>
      <c r="M162" s="184"/>
      <c r="N162" s="184"/>
      <c r="O162" s="184"/>
      <c r="P162" s="184"/>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row>
  </sheetData>
  <dataConsolidate link="1"/>
  <customSheetViews>
    <customSheetView guid="{11DE45F5-F478-4ED6-8DFF-12002C22A637}" scale="70" showPageBreaks="1" fitToPage="1" hiddenRows="1" view="pageBreakPreview" topLeftCell="H1">
      <selection activeCell="P7" sqref="P7"/>
      <pageMargins left="0.7" right="0.7" top="0.75" bottom="0.75" header="0.3" footer="0.3"/>
      <pageSetup scale="24" orientation="landscape" r:id="rId1"/>
    </customSheetView>
    <customSheetView guid="{ECD6FE6A-9548-414E-B8AA-6998703C57E0}" scale="70" showPageBreaks="1" fitToPage="1" hiddenRows="1" view="pageBreakPreview" topLeftCell="H1">
      <selection activeCell="P7" sqref="P7"/>
      <pageMargins left="0.7" right="0.7" top="0.75" bottom="0.75" header="0.3" footer="0.3"/>
      <pageSetup scale="24" orientation="landscape" r:id="rId2"/>
    </customSheetView>
  </customSheetViews>
  <mergeCells count="10">
    <mergeCell ref="B93:I93"/>
    <mergeCell ref="N2:P2"/>
    <mergeCell ref="Q2:S2"/>
    <mergeCell ref="T2:V2"/>
    <mergeCell ref="C37:J37"/>
    <mergeCell ref="B60:B61"/>
    <mergeCell ref="C60:D60"/>
    <mergeCell ref="J61:K61"/>
    <mergeCell ref="I51:J51"/>
    <mergeCell ref="C38:J38"/>
  </mergeCells>
  <dataValidations count="7">
    <dataValidation type="list" allowBlank="1" showInputMessage="1" showErrorMessage="1" sqref="I4:I11" xr:uid="{00000000-0002-0000-2400-000000000000}">
      <formula1>$A$85:$A$92</formula1>
    </dataValidation>
    <dataValidation type="list" allowBlank="1" showInputMessage="1" showErrorMessage="1" sqref="M4:M11" xr:uid="{00000000-0002-0000-2400-000001000000}">
      <formula1>$D$73:$D$74</formula1>
    </dataValidation>
    <dataValidation type="list" allowBlank="1" showInputMessage="1" showErrorMessage="1" sqref="J4:J11" xr:uid="{00000000-0002-0000-2400-000002000000}">
      <formula1>$C$50:$C$52</formula1>
    </dataValidation>
    <dataValidation type="list" allowBlank="1" showInputMessage="1" showErrorMessage="1" sqref="D4:D11" xr:uid="{00000000-0002-0000-2400-000003000000}">
      <formula1>MeasureType</formula1>
    </dataValidation>
    <dataValidation type="list" allowBlank="1" showInputMessage="1" showErrorMessage="1" sqref="K4:K11" xr:uid="{00000000-0002-0000-2400-000004000000}">
      <formula1>Climate1</formula1>
    </dataValidation>
    <dataValidation type="list" allowBlank="1" showInputMessage="1" showErrorMessage="1" sqref="H4:H11" xr:uid="{00000000-0002-0000-2400-000005000000}">
      <formula1>GHEF2</formula1>
    </dataValidation>
    <dataValidation type="list" allowBlank="1" showInputMessage="1" showErrorMessage="1" sqref="L4:L11" xr:uid="{00000000-0002-0000-2400-000006000000}">
      <formula1>GHEB2</formula1>
    </dataValidation>
  </dataValidations>
  <hyperlinks>
    <hyperlink ref="E74" location="_ftn1" display="_ftn1" xr:uid="{00000000-0004-0000-2400-000000000000}"/>
    <hyperlink ref="E75" location="_ftn2" display="_ftn2" xr:uid="{00000000-0004-0000-2400-000001000000}"/>
  </hyperlinks>
  <pageMargins left="0.7" right="0.7" top="0.75" bottom="0.75" header="0.3" footer="0.3"/>
  <pageSetup scale="24" orientation="landscap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59999389629810485"/>
    <pageSetUpPr fitToPage="1"/>
  </sheetPr>
  <dimension ref="A2:AD63"/>
  <sheetViews>
    <sheetView view="pageBreakPreview" zoomScale="60" zoomScaleNormal="100" workbookViewId="0">
      <selection activeCell="H52" sqref="H52"/>
    </sheetView>
  </sheetViews>
  <sheetFormatPr defaultRowHeight="14.5" x14ac:dyDescent="0.35"/>
  <cols>
    <col min="1" max="1" width="19.453125" customWidth="1"/>
    <col min="2" max="2" width="37.453125" customWidth="1"/>
    <col min="3" max="3" width="45.1796875" customWidth="1"/>
    <col min="4" max="4" width="20.26953125" customWidth="1"/>
    <col min="5" max="5" width="10.81640625" customWidth="1"/>
    <col min="6" max="7" width="14.54296875" customWidth="1"/>
    <col min="8" max="9" width="13" customWidth="1"/>
    <col min="10" max="10" width="10.81640625" customWidth="1"/>
    <col min="11" max="11" width="78.81640625" bestFit="1" customWidth="1"/>
    <col min="12" max="12" width="12.26953125" customWidth="1"/>
    <col min="14" max="14" width="10.54296875" customWidth="1"/>
    <col min="15" max="15" width="11.81640625" customWidth="1"/>
    <col min="17" max="17" width="9.54296875" bestFit="1" customWidth="1"/>
    <col min="18" max="18" width="11.453125" customWidth="1"/>
    <col min="20" max="20" width="11.26953125" customWidth="1"/>
    <col min="27" max="27" width="11.26953125" customWidth="1"/>
  </cols>
  <sheetData>
    <row r="2" spans="1:30" x14ac:dyDescent="0.35">
      <c r="A2" s="1145" t="s">
        <v>328</v>
      </c>
      <c r="B2" s="1144" t="s">
        <v>683</v>
      </c>
      <c r="C2" s="1144"/>
      <c r="D2" s="1144"/>
      <c r="E2" s="1143"/>
      <c r="F2" s="1143"/>
      <c r="G2" s="1143"/>
      <c r="H2" s="1143"/>
      <c r="I2" s="1143"/>
      <c r="J2" s="1143"/>
      <c r="K2" s="1143"/>
      <c r="L2" s="1143"/>
      <c r="M2" s="1143"/>
      <c r="N2" s="1143"/>
      <c r="O2" s="2216" t="s">
        <v>335</v>
      </c>
      <c r="P2" s="2217"/>
      <c r="Q2" s="2217"/>
      <c r="R2" s="2216" t="s">
        <v>336</v>
      </c>
      <c r="S2" s="2217"/>
      <c r="T2" s="2217"/>
      <c r="U2" s="2418" t="s">
        <v>337</v>
      </c>
      <c r="V2" s="2418"/>
      <c r="W2" s="2418"/>
      <c r="X2" s="2418"/>
      <c r="Y2" s="2418"/>
      <c r="Z2" s="2418"/>
      <c r="AA2" s="2418"/>
      <c r="AB2" s="2418"/>
    </row>
    <row r="3" spans="1:30" ht="36.5" x14ac:dyDescent="0.35">
      <c r="A3" s="1145" t="s">
        <v>338</v>
      </c>
      <c r="B3" s="1145" t="s">
        <v>1</v>
      </c>
      <c r="C3" s="1129" t="s">
        <v>339</v>
      </c>
      <c r="D3" s="1129" t="s">
        <v>340</v>
      </c>
      <c r="E3" s="1128" t="s">
        <v>342</v>
      </c>
      <c r="F3" s="1128" t="s">
        <v>343</v>
      </c>
      <c r="G3" s="1128" t="s">
        <v>366</v>
      </c>
      <c r="H3" s="1128" t="s">
        <v>367</v>
      </c>
      <c r="I3" s="1145" t="s">
        <v>345</v>
      </c>
      <c r="J3" s="1128" t="s">
        <v>368</v>
      </c>
      <c r="K3" s="1229" t="s">
        <v>369</v>
      </c>
      <c r="L3" s="1128" t="s">
        <v>370</v>
      </c>
      <c r="M3" s="1128" t="s">
        <v>371</v>
      </c>
      <c r="N3" s="1128" t="s">
        <v>372</v>
      </c>
      <c r="O3" s="1146" t="s">
        <v>347</v>
      </c>
      <c r="P3" s="1146" t="s">
        <v>348</v>
      </c>
      <c r="Q3" s="1230" t="s">
        <v>349</v>
      </c>
      <c r="R3" s="1146" t="s">
        <v>347</v>
      </c>
      <c r="S3" s="1146" t="s">
        <v>348</v>
      </c>
      <c r="T3" s="1147" t="s">
        <v>349</v>
      </c>
      <c r="U3" s="73" t="s">
        <v>375</v>
      </c>
      <c r="V3" s="73" t="s">
        <v>376</v>
      </c>
      <c r="W3" s="73" t="s">
        <v>377</v>
      </c>
      <c r="X3" s="73" t="s">
        <v>378</v>
      </c>
      <c r="Y3" s="73" t="s">
        <v>379</v>
      </c>
      <c r="Z3" s="73" t="s">
        <v>380</v>
      </c>
      <c r="AA3" s="73" t="s">
        <v>381</v>
      </c>
      <c r="AB3" s="73" t="s">
        <v>382</v>
      </c>
      <c r="AD3" s="322"/>
    </row>
    <row r="4" spans="1:30" ht="43.5" x14ac:dyDescent="0.35">
      <c r="A4" s="1142" t="s">
        <v>3349</v>
      </c>
      <c r="B4" s="1142" t="str">
        <f>$B$2&amp;" - ("&amp;E4&amp;" - "&amp;J4&amp;" - "&amp;N4&amp;")"</f>
        <v>Programmable Thermostats - (DI - Reprogramming existing thermostat - Single Family)</v>
      </c>
      <c r="C4" s="135" t="s">
        <v>231</v>
      </c>
      <c r="D4" s="1133" t="s">
        <v>393</v>
      </c>
      <c r="E4" s="135" t="s">
        <v>403</v>
      </c>
      <c r="F4" s="1151">
        <f>+VLOOKUP(J4,$G$40:$H$41,2)</f>
        <v>2</v>
      </c>
      <c r="G4" s="1180"/>
      <c r="H4" s="1231"/>
      <c r="I4" s="1232" t="s">
        <v>395</v>
      </c>
      <c r="J4" s="1233" t="s">
        <v>453</v>
      </c>
      <c r="K4" s="1149" t="s">
        <v>397</v>
      </c>
      <c r="L4" s="1150" t="s">
        <v>459</v>
      </c>
      <c r="M4" s="1150" t="s">
        <v>399</v>
      </c>
      <c r="N4" s="1148" t="s">
        <v>400</v>
      </c>
      <c r="O4" s="1154"/>
      <c r="P4" s="1155"/>
      <c r="Q4" s="1154">
        <f>AA4*AB4*W4*X4*Y4</f>
        <v>62.31</v>
      </c>
      <c r="R4" s="1154"/>
      <c r="S4" s="1154"/>
      <c r="T4" s="1156">
        <f t="shared" ref="T4" si="0">Q4*F4</f>
        <v>124.62</v>
      </c>
      <c r="U4" s="75">
        <f>VLOOKUP(K4,$B$40:$C$42,2,FALSE)</f>
        <v>0</v>
      </c>
      <c r="V4" s="62">
        <f>IF(AND(L4=$B$52,M4=$D$61)=TRUE,17734,VLOOKUP(L4,$B$47:$D$52,IF(M4=$B$61,2,3),FALSE))</f>
        <v>12218</v>
      </c>
      <c r="W4" s="323">
        <f>+$B$19</f>
        <v>6.2E-2</v>
      </c>
      <c r="X4" s="75">
        <f>VLOOKUP(N4,$B$56:$C$57,2,FALSE)</f>
        <v>1</v>
      </c>
      <c r="Y4" s="324">
        <f>VLOOKUP(E4,$G$55:$H$58,2,FALSE)</f>
        <v>1</v>
      </c>
      <c r="Z4" s="323">
        <f>+$B$25</f>
        <v>3.1399999999999997E-2</v>
      </c>
      <c r="AA4" s="62">
        <f>VLOOKUP(K4,$B$40:$D$42,3,FALSE)</f>
        <v>1</v>
      </c>
      <c r="AB4" s="62">
        <f>VLOOKUP(L4,$B$47:$E$52,4,FALSE)</f>
        <v>1005</v>
      </c>
    </row>
    <row r="5" spans="1:30" ht="69.75" customHeight="1" x14ac:dyDescent="0.35">
      <c r="A5" s="1142" t="s">
        <v>684</v>
      </c>
      <c r="B5" s="1142" t="str">
        <f t="shared" ref="B5" si="1">$B$2&amp;" - ("&amp;E5&amp;" - "&amp;J5&amp;" - "&amp;N5&amp;")"</f>
        <v>Programmable Thermostats - (DI - New Programmable thermostat - Multifamily)</v>
      </c>
      <c r="C5" s="135" t="s">
        <v>232</v>
      </c>
      <c r="D5" s="1133" t="s">
        <v>393</v>
      </c>
      <c r="E5" s="135" t="s">
        <v>403</v>
      </c>
      <c r="F5" s="1151">
        <f>+VLOOKUP(J5,$G$40:$H$41,2)</f>
        <v>5</v>
      </c>
      <c r="G5" s="1180"/>
      <c r="H5" s="1231"/>
      <c r="I5" s="1232" t="s">
        <v>395</v>
      </c>
      <c r="J5" s="1233" t="s">
        <v>452</v>
      </c>
      <c r="K5" s="1149" t="s">
        <v>397</v>
      </c>
      <c r="L5" s="1150" t="s">
        <v>459</v>
      </c>
      <c r="M5" s="1150" t="s">
        <v>399</v>
      </c>
      <c r="N5" s="1148" t="s">
        <v>466</v>
      </c>
      <c r="O5" s="1154"/>
      <c r="P5" s="1155"/>
      <c r="Q5" s="1154">
        <f>AA5*AB5*W5*X5*Y5</f>
        <v>40.5015</v>
      </c>
      <c r="R5" s="1154"/>
      <c r="S5" s="1154"/>
      <c r="T5" s="1156">
        <f t="shared" ref="T5:T6" si="2">Q5*F5</f>
        <v>202.50749999999999</v>
      </c>
      <c r="U5" s="75">
        <f>VLOOKUP(K5,$B$40:$C$42,2,FALSE)</f>
        <v>0</v>
      </c>
      <c r="V5" s="62">
        <f>IF(AND(L5=$B$52,M5=$D$61)=TRUE,17734,VLOOKUP(L5,$B$47:$D$52,IF(M5=$B$61,2,3),FALSE))</f>
        <v>12218</v>
      </c>
      <c r="W5" s="323">
        <f>+$B$19</f>
        <v>6.2E-2</v>
      </c>
      <c r="X5" s="75">
        <f>VLOOKUP(N5,$B$56:$C$57,2,FALSE)</f>
        <v>0.65</v>
      </c>
      <c r="Y5" s="324">
        <f>VLOOKUP(E5,$G$55:$H$58,2,FALSE)</f>
        <v>1</v>
      </c>
      <c r="Z5" s="323">
        <f>+$B$25</f>
        <v>3.1399999999999997E-2</v>
      </c>
      <c r="AA5" s="62">
        <f>VLOOKUP(K5,$B$40:$D$42,3,FALSE)</f>
        <v>1</v>
      </c>
      <c r="AB5" s="62">
        <f>VLOOKUP(L5,$B$47:$E$52,4,FALSE)</f>
        <v>1005</v>
      </c>
    </row>
    <row r="6" spans="1:30" ht="78" customHeight="1" x14ac:dyDescent="0.35">
      <c r="A6" s="1142" t="s">
        <v>2520</v>
      </c>
      <c r="B6" s="1142" t="str">
        <f t="shared" ref="B6" si="3">$B$1&amp;" - ("&amp;E6&amp;" - "&amp;J6&amp;" - "&amp;N6&amp;")"</f>
        <v xml:space="preserve"> - (DI - Reprogramming existing thermostat - Multifamily)</v>
      </c>
      <c r="C6" s="135" t="s">
        <v>233</v>
      </c>
      <c r="D6" s="1133" t="s">
        <v>393</v>
      </c>
      <c r="E6" s="135" t="s">
        <v>403</v>
      </c>
      <c r="F6" s="1151">
        <f>+VLOOKUP(J6,$G$40:$H$41,2)</f>
        <v>2</v>
      </c>
      <c r="G6" s="1180"/>
      <c r="H6" s="1231"/>
      <c r="I6" s="1232" t="s">
        <v>395</v>
      </c>
      <c r="J6" s="1233" t="s">
        <v>453</v>
      </c>
      <c r="K6" s="1149" t="s">
        <v>397</v>
      </c>
      <c r="L6" s="1150" t="s">
        <v>459</v>
      </c>
      <c r="M6" s="1150" t="s">
        <v>399</v>
      </c>
      <c r="N6" s="1148" t="s">
        <v>466</v>
      </c>
      <c r="O6" s="1154"/>
      <c r="P6" s="1155"/>
      <c r="Q6" s="1154">
        <f>AA6*AB6*W6*X6*Y6</f>
        <v>40.5015</v>
      </c>
      <c r="R6" s="1154"/>
      <c r="S6" s="1154"/>
      <c r="T6" s="1156">
        <f t="shared" si="2"/>
        <v>81.003</v>
      </c>
      <c r="U6" s="75">
        <f>VLOOKUP(K6,$B$40:$C$42,2,FALSE)</f>
        <v>0</v>
      </c>
      <c r="V6" s="62">
        <f>IF(AND(L6=$B$56,M6=$D$65)=TRUE,17734,VLOOKUP(L6,$B$47:$D$52,IF(M6=$B$65,2,3),FALSE))</f>
        <v>12218</v>
      </c>
      <c r="W6" s="323">
        <f>+$B$19</f>
        <v>6.2E-2</v>
      </c>
      <c r="X6" s="75">
        <f>VLOOKUP(N6,$B$56:$C$57,2,FALSE)</f>
        <v>0.65</v>
      </c>
      <c r="Y6" s="324">
        <f>VLOOKUP(E6,$G$55:$H$58,2,FALSE)</f>
        <v>1</v>
      </c>
      <c r="Z6" s="323">
        <f>+$B$25</f>
        <v>3.1399999999999997E-2</v>
      </c>
      <c r="AA6" s="62">
        <f>VLOOKUP(K6,$B$40:$D$42,3,FALSE)</f>
        <v>1</v>
      </c>
      <c r="AB6" s="62">
        <f>VLOOKUP(L6,$B$47:$E$52,4,FALSE)</f>
        <v>1005</v>
      </c>
    </row>
    <row r="7" spans="1:30" ht="15" thickBot="1" x14ac:dyDescent="0.4"/>
    <row r="8" spans="1:30" ht="15" thickBot="1" x14ac:dyDescent="0.4">
      <c r="A8" s="76" t="s">
        <v>408</v>
      </c>
      <c r="B8" s="77"/>
      <c r="C8" s="78"/>
      <c r="D8" s="78"/>
      <c r="E8" s="78"/>
      <c r="F8" s="78"/>
      <c r="G8" s="78"/>
      <c r="H8" s="79"/>
      <c r="O8" s="80"/>
    </row>
    <row r="9" spans="1:30" x14ac:dyDescent="0.35">
      <c r="A9" s="81" t="s">
        <v>685</v>
      </c>
      <c r="B9" s="82"/>
      <c r="C9" s="83"/>
      <c r="D9" s="83"/>
      <c r="E9" s="83"/>
      <c r="F9" s="83"/>
      <c r="G9" s="83"/>
      <c r="H9" s="84"/>
    </row>
    <row r="10" spans="1:30" ht="15" thickBot="1" x14ac:dyDescent="0.4">
      <c r="A10" s="85" t="s">
        <v>412</v>
      </c>
      <c r="B10" s="86"/>
      <c r="C10" s="86"/>
      <c r="D10" s="86"/>
      <c r="E10" s="86"/>
      <c r="F10" s="86"/>
      <c r="G10" s="86"/>
      <c r="H10" s="87"/>
    </row>
    <row r="11" spans="1:30" ht="15" thickBot="1" x14ac:dyDescent="0.4">
      <c r="A11" s="188" t="s">
        <v>2571</v>
      </c>
      <c r="B11" s="1384" t="e">
        <f>+#REF!</f>
        <v>#REF!</v>
      </c>
    </row>
    <row r="12" spans="1:30" ht="15" thickBot="1" x14ac:dyDescent="0.4">
      <c r="A12" s="188" t="s">
        <v>2572</v>
      </c>
      <c r="B12" s="701" t="s">
        <v>2802</v>
      </c>
    </row>
    <row r="13" spans="1:30" ht="15" thickBot="1" x14ac:dyDescent="0.4">
      <c r="A13" s="69"/>
    </row>
    <row r="14" spans="1:30" ht="15" thickBot="1" x14ac:dyDescent="0.4">
      <c r="A14" s="88" t="s">
        <v>413</v>
      </c>
      <c r="B14" s="89" t="s">
        <v>414</v>
      </c>
      <c r="C14" s="90" t="s">
        <v>415</v>
      </c>
      <c r="D14" s="78"/>
      <c r="E14" s="78"/>
      <c r="F14" s="78"/>
      <c r="G14" s="78"/>
      <c r="H14" s="78"/>
      <c r="I14" s="78"/>
      <c r="J14" s="79"/>
    </row>
    <row r="15" spans="1:30" x14ac:dyDescent="0.35">
      <c r="A15" s="91" t="s">
        <v>375</v>
      </c>
      <c r="B15" s="92"/>
      <c r="C15" s="93" t="s">
        <v>416</v>
      </c>
      <c r="D15" s="94"/>
      <c r="E15" s="94"/>
      <c r="F15" s="94"/>
      <c r="G15" s="94"/>
      <c r="H15" s="94"/>
      <c r="I15" s="94"/>
      <c r="J15" s="95"/>
    </row>
    <row r="16" spans="1:30" ht="15" thickBot="1" x14ac:dyDescent="0.4">
      <c r="A16" s="96"/>
      <c r="B16" s="97"/>
      <c r="C16" s="98" t="s">
        <v>417</v>
      </c>
      <c r="D16" s="99"/>
      <c r="E16" s="99"/>
      <c r="F16" s="99"/>
      <c r="G16" s="99"/>
      <c r="H16" s="99"/>
      <c r="I16" s="99"/>
      <c r="J16" s="100"/>
    </row>
    <row r="17" spans="1:10" x14ac:dyDescent="0.35">
      <c r="A17" s="91" t="s">
        <v>376</v>
      </c>
      <c r="B17" s="101"/>
      <c r="C17" s="2419" t="s">
        <v>418</v>
      </c>
      <c r="D17" s="2419"/>
      <c r="E17" s="2419"/>
      <c r="F17" s="2419"/>
      <c r="G17" s="2419"/>
      <c r="H17" s="94"/>
      <c r="I17" s="94"/>
      <c r="J17" s="95"/>
    </row>
    <row r="18" spans="1:10" ht="15" thickBot="1" x14ac:dyDescent="0.4">
      <c r="A18" s="96"/>
      <c r="B18" s="97"/>
      <c r="C18" s="98" t="s">
        <v>419</v>
      </c>
      <c r="D18" s="99"/>
      <c r="E18" s="99"/>
      <c r="F18" s="99"/>
      <c r="G18" s="99"/>
      <c r="H18" s="99"/>
      <c r="I18" s="99"/>
      <c r="J18" s="100"/>
    </row>
    <row r="19" spans="1:10" x14ac:dyDescent="0.35">
      <c r="A19" s="91" t="s">
        <v>377</v>
      </c>
      <c r="B19" s="327">
        <v>6.2E-2</v>
      </c>
      <c r="C19" s="2419" t="s">
        <v>420</v>
      </c>
      <c r="D19" s="2419"/>
      <c r="E19" s="2419"/>
      <c r="F19" s="2419"/>
      <c r="G19" s="2419"/>
      <c r="H19" s="94"/>
      <c r="I19" s="94"/>
      <c r="J19" s="95"/>
    </row>
    <row r="20" spans="1:10" ht="15" thickBot="1" x14ac:dyDescent="0.4">
      <c r="A20" s="96"/>
      <c r="B20" s="97"/>
      <c r="C20" s="98" t="s">
        <v>427</v>
      </c>
      <c r="D20" s="99"/>
      <c r="E20" s="99"/>
      <c r="F20" s="99"/>
      <c r="G20" s="99"/>
      <c r="H20" s="99"/>
      <c r="I20" s="99"/>
      <c r="J20" s="100"/>
    </row>
    <row r="21" spans="1:10" x14ac:dyDescent="0.35">
      <c r="A21" s="91" t="s">
        <v>378</v>
      </c>
      <c r="B21" s="92"/>
      <c r="C21" s="93" t="s">
        <v>422</v>
      </c>
      <c r="D21" s="94"/>
      <c r="E21" s="94"/>
      <c r="F21" s="94"/>
      <c r="G21" s="94"/>
      <c r="H21" s="94"/>
      <c r="I21" s="94"/>
      <c r="J21" s="95"/>
    </row>
    <row r="22" spans="1:10" ht="15" thickBot="1" x14ac:dyDescent="0.4">
      <c r="A22" s="96"/>
      <c r="B22" s="97"/>
      <c r="C22" s="98" t="s">
        <v>423</v>
      </c>
      <c r="D22" s="99"/>
      <c r="E22" s="99"/>
      <c r="F22" s="99"/>
      <c r="G22" s="99"/>
      <c r="H22" s="99"/>
      <c r="I22" s="99"/>
      <c r="J22" s="100"/>
    </row>
    <row r="23" spans="1:10" x14ac:dyDescent="0.35">
      <c r="A23" s="91" t="s">
        <v>379</v>
      </c>
      <c r="B23" s="92"/>
      <c r="C23" s="93" t="s">
        <v>424</v>
      </c>
      <c r="D23" s="94"/>
      <c r="E23" s="94"/>
      <c r="F23" s="94"/>
      <c r="G23" s="94"/>
      <c r="H23" s="94"/>
      <c r="I23" s="94"/>
      <c r="J23" s="95"/>
    </row>
    <row r="24" spans="1:10" ht="26.25" customHeight="1" thickBot="1" x14ac:dyDescent="0.4">
      <c r="A24" s="111"/>
      <c r="B24" s="99"/>
      <c r="C24" s="98" t="s">
        <v>425</v>
      </c>
      <c r="D24" s="99"/>
      <c r="E24" s="99"/>
      <c r="F24" s="99"/>
      <c r="G24" s="99"/>
      <c r="H24" s="99"/>
      <c r="I24" s="99"/>
      <c r="J24" s="100"/>
    </row>
    <row r="25" spans="1:10" x14ac:dyDescent="0.35">
      <c r="A25" s="91" t="s">
        <v>380</v>
      </c>
      <c r="B25" s="112">
        <v>3.1399999999999997E-2</v>
      </c>
      <c r="C25" s="93" t="s">
        <v>426</v>
      </c>
      <c r="D25" s="94"/>
      <c r="E25" s="94"/>
      <c r="F25" s="94"/>
      <c r="G25" s="94"/>
      <c r="H25" s="94"/>
      <c r="I25" s="94"/>
      <c r="J25" s="95"/>
    </row>
    <row r="26" spans="1:10" ht="15" thickBot="1" x14ac:dyDescent="0.4">
      <c r="A26" s="111"/>
      <c r="B26" s="99"/>
      <c r="C26" s="98" t="s">
        <v>427</v>
      </c>
      <c r="D26" s="99"/>
      <c r="E26" s="99"/>
      <c r="F26" s="99"/>
      <c r="G26" s="99"/>
      <c r="H26" s="99"/>
      <c r="I26" s="99"/>
      <c r="J26" s="100"/>
    </row>
    <row r="27" spans="1:10" x14ac:dyDescent="0.35">
      <c r="A27" s="91" t="s">
        <v>381</v>
      </c>
      <c r="B27" s="92"/>
      <c r="C27" s="93" t="s">
        <v>428</v>
      </c>
      <c r="D27" s="94"/>
      <c r="E27" s="94"/>
      <c r="F27" s="94"/>
      <c r="G27" s="94"/>
      <c r="H27" s="94"/>
      <c r="I27" s="94"/>
      <c r="J27" s="95"/>
    </row>
    <row r="28" spans="1:10" ht="15" thickBot="1" x14ac:dyDescent="0.4">
      <c r="A28" s="111"/>
      <c r="B28" s="99"/>
      <c r="C28" s="98" t="s">
        <v>429</v>
      </c>
      <c r="D28" s="99"/>
      <c r="E28" s="99"/>
      <c r="F28" s="99"/>
      <c r="G28" s="99"/>
      <c r="H28" s="99"/>
      <c r="I28" s="99"/>
      <c r="J28" s="100"/>
    </row>
    <row r="29" spans="1:10" x14ac:dyDescent="0.35">
      <c r="A29" s="91" t="s">
        <v>382</v>
      </c>
      <c r="B29" s="113"/>
      <c r="C29" s="2419" t="s">
        <v>430</v>
      </c>
      <c r="D29" s="2419"/>
      <c r="E29" s="2419"/>
      <c r="F29" s="2419"/>
      <c r="G29" s="2419"/>
      <c r="H29" s="94"/>
      <c r="I29" s="94"/>
      <c r="J29" s="95"/>
    </row>
    <row r="30" spans="1:10" ht="15" thickBot="1" x14ac:dyDescent="0.4">
      <c r="A30" s="96"/>
      <c r="B30" s="97"/>
      <c r="C30" s="98" t="s">
        <v>417</v>
      </c>
      <c r="D30" s="99"/>
      <c r="E30" s="99"/>
      <c r="F30" s="99"/>
      <c r="G30" s="99"/>
      <c r="H30" s="99"/>
      <c r="I30" s="99"/>
      <c r="J30" s="100"/>
    </row>
    <row r="31" spans="1:10" ht="43.5" customHeight="1" x14ac:dyDescent="0.35">
      <c r="A31" s="118" t="s">
        <v>443</v>
      </c>
      <c r="B31" s="94"/>
      <c r="C31" s="2225" t="s">
        <v>686</v>
      </c>
      <c r="D31" s="2225"/>
      <c r="E31" s="2225"/>
      <c r="F31" s="2225"/>
      <c r="G31" s="2225"/>
      <c r="H31" s="2225"/>
      <c r="I31" s="2225"/>
      <c r="J31" s="95"/>
    </row>
    <row r="32" spans="1:10" ht="15" thickBot="1" x14ac:dyDescent="0.4">
      <c r="A32" s="111"/>
      <c r="B32" s="99"/>
      <c r="C32" s="108" t="s">
        <v>445</v>
      </c>
      <c r="D32" s="99"/>
      <c r="E32" s="99"/>
      <c r="F32" s="99"/>
      <c r="G32" s="99"/>
      <c r="H32" s="99"/>
      <c r="I32" s="99"/>
      <c r="J32" s="100"/>
    </row>
    <row r="33" spans="1:11" ht="50.25" customHeight="1" x14ac:dyDescent="0.35">
      <c r="A33" s="118" t="s">
        <v>344</v>
      </c>
      <c r="B33" s="94"/>
      <c r="C33" s="2225"/>
      <c r="D33" s="2225"/>
      <c r="E33" s="2225"/>
      <c r="F33" s="2225"/>
      <c r="G33" s="2225"/>
      <c r="H33" s="2225"/>
      <c r="I33" s="2225"/>
      <c r="J33" s="95"/>
    </row>
    <row r="34" spans="1:11" ht="15" thickBot="1" x14ac:dyDescent="0.4">
      <c r="A34" s="111"/>
      <c r="B34" s="99"/>
      <c r="C34" s="99"/>
      <c r="D34" s="99"/>
      <c r="E34" s="99"/>
      <c r="F34" s="99"/>
      <c r="G34" s="99"/>
      <c r="H34" s="99"/>
      <c r="I34" s="99"/>
      <c r="J34" s="100"/>
    </row>
    <row r="36" spans="1:11" ht="15" thickBot="1" x14ac:dyDescent="0.4"/>
    <row r="37" spans="1:11" ht="15" thickBot="1" x14ac:dyDescent="0.4">
      <c r="A37" s="122" t="s">
        <v>446</v>
      </c>
      <c r="B37" s="123"/>
      <c r="C37" s="78"/>
      <c r="D37" s="78"/>
      <c r="E37" s="78"/>
      <c r="F37" s="78"/>
      <c r="G37" s="78"/>
      <c r="H37" s="78"/>
      <c r="I37" s="78"/>
      <c r="J37" s="79"/>
    </row>
    <row r="38" spans="1:11" x14ac:dyDescent="0.35">
      <c r="A38" s="124"/>
      <c r="B38" s="83"/>
      <c r="C38" s="83"/>
      <c r="D38" s="83"/>
      <c r="E38" s="83"/>
      <c r="F38" s="83"/>
      <c r="G38" s="83"/>
      <c r="H38" s="83"/>
      <c r="I38" s="83"/>
      <c r="J38" s="125"/>
    </row>
    <row r="39" spans="1:11" ht="27" customHeight="1" x14ac:dyDescent="0.35">
      <c r="A39" s="124"/>
      <c r="B39" s="70" t="s">
        <v>447</v>
      </c>
      <c r="C39" s="70" t="s">
        <v>448</v>
      </c>
      <c r="D39" s="70" t="s">
        <v>449</v>
      </c>
      <c r="E39" s="83"/>
      <c r="F39" s="83"/>
      <c r="G39" s="70" t="s">
        <v>450</v>
      </c>
      <c r="H39" s="70" t="s">
        <v>443</v>
      </c>
      <c r="I39" s="83"/>
      <c r="J39" s="125"/>
    </row>
    <row r="40" spans="1:11" x14ac:dyDescent="0.35">
      <c r="A40" s="124"/>
      <c r="B40" s="126" t="s">
        <v>451</v>
      </c>
      <c r="C40" s="127">
        <v>1</v>
      </c>
      <c r="D40" s="127">
        <v>0</v>
      </c>
      <c r="E40" s="83"/>
      <c r="F40" s="83"/>
      <c r="G40" s="62" t="s">
        <v>452</v>
      </c>
      <c r="H40" s="62">
        <v>5</v>
      </c>
      <c r="I40" s="83"/>
      <c r="J40" s="125"/>
    </row>
    <row r="41" spans="1:11" x14ac:dyDescent="0.35">
      <c r="A41" s="124"/>
      <c r="B41" s="126" t="s">
        <v>397</v>
      </c>
      <c r="C41" s="127">
        <v>0</v>
      </c>
      <c r="D41" s="127">
        <v>1</v>
      </c>
      <c r="E41" s="83"/>
      <c r="F41" s="83"/>
      <c r="G41" s="62" t="s">
        <v>453</v>
      </c>
      <c r="H41" s="62">
        <v>2</v>
      </c>
      <c r="I41" s="83"/>
      <c r="J41" s="125"/>
    </row>
    <row r="42" spans="1:11" x14ac:dyDescent="0.35">
      <c r="A42" s="124"/>
      <c r="B42" s="126" t="s">
        <v>399</v>
      </c>
      <c r="C42" s="127">
        <v>6.5000000000000002E-2</v>
      </c>
      <c r="D42" s="127">
        <v>0.93500000000000005</v>
      </c>
      <c r="E42" s="83"/>
      <c r="F42" s="83"/>
      <c r="G42" s="83"/>
      <c r="H42" s="83"/>
      <c r="I42" s="83"/>
      <c r="J42" s="125"/>
    </row>
    <row r="43" spans="1:11" x14ac:dyDescent="0.35">
      <c r="A43" s="124"/>
      <c r="B43" s="83"/>
      <c r="C43" s="83"/>
      <c r="D43" s="83"/>
      <c r="E43" s="83"/>
      <c r="F43" s="83"/>
      <c r="G43" s="83"/>
      <c r="H43" s="83"/>
      <c r="I43" s="83"/>
      <c r="J43" s="125"/>
    </row>
    <row r="44" spans="1:11" x14ac:dyDescent="0.35">
      <c r="A44" s="124"/>
      <c r="B44" s="83"/>
      <c r="C44" s="83"/>
      <c r="D44" s="83"/>
      <c r="E44" s="83"/>
      <c r="F44" s="83"/>
      <c r="G44" s="83"/>
      <c r="H44" s="83"/>
      <c r="I44" s="83"/>
      <c r="J44" s="125"/>
    </row>
    <row r="45" spans="1:11" x14ac:dyDescent="0.35">
      <c r="A45" s="124"/>
      <c r="B45" s="83"/>
      <c r="C45" s="83"/>
      <c r="D45" s="83"/>
      <c r="E45" s="83"/>
      <c r="F45" s="83"/>
      <c r="G45" s="83"/>
      <c r="H45" s="83"/>
      <c r="I45" s="83"/>
      <c r="J45" s="125"/>
      <c r="K45" s="128"/>
    </row>
    <row r="46" spans="1:11" ht="52" x14ac:dyDescent="0.35">
      <c r="A46" s="124"/>
      <c r="B46" s="70" t="s">
        <v>370</v>
      </c>
      <c r="C46" s="70" t="s">
        <v>454</v>
      </c>
      <c r="D46" s="70" t="s">
        <v>454</v>
      </c>
      <c r="E46" s="70" t="s">
        <v>455</v>
      </c>
      <c r="F46" s="83"/>
      <c r="G46" s="83"/>
      <c r="H46" s="83"/>
      <c r="I46" s="129"/>
      <c r="J46" s="130"/>
    </row>
    <row r="47" spans="1:11" x14ac:dyDescent="0.35">
      <c r="A47" s="124"/>
      <c r="B47" s="131" t="s">
        <v>457</v>
      </c>
      <c r="C47" s="132">
        <v>21741</v>
      </c>
      <c r="D47" s="133">
        <v>12789</v>
      </c>
      <c r="E47" s="134">
        <v>1052</v>
      </c>
      <c r="F47" s="83"/>
      <c r="G47" s="2249" t="s">
        <v>344</v>
      </c>
      <c r="H47" s="2297"/>
      <c r="I47" s="2250"/>
      <c r="J47" s="125"/>
    </row>
    <row r="48" spans="1:11" ht="57" customHeight="1" x14ac:dyDescent="0.35">
      <c r="A48" s="124"/>
      <c r="B48" s="131" t="s">
        <v>459</v>
      </c>
      <c r="C48" s="132">
        <v>20771</v>
      </c>
      <c r="D48" s="133">
        <v>12218</v>
      </c>
      <c r="E48" s="134">
        <v>1005</v>
      </c>
      <c r="F48" s="83"/>
      <c r="G48" s="70"/>
      <c r="H48" s="70" t="s">
        <v>452</v>
      </c>
      <c r="I48" s="70" t="s">
        <v>453</v>
      </c>
      <c r="J48" s="125"/>
    </row>
    <row r="49" spans="1:10" x14ac:dyDescent="0.35">
      <c r="A49" s="124"/>
      <c r="B49" s="131" t="s">
        <v>461</v>
      </c>
      <c r="C49" s="132">
        <v>17789</v>
      </c>
      <c r="D49" s="133">
        <v>10464</v>
      </c>
      <c r="E49" s="134">
        <v>861</v>
      </c>
      <c r="F49" s="83"/>
      <c r="G49" s="62"/>
      <c r="H49" s="62"/>
      <c r="I49" s="62"/>
      <c r="J49" s="136"/>
    </row>
    <row r="50" spans="1:10" x14ac:dyDescent="0.35">
      <c r="A50" s="124"/>
      <c r="B50" s="131" t="s">
        <v>463</v>
      </c>
      <c r="C50" s="132">
        <v>13722</v>
      </c>
      <c r="D50" s="133">
        <v>8072</v>
      </c>
      <c r="E50" s="134">
        <v>664</v>
      </c>
      <c r="F50" s="83"/>
      <c r="G50" s="62"/>
      <c r="H50" s="62"/>
      <c r="I50" s="62"/>
      <c r="J50" s="125"/>
    </row>
    <row r="51" spans="1:10" x14ac:dyDescent="0.35">
      <c r="A51" s="124"/>
      <c r="B51" s="131" t="s">
        <v>464</v>
      </c>
      <c r="C51" s="132">
        <v>13966</v>
      </c>
      <c r="D51" s="133">
        <v>8215</v>
      </c>
      <c r="E51" s="134">
        <v>676</v>
      </c>
      <c r="F51" s="83"/>
      <c r="G51" s="62"/>
      <c r="H51" s="62"/>
      <c r="I51" s="62"/>
      <c r="J51" s="125"/>
    </row>
    <row r="52" spans="1:10" x14ac:dyDescent="0.35">
      <c r="A52" s="124"/>
      <c r="B52" s="131" t="s">
        <v>399</v>
      </c>
      <c r="C52" s="132">
        <v>19743</v>
      </c>
      <c r="D52" s="133">
        <v>11613</v>
      </c>
      <c r="E52" s="134">
        <v>955</v>
      </c>
      <c r="F52" s="83"/>
      <c r="G52" s="83"/>
      <c r="H52" s="83"/>
      <c r="I52" s="129"/>
      <c r="J52" s="125"/>
    </row>
    <row r="53" spans="1:10" x14ac:dyDescent="0.35">
      <c r="A53" s="124"/>
      <c r="B53" s="83"/>
      <c r="C53" s="83"/>
      <c r="D53" s="83"/>
      <c r="E53" s="83"/>
      <c r="F53" s="83"/>
      <c r="G53" s="83"/>
      <c r="H53" s="83"/>
      <c r="I53" s="83"/>
      <c r="J53" s="125"/>
    </row>
    <row r="54" spans="1:10" ht="32.25" customHeight="1" x14ac:dyDescent="0.35">
      <c r="A54" s="124"/>
      <c r="B54" s="83"/>
      <c r="C54" s="83"/>
      <c r="D54" s="83"/>
      <c r="E54" s="83"/>
      <c r="F54" s="83"/>
      <c r="G54" s="70" t="s">
        <v>342</v>
      </c>
      <c r="H54" s="70" t="s">
        <v>379</v>
      </c>
      <c r="I54" s="83"/>
      <c r="J54" s="125"/>
    </row>
    <row r="55" spans="1:10" x14ac:dyDescent="0.35">
      <c r="A55" s="124"/>
      <c r="B55" s="70" t="s">
        <v>372</v>
      </c>
      <c r="C55" s="70" t="s">
        <v>378</v>
      </c>
      <c r="D55" s="83"/>
      <c r="E55" s="83"/>
      <c r="F55" s="83"/>
      <c r="G55" s="62" t="s">
        <v>356</v>
      </c>
      <c r="H55" s="75">
        <v>0.56000000000000005</v>
      </c>
      <c r="I55" s="83"/>
      <c r="J55" s="125"/>
    </row>
    <row r="56" spans="1:10" x14ac:dyDescent="0.35">
      <c r="A56" s="124"/>
      <c r="B56" s="126" t="s">
        <v>400</v>
      </c>
      <c r="C56" s="127">
        <v>1</v>
      </c>
      <c r="D56" s="83"/>
      <c r="E56" s="83"/>
      <c r="F56" s="83"/>
      <c r="G56" s="62" t="s">
        <v>494</v>
      </c>
      <c r="H56" s="75">
        <v>0.56000000000000005</v>
      </c>
      <c r="I56" s="83"/>
      <c r="J56" s="125"/>
    </row>
    <row r="57" spans="1:10" x14ac:dyDescent="0.35">
      <c r="A57" s="124"/>
      <c r="B57" s="126" t="s">
        <v>466</v>
      </c>
      <c r="C57" s="127">
        <v>0.65</v>
      </c>
      <c r="D57" s="83"/>
      <c r="E57" s="83"/>
      <c r="F57" s="83"/>
      <c r="G57" s="62" t="s">
        <v>495</v>
      </c>
      <c r="H57" s="75">
        <v>0.56000000000000005</v>
      </c>
      <c r="I57" s="83"/>
      <c r="J57" s="125"/>
    </row>
    <row r="58" spans="1:10" x14ac:dyDescent="0.35">
      <c r="A58" s="124"/>
      <c r="B58" s="126" t="s">
        <v>468</v>
      </c>
      <c r="C58" s="127" t="s">
        <v>295</v>
      </c>
      <c r="D58" s="83"/>
      <c r="E58" s="83"/>
      <c r="F58" s="83"/>
      <c r="G58" s="62" t="s">
        <v>403</v>
      </c>
      <c r="H58" s="75">
        <v>1</v>
      </c>
      <c r="I58" s="83"/>
      <c r="J58" s="125"/>
    </row>
    <row r="59" spans="1:10" x14ac:dyDescent="0.35">
      <c r="A59" s="124"/>
      <c r="B59" s="83"/>
      <c r="C59" s="83"/>
      <c r="D59" s="83"/>
      <c r="E59" s="83"/>
      <c r="F59" s="83"/>
      <c r="G59" s="83"/>
      <c r="H59" s="83"/>
      <c r="I59" s="83"/>
      <c r="J59" s="125"/>
    </row>
    <row r="60" spans="1:10" x14ac:dyDescent="0.35">
      <c r="A60" s="124"/>
      <c r="B60" s="2249" t="s">
        <v>376</v>
      </c>
      <c r="C60" s="2297"/>
      <c r="D60" s="2250"/>
      <c r="E60" s="83"/>
      <c r="F60" s="83"/>
      <c r="G60" s="83"/>
      <c r="H60" s="83"/>
      <c r="I60" s="83"/>
      <c r="J60" s="125"/>
    </row>
    <row r="61" spans="1:10" x14ac:dyDescent="0.35">
      <c r="A61" s="124"/>
      <c r="B61" s="126" t="s">
        <v>469</v>
      </c>
      <c r="C61" s="126" t="s">
        <v>470</v>
      </c>
      <c r="D61" s="126" t="s">
        <v>399</v>
      </c>
      <c r="E61" s="83"/>
      <c r="F61" s="83"/>
      <c r="G61" s="83"/>
      <c r="H61" s="83"/>
      <c r="I61" s="83"/>
      <c r="J61" s="125"/>
    </row>
    <row r="62" spans="1:10" x14ac:dyDescent="0.35">
      <c r="A62" s="124"/>
      <c r="B62" s="83"/>
      <c r="C62" s="83"/>
      <c r="D62" s="83"/>
      <c r="E62" s="83"/>
      <c r="F62" s="83"/>
      <c r="G62" s="83"/>
      <c r="H62" s="83"/>
      <c r="I62" s="83"/>
      <c r="J62" s="125"/>
    </row>
    <row r="63" spans="1:10" ht="15" thickBot="1" x14ac:dyDescent="0.4">
      <c r="A63" s="321"/>
      <c r="B63" s="201"/>
      <c r="C63" s="201"/>
      <c r="D63" s="201"/>
      <c r="E63" s="201"/>
      <c r="F63" s="201"/>
      <c r="G63" s="201"/>
      <c r="H63" s="201"/>
      <c r="I63" s="201"/>
      <c r="J63" s="203"/>
    </row>
  </sheetData>
  <customSheetViews>
    <customSheetView guid="{11DE45F5-F478-4ED6-8DFF-12002C22A637}" scale="60" showPageBreaks="1" fitToPage="1" view="pageBreakPreview">
      <selection activeCell="H52" sqref="H52"/>
      <pageMargins left="0.7" right="0.7" top="0.75" bottom="0.75" header="0.3" footer="0.3"/>
      <pageSetup scale="27" orientation="landscape" r:id="rId1"/>
    </customSheetView>
    <customSheetView guid="{ECD6FE6A-9548-414E-B8AA-6998703C57E0}" scale="60" showPageBreaks="1" fitToPage="1" view="pageBreakPreview">
      <selection activeCell="H52" sqref="H52"/>
      <pageMargins left="0.7" right="0.7" top="0.75" bottom="0.75" header="0.3" footer="0.3"/>
      <pageSetup scale="27" orientation="landscape" r:id="rId2"/>
    </customSheetView>
  </customSheetViews>
  <mergeCells count="10">
    <mergeCell ref="R2:T2"/>
    <mergeCell ref="U2:AB2"/>
    <mergeCell ref="C17:G17"/>
    <mergeCell ref="C19:G19"/>
    <mergeCell ref="C29:G29"/>
    <mergeCell ref="C31:I31"/>
    <mergeCell ref="C33:I33"/>
    <mergeCell ref="G47:I47"/>
    <mergeCell ref="B60:D60"/>
    <mergeCell ref="O2:Q2"/>
  </mergeCells>
  <dataValidations disablePrompts="1" count="9">
    <dataValidation type="list" allowBlank="1" showInputMessage="1" showErrorMessage="1" sqref="H6" xr:uid="{00000000-0002-0000-2B00-000000000000}">
      <formula1>$G$53:$G$55</formula1>
    </dataValidation>
    <dataValidation type="list" allowBlank="1" showInputMessage="1" showErrorMessage="1" sqref="E4:E6" xr:uid="{00000000-0002-0000-2B00-000001000000}">
      <formula1>PgTs1</formula1>
    </dataValidation>
    <dataValidation type="list" allowBlank="1" showInputMessage="1" showErrorMessage="1" sqref="J4:J6" xr:uid="{00000000-0002-0000-2B00-000002000000}">
      <formula1>PgTs3</formula1>
    </dataValidation>
    <dataValidation type="list" allowBlank="1" showInputMessage="1" showErrorMessage="1" sqref="M4:M6" xr:uid="{00000000-0002-0000-2B00-000003000000}">
      <formula1>PgTs2</formula1>
    </dataValidation>
    <dataValidation type="list" allowBlank="1" showInputMessage="1" showErrorMessage="1" sqref="N4:N6" xr:uid="{00000000-0002-0000-2B00-000004000000}">
      <formula1>Unit1</formula1>
    </dataValidation>
    <dataValidation type="list" allowBlank="1" showInputMessage="1" showErrorMessage="1" sqref="L4:L6" xr:uid="{00000000-0002-0000-2B00-000005000000}">
      <formula1>Climate1</formula1>
    </dataValidation>
    <dataValidation type="list" allowBlank="1" showInputMessage="1" showErrorMessage="1" sqref="K4:K6" xr:uid="{00000000-0002-0000-2B00-000006000000}">
      <formula1>Fuel2</formula1>
    </dataValidation>
    <dataValidation type="list" allowBlank="1" showInputMessage="1" showErrorMessage="1" sqref="D4:D6" xr:uid="{00000000-0002-0000-2B00-000007000000}">
      <formula1>MeasureType</formula1>
    </dataValidation>
    <dataValidation type="list" allowBlank="1" showInputMessage="1" showErrorMessage="1" sqref="H4:H5" xr:uid="{00000000-0002-0000-2B00-000008000000}">
      <formula1>$G$49:$G$51</formula1>
    </dataValidation>
  </dataValidations>
  <pageMargins left="0.7" right="0.7" top="0.75" bottom="0.75" header="0.3" footer="0.3"/>
  <pageSetup scale="27" orientation="landscap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59999389629810485"/>
    <pageSetUpPr fitToPage="1"/>
  </sheetPr>
  <dimension ref="A1:Z62"/>
  <sheetViews>
    <sheetView view="pageBreakPreview" zoomScale="60" zoomScaleNormal="100" workbookViewId="0"/>
  </sheetViews>
  <sheetFormatPr defaultRowHeight="14.5" x14ac:dyDescent="0.35"/>
  <cols>
    <col min="1" max="1" width="28.54296875" customWidth="1"/>
    <col min="2" max="2" width="31.453125" customWidth="1"/>
    <col min="3" max="3" width="33.453125" customWidth="1"/>
    <col min="4" max="4" width="16.26953125" customWidth="1"/>
    <col min="6" max="6" width="12.453125" bestFit="1" customWidth="1"/>
    <col min="7" max="7" width="10.54296875" customWidth="1"/>
    <col min="8" max="8" width="12.453125" bestFit="1" customWidth="1"/>
    <col min="9" max="10" width="12.453125" customWidth="1"/>
    <col min="11" max="11" width="13.54296875" customWidth="1"/>
    <col min="12" max="12" width="11" customWidth="1"/>
    <col min="15" max="15" width="6.453125" bestFit="1" customWidth="1"/>
    <col min="16" max="16" width="5.26953125" bestFit="1" customWidth="1"/>
    <col min="17" max="17" width="8.81640625" bestFit="1" customWidth="1"/>
    <col min="18" max="18" width="10" bestFit="1" customWidth="1"/>
    <col min="25" max="25" width="12.7265625" bestFit="1" customWidth="1"/>
    <col min="26" max="26" width="12.453125" bestFit="1" customWidth="1"/>
  </cols>
  <sheetData>
    <row r="1" spans="1:26" x14ac:dyDescent="0.35">
      <c r="A1" s="1144" t="s">
        <v>3243</v>
      </c>
      <c r="B1" s="1124"/>
      <c r="C1" s="1124"/>
      <c r="D1" s="1124"/>
      <c r="E1" s="1177"/>
      <c r="F1" s="1177"/>
      <c r="G1" s="1177"/>
      <c r="H1" s="1177"/>
      <c r="I1" s="1177"/>
      <c r="J1" s="1177"/>
      <c r="K1" s="1177"/>
      <c r="L1" s="1177"/>
      <c r="M1" s="1177"/>
      <c r="N1" s="1241"/>
      <c r="O1" s="2219" t="s">
        <v>335</v>
      </c>
      <c r="P1" s="2220"/>
      <c r="Q1" s="2274"/>
      <c r="R1" s="2219" t="s">
        <v>336</v>
      </c>
      <c r="S1" s="2220"/>
      <c r="T1" s="2220"/>
      <c r="U1" s="2420" t="s">
        <v>337</v>
      </c>
      <c r="V1" s="2421"/>
      <c r="W1" s="2421"/>
      <c r="X1" s="2421"/>
      <c r="Y1" s="2421"/>
      <c r="Z1" s="2421"/>
    </row>
    <row r="2" spans="1:26" ht="58" x14ac:dyDescent="0.35">
      <c r="A2" s="1145" t="s">
        <v>338</v>
      </c>
      <c r="B2" s="1129" t="s">
        <v>1</v>
      </c>
      <c r="C2" s="1129" t="s">
        <v>339</v>
      </c>
      <c r="D2" s="1129" t="s">
        <v>688</v>
      </c>
      <c r="E2" s="1177" t="s">
        <v>342</v>
      </c>
      <c r="F2" s="1177" t="s">
        <v>343</v>
      </c>
      <c r="G2" s="1177" t="s">
        <v>839</v>
      </c>
      <c r="H2" s="1177" t="s">
        <v>345</v>
      </c>
      <c r="I2" s="1177" t="s">
        <v>3203</v>
      </c>
      <c r="J2" s="1177" t="s">
        <v>3204</v>
      </c>
      <c r="K2" s="1177" t="s">
        <v>690</v>
      </c>
      <c r="L2" s="1177" t="s">
        <v>370</v>
      </c>
      <c r="M2" s="1177" t="s">
        <v>3205</v>
      </c>
      <c r="N2" s="1177" t="s">
        <v>547</v>
      </c>
      <c r="O2" s="1648" t="s">
        <v>347</v>
      </c>
      <c r="P2" s="1648" t="s">
        <v>348</v>
      </c>
      <c r="Q2" s="1648" t="s">
        <v>349</v>
      </c>
      <c r="R2" s="1648" t="s">
        <v>347</v>
      </c>
      <c r="S2" s="1648" t="s">
        <v>348</v>
      </c>
      <c r="T2" s="1647" t="s">
        <v>349</v>
      </c>
      <c r="U2" s="1751" t="s">
        <v>380</v>
      </c>
      <c r="V2" s="1752" t="s">
        <v>589</v>
      </c>
      <c r="W2" s="1752" t="s">
        <v>378</v>
      </c>
      <c r="X2" s="1754" t="s">
        <v>547</v>
      </c>
      <c r="Y2" s="1754" t="s">
        <v>2773</v>
      </c>
      <c r="Z2" s="1754" t="s">
        <v>3206</v>
      </c>
    </row>
    <row r="3" spans="1:26" ht="39.5" x14ac:dyDescent="0.35">
      <c r="A3" s="1131" t="s">
        <v>3208</v>
      </c>
      <c r="B3" s="1755" t="str">
        <f>+CONCATENATE(C3,"-",N3*100,"% Furnace"," ",K3)</f>
        <v>Verified Quality Maintenance SF-80% Furnace Single family</v>
      </c>
      <c r="C3" s="1755" t="s">
        <v>3037</v>
      </c>
      <c r="D3" s="1133" t="s">
        <v>510</v>
      </c>
      <c r="E3" s="1756" t="s">
        <v>495</v>
      </c>
      <c r="F3" s="1179">
        <f>+$B$40</f>
        <v>10</v>
      </c>
      <c r="G3" s="1279"/>
      <c r="H3" s="1280" t="s">
        <v>3207</v>
      </c>
      <c r="I3" s="1757"/>
      <c r="J3" s="1758"/>
      <c r="K3" s="1150" t="s">
        <v>735</v>
      </c>
      <c r="L3" s="1148" t="s">
        <v>738</v>
      </c>
      <c r="M3" s="1149"/>
      <c r="N3" s="1759">
        <f>+$B$29</f>
        <v>0.8</v>
      </c>
      <c r="O3" s="1380"/>
      <c r="P3" s="1381"/>
      <c r="Q3" s="1382">
        <f>+(V3*W3*(1/(X3*(1-Y3))-1/(X3*(1-Z3))))</f>
        <v>71.256410256410177</v>
      </c>
      <c r="R3" s="1382"/>
      <c r="S3" s="1760"/>
      <c r="T3" s="1383">
        <f t="shared" ref="T3" si="0">Q3*F3</f>
        <v>712.56410256410174</v>
      </c>
      <c r="U3" s="302"/>
      <c r="V3" s="62">
        <f>VLOOKUP(L3,$A$49:$B$55,2,FALSE)</f>
        <v>833.69999999999993</v>
      </c>
      <c r="W3" s="62">
        <f>+VLOOKUP(K3,$D$48:$E$50,2,FALSE)</f>
        <v>1</v>
      </c>
      <c r="X3" s="75">
        <f>+N3</f>
        <v>0.8</v>
      </c>
      <c r="Y3" s="324">
        <f>+$B$30</f>
        <v>6.4000000000000001E-2</v>
      </c>
      <c r="Z3" s="75">
        <f>+$B$32</f>
        <v>0</v>
      </c>
    </row>
    <row r="4" spans="1:26" x14ac:dyDescent="0.35">
      <c r="A4" s="1132"/>
      <c r="B4" s="1132"/>
      <c r="C4" s="1132"/>
      <c r="D4" s="1132"/>
      <c r="E4" s="736"/>
      <c r="F4" s="1761"/>
      <c r="G4" s="1279"/>
      <c r="H4" s="1281"/>
      <c r="I4" s="1757"/>
      <c r="J4" s="1758"/>
      <c r="K4" s="1150"/>
      <c r="L4" s="1148"/>
      <c r="M4" s="1149"/>
      <c r="N4" s="1759"/>
      <c r="O4" s="1762"/>
      <c r="P4" s="1760"/>
      <c r="Q4" s="1763"/>
      <c r="R4" s="1763"/>
      <c r="S4" s="1760"/>
      <c r="T4" s="1763"/>
      <c r="U4" s="1502"/>
      <c r="V4" s="83"/>
      <c r="W4" s="83"/>
      <c r="X4" s="536"/>
      <c r="Y4" s="584"/>
      <c r="Z4" s="536"/>
    </row>
    <row r="5" spans="1:26" ht="15" thickBot="1" x14ac:dyDescent="0.4"/>
    <row r="6" spans="1:26" ht="15" thickBot="1" x14ac:dyDescent="0.4">
      <c r="A6" s="76" t="s">
        <v>408</v>
      </c>
      <c r="B6" s="78"/>
      <c r="C6" s="78"/>
      <c r="D6" s="78"/>
      <c r="E6" s="78"/>
      <c r="F6" s="78"/>
      <c r="G6" s="78"/>
      <c r="H6" s="78"/>
      <c r="I6" s="78"/>
      <c r="J6" s="78"/>
      <c r="K6" s="78"/>
      <c r="L6" s="79"/>
    </row>
    <row r="7" spans="1:26" ht="15" x14ac:dyDescent="0.4">
      <c r="A7" s="81" t="s">
        <v>3209</v>
      </c>
      <c r="B7" s="83"/>
      <c r="C7" s="82"/>
      <c r="D7" s="83"/>
      <c r="E7" s="83"/>
      <c r="F7" s="83"/>
      <c r="G7" s="83"/>
      <c r="H7" s="83"/>
      <c r="I7" s="83"/>
      <c r="J7" s="83"/>
      <c r="K7" s="83"/>
      <c r="L7" s="84"/>
    </row>
    <row r="8" spans="1:26" x14ac:dyDescent="0.35">
      <c r="A8" s="379" t="s">
        <v>3210</v>
      </c>
      <c r="B8" s="83"/>
      <c r="C8" s="82"/>
      <c r="D8" s="83"/>
      <c r="E8" s="83"/>
      <c r="F8" s="83"/>
      <c r="G8" s="83"/>
      <c r="H8" s="83"/>
      <c r="I8" s="83"/>
      <c r="J8" s="83"/>
      <c r="K8" s="83"/>
      <c r="L8" s="84"/>
    </row>
    <row r="9" spans="1:26" x14ac:dyDescent="0.35">
      <c r="A9" s="1735" t="s">
        <v>3211</v>
      </c>
      <c r="B9" s="1736"/>
      <c r="C9" s="86"/>
      <c r="D9" s="86"/>
      <c r="E9" s="86"/>
      <c r="F9" s="86"/>
      <c r="G9" s="86"/>
      <c r="H9" s="86"/>
      <c r="I9" s="86"/>
      <c r="J9" s="86"/>
      <c r="K9" s="86"/>
      <c r="L9" s="87"/>
    </row>
    <row r="10" spans="1:26" x14ac:dyDescent="0.35">
      <c r="A10" s="379" t="s">
        <v>3212</v>
      </c>
      <c r="B10" s="83"/>
      <c r="C10" s="82"/>
      <c r="D10" s="83"/>
      <c r="E10" s="83"/>
      <c r="F10" s="83"/>
      <c r="G10" s="83"/>
      <c r="H10" s="83"/>
      <c r="I10" s="83"/>
      <c r="J10" s="83"/>
      <c r="K10" s="83"/>
      <c r="L10" s="84"/>
    </row>
    <row r="11" spans="1:26" ht="15" thickBot="1" x14ac:dyDescent="0.4">
      <c r="A11" s="1735" t="s">
        <v>3213</v>
      </c>
      <c r="B11" s="1736"/>
      <c r="C11" s="86"/>
      <c r="D11" s="86"/>
      <c r="E11" s="86"/>
      <c r="F11" s="86"/>
      <c r="G11" s="86"/>
      <c r="H11" s="86"/>
      <c r="I11" s="86"/>
      <c r="J11" s="86"/>
      <c r="K11" s="86"/>
      <c r="L11" s="87"/>
    </row>
    <row r="12" spans="1:26" ht="15" thickBot="1" x14ac:dyDescent="0.4">
      <c r="A12" s="188" t="s">
        <v>2571</v>
      </c>
      <c r="B12" s="1384" t="e">
        <f>+#REF!</f>
        <v>#REF!</v>
      </c>
    </row>
    <row r="13" spans="1:26" ht="15" thickBot="1" x14ac:dyDescent="0.4">
      <c r="A13" s="188" t="s">
        <v>2572</v>
      </c>
      <c r="B13" s="701" t="s">
        <v>3056</v>
      </c>
    </row>
    <row r="14" spans="1:26" ht="15" thickBot="1" x14ac:dyDescent="0.4"/>
    <row r="15" spans="1:26" ht="15" thickBot="1" x14ac:dyDescent="0.4">
      <c r="A15" s="763" t="s">
        <v>413</v>
      </c>
      <c r="B15" s="1654" t="s">
        <v>414</v>
      </c>
      <c r="C15" s="765" t="s">
        <v>415</v>
      </c>
      <c r="D15" s="472"/>
      <c r="E15" s="472"/>
      <c r="F15" s="472"/>
      <c r="G15" s="472"/>
      <c r="H15" s="472"/>
      <c r="I15" s="472"/>
      <c r="J15" s="472"/>
      <c r="K15" s="472"/>
      <c r="L15" s="472"/>
      <c r="M15" s="472"/>
      <c r="N15" s="473"/>
    </row>
    <row r="16" spans="1:26" ht="29" x14ac:dyDescent="0.35">
      <c r="A16" s="1431" t="s">
        <v>524</v>
      </c>
      <c r="B16" s="1737" t="s">
        <v>3298</v>
      </c>
      <c r="C16" s="1416" t="s">
        <v>3214</v>
      </c>
      <c r="D16" s="1416"/>
      <c r="E16" s="1416"/>
      <c r="F16" s="1416"/>
      <c r="G16" s="1416"/>
      <c r="H16" s="1416"/>
      <c r="I16" s="1416"/>
      <c r="J16" s="1416"/>
      <c r="K16" s="1416"/>
      <c r="L16" s="1416"/>
      <c r="M16" s="1416"/>
      <c r="N16" s="1435"/>
    </row>
    <row r="17" spans="1:14" x14ac:dyDescent="0.35">
      <c r="A17" s="1433"/>
      <c r="B17" s="1434"/>
      <c r="C17" s="1434" t="s">
        <v>3215</v>
      </c>
      <c r="D17" s="1434"/>
      <c r="E17" s="1434"/>
      <c r="F17" s="1434"/>
      <c r="G17" s="1434"/>
      <c r="H17" s="1434"/>
      <c r="I17" s="1434"/>
      <c r="J17" s="1434"/>
      <c r="K17" s="1434"/>
      <c r="L17" s="1434"/>
      <c r="M17" s="1434"/>
      <c r="N17" s="1437"/>
    </row>
    <row r="18" spans="1:14" ht="15" thickBot="1" x14ac:dyDescent="0.4">
      <c r="A18" s="1432"/>
      <c r="B18" s="1417"/>
      <c r="C18" s="1417" t="s">
        <v>3216</v>
      </c>
      <c r="D18" s="1417"/>
      <c r="E18" s="1417"/>
      <c r="F18" s="1417"/>
      <c r="G18" s="1417"/>
      <c r="H18" s="1417"/>
      <c r="I18" s="1417"/>
      <c r="J18" s="1417"/>
      <c r="K18" s="1417"/>
      <c r="L18" s="1417"/>
      <c r="M18" s="1417"/>
      <c r="N18" s="1436"/>
    </row>
    <row r="19" spans="1:14" x14ac:dyDescent="0.35">
      <c r="A19" s="1431" t="s">
        <v>378</v>
      </c>
      <c r="B19" s="1416"/>
      <c r="C19" s="1416" t="s">
        <v>3217</v>
      </c>
      <c r="D19" s="1416"/>
      <c r="E19" s="1416"/>
      <c r="F19" s="1416"/>
      <c r="G19" s="1416"/>
      <c r="H19" s="1416"/>
      <c r="I19" s="1416"/>
      <c r="J19" s="1416"/>
      <c r="K19" s="1416"/>
      <c r="L19" s="1416"/>
      <c r="M19" s="1416"/>
      <c r="N19" s="1435"/>
    </row>
    <row r="20" spans="1:14" ht="15" thickBot="1" x14ac:dyDescent="0.4">
      <c r="A20" s="1432"/>
      <c r="B20" s="1417"/>
      <c r="C20" s="1417" t="s">
        <v>3218</v>
      </c>
      <c r="D20" s="1417"/>
      <c r="E20" s="1417"/>
      <c r="F20" s="1417"/>
      <c r="G20" s="1417"/>
      <c r="H20" s="1417"/>
      <c r="I20" s="1417"/>
      <c r="J20" s="1417"/>
      <c r="K20" s="1417"/>
      <c r="L20" s="1417"/>
      <c r="M20" s="1417"/>
      <c r="N20" s="1436"/>
    </row>
    <row r="21" spans="1:14" ht="30" customHeight="1" x14ac:dyDescent="0.35">
      <c r="A21" s="1431" t="s">
        <v>3219</v>
      </c>
      <c r="B21" s="1416"/>
      <c r="C21" s="1416" t="s">
        <v>3220</v>
      </c>
      <c r="D21" s="1416"/>
      <c r="E21" s="1416"/>
      <c r="F21" s="1416"/>
      <c r="G21" s="1416"/>
      <c r="H21" s="1416"/>
      <c r="I21" s="1416"/>
      <c r="J21" s="1416"/>
      <c r="K21" s="1416"/>
      <c r="L21" s="1416"/>
      <c r="M21" s="1416"/>
      <c r="N21" s="1435"/>
    </row>
    <row r="22" spans="1:14" ht="14.25" customHeight="1" x14ac:dyDescent="0.35">
      <c r="A22" s="1433"/>
      <c r="B22" s="1434"/>
      <c r="C22" s="1434" t="s">
        <v>3221</v>
      </c>
      <c r="D22" s="1434"/>
      <c r="E22" s="1434"/>
      <c r="F22" s="1434"/>
      <c r="G22" s="1434"/>
      <c r="H22" s="1434"/>
      <c r="I22" s="1434"/>
      <c r="J22" s="1434"/>
      <c r="K22" s="1434"/>
      <c r="L22" s="1434"/>
      <c r="M22" s="1434"/>
      <c r="N22" s="1437"/>
    </row>
    <row r="23" spans="1:14" x14ac:dyDescent="0.35">
      <c r="A23" s="1433"/>
      <c r="B23" s="1434"/>
      <c r="C23" s="1434" t="s">
        <v>3299</v>
      </c>
      <c r="D23" s="1434"/>
      <c r="E23" s="1434"/>
      <c r="F23" s="1434"/>
      <c r="G23" s="1434"/>
      <c r="H23" s="1434"/>
      <c r="I23" s="1434"/>
      <c r="J23" s="1434"/>
      <c r="K23" s="1434"/>
      <c r="L23" s="1434"/>
      <c r="M23" s="1434"/>
      <c r="N23" s="1437"/>
    </row>
    <row r="24" spans="1:14" ht="40.5" customHeight="1" thickBot="1" x14ac:dyDescent="0.4">
      <c r="A24" s="1432"/>
      <c r="B24" s="1417"/>
      <c r="C24" s="2425" t="s">
        <v>3222</v>
      </c>
      <c r="D24" s="2425"/>
      <c r="E24" s="2425"/>
      <c r="F24" s="2425"/>
      <c r="G24" s="2425"/>
      <c r="H24" s="2425"/>
      <c r="I24" s="2425"/>
      <c r="J24" s="2425"/>
      <c r="K24" s="2425"/>
      <c r="L24" s="2425"/>
      <c r="M24" s="2425"/>
      <c r="N24" s="1750"/>
    </row>
    <row r="25" spans="1:14" x14ac:dyDescent="0.35">
      <c r="A25" s="1431" t="s">
        <v>1463</v>
      </c>
      <c r="B25" s="1416"/>
      <c r="C25" s="1416" t="s">
        <v>3223</v>
      </c>
      <c r="D25" s="1416"/>
      <c r="E25" s="1416"/>
      <c r="F25" s="1416"/>
      <c r="G25" s="1416"/>
      <c r="H25" s="1416"/>
      <c r="I25" s="1416"/>
      <c r="J25" s="1416"/>
      <c r="K25" s="1416"/>
      <c r="L25" s="1416"/>
      <c r="M25" s="1416"/>
      <c r="N25" s="1435"/>
    </row>
    <row r="26" spans="1:14" ht="15" thickBot="1" x14ac:dyDescent="0.4">
      <c r="A26" s="1432"/>
      <c r="B26" s="1417"/>
      <c r="C26" s="1417" t="s">
        <v>3221</v>
      </c>
      <c r="D26" s="1417"/>
      <c r="E26" s="1417"/>
      <c r="F26" s="1417"/>
      <c r="G26" s="1417"/>
      <c r="H26" s="1417"/>
      <c r="I26" s="1417"/>
      <c r="J26" s="1417"/>
      <c r="K26" s="1417"/>
      <c r="L26" s="1417"/>
      <c r="M26" s="1417"/>
      <c r="N26" s="1436"/>
    </row>
    <row r="27" spans="1:14" ht="30" customHeight="1" x14ac:dyDescent="0.35">
      <c r="A27" s="1433" t="s">
        <v>547</v>
      </c>
      <c r="B27" s="1434"/>
      <c r="C27" s="1434" t="s">
        <v>3224</v>
      </c>
      <c r="D27" s="1434"/>
      <c r="E27" s="1434"/>
      <c r="F27" s="1434"/>
      <c r="G27" s="1434"/>
      <c r="H27" s="1434"/>
      <c r="I27" s="1434"/>
      <c r="J27" s="1434"/>
      <c r="K27" s="1434"/>
      <c r="L27" s="1434"/>
      <c r="M27" s="1434"/>
      <c r="N27" s="1437"/>
    </row>
    <row r="28" spans="1:14" x14ac:dyDescent="0.35">
      <c r="A28" s="1433"/>
      <c r="B28" s="1434"/>
      <c r="C28" s="1434" t="s">
        <v>3225</v>
      </c>
      <c r="D28" s="1434"/>
      <c r="E28" s="1434"/>
      <c r="F28" s="1434"/>
      <c r="G28" s="1434"/>
      <c r="H28" s="1434"/>
      <c r="I28" s="1434"/>
      <c r="J28" s="1434"/>
      <c r="K28" s="1434"/>
      <c r="L28" s="1434"/>
      <c r="M28" s="1434"/>
      <c r="N28" s="1437"/>
    </row>
    <row r="29" spans="1:14" ht="15" thickBot="1" x14ac:dyDescent="0.4">
      <c r="A29" s="1433"/>
      <c r="B29" s="1738">
        <v>0.8</v>
      </c>
      <c r="C29" s="1434" t="s">
        <v>3300</v>
      </c>
      <c r="D29" s="1434"/>
      <c r="E29" s="1434"/>
      <c r="F29" s="1434"/>
      <c r="G29" s="1434"/>
      <c r="H29" s="1434"/>
      <c r="I29" s="1434"/>
      <c r="J29" s="1434"/>
      <c r="K29" s="1434"/>
      <c r="L29" s="1434"/>
      <c r="M29" s="1434"/>
      <c r="N29" s="1437"/>
    </row>
    <row r="30" spans="1:14" x14ac:dyDescent="0.35">
      <c r="A30" s="1431" t="s">
        <v>2773</v>
      </c>
      <c r="B30" s="1739">
        <v>6.4000000000000001E-2</v>
      </c>
      <c r="C30" s="1416" t="s">
        <v>3226</v>
      </c>
      <c r="D30" s="1416"/>
      <c r="E30" s="1416"/>
      <c r="F30" s="1416"/>
      <c r="G30" s="1416"/>
      <c r="H30" s="1416"/>
      <c r="I30" s="1416"/>
      <c r="J30" s="1416"/>
      <c r="K30" s="1416"/>
      <c r="L30" s="1416"/>
      <c r="M30" s="1416"/>
      <c r="N30" s="1435"/>
    </row>
    <row r="31" spans="1:14" ht="15" thickBot="1" x14ac:dyDescent="0.4">
      <c r="A31" s="1432"/>
      <c r="B31" s="1417"/>
      <c r="C31" s="1417" t="s">
        <v>3227</v>
      </c>
      <c r="D31" s="1417"/>
      <c r="E31" s="1417"/>
      <c r="F31" s="1417"/>
      <c r="G31" s="1417"/>
      <c r="H31" s="1417"/>
      <c r="I31" s="1417"/>
      <c r="J31" s="1417"/>
      <c r="K31" s="1417"/>
      <c r="L31" s="1417"/>
      <c r="M31" s="1417"/>
      <c r="N31" s="1436"/>
    </row>
    <row r="32" spans="1:14" x14ac:dyDescent="0.35">
      <c r="A32" s="1433" t="s">
        <v>3206</v>
      </c>
      <c r="B32" s="1738">
        <v>0</v>
      </c>
      <c r="C32" s="1434" t="s">
        <v>3228</v>
      </c>
      <c r="D32" s="1434"/>
      <c r="E32" s="1434"/>
      <c r="F32" s="1434"/>
      <c r="G32" s="1434"/>
      <c r="H32" s="1434"/>
      <c r="I32" s="1434"/>
      <c r="J32" s="1434"/>
      <c r="K32" s="1434"/>
      <c r="L32" s="1434"/>
      <c r="M32" s="1434"/>
      <c r="N32" s="1437"/>
    </row>
    <row r="33" spans="1:14" ht="15" thickBot="1" x14ac:dyDescent="0.4">
      <c r="A33" s="1433"/>
      <c r="B33" s="1434"/>
      <c r="C33" s="1434" t="s">
        <v>3229</v>
      </c>
      <c r="D33" s="1434"/>
      <c r="E33" s="1434"/>
      <c r="F33" s="1434"/>
      <c r="G33" s="1434"/>
      <c r="H33" s="1434"/>
      <c r="I33" s="1434"/>
      <c r="J33" s="1434"/>
      <c r="K33" s="1434"/>
      <c r="L33" s="1434"/>
      <c r="M33" s="1434"/>
      <c r="N33" s="1437"/>
    </row>
    <row r="34" spans="1:14" x14ac:dyDescent="0.35">
      <c r="A34" s="1431" t="s">
        <v>380</v>
      </c>
      <c r="B34" s="1739">
        <v>3.1399999999999997E-2</v>
      </c>
      <c r="C34" s="1416" t="s">
        <v>426</v>
      </c>
      <c r="D34" s="1416"/>
      <c r="E34" s="1416"/>
      <c r="F34" s="1416"/>
      <c r="G34" s="1416"/>
      <c r="H34" s="1416"/>
      <c r="I34" s="1416"/>
      <c r="J34" s="1416"/>
      <c r="K34" s="1416"/>
      <c r="L34" s="1416"/>
      <c r="M34" s="1416"/>
      <c r="N34" s="1435"/>
    </row>
    <row r="35" spans="1:14" ht="15" thickBot="1" x14ac:dyDescent="0.4">
      <c r="A35" s="1432"/>
      <c r="B35" s="1417"/>
      <c r="C35" s="1417" t="s">
        <v>3230</v>
      </c>
      <c r="D35" s="1417"/>
      <c r="E35" s="1417"/>
      <c r="F35" s="1417"/>
      <c r="G35" s="1417"/>
      <c r="H35" s="1417"/>
      <c r="I35" s="1417"/>
      <c r="J35" s="1417"/>
      <c r="K35" s="1417"/>
      <c r="L35" s="1417"/>
      <c r="M35" s="1417"/>
      <c r="N35" s="1436"/>
    </row>
    <row r="36" spans="1:14" x14ac:dyDescent="0.35">
      <c r="A36" s="1431" t="s">
        <v>796</v>
      </c>
      <c r="B36" s="1416">
        <v>29.3</v>
      </c>
      <c r="C36" s="1416" t="s">
        <v>3231</v>
      </c>
      <c r="D36" s="1416"/>
      <c r="E36" s="1416"/>
      <c r="F36" s="1416"/>
      <c r="G36" s="1416"/>
      <c r="H36" s="1416"/>
      <c r="I36" s="1416"/>
      <c r="J36" s="1416"/>
      <c r="K36" s="1416"/>
      <c r="L36" s="1416"/>
      <c r="M36" s="1416"/>
      <c r="N36" s="1435"/>
    </row>
    <row r="37" spans="1:14" ht="15" thickBot="1" x14ac:dyDescent="0.4">
      <c r="A37" s="1432"/>
      <c r="B37" s="1417"/>
      <c r="C37" s="1417"/>
      <c r="D37" s="1417"/>
      <c r="E37" s="1417"/>
      <c r="F37" s="1417"/>
      <c r="G37" s="1417"/>
      <c r="H37" s="1417"/>
      <c r="I37" s="1417"/>
      <c r="J37" s="1417"/>
      <c r="K37" s="1417"/>
      <c r="L37" s="1417"/>
      <c r="M37" s="1417"/>
      <c r="N37" s="1436"/>
    </row>
    <row r="38" spans="1:14" x14ac:dyDescent="0.35">
      <c r="A38" s="1431" t="s">
        <v>3232</v>
      </c>
      <c r="B38" s="1416">
        <v>2</v>
      </c>
      <c r="C38" s="1416" t="s">
        <v>3233</v>
      </c>
      <c r="D38" s="1416"/>
      <c r="E38" s="1416"/>
      <c r="F38" s="1416"/>
      <c r="G38" s="1416"/>
      <c r="H38" s="1416"/>
      <c r="I38" s="1416"/>
      <c r="J38" s="1416"/>
      <c r="K38" s="1416"/>
      <c r="L38" s="1416"/>
      <c r="M38" s="1416"/>
      <c r="N38" s="1435"/>
    </row>
    <row r="39" spans="1:14" ht="15" thickBot="1" x14ac:dyDescent="0.4">
      <c r="A39" s="1432"/>
      <c r="B39" s="1417"/>
      <c r="C39" s="1417" t="s">
        <v>3234</v>
      </c>
      <c r="D39" s="1417"/>
      <c r="E39" s="1417"/>
      <c r="F39" s="1417"/>
      <c r="G39" s="1417"/>
      <c r="H39" s="1417"/>
      <c r="I39" s="1417"/>
      <c r="J39" s="1417"/>
      <c r="K39" s="1417"/>
      <c r="L39" s="1417"/>
      <c r="M39" s="1417"/>
      <c r="N39" s="1436"/>
    </row>
    <row r="40" spans="1:14" ht="31.5" customHeight="1" x14ac:dyDescent="0.35">
      <c r="A40" s="1740" t="s">
        <v>3235</v>
      </c>
      <c r="B40" s="1416">
        <v>10</v>
      </c>
      <c r="C40" s="2204" t="s">
        <v>3236</v>
      </c>
      <c r="D40" s="2204"/>
      <c r="E40" s="2204"/>
      <c r="F40" s="2204"/>
      <c r="G40" s="2204"/>
      <c r="H40" s="2204"/>
      <c r="I40" s="2204"/>
      <c r="J40" s="2204"/>
      <c r="K40" s="2204"/>
      <c r="L40" s="2204"/>
      <c r="M40" s="2204"/>
      <c r="N40" s="1643"/>
    </row>
    <row r="41" spans="1:14" ht="15" thickBot="1" x14ac:dyDescent="0.4">
      <c r="A41" s="1432"/>
      <c r="B41" s="1417"/>
      <c r="C41" s="1417" t="s">
        <v>3234</v>
      </c>
      <c r="D41" s="1417"/>
      <c r="E41" s="1417"/>
      <c r="F41" s="1417"/>
      <c r="G41" s="1417"/>
      <c r="H41" s="1417"/>
      <c r="I41" s="1417"/>
      <c r="J41" s="1417"/>
      <c r="K41" s="1417"/>
      <c r="L41" s="1417"/>
      <c r="M41" s="1417"/>
      <c r="N41" s="1436"/>
    </row>
    <row r="42" spans="1:14" ht="15" customHeight="1" x14ac:dyDescent="0.35">
      <c r="A42" s="1431" t="s">
        <v>3237</v>
      </c>
      <c r="B42" s="1416"/>
      <c r="C42" s="1416"/>
      <c r="D42" s="1416"/>
      <c r="E42" s="1416"/>
      <c r="F42" s="1416"/>
      <c r="G42" s="1416"/>
      <c r="H42" s="1416"/>
      <c r="I42" s="1416"/>
      <c r="J42" s="1416"/>
      <c r="K42" s="1416"/>
      <c r="L42" s="1416"/>
      <c r="M42" s="1416"/>
      <c r="N42" s="1437"/>
    </row>
    <row r="43" spans="1:14" x14ac:dyDescent="0.35">
      <c r="A43" s="1433"/>
      <c r="B43" s="1434"/>
      <c r="C43" s="1434"/>
      <c r="D43" s="1434"/>
      <c r="E43" s="1434"/>
      <c r="F43" s="1434"/>
      <c r="G43" s="1434"/>
      <c r="H43" s="1434"/>
      <c r="I43" s="1434"/>
      <c r="J43" s="1434"/>
      <c r="K43" s="1434"/>
      <c r="L43" s="1434"/>
      <c r="M43" s="1434"/>
      <c r="N43" s="1437"/>
    </row>
    <row r="44" spans="1:14" ht="15" thickBot="1" x14ac:dyDescent="0.4">
      <c r="A44" s="1432"/>
      <c r="B44" s="1417"/>
      <c r="C44" s="1417"/>
      <c r="D44" s="1417"/>
      <c r="E44" s="1417"/>
      <c r="F44" s="1417"/>
      <c r="G44" s="1417"/>
      <c r="H44" s="1417"/>
      <c r="I44" s="1417"/>
      <c r="J44" s="1417"/>
      <c r="K44" s="1417"/>
      <c r="L44" s="1417"/>
      <c r="M44" s="1417"/>
      <c r="N44" s="1436"/>
    </row>
    <row r="45" spans="1:14" ht="15" thickBot="1" x14ac:dyDescent="0.4"/>
    <row r="46" spans="1:14" ht="15" thickBot="1" x14ac:dyDescent="0.4">
      <c r="A46" s="122" t="s">
        <v>446</v>
      </c>
      <c r="B46" s="123"/>
      <c r="C46" s="78"/>
      <c r="D46" s="78"/>
      <c r="E46" s="78"/>
      <c r="F46" s="78"/>
      <c r="G46" s="79"/>
    </row>
    <row r="47" spans="1:14" ht="35.25" customHeight="1" thickBot="1" x14ac:dyDescent="0.4">
      <c r="A47" s="1741" t="s">
        <v>370</v>
      </c>
      <c r="B47" s="2422" t="s">
        <v>549</v>
      </c>
      <c r="C47" s="83"/>
      <c r="D47" s="1742" t="s">
        <v>3238</v>
      </c>
      <c r="E47" s="1743" t="s">
        <v>378</v>
      </c>
      <c r="F47" s="1743" t="s">
        <v>3239</v>
      </c>
      <c r="G47" s="125"/>
    </row>
    <row r="48" spans="1:14" ht="15" thickBot="1" x14ac:dyDescent="0.4">
      <c r="A48" s="1744" t="s">
        <v>3240</v>
      </c>
      <c r="B48" s="2423"/>
      <c r="C48" s="83"/>
      <c r="D48" s="956" t="s">
        <v>735</v>
      </c>
      <c r="E48" s="1745">
        <v>1</v>
      </c>
      <c r="F48" s="1745" t="s">
        <v>735</v>
      </c>
      <c r="G48" s="125"/>
    </row>
    <row r="49" spans="1:7" ht="15" thickBot="1" x14ac:dyDescent="0.4">
      <c r="A49" s="956" t="s">
        <v>457</v>
      </c>
      <c r="B49" s="1746">
        <v>873</v>
      </c>
      <c r="C49" s="83"/>
      <c r="D49" s="956" t="s">
        <v>819</v>
      </c>
      <c r="E49" s="1747">
        <v>0.65</v>
      </c>
      <c r="F49" s="1747" t="s">
        <v>1026</v>
      </c>
      <c r="G49" s="125"/>
    </row>
    <row r="50" spans="1:7" ht="15" thickBot="1" x14ac:dyDescent="0.4">
      <c r="A50" s="956" t="s">
        <v>459</v>
      </c>
      <c r="B50" s="1746">
        <v>834</v>
      </c>
      <c r="C50" s="83"/>
      <c r="D50" s="956" t="s">
        <v>1532</v>
      </c>
      <c r="E50" s="911" t="s">
        <v>295</v>
      </c>
      <c r="F50" s="83"/>
      <c r="G50" s="125"/>
    </row>
    <row r="51" spans="1:7" ht="15" thickBot="1" x14ac:dyDescent="0.4">
      <c r="A51" s="956" t="s">
        <v>461</v>
      </c>
      <c r="B51" s="1746">
        <v>714</v>
      </c>
      <c r="C51" s="83"/>
      <c r="D51" s="83"/>
      <c r="E51" s="83"/>
      <c r="F51" s="83"/>
      <c r="G51" s="125"/>
    </row>
    <row r="52" spans="1:7" ht="15" thickBot="1" x14ac:dyDescent="0.4">
      <c r="A52" s="956" t="s">
        <v>463</v>
      </c>
      <c r="B52" s="1746">
        <v>551</v>
      </c>
      <c r="C52" s="83"/>
      <c r="D52" s="83"/>
      <c r="E52" s="83"/>
      <c r="F52" s="83"/>
      <c r="G52" s="125"/>
    </row>
    <row r="53" spans="1:7" ht="15" thickBot="1" x14ac:dyDescent="0.4">
      <c r="A53" s="956" t="s">
        <v>464</v>
      </c>
      <c r="B53" s="1746">
        <v>561</v>
      </c>
      <c r="C53" s="83"/>
      <c r="D53" s="83"/>
      <c r="E53" s="1495"/>
      <c r="F53" s="83"/>
      <c r="G53" s="125"/>
    </row>
    <row r="54" spans="1:7" ht="15" thickBot="1" x14ac:dyDescent="0.4">
      <c r="A54" s="1748" t="s">
        <v>399</v>
      </c>
      <c r="B54" s="1746">
        <v>793</v>
      </c>
      <c r="C54" s="83"/>
      <c r="D54" s="83"/>
      <c r="E54" s="1495"/>
      <c r="F54" s="83"/>
      <c r="G54" s="125"/>
    </row>
    <row r="55" spans="1:7" ht="15" thickBot="1" x14ac:dyDescent="0.4">
      <c r="A55" s="956" t="s">
        <v>738</v>
      </c>
      <c r="B55" s="1749">
        <f>B49*0.3+B50*0.6+B51*0.1</f>
        <v>833.69999999999993</v>
      </c>
      <c r="C55" s="83"/>
      <c r="D55" s="83"/>
      <c r="E55" s="83"/>
      <c r="F55" s="83"/>
      <c r="G55" s="125"/>
    </row>
    <row r="56" spans="1:7" x14ac:dyDescent="0.35">
      <c r="A56" s="124"/>
      <c r="B56" s="83"/>
      <c r="C56" s="83"/>
      <c r="D56" s="83"/>
      <c r="E56" s="83"/>
      <c r="F56" s="83"/>
      <c r="G56" s="125"/>
    </row>
    <row r="57" spans="1:7" x14ac:dyDescent="0.35">
      <c r="A57" s="124"/>
      <c r="B57" s="83"/>
      <c r="C57" s="83"/>
      <c r="D57" s="83"/>
      <c r="E57" s="83"/>
      <c r="F57" s="83"/>
      <c r="G57" s="125"/>
    </row>
    <row r="58" spans="1:7" x14ac:dyDescent="0.35">
      <c r="A58" s="124"/>
      <c r="B58" s="83"/>
      <c r="C58" s="83"/>
      <c r="D58" s="83"/>
      <c r="E58" s="83"/>
      <c r="F58" s="83"/>
      <c r="G58" s="125"/>
    </row>
    <row r="59" spans="1:7" x14ac:dyDescent="0.35">
      <c r="A59" s="124"/>
      <c r="B59" s="83"/>
      <c r="C59" s="83"/>
      <c r="D59" s="83"/>
      <c r="E59" s="83"/>
      <c r="F59" s="83"/>
      <c r="G59" s="125"/>
    </row>
    <row r="60" spans="1:7" x14ac:dyDescent="0.35">
      <c r="A60" s="124"/>
      <c r="B60" s="83"/>
      <c r="C60" s="83"/>
      <c r="D60" s="83"/>
      <c r="E60" s="83"/>
      <c r="F60" s="83"/>
      <c r="G60" s="125"/>
    </row>
    <row r="61" spans="1:7" x14ac:dyDescent="0.35">
      <c r="A61" s="124" t="s">
        <v>3241</v>
      </c>
      <c r="B61" s="83"/>
      <c r="C61" s="83"/>
      <c r="D61" s="83"/>
      <c r="E61" s="83"/>
      <c r="F61" s="83"/>
      <c r="G61" s="125"/>
    </row>
    <row r="62" spans="1:7" ht="42.75" customHeight="1" thickBot="1" x14ac:dyDescent="0.4">
      <c r="A62" s="2424" t="s">
        <v>3242</v>
      </c>
      <c r="B62" s="2206"/>
      <c r="C62" s="2206"/>
      <c r="D62" s="2206"/>
      <c r="E62" s="2206"/>
      <c r="F62" s="2206"/>
      <c r="G62" s="2207"/>
    </row>
  </sheetData>
  <customSheetViews>
    <customSheetView guid="{11DE45F5-F478-4ED6-8DFF-12002C22A637}" scale="60" showPageBreaks="1" fitToPage="1" view="pageBreakPreview">
      <pageMargins left="0.7" right="0.7" top="0.75" bottom="0.75" header="0.3" footer="0.3"/>
      <pageSetup scale="36" orientation="landscape" r:id="rId1"/>
    </customSheetView>
    <customSheetView guid="{ECD6FE6A-9548-414E-B8AA-6998703C57E0}" scale="60" showPageBreaks="1" fitToPage="1" view="pageBreakPreview">
      <pageMargins left="0.7" right="0.7" top="0.75" bottom="0.75" header="0.3" footer="0.3"/>
      <pageSetup scale="36" orientation="landscape" r:id="rId2"/>
    </customSheetView>
  </customSheetViews>
  <mergeCells count="7">
    <mergeCell ref="R1:T1"/>
    <mergeCell ref="U1:Z1"/>
    <mergeCell ref="C40:M40"/>
    <mergeCell ref="B47:B48"/>
    <mergeCell ref="A62:G62"/>
    <mergeCell ref="C24:M24"/>
    <mergeCell ref="O1:Q1"/>
  </mergeCells>
  <dataValidations count="3">
    <dataValidation type="list" allowBlank="1" showInputMessage="1" showErrorMessage="1" sqref="K3:K4" xr:uid="{00000000-0002-0000-2500-000000000000}">
      <formula1>$D$48:$D$49</formula1>
    </dataValidation>
    <dataValidation type="list" allowBlank="1" showInputMessage="1" showErrorMessage="1" sqref="L3:L4" xr:uid="{00000000-0002-0000-2500-000001000000}">
      <formula1>$A$49:$A$55</formula1>
    </dataValidation>
    <dataValidation type="list" allowBlank="1" showInputMessage="1" showErrorMessage="1" sqref="D3:D4" xr:uid="{00000000-0002-0000-2500-000002000000}">
      <formula1>MeasureType</formula1>
    </dataValidation>
  </dataValidations>
  <pageMargins left="0.7" right="0.7" top="0.75" bottom="0.75" header="0.3" footer="0.3"/>
  <pageSetup scale="37" orientation="landscap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pageSetUpPr fitToPage="1"/>
  </sheetPr>
  <dimension ref="A1:AW93"/>
  <sheetViews>
    <sheetView view="pageBreakPreview" topLeftCell="I1" zoomScale="85" zoomScaleNormal="100" zoomScaleSheetLayoutView="85" workbookViewId="0">
      <selection activeCell="A3" sqref="A3:Z4"/>
    </sheetView>
  </sheetViews>
  <sheetFormatPr defaultRowHeight="14.5" x14ac:dyDescent="0.35"/>
  <cols>
    <col min="1" max="1" width="20.81640625" customWidth="1"/>
    <col min="2" max="2" width="47.1796875" bestFit="1" customWidth="1"/>
    <col min="3" max="3" width="20" bestFit="1" customWidth="1"/>
    <col min="4" max="4" width="17.54296875" customWidth="1"/>
    <col min="5" max="5" width="12.453125" customWidth="1"/>
    <col min="6" max="6" width="16.1796875" bestFit="1" customWidth="1"/>
    <col min="7" max="7" width="10" bestFit="1" customWidth="1"/>
    <col min="8" max="10" width="19.81640625" customWidth="1"/>
    <col min="11" max="11" width="15.54296875" bestFit="1" customWidth="1"/>
    <col min="12" max="12" width="25.1796875" customWidth="1"/>
    <col min="13" max="13" width="16.1796875" bestFit="1" customWidth="1"/>
    <col min="14" max="14" width="19" bestFit="1" customWidth="1"/>
    <col min="15" max="15" width="16.81640625" bestFit="1" customWidth="1"/>
    <col min="16" max="16" width="12.26953125" bestFit="1" customWidth="1"/>
    <col min="17" max="17" width="13.54296875" customWidth="1"/>
    <col min="18" max="18" width="17.26953125" customWidth="1"/>
    <col min="19" max="19" width="13.7265625" customWidth="1"/>
    <col min="20" max="20" width="14.7265625" customWidth="1"/>
    <col min="21" max="33" width="17.26953125" customWidth="1"/>
  </cols>
  <sheetData>
    <row r="1" spans="1:49" ht="15" customHeight="1" x14ac:dyDescent="0.35">
      <c r="A1" s="1123" t="s">
        <v>319</v>
      </c>
      <c r="B1" s="1124"/>
      <c r="C1" s="1124"/>
      <c r="D1" s="1124"/>
      <c r="E1" s="1125"/>
      <c r="F1" s="1125"/>
      <c r="G1" s="1125"/>
      <c r="H1" s="1125"/>
      <c r="I1" s="1126"/>
      <c r="J1" s="1126"/>
      <c r="K1" s="2196" t="s">
        <v>335</v>
      </c>
      <c r="L1" s="2197"/>
      <c r="M1" s="2198"/>
      <c r="N1" s="2196" t="s">
        <v>336</v>
      </c>
      <c r="O1" s="2197"/>
      <c r="P1" s="2197"/>
      <c r="Q1" s="2199" t="s">
        <v>1810</v>
      </c>
      <c r="R1" s="2199"/>
      <c r="S1" s="2199"/>
      <c r="T1" s="2199"/>
      <c r="U1" s="2199"/>
      <c r="V1" s="2199"/>
      <c r="W1" s="2199"/>
      <c r="X1" s="2199"/>
      <c r="Y1" s="2199"/>
      <c r="Z1" s="2199"/>
      <c r="AA1" s="2199"/>
      <c r="AB1" s="2199"/>
      <c r="AC1" s="2199"/>
      <c r="AD1" s="2199"/>
      <c r="AE1" s="2199"/>
      <c r="AF1" s="2199"/>
      <c r="AG1" s="2199"/>
      <c r="AH1" s="2199"/>
      <c r="AI1" s="2199"/>
      <c r="AJ1" s="2199"/>
      <c r="AK1" s="2199"/>
      <c r="AL1" s="2199"/>
      <c r="AM1" s="2199"/>
      <c r="AN1" s="67"/>
      <c r="AO1" s="67"/>
      <c r="AP1" s="67"/>
      <c r="AQ1" s="67"/>
      <c r="AR1" s="67"/>
      <c r="AS1" s="67"/>
    </row>
    <row r="2" spans="1:49" s="781" customFormat="1" ht="33" x14ac:dyDescent="0.45">
      <c r="A2" s="1128" t="s">
        <v>338</v>
      </c>
      <c r="B2" s="1128" t="s">
        <v>1</v>
      </c>
      <c r="C2" s="1129" t="s">
        <v>339</v>
      </c>
      <c r="D2" s="1129" t="s">
        <v>688</v>
      </c>
      <c r="E2" s="1128" t="s">
        <v>342</v>
      </c>
      <c r="F2" s="1128" t="s">
        <v>343</v>
      </c>
      <c r="G2" s="1128" t="s">
        <v>344</v>
      </c>
      <c r="H2" s="1128" t="s">
        <v>345</v>
      </c>
      <c r="I2" s="1128" t="s">
        <v>1811</v>
      </c>
      <c r="J2" s="1128" t="s">
        <v>346</v>
      </c>
      <c r="K2" s="1128" t="s">
        <v>347</v>
      </c>
      <c r="L2" s="1128" t="s">
        <v>348</v>
      </c>
      <c r="M2" s="1128" t="s">
        <v>349</v>
      </c>
      <c r="N2" s="1128" t="s">
        <v>347</v>
      </c>
      <c r="O2" s="1128" t="s">
        <v>348</v>
      </c>
      <c r="P2" s="1130" t="s">
        <v>349</v>
      </c>
      <c r="Q2" s="957" t="s">
        <v>1812</v>
      </c>
      <c r="R2" s="958" t="s">
        <v>1813</v>
      </c>
      <c r="S2" s="958" t="s">
        <v>1814</v>
      </c>
      <c r="T2" s="958" t="s">
        <v>1815</v>
      </c>
      <c r="U2" s="959" t="s">
        <v>1816</v>
      </c>
      <c r="V2" s="960" t="s">
        <v>1817</v>
      </c>
      <c r="W2" s="959" t="s">
        <v>1818</v>
      </c>
      <c r="X2" s="959" t="s">
        <v>1819</v>
      </c>
      <c r="Y2" s="959" t="s">
        <v>1820</v>
      </c>
      <c r="Z2" s="959" t="s">
        <v>1821</v>
      </c>
      <c r="AA2" s="959" t="s">
        <v>1822</v>
      </c>
      <c r="AB2" s="961" t="s">
        <v>1823</v>
      </c>
      <c r="AC2" s="959" t="s">
        <v>1824</v>
      </c>
      <c r="AD2" s="959" t="s">
        <v>1825</v>
      </c>
      <c r="AE2" s="959" t="s">
        <v>1826</v>
      </c>
      <c r="AF2" s="959" t="s">
        <v>1827</v>
      </c>
      <c r="AG2" s="959" t="s">
        <v>1828</v>
      </c>
      <c r="AH2" s="959" t="s">
        <v>1829</v>
      </c>
      <c r="AI2" s="959" t="s">
        <v>1830</v>
      </c>
      <c r="AJ2" s="959" t="s">
        <v>1831</v>
      </c>
      <c r="AK2" s="959" t="s">
        <v>1832</v>
      </c>
      <c r="AL2" s="959" t="s">
        <v>1833</v>
      </c>
      <c r="AM2" s="959" t="s">
        <v>1834</v>
      </c>
      <c r="AN2"/>
      <c r="AO2"/>
      <c r="AP2"/>
      <c r="AQ2" s="962"/>
      <c r="AS2" s="962"/>
      <c r="AU2" s="963"/>
      <c r="AW2" s="963"/>
    </row>
    <row r="3" spans="1:49" x14ac:dyDescent="0.35">
      <c r="A3" s="1131" t="s">
        <v>2655</v>
      </c>
      <c r="B3" s="1131" t="s">
        <v>1835</v>
      </c>
      <c r="C3" s="1132" t="s">
        <v>147</v>
      </c>
      <c r="D3" s="1133" t="s">
        <v>1306</v>
      </c>
      <c r="E3" s="1134" t="s">
        <v>356</v>
      </c>
      <c r="F3" s="1135">
        <f>+$B$15</f>
        <v>12</v>
      </c>
      <c r="G3" s="1136"/>
      <c r="H3" s="1137"/>
      <c r="I3" s="1137">
        <v>16</v>
      </c>
      <c r="J3" s="1137"/>
      <c r="K3" s="1137"/>
      <c r="L3" s="1137"/>
      <c r="M3" s="1138">
        <f>+SUM(Q3:T3)*AG3/AC3</f>
        <v>363.70538907682175</v>
      </c>
      <c r="N3" s="1137"/>
      <c r="O3" s="1139">
        <f t="shared" ref="O3" si="0">L3</f>
        <v>0</v>
      </c>
      <c r="P3" s="1140">
        <f t="shared" ref="P3:P4" si="1">M3*F3</f>
        <v>4364.4646689218607</v>
      </c>
      <c r="Q3" s="747">
        <f>+U3*($B$27/W3-$B$27/X3)*AD3</f>
        <v>4292.5824175824237</v>
      </c>
      <c r="R3" s="747">
        <f>+U3*($AA$3/Y3-$AA$3/Z3)*(1-AE3)</f>
        <v>1641.6510318949306</v>
      </c>
      <c r="S3" s="964">
        <f>((+AJ3*(($B$49-U3/AH3)*AD3))-(AB3*(($B$49-U3/AL3)*AE3)))</f>
        <v>14773.806277056276</v>
      </c>
      <c r="T3" s="964">
        <f>(+AK3*(($B$49-U3/AI3)*(AE3)))-($K$61*(($B$49-U3/AM3)*(AE3)))</f>
        <v>78937.272349307925</v>
      </c>
      <c r="U3" s="62">
        <f>+IF(I3&lt;15,$F$65,IF(AND(I3&gt;=15,I3&lt;30),$F$66,IF(I3&gt;=30,$F$67,0)))</f>
        <v>250</v>
      </c>
      <c r="V3" s="62">
        <f>+$B$27</f>
        <v>250</v>
      </c>
      <c r="W3" s="361">
        <f>+$F$61</f>
        <v>0.52</v>
      </c>
      <c r="X3" s="361">
        <f>+$G$61</f>
        <v>0.56000000000000005</v>
      </c>
      <c r="Y3" s="361">
        <f>+$F$62</f>
        <v>0.39</v>
      </c>
      <c r="Z3" s="361">
        <f>+$G$62</f>
        <v>0.41</v>
      </c>
      <c r="AA3" s="62">
        <f>+$B$31</f>
        <v>105</v>
      </c>
      <c r="AB3" s="62">
        <f>+IF(I3=$I$65,$K$65,IF(I3=$I$66,$K$66,IF(I3=$I$67,$K$67,)))</f>
        <v>7825</v>
      </c>
      <c r="AC3" s="62">
        <f>+$B$43</f>
        <v>100000</v>
      </c>
      <c r="AD3" s="361">
        <f>+$B$45</f>
        <v>0.5</v>
      </c>
      <c r="AE3" s="361">
        <f>1-$AD3</f>
        <v>0.5</v>
      </c>
      <c r="AF3" s="62">
        <f>+$B$49</f>
        <v>12</v>
      </c>
      <c r="AG3" s="62">
        <f>+$B$51</f>
        <v>365</v>
      </c>
      <c r="AH3" s="62">
        <f>+IF($I3&lt;15,$B$62,IF(AND($I3&gt;=15,$I3&lt;30),$B$63,IF($I3&gt;=30,$B$64,)))</f>
        <v>176</v>
      </c>
      <c r="AI3" s="62">
        <f>+IF($I3&lt;15,$C$62,IF(AND($I3&gt;=15,$I3&lt;30),$C$63,IF($I3&gt;=30,$C$64,)))</f>
        <v>211</v>
      </c>
      <c r="AJ3" s="62">
        <f>+IF($I3&lt;15,$B$68,IF(AND($I3&gt;=15,$I3&lt;30),$B$69,IF($I3&gt;=30,$B$70,)))</f>
        <v>10788</v>
      </c>
      <c r="AK3" s="62">
        <f>+IF($I3&lt;15,$C$68,IF(AND($I3&gt;=15,$I3&lt;30),$C$69,IF($I3&gt;=30,$C$70,)))</f>
        <v>24562</v>
      </c>
      <c r="AL3" s="62">
        <f>+IF($I3&lt;15,$B$76,IF(AND($I3&gt;=15,$I3&lt;30),$B$77,IF($I3&gt;=30,$B$78,)))</f>
        <v>210</v>
      </c>
      <c r="AM3" s="62">
        <f>+IF($I3&lt;15,$C$76,IF(AND($I3&gt;=15,$I3&lt;30),$C$77,IF($I3&gt;=30,$C$78,)))</f>
        <v>277</v>
      </c>
    </row>
    <row r="4" spans="1:49" ht="29" x14ac:dyDescent="0.35">
      <c r="A4" s="1131" t="s">
        <v>2656</v>
      </c>
      <c r="B4" s="1131" t="s">
        <v>1836</v>
      </c>
      <c r="C4" s="1132" t="s">
        <v>1836</v>
      </c>
      <c r="D4" s="1133" t="s">
        <v>1306</v>
      </c>
      <c r="E4" s="1134" t="s">
        <v>356</v>
      </c>
      <c r="F4" s="1135">
        <f>+$B$15</f>
        <v>12</v>
      </c>
      <c r="G4" s="1136"/>
      <c r="H4" s="1137"/>
      <c r="I4" s="1137">
        <v>16</v>
      </c>
      <c r="J4" s="1141" t="s">
        <v>1311</v>
      </c>
      <c r="K4" s="1137"/>
      <c r="L4" s="1137"/>
      <c r="M4" s="1138">
        <f>+SUM(Q4:T4)*AG4/AC4</f>
        <v>363.70538907682175</v>
      </c>
      <c r="N4" s="1137"/>
      <c r="O4" s="1139">
        <f t="shared" ref="O4" si="2">L4</f>
        <v>0</v>
      </c>
      <c r="P4" s="1140">
        <f t="shared" si="1"/>
        <v>4364.4646689218607</v>
      </c>
      <c r="Q4" s="747">
        <f>+U4*($B$27/W4-$B$27/X4)*AD4</f>
        <v>4292.5824175824237</v>
      </c>
      <c r="R4" s="747">
        <f>+U4*($AA$3/Y4-$AA$3/Z4)*(1-AE4)</f>
        <v>1641.6510318949306</v>
      </c>
      <c r="S4" s="747">
        <f>((+AJ4*(($B$49-U4/AH4)*AD4))-(AB4*(($B$49-U4/AL4)*AE4)))</f>
        <v>14773.806277056276</v>
      </c>
      <c r="T4" s="747">
        <f>(+AK4*(($B$49-U4/AI4)*(AE4)))-($K$61*(($B$49-U4/AM4)*(AE4)))</f>
        <v>78937.272349307925</v>
      </c>
      <c r="U4" s="62">
        <f>+IF(I4&lt;15,$F$65,IF(AND(I4&gt;=15,I4&lt;30),$F$66,IF(I4&gt;=30,$F$67,0)))</f>
        <v>250</v>
      </c>
      <c r="V4" s="62">
        <f>+$B$27</f>
        <v>250</v>
      </c>
      <c r="W4" s="361">
        <f>+$F$61</f>
        <v>0.52</v>
      </c>
      <c r="X4" s="361">
        <f>+$G$61</f>
        <v>0.56000000000000005</v>
      </c>
      <c r="Y4" s="361">
        <f>+$F$62</f>
        <v>0.39</v>
      </c>
      <c r="Z4" s="361">
        <f>+$G$62</f>
        <v>0.41</v>
      </c>
      <c r="AA4" s="62">
        <f>+$B$31</f>
        <v>105</v>
      </c>
      <c r="AB4" s="62">
        <f>+IF(I4=$I$65,$K$65,IF(I4=$I$66,$K$66,IF(I4=$I$67,$K$67,)))</f>
        <v>7825</v>
      </c>
      <c r="AC4" s="62">
        <f>+$B$43</f>
        <v>100000</v>
      </c>
      <c r="AD4" s="361">
        <f>+$B$45</f>
        <v>0.5</v>
      </c>
      <c r="AE4" s="361">
        <f>1-$AD4</f>
        <v>0.5</v>
      </c>
      <c r="AF4" s="62">
        <f>+$B$49</f>
        <v>12</v>
      </c>
      <c r="AG4" s="62">
        <f>+$B$51</f>
        <v>365</v>
      </c>
      <c r="AH4" s="62">
        <f>+IF($I4&lt;15,$B$62,IF(AND($I4&gt;=15,$I4&lt;30),$B$63,IF($I4&gt;=30,$B$64,)))</f>
        <v>176</v>
      </c>
      <c r="AI4" s="62">
        <f>+IF($I4&lt;15,$C$62,IF(AND($I4&gt;=15,$I4&lt;30),$C$63,IF($I4&gt;=30,$C$64,)))</f>
        <v>211</v>
      </c>
      <c r="AJ4" s="62">
        <f>+IF($I4&lt;15,$B$68,IF(AND($I4&gt;=15,$I4&lt;30),$B$69,IF($I4&gt;=30,$B$70,)))</f>
        <v>10788</v>
      </c>
      <c r="AK4" s="62">
        <f>+IF($I4&lt;15,$C$68,IF(AND($I4&gt;=15,$I4&lt;30),$C$69,IF($I4&gt;=30,$C$70,)))</f>
        <v>24562</v>
      </c>
      <c r="AL4" s="62">
        <f>+IF($I4&lt;15,$B$76,IF(AND($I4&gt;=15,$I4&lt;30),$B$77,IF($I4&gt;=30,$B$78,)))</f>
        <v>210</v>
      </c>
      <c r="AM4" s="62">
        <f>+IF($I4&lt;15,$C$76,IF(AND($I4&gt;=15,$I4&lt;30),$C$77,IF($I4&gt;=30,$C$78,)))</f>
        <v>277</v>
      </c>
    </row>
    <row r="5" spans="1:49" x14ac:dyDescent="0.35">
      <c r="A5" s="83"/>
      <c r="B5" s="83"/>
      <c r="C5" s="83"/>
      <c r="D5" s="83"/>
      <c r="E5" s="83"/>
      <c r="F5" s="83"/>
      <c r="G5" s="83"/>
      <c r="H5" s="83"/>
      <c r="I5" s="83"/>
      <c r="J5" s="83"/>
      <c r="K5" s="83"/>
      <c r="L5" s="83"/>
      <c r="M5" s="83"/>
      <c r="N5" s="83"/>
      <c r="O5" s="135"/>
      <c r="P5" s="135"/>
    </row>
    <row r="6" spans="1:49" x14ac:dyDescent="0.35">
      <c r="A6" s="83"/>
      <c r="B6" s="83"/>
      <c r="C6" s="83"/>
      <c r="D6" s="83"/>
      <c r="E6" s="83"/>
      <c r="F6" s="83"/>
      <c r="G6" s="83"/>
      <c r="H6" s="83"/>
      <c r="I6" s="83"/>
      <c r="J6" s="83"/>
      <c r="K6" s="83"/>
      <c r="L6" s="83"/>
      <c r="M6" s="83"/>
      <c r="N6" s="83"/>
      <c r="O6" s="135"/>
      <c r="P6" s="135"/>
    </row>
    <row r="7" spans="1:49" x14ac:dyDescent="0.35">
      <c r="O7" s="74"/>
    </row>
    <row r="8" spans="1:49" ht="15" thickBot="1" x14ac:dyDescent="0.4"/>
    <row r="9" spans="1:49" ht="15" thickBot="1" x14ac:dyDescent="0.4">
      <c r="A9" s="88" t="s">
        <v>1837</v>
      </c>
      <c r="B9" s="77"/>
      <c r="C9" s="77"/>
      <c r="D9" s="77"/>
      <c r="E9" s="77"/>
      <c r="F9" s="410"/>
    </row>
    <row r="10" spans="1:49" ht="15" thickBot="1" x14ac:dyDescent="0.4">
      <c r="A10" s="789" t="s">
        <v>1838</v>
      </c>
      <c r="B10" s="732"/>
      <c r="C10" s="732"/>
      <c r="D10" s="732"/>
      <c r="E10" s="732"/>
      <c r="F10" s="733"/>
    </row>
    <row r="11" spans="1:49" ht="15" thickBot="1" x14ac:dyDescent="0.4">
      <c r="A11" s="188" t="s">
        <v>2571</v>
      </c>
      <c r="B11" s="1384" t="e">
        <f>+#REF!</f>
        <v>#REF!</v>
      </c>
    </row>
    <row r="12" spans="1:49" ht="15" thickBot="1" x14ac:dyDescent="0.4">
      <c r="A12" s="188" t="s">
        <v>2572</v>
      </c>
      <c r="B12" s="701" t="s">
        <v>2565</v>
      </c>
    </row>
    <row r="13" spans="1:49" ht="15" thickBot="1" x14ac:dyDescent="0.4"/>
    <row r="14" spans="1:49" ht="15" thickBot="1" x14ac:dyDescent="0.4">
      <c r="A14" s="188" t="s">
        <v>1839</v>
      </c>
      <c r="B14" s="90" t="s">
        <v>1840</v>
      </c>
      <c r="C14" s="90" t="s">
        <v>415</v>
      </c>
      <c r="D14" s="90"/>
      <c r="E14" s="90"/>
      <c r="F14" s="90"/>
      <c r="G14" s="90"/>
      <c r="H14" s="90"/>
      <c r="I14" s="90"/>
      <c r="J14" s="90"/>
      <c r="K14" s="576"/>
    </row>
    <row r="15" spans="1:49" ht="15" thickBot="1" x14ac:dyDescent="0.4">
      <c r="A15" s="119" t="s">
        <v>443</v>
      </c>
      <c r="B15" s="451">
        <v>12</v>
      </c>
      <c r="C15" s="451" t="s">
        <v>1237</v>
      </c>
      <c r="D15" s="451"/>
      <c r="E15" s="451"/>
      <c r="F15" s="451"/>
      <c r="G15" s="451"/>
      <c r="H15" s="451"/>
      <c r="I15" s="451"/>
      <c r="J15" s="451"/>
      <c r="K15" s="121"/>
    </row>
    <row r="16" spans="1:49" ht="15" thickBot="1" x14ac:dyDescent="0.4">
      <c r="A16" s="197" t="s">
        <v>344</v>
      </c>
      <c r="B16" s="198"/>
      <c r="C16" s="198"/>
      <c r="D16" s="198"/>
      <c r="E16" s="343"/>
      <c r="F16" s="343"/>
      <c r="G16" s="343"/>
      <c r="H16" s="343"/>
      <c r="I16" s="343"/>
      <c r="J16" s="343"/>
      <c r="K16" s="344"/>
    </row>
    <row r="17" spans="1:11" ht="16.5" x14ac:dyDescent="0.45">
      <c r="A17" s="118" t="s">
        <v>1812</v>
      </c>
      <c r="B17" s="94" t="s">
        <v>1842</v>
      </c>
      <c r="C17" s="94" t="s">
        <v>1843</v>
      </c>
      <c r="D17" s="94"/>
      <c r="E17" s="94"/>
      <c r="F17" s="94"/>
      <c r="G17" s="94"/>
      <c r="H17" s="94"/>
      <c r="I17" s="94"/>
      <c r="J17" s="94"/>
      <c r="K17" s="95"/>
    </row>
    <row r="18" spans="1:11" ht="15" thickBot="1" x14ac:dyDescent="0.4">
      <c r="A18" s="111"/>
      <c r="B18" s="99"/>
      <c r="C18" s="965" t="s">
        <v>1844</v>
      </c>
      <c r="D18" s="99"/>
      <c r="E18" s="99"/>
      <c r="F18" s="99"/>
      <c r="G18" s="966"/>
      <c r="H18" s="99"/>
      <c r="I18" s="99"/>
      <c r="J18" s="99"/>
      <c r="K18" s="100"/>
    </row>
    <row r="19" spans="1:11" ht="16.5" x14ac:dyDescent="0.45">
      <c r="A19" s="967" t="s">
        <v>1813</v>
      </c>
      <c r="B19" s="94" t="s">
        <v>1842</v>
      </c>
      <c r="C19" s="94" t="s">
        <v>1845</v>
      </c>
      <c r="D19" s="94"/>
      <c r="E19" s="94"/>
      <c r="F19" s="94"/>
      <c r="G19" s="94"/>
      <c r="H19" s="94"/>
      <c r="I19" s="94"/>
      <c r="J19" s="94"/>
      <c r="K19" s="95"/>
    </row>
    <row r="20" spans="1:11" ht="15" thickBot="1" x14ac:dyDescent="0.4">
      <c r="A20" s="111"/>
      <c r="B20" s="99"/>
      <c r="C20" s="965" t="s">
        <v>1846</v>
      </c>
      <c r="D20" s="99"/>
      <c r="E20" s="99"/>
      <c r="F20" s="99"/>
      <c r="G20" s="99"/>
      <c r="H20" s="99"/>
      <c r="I20" s="99"/>
      <c r="J20" s="99"/>
      <c r="K20" s="100"/>
    </row>
    <row r="21" spans="1:11" ht="16.5" x14ac:dyDescent="0.45">
      <c r="A21" s="967" t="s">
        <v>1814</v>
      </c>
      <c r="B21" s="94" t="s">
        <v>1842</v>
      </c>
      <c r="C21" s="94" t="s">
        <v>1847</v>
      </c>
      <c r="D21" s="94"/>
      <c r="E21" s="94"/>
      <c r="F21" s="94"/>
      <c r="G21" s="94"/>
      <c r="H21" s="968"/>
      <c r="I21" s="968"/>
      <c r="J21" s="968"/>
      <c r="K21" s="95"/>
    </row>
    <row r="22" spans="1:11" ht="15" thickBot="1" x14ac:dyDescent="0.4">
      <c r="A22" s="111"/>
      <c r="B22" s="99"/>
      <c r="C22" s="965" t="s">
        <v>1848</v>
      </c>
      <c r="D22" s="99"/>
      <c r="E22" s="99"/>
      <c r="F22" s="99"/>
      <c r="G22" s="99"/>
      <c r="H22" s="99"/>
      <c r="I22" s="99"/>
      <c r="J22" s="99"/>
      <c r="K22" s="100"/>
    </row>
    <row r="23" spans="1:11" ht="16.5" x14ac:dyDescent="0.45">
      <c r="A23" s="967" t="s">
        <v>1815</v>
      </c>
      <c r="B23" s="94" t="s">
        <v>1842</v>
      </c>
      <c r="C23" s="969" t="s">
        <v>1847</v>
      </c>
      <c r="D23" s="94"/>
      <c r="E23" s="94"/>
      <c r="F23" s="94"/>
      <c r="G23" s="970"/>
      <c r="H23" s="94"/>
      <c r="I23" s="94"/>
      <c r="J23" s="94"/>
      <c r="K23" s="95"/>
    </row>
    <row r="24" spans="1:11" ht="15" thickBot="1" x14ac:dyDescent="0.4">
      <c r="A24" s="111"/>
      <c r="B24" s="99"/>
      <c r="C24" s="965" t="s">
        <v>1849</v>
      </c>
      <c r="D24" s="99"/>
      <c r="E24" s="99"/>
      <c r="F24" s="99"/>
      <c r="G24" s="966"/>
      <c r="H24" s="99"/>
      <c r="I24" s="99"/>
      <c r="J24" s="99"/>
      <c r="K24" s="100"/>
    </row>
    <row r="25" spans="1:11" ht="16.5" x14ac:dyDescent="0.35">
      <c r="A25" s="971" t="s">
        <v>1816</v>
      </c>
      <c r="B25" s="94" t="s">
        <v>1850</v>
      </c>
      <c r="C25" s="94" t="s">
        <v>1851</v>
      </c>
      <c r="D25" s="94"/>
      <c r="E25" s="94"/>
      <c r="F25" s="94"/>
      <c r="G25" s="94"/>
      <c r="H25" s="94"/>
      <c r="I25" s="94"/>
      <c r="J25" s="94"/>
      <c r="K25" s="95"/>
    </row>
    <row r="26" spans="1:11" ht="15" thickBot="1" x14ac:dyDescent="0.4">
      <c r="A26" s="111"/>
      <c r="B26" s="99"/>
      <c r="C26" s="965" t="s">
        <v>1852</v>
      </c>
      <c r="D26" s="99"/>
      <c r="E26" s="99"/>
      <c r="F26" s="99"/>
      <c r="G26" s="966"/>
      <c r="H26" s="99"/>
      <c r="I26" s="99"/>
      <c r="J26" s="99"/>
      <c r="K26" s="100"/>
    </row>
    <row r="27" spans="1:11" ht="16.5" x14ac:dyDescent="0.35">
      <c r="A27" s="972" t="s">
        <v>1853</v>
      </c>
      <c r="B27" s="973">
        <v>250</v>
      </c>
      <c r="C27" s="94" t="s">
        <v>1854</v>
      </c>
      <c r="D27" s="94"/>
      <c r="E27" s="94"/>
      <c r="F27" s="94"/>
      <c r="G27" s="94"/>
      <c r="H27" s="94"/>
      <c r="I27" s="94"/>
      <c r="J27" s="94"/>
      <c r="K27" s="95"/>
    </row>
    <row r="28" spans="1:11" ht="15" thickBot="1" x14ac:dyDescent="0.4">
      <c r="A28" s="974"/>
      <c r="B28" s="99"/>
      <c r="C28" s="99" t="s">
        <v>1855</v>
      </c>
      <c r="D28" s="99"/>
      <c r="E28" s="99"/>
      <c r="F28" s="99"/>
      <c r="G28" s="99"/>
      <c r="H28" s="99"/>
      <c r="I28" s="99"/>
      <c r="J28" s="99"/>
      <c r="K28" s="100"/>
    </row>
    <row r="29" spans="1:11" x14ac:dyDescent="0.35">
      <c r="A29" s="975" t="s">
        <v>1856</v>
      </c>
      <c r="B29" s="94" t="s">
        <v>1857</v>
      </c>
      <c r="C29" s="94" t="s">
        <v>1858</v>
      </c>
      <c r="D29" s="94"/>
      <c r="E29" s="94"/>
      <c r="F29" s="94"/>
      <c r="G29" s="94"/>
      <c r="H29" s="94"/>
      <c r="I29" s="94"/>
      <c r="J29" s="94"/>
      <c r="K29" s="95"/>
    </row>
    <row r="30" spans="1:11" ht="15" thickBot="1" x14ac:dyDescent="0.4">
      <c r="A30" s="111"/>
      <c r="B30" s="99"/>
      <c r="C30" s="99" t="s">
        <v>1859</v>
      </c>
      <c r="D30" s="976"/>
      <c r="E30" s="99"/>
      <c r="F30" s="99"/>
      <c r="G30" s="99"/>
      <c r="H30" s="99"/>
      <c r="I30" s="99"/>
      <c r="J30" s="99"/>
      <c r="K30" s="100"/>
    </row>
    <row r="31" spans="1:11" ht="16.5" x14ac:dyDescent="0.35">
      <c r="A31" s="971" t="s">
        <v>1822</v>
      </c>
      <c r="B31" s="973">
        <v>105</v>
      </c>
      <c r="C31" s="94" t="s">
        <v>1860</v>
      </c>
      <c r="D31" s="94"/>
      <c r="E31" s="94"/>
      <c r="F31" s="94"/>
      <c r="G31" s="970"/>
      <c r="H31" s="94"/>
      <c r="I31" s="94"/>
      <c r="J31" s="94"/>
      <c r="K31" s="95"/>
    </row>
    <row r="32" spans="1:11" ht="15" thickBot="1" x14ac:dyDescent="0.4">
      <c r="A32" s="111"/>
      <c r="B32" s="99"/>
      <c r="C32" s="99" t="s">
        <v>1861</v>
      </c>
      <c r="D32" s="99"/>
      <c r="E32" s="99"/>
      <c r="F32" s="99"/>
      <c r="G32" s="99"/>
      <c r="H32" s="99"/>
      <c r="I32" s="99"/>
      <c r="J32" s="99"/>
      <c r="K32" s="100"/>
    </row>
    <row r="33" spans="1:11" ht="16.5" x14ac:dyDescent="0.35">
      <c r="A33" s="971" t="s">
        <v>1862</v>
      </c>
      <c r="B33" s="94" t="s">
        <v>1857</v>
      </c>
      <c r="C33" s="94" t="s">
        <v>1863</v>
      </c>
      <c r="D33" s="94"/>
      <c r="E33" s="94"/>
      <c r="F33" s="94"/>
      <c r="G33" s="94"/>
      <c r="H33" s="94"/>
      <c r="I33" s="94"/>
      <c r="J33" s="94"/>
      <c r="K33" s="95"/>
    </row>
    <row r="34" spans="1:11" ht="15" thickBot="1" x14ac:dyDescent="0.4">
      <c r="A34" s="111"/>
      <c r="B34" s="99"/>
      <c r="C34" s="99" t="s">
        <v>2325</v>
      </c>
      <c r="D34" s="977"/>
      <c r="E34" s="99"/>
      <c r="F34" s="99"/>
      <c r="G34" s="99"/>
      <c r="H34" s="99"/>
      <c r="I34" s="99"/>
      <c r="J34" s="99"/>
      <c r="K34" s="100"/>
    </row>
    <row r="35" spans="1:11" ht="17.5" x14ac:dyDescent="0.35">
      <c r="A35" s="978" t="s">
        <v>1823</v>
      </c>
      <c r="B35" s="94"/>
      <c r="C35" s="94" t="s">
        <v>1864</v>
      </c>
      <c r="D35" s="94"/>
      <c r="E35" s="94"/>
      <c r="F35" s="94"/>
      <c r="G35" s="94"/>
      <c r="H35" s="94"/>
      <c r="I35" s="94"/>
      <c r="J35" s="94"/>
      <c r="K35" s="95"/>
    </row>
    <row r="36" spans="1:11" ht="15" thickBot="1" x14ac:dyDescent="0.4">
      <c r="A36" s="979"/>
      <c r="B36" s="67"/>
      <c r="C36" s="67" t="s">
        <v>1865</v>
      </c>
      <c r="D36" s="67"/>
      <c r="E36" s="67"/>
      <c r="F36" s="67"/>
      <c r="G36" s="67"/>
      <c r="H36" s="67"/>
      <c r="I36" s="67"/>
      <c r="J36" s="67"/>
      <c r="K36" s="310"/>
    </row>
    <row r="37" spans="1:11" ht="17.5" x14ac:dyDescent="0.35">
      <c r="A37" s="978" t="s">
        <v>1866</v>
      </c>
      <c r="B37" s="94"/>
      <c r="C37" s="94" t="s">
        <v>1867</v>
      </c>
      <c r="D37" s="94"/>
      <c r="E37" s="94"/>
      <c r="F37" s="94"/>
      <c r="G37" s="94"/>
      <c r="H37" s="94"/>
      <c r="I37" s="94"/>
      <c r="J37" s="94"/>
      <c r="K37" s="95"/>
    </row>
    <row r="38" spans="1:11" ht="15" thickBot="1" x14ac:dyDescent="0.4">
      <c r="A38" s="111"/>
      <c r="B38" s="99"/>
      <c r="C38" s="99" t="s">
        <v>1868</v>
      </c>
      <c r="D38" s="99"/>
      <c r="E38" s="99"/>
      <c r="F38" s="99"/>
      <c r="G38" s="99"/>
      <c r="H38" s="99"/>
      <c r="I38" s="99"/>
      <c r="J38" s="99"/>
      <c r="K38" s="100"/>
    </row>
    <row r="39" spans="1:11" ht="17.5" x14ac:dyDescent="0.35">
      <c r="A39" s="978" t="s">
        <v>1869</v>
      </c>
      <c r="B39" s="94"/>
      <c r="C39" s="94" t="s">
        <v>1870</v>
      </c>
      <c r="D39" s="94"/>
      <c r="E39" s="94"/>
      <c r="F39" s="94"/>
      <c r="G39" s="94"/>
      <c r="H39" s="94"/>
      <c r="I39" s="94"/>
      <c r="J39" s="94"/>
      <c r="K39" s="95"/>
    </row>
    <row r="40" spans="1:11" ht="15" thickBot="1" x14ac:dyDescent="0.4">
      <c r="A40" s="111"/>
      <c r="B40" s="99"/>
      <c r="C40" s="99" t="s">
        <v>1871</v>
      </c>
      <c r="D40" s="99"/>
      <c r="E40" s="99"/>
      <c r="F40" s="99"/>
      <c r="G40" s="99"/>
      <c r="H40" s="99"/>
      <c r="I40" s="99"/>
      <c r="J40" s="99"/>
      <c r="K40" s="100"/>
    </row>
    <row r="41" spans="1:11" ht="16.5" x14ac:dyDescent="0.35">
      <c r="A41" s="971" t="s">
        <v>1872</v>
      </c>
      <c r="B41" s="94"/>
      <c r="C41" s="94" t="s">
        <v>2326</v>
      </c>
      <c r="D41" s="94"/>
      <c r="E41" s="94"/>
      <c r="F41" s="94"/>
      <c r="G41" s="94"/>
      <c r="H41" s="94"/>
      <c r="I41" s="94"/>
      <c r="J41" s="94"/>
      <c r="K41" s="95"/>
    </row>
    <row r="42" spans="1:11" ht="15" thickBot="1" x14ac:dyDescent="0.4">
      <c r="A42" s="980"/>
      <c r="B42" s="99"/>
      <c r="C42" s="965" t="s">
        <v>1873</v>
      </c>
      <c r="D42" s="99"/>
      <c r="E42" s="99"/>
      <c r="F42" s="99"/>
      <c r="G42" s="99"/>
      <c r="H42" s="99"/>
      <c r="I42" s="99"/>
      <c r="J42" s="99"/>
      <c r="K42" s="100"/>
    </row>
    <row r="43" spans="1:11" x14ac:dyDescent="0.35">
      <c r="A43" s="971" t="s">
        <v>1824</v>
      </c>
      <c r="B43" s="94">
        <v>100000</v>
      </c>
      <c r="C43" s="94" t="s">
        <v>1874</v>
      </c>
      <c r="D43" s="94"/>
      <c r="E43" s="94"/>
      <c r="F43" s="94"/>
      <c r="G43" s="94"/>
      <c r="H43" s="94"/>
      <c r="I43" s="94"/>
      <c r="J43" s="94"/>
      <c r="K43" s="95"/>
    </row>
    <row r="44" spans="1:11" ht="15" thickBot="1" x14ac:dyDescent="0.4">
      <c r="A44" s="980"/>
      <c r="B44" s="99"/>
      <c r="C44" s="976"/>
      <c r="D44" s="99"/>
      <c r="E44" s="99"/>
      <c r="F44" s="99"/>
      <c r="G44" s="99"/>
      <c r="H44" s="99"/>
      <c r="I44" s="99"/>
      <c r="J44" s="99"/>
      <c r="K44" s="100"/>
    </row>
    <row r="45" spans="1:11" ht="16.5" x14ac:dyDescent="0.35">
      <c r="A45" s="971" t="s">
        <v>1825</v>
      </c>
      <c r="B45" s="338">
        <v>0.5</v>
      </c>
      <c r="C45" s="94" t="s">
        <v>1875</v>
      </c>
      <c r="D45" s="94"/>
      <c r="E45" s="981"/>
      <c r="F45" s="94"/>
      <c r="G45" s="94"/>
      <c r="H45" s="94"/>
      <c r="I45" s="94"/>
      <c r="J45" s="94"/>
      <c r="K45" s="95"/>
    </row>
    <row r="46" spans="1:11" ht="15" thickBot="1" x14ac:dyDescent="0.4">
      <c r="A46" s="980"/>
      <c r="B46" s="99"/>
      <c r="C46" s="99" t="s">
        <v>1876</v>
      </c>
      <c r="D46" s="982"/>
      <c r="E46" s="99"/>
      <c r="F46" s="99"/>
      <c r="G46" s="99"/>
      <c r="H46" s="99"/>
      <c r="I46" s="99"/>
      <c r="J46" s="99"/>
      <c r="K46" s="100"/>
    </row>
    <row r="47" spans="1:11" ht="16.5" x14ac:dyDescent="0.35">
      <c r="A47" s="971" t="s">
        <v>1826</v>
      </c>
      <c r="B47" s="94" t="s">
        <v>1877</v>
      </c>
      <c r="C47" s="94" t="s">
        <v>1878</v>
      </c>
      <c r="D47" s="94"/>
      <c r="E47" s="983"/>
      <c r="F47" s="94"/>
      <c r="G47" s="94"/>
      <c r="H47" s="94"/>
      <c r="I47" s="94"/>
      <c r="J47" s="94"/>
      <c r="K47" s="95"/>
    </row>
    <row r="48" spans="1:11" ht="15" thickBot="1" x14ac:dyDescent="0.4">
      <c r="A48" s="980"/>
      <c r="B48" s="99"/>
      <c r="C48" s="99" t="s">
        <v>1879</v>
      </c>
      <c r="D48" s="99"/>
      <c r="E48" s="99"/>
      <c r="F48" s="99"/>
      <c r="G48" s="99"/>
      <c r="H48" s="99"/>
      <c r="I48" s="99"/>
      <c r="J48" s="99"/>
      <c r="K48" s="100"/>
    </row>
    <row r="49" spans="1:12" x14ac:dyDescent="0.35">
      <c r="A49" s="971" t="s">
        <v>1827</v>
      </c>
      <c r="B49" s="94">
        <v>12</v>
      </c>
      <c r="C49" s="94" t="s">
        <v>1880</v>
      </c>
      <c r="D49" s="94"/>
      <c r="E49" s="983"/>
      <c r="F49" s="94"/>
      <c r="G49" s="94"/>
      <c r="H49" s="94"/>
      <c r="I49" s="94"/>
      <c r="J49" s="94"/>
      <c r="K49" s="95"/>
    </row>
    <row r="50" spans="1:12" ht="15" thickBot="1" x14ac:dyDescent="0.4">
      <c r="A50" s="984"/>
      <c r="B50" s="99"/>
      <c r="C50" s="99" t="s">
        <v>1881</v>
      </c>
      <c r="D50" s="99"/>
      <c r="E50" s="99"/>
      <c r="F50" s="99"/>
      <c r="G50" s="99"/>
      <c r="H50" s="99"/>
      <c r="I50" s="99"/>
      <c r="J50" s="99"/>
      <c r="K50" s="100"/>
    </row>
    <row r="51" spans="1:12" x14ac:dyDescent="0.35">
      <c r="A51" s="971" t="s">
        <v>1828</v>
      </c>
      <c r="B51" s="94">
        <v>365</v>
      </c>
      <c r="C51" s="94" t="s">
        <v>2324</v>
      </c>
      <c r="D51" s="94"/>
      <c r="E51" s="983"/>
      <c r="F51" s="94"/>
      <c r="G51" s="94"/>
      <c r="H51" s="94"/>
      <c r="I51" s="94"/>
      <c r="J51" s="94"/>
      <c r="K51" s="95"/>
    </row>
    <row r="52" spans="1:12" ht="15" thickBot="1" x14ac:dyDescent="0.4">
      <c r="A52" s="984"/>
      <c r="B52" s="99"/>
      <c r="C52" s="99" t="s">
        <v>1882</v>
      </c>
      <c r="D52" s="99"/>
      <c r="E52" s="99"/>
      <c r="F52" s="99"/>
      <c r="G52" s="99"/>
      <c r="H52" s="99"/>
      <c r="I52" s="99"/>
      <c r="J52" s="99"/>
      <c r="K52" s="100"/>
    </row>
    <row r="55" spans="1:12" ht="15" thickBot="1" x14ac:dyDescent="0.4"/>
    <row r="56" spans="1:12" x14ac:dyDescent="0.35">
      <c r="A56" s="985" t="s">
        <v>446</v>
      </c>
      <c r="B56" s="465"/>
      <c r="C56" s="465"/>
      <c r="D56" s="465"/>
      <c r="E56" s="465"/>
      <c r="F56" s="465"/>
      <c r="G56" s="465"/>
      <c r="H56" s="465"/>
      <c r="I56" s="465"/>
      <c r="J56" s="465"/>
      <c r="K56" s="465"/>
      <c r="L56" s="466"/>
    </row>
    <row r="57" spans="1:12" x14ac:dyDescent="0.35">
      <c r="A57" s="986"/>
      <c r="B57" s="83"/>
      <c r="C57" s="83"/>
      <c r="D57" s="83"/>
      <c r="E57" s="83"/>
      <c r="F57" s="83"/>
      <c r="G57" s="83"/>
      <c r="H57" s="83"/>
      <c r="I57" s="83"/>
      <c r="J57" s="83"/>
      <c r="K57" s="83"/>
      <c r="L57" s="125"/>
    </row>
    <row r="58" spans="1:12" ht="15" thickBot="1" x14ac:dyDescent="0.4">
      <c r="A58" s="987"/>
      <c r="B58" s="83"/>
      <c r="C58" s="83"/>
      <c r="D58" s="83"/>
      <c r="E58" s="83"/>
      <c r="F58" s="83"/>
      <c r="G58" s="83"/>
      <c r="H58" s="83"/>
      <c r="I58" s="83"/>
      <c r="J58" s="83"/>
      <c r="K58" s="83"/>
      <c r="L58" s="125"/>
    </row>
    <row r="59" spans="1:12" ht="26.5" thickBot="1" x14ac:dyDescent="0.4">
      <c r="A59" s="124"/>
      <c r="B59" s="83"/>
      <c r="C59" s="988"/>
      <c r="D59" s="83"/>
      <c r="E59" s="2193" t="s">
        <v>1883</v>
      </c>
      <c r="F59" s="2194"/>
      <c r="G59" s="2195"/>
      <c r="H59" s="83"/>
      <c r="I59" s="989" t="s">
        <v>1884</v>
      </c>
      <c r="J59" s="989" t="s">
        <v>1885</v>
      </c>
      <c r="K59" s="989" t="s">
        <v>1886</v>
      </c>
      <c r="L59" s="125"/>
    </row>
    <row r="60" spans="1:12" ht="18" thickBot="1" x14ac:dyDescent="0.5">
      <c r="A60" s="2193" t="s">
        <v>1887</v>
      </c>
      <c r="B60" s="2194"/>
      <c r="C60" s="2195"/>
      <c r="D60" s="83"/>
      <c r="E60" s="990"/>
      <c r="F60" s="991" t="s">
        <v>1888</v>
      </c>
      <c r="G60" s="991" t="s">
        <v>1889</v>
      </c>
      <c r="H60" s="83"/>
      <c r="I60" s="334">
        <v>10</v>
      </c>
      <c r="J60" s="992" t="s">
        <v>1890</v>
      </c>
      <c r="K60" s="1">
        <f>200*I60+6511</f>
        <v>8511</v>
      </c>
      <c r="L60" s="125"/>
    </row>
    <row r="61" spans="1:12" ht="28.5" thickBot="1" x14ac:dyDescent="0.4">
      <c r="A61" s="990" t="s">
        <v>1891</v>
      </c>
      <c r="B61" s="991" t="s">
        <v>1892</v>
      </c>
      <c r="C61" s="991" t="s">
        <v>2327</v>
      </c>
      <c r="D61" s="83"/>
      <c r="E61" s="993" t="s">
        <v>1893</v>
      </c>
      <c r="F61" s="994">
        <v>0.52</v>
      </c>
      <c r="G61" s="994">
        <v>0.56000000000000005</v>
      </c>
      <c r="H61" s="83"/>
      <c r="I61" s="1">
        <v>16</v>
      </c>
      <c r="J61" s="992" t="s">
        <v>1890</v>
      </c>
      <c r="K61" s="1">
        <f t="shared" ref="K61:K62" si="3">200*I61+6511</f>
        <v>9711</v>
      </c>
      <c r="L61" s="125"/>
    </row>
    <row r="62" spans="1:12" ht="15.5" thickBot="1" x14ac:dyDescent="0.4">
      <c r="A62" s="995" t="s">
        <v>1894</v>
      </c>
      <c r="B62" s="996">
        <v>125</v>
      </c>
      <c r="C62" s="996">
        <v>195</v>
      </c>
      <c r="D62" s="83"/>
      <c r="E62" s="993" t="s">
        <v>1895</v>
      </c>
      <c r="F62" s="994">
        <v>0.39</v>
      </c>
      <c r="G62" s="994">
        <v>0.41</v>
      </c>
      <c r="H62" s="83"/>
      <c r="I62" s="1">
        <v>31</v>
      </c>
      <c r="J62" s="992" t="s">
        <v>1890</v>
      </c>
      <c r="K62" s="1">
        <f t="shared" si="3"/>
        <v>12711</v>
      </c>
      <c r="L62" s="125"/>
    </row>
    <row r="63" spans="1:12" ht="15" thickBot="1" x14ac:dyDescent="0.4">
      <c r="A63" s="995" t="s">
        <v>1896</v>
      </c>
      <c r="B63" s="996">
        <v>176</v>
      </c>
      <c r="C63" s="996">
        <v>211</v>
      </c>
      <c r="D63" s="83"/>
      <c r="E63" s="83"/>
      <c r="F63" s="83"/>
      <c r="G63" s="83"/>
      <c r="H63" s="83"/>
      <c r="I63" s="83"/>
      <c r="J63" s="83"/>
      <c r="K63" s="83"/>
      <c r="L63" s="125"/>
    </row>
    <row r="64" spans="1:12" ht="26.5" thickBot="1" x14ac:dyDescent="0.4">
      <c r="A64" s="995" t="s">
        <v>1897</v>
      </c>
      <c r="B64" s="996">
        <v>392</v>
      </c>
      <c r="C64" s="996">
        <v>579</v>
      </c>
      <c r="D64" s="83"/>
      <c r="E64" s="2200" t="s">
        <v>2328</v>
      </c>
      <c r="F64" s="2201"/>
      <c r="G64" s="83"/>
      <c r="H64" s="83"/>
      <c r="I64" s="989" t="s">
        <v>1884</v>
      </c>
      <c r="J64" s="989" t="s">
        <v>1898</v>
      </c>
      <c r="K64" s="989" t="s">
        <v>1886</v>
      </c>
      <c r="L64" s="125"/>
    </row>
    <row r="65" spans="1:12" ht="15" thickBot="1" x14ac:dyDescent="0.4">
      <c r="A65" s="997"/>
      <c r="B65" s="67"/>
      <c r="C65" s="67"/>
      <c r="D65" s="83"/>
      <c r="E65" s="998" t="s">
        <v>1899</v>
      </c>
      <c r="F65" s="797">
        <v>200</v>
      </c>
      <c r="G65" s="83"/>
      <c r="H65" s="83"/>
      <c r="I65" s="334">
        <v>10</v>
      </c>
      <c r="J65" s="992" t="s">
        <v>1900</v>
      </c>
      <c r="K65" s="1">
        <f>150*I65+5425</f>
        <v>6925</v>
      </c>
      <c r="L65" s="125"/>
    </row>
    <row r="66" spans="1:12" ht="18" thickBot="1" x14ac:dyDescent="0.5">
      <c r="A66" s="2193" t="s">
        <v>1901</v>
      </c>
      <c r="B66" s="2194"/>
      <c r="C66" s="2195"/>
      <c r="D66" s="83"/>
      <c r="E66" s="998" t="s">
        <v>1896</v>
      </c>
      <c r="F66" s="797">
        <v>250</v>
      </c>
      <c r="G66" s="83"/>
      <c r="H66" s="83"/>
      <c r="I66" s="1">
        <v>16</v>
      </c>
      <c r="J66" s="992" t="s">
        <v>1900</v>
      </c>
      <c r="K66" s="1">
        <f t="shared" ref="K66:K67" si="4">150*I66+5425</f>
        <v>7825</v>
      </c>
      <c r="L66" s="125"/>
    </row>
    <row r="67" spans="1:12" ht="28.5" thickBot="1" x14ac:dyDescent="0.4">
      <c r="A67" s="990" t="s">
        <v>1891</v>
      </c>
      <c r="B67" s="991" t="s">
        <v>1902</v>
      </c>
      <c r="C67" s="991" t="s">
        <v>1903</v>
      </c>
      <c r="D67" s="83"/>
      <c r="E67" s="999" t="s">
        <v>1904</v>
      </c>
      <c r="F67" s="1000">
        <v>400</v>
      </c>
      <c r="G67" s="83"/>
      <c r="H67" s="83"/>
      <c r="I67" s="1">
        <v>31</v>
      </c>
      <c r="J67" s="992" t="s">
        <v>1900</v>
      </c>
      <c r="K67" s="1">
        <f t="shared" si="4"/>
        <v>10075</v>
      </c>
      <c r="L67" s="125"/>
    </row>
    <row r="68" spans="1:12" ht="15" thickBot="1" x14ac:dyDescent="0.4">
      <c r="A68" s="1001" t="s">
        <v>1894</v>
      </c>
      <c r="B68" s="1002">
        <v>8747</v>
      </c>
      <c r="C68" s="1002">
        <v>18656</v>
      </c>
      <c r="D68" s="83"/>
      <c r="E68" s="83"/>
      <c r="F68" s="83"/>
      <c r="G68" s="83"/>
      <c r="H68" s="83"/>
      <c r="I68" s="83"/>
      <c r="J68" s="83"/>
      <c r="K68" s="83"/>
      <c r="L68" s="125"/>
    </row>
    <row r="69" spans="1:12" ht="15" thickBot="1" x14ac:dyDescent="0.4">
      <c r="A69" s="1003" t="s">
        <v>1896</v>
      </c>
      <c r="B69" s="1004">
        <v>10788</v>
      </c>
      <c r="C69" s="1002">
        <v>24562</v>
      </c>
      <c r="D69" s="83"/>
      <c r="E69" s="83"/>
      <c r="F69" s="83"/>
      <c r="G69" s="83"/>
      <c r="H69" s="83"/>
      <c r="I69" s="83"/>
      <c r="J69" s="83"/>
      <c r="K69" s="83"/>
      <c r="L69" s="125"/>
    </row>
    <row r="70" spans="1:12" ht="15" thickBot="1" x14ac:dyDescent="0.4">
      <c r="A70" s="1001" t="s">
        <v>1897</v>
      </c>
      <c r="B70" s="1002">
        <v>13000</v>
      </c>
      <c r="C70" s="1002">
        <v>43300</v>
      </c>
      <c r="D70" s="83"/>
      <c r="E70" s="83"/>
      <c r="F70" s="83"/>
      <c r="G70" s="83"/>
      <c r="H70" s="83"/>
      <c r="I70" s="83"/>
      <c r="J70" s="83"/>
      <c r="K70" s="83"/>
      <c r="L70" s="125"/>
    </row>
    <row r="71" spans="1:12" x14ac:dyDescent="0.35">
      <c r="A71" s="986"/>
      <c r="B71" s="83"/>
      <c r="C71" s="83"/>
      <c r="D71" s="83"/>
      <c r="E71" s="83"/>
      <c r="F71" s="83"/>
      <c r="G71" s="83"/>
      <c r="H71" s="83"/>
      <c r="I71" s="83"/>
      <c r="J71" s="83"/>
      <c r="K71" s="83"/>
      <c r="L71" s="125"/>
    </row>
    <row r="72" spans="1:12" x14ac:dyDescent="0.35">
      <c r="A72" s="124"/>
      <c r="B72" s="83"/>
      <c r="C72" s="83"/>
      <c r="D72" s="988"/>
      <c r="E72" s="83"/>
      <c r="F72" s="83"/>
      <c r="G72" s="83"/>
      <c r="H72" s="83"/>
      <c r="I72" s="83"/>
      <c r="J72" s="83"/>
      <c r="K72" s="83"/>
      <c r="L72" s="125"/>
    </row>
    <row r="73" spans="1:12" ht="15" thickBot="1" x14ac:dyDescent="0.4">
      <c r="A73" s="124"/>
      <c r="B73" s="83"/>
      <c r="C73" s="83"/>
      <c r="D73" s="83"/>
      <c r="E73" s="83"/>
      <c r="F73" s="83"/>
      <c r="G73" s="83"/>
      <c r="H73" s="83"/>
      <c r="I73" s="83"/>
      <c r="J73" s="83"/>
      <c r="K73" s="83"/>
      <c r="L73" s="125"/>
    </row>
    <row r="74" spans="1:12" ht="17" thickBot="1" x14ac:dyDescent="0.5">
      <c r="A74" s="2193" t="s">
        <v>1905</v>
      </c>
      <c r="B74" s="2194"/>
      <c r="C74" s="2195"/>
      <c r="D74" s="83"/>
      <c r="E74" s="83"/>
      <c r="F74" s="83"/>
      <c r="G74" s="83"/>
      <c r="H74" s="83"/>
      <c r="I74" s="83"/>
      <c r="J74" s="83"/>
      <c r="K74" s="83"/>
      <c r="L74" s="125"/>
    </row>
    <row r="75" spans="1:12" ht="28.5" thickBot="1" x14ac:dyDescent="0.4">
      <c r="A75" s="990" t="s">
        <v>1891</v>
      </c>
      <c r="B75" s="991" t="s">
        <v>1906</v>
      </c>
      <c r="C75" s="991" t="s">
        <v>1907</v>
      </c>
      <c r="D75" s="83"/>
      <c r="E75" s="83"/>
      <c r="F75" s="83"/>
      <c r="G75" s="83"/>
      <c r="H75" s="83"/>
      <c r="I75" s="83"/>
      <c r="J75" s="83"/>
      <c r="K75" s="83"/>
      <c r="L75" s="125"/>
    </row>
    <row r="76" spans="1:12" ht="15" thickBot="1" x14ac:dyDescent="0.4">
      <c r="A76" s="1005" t="s">
        <v>1894</v>
      </c>
      <c r="B76" s="1006">
        <v>124</v>
      </c>
      <c r="C76" s="1006">
        <v>172</v>
      </c>
      <c r="D76" s="83"/>
      <c r="E76" s="83"/>
      <c r="F76" s="83"/>
      <c r="G76" s="83"/>
      <c r="H76" s="83"/>
      <c r="I76" s="83"/>
      <c r="J76" s="83"/>
      <c r="K76" s="83"/>
      <c r="L76" s="125"/>
    </row>
    <row r="77" spans="1:12" ht="15" thickBot="1" x14ac:dyDescent="0.4">
      <c r="A77" s="1005" t="s">
        <v>1896</v>
      </c>
      <c r="B77" s="1006">
        <v>210</v>
      </c>
      <c r="C77" s="1006">
        <v>277</v>
      </c>
      <c r="D77" s="83"/>
      <c r="E77" s="83"/>
      <c r="F77" s="83"/>
      <c r="G77" s="83"/>
      <c r="H77" s="83"/>
      <c r="I77" s="83"/>
      <c r="J77" s="83"/>
      <c r="K77" s="83"/>
      <c r="L77" s="125"/>
    </row>
    <row r="78" spans="1:12" ht="15" thickBot="1" x14ac:dyDescent="0.4">
      <c r="A78" s="1005" t="s">
        <v>1897</v>
      </c>
      <c r="B78" s="1006">
        <v>394</v>
      </c>
      <c r="C78" s="1006">
        <v>640</v>
      </c>
      <c r="D78" s="83"/>
      <c r="E78" s="83"/>
      <c r="F78" s="83"/>
      <c r="G78" s="83"/>
      <c r="H78" s="83"/>
      <c r="I78" s="83"/>
      <c r="J78" s="83"/>
      <c r="K78" s="83"/>
      <c r="L78" s="125"/>
    </row>
    <row r="79" spans="1:12" x14ac:dyDescent="0.35">
      <c r="A79" s="124"/>
      <c r="B79" s="83"/>
      <c r="C79" s="988"/>
      <c r="D79" s="83"/>
      <c r="E79" s="83"/>
      <c r="F79" s="83"/>
      <c r="G79" s="83"/>
      <c r="H79" s="83"/>
      <c r="I79" s="83"/>
      <c r="J79" s="83"/>
      <c r="K79" s="83"/>
      <c r="L79" s="125"/>
    </row>
    <row r="80" spans="1:12" x14ac:dyDescent="0.35">
      <c r="A80" s="124"/>
      <c r="B80" s="83"/>
      <c r="C80" s="988"/>
      <c r="D80" s="83"/>
      <c r="E80" s="83"/>
      <c r="F80" s="83"/>
      <c r="G80" s="83"/>
      <c r="H80" s="83"/>
      <c r="I80" s="83"/>
      <c r="J80" s="83"/>
      <c r="K80" s="83"/>
      <c r="L80" s="125"/>
    </row>
    <row r="81" spans="1:12" x14ac:dyDescent="0.35">
      <c r="A81" s="986"/>
      <c r="B81" s="83"/>
      <c r="C81" s="83"/>
      <c r="D81" s="83"/>
      <c r="E81" s="83"/>
      <c r="F81" s="83"/>
      <c r="G81" s="83"/>
      <c r="H81" s="83"/>
      <c r="I81" s="83"/>
      <c r="J81" s="83"/>
      <c r="K81" s="83"/>
      <c r="L81" s="125"/>
    </row>
    <row r="82" spans="1:12" x14ac:dyDescent="0.35">
      <c r="A82" s="986"/>
      <c r="B82" s="83"/>
      <c r="C82" s="83"/>
      <c r="D82" s="83"/>
      <c r="E82" s="83"/>
      <c r="F82" s="83"/>
      <c r="G82" s="83"/>
      <c r="H82" s="83"/>
      <c r="I82" s="83"/>
      <c r="J82" s="83"/>
      <c r="K82" s="83"/>
      <c r="L82" s="125"/>
    </row>
    <row r="83" spans="1:12" x14ac:dyDescent="0.35">
      <c r="A83" s="124"/>
      <c r="B83" s="83"/>
      <c r="C83" s="83"/>
      <c r="D83" s="1007"/>
      <c r="E83" s="83"/>
      <c r="F83" s="83"/>
      <c r="G83" s="83"/>
      <c r="H83" s="83"/>
      <c r="I83" s="83"/>
      <c r="J83" s="83"/>
      <c r="K83" s="83"/>
      <c r="L83" s="125"/>
    </row>
    <row r="84" spans="1:12" x14ac:dyDescent="0.35">
      <c r="A84" s="1008"/>
      <c r="B84" s="83"/>
      <c r="C84" s="83"/>
      <c r="D84" s="83"/>
      <c r="E84" s="83"/>
      <c r="F84" s="83"/>
      <c r="G84" s="83"/>
      <c r="H84" s="83"/>
      <c r="I84" s="83"/>
      <c r="J84" s="83"/>
      <c r="K84" s="83"/>
      <c r="L84" s="125"/>
    </row>
    <row r="85" spans="1:12" ht="15" thickBot="1" x14ac:dyDescent="0.4">
      <c r="A85" s="1009"/>
      <c r="B85" s="201"/>
      <c r="C85" s="201"/>
      <c r="D85" s="201"/>
      <c r="E85" s="201"/>
      <c r="F85" s="201"/>
      <c r="G85" s="201"/>
      <c r="H85" s="201"/>
      <c r="I85" s="201"/>
      <c r="J85" s="201"/>
      <c r="K85" s="201"/>
      <c r="L85" s="203"/>
    </row>
    <row r="90" spans="1:12" x14ac:dyDescent="0.35">
      <c r="E90" s="1010"/>
    </row>
    <row r="93" spans="1:12" x14ac:dyDescent="0.35">
      <c r="A93" s="1011"/>
    </row>
  </sheetData>
  <customSheetViews>
    <customSheetView guid="{11DE45F5-F478-4ED6-8DFF-12002C22A637}" scale="85" showPageBreaks="1" fitToPage="1" view="pageBreakPreview" topLeftCell="I1">
      <selection activeCell="A3" sqref="A3:Z4"/>
      <pageMargins left="0.7" right="0.7" top="0.75" bottom="0.75" header="0.3" footer="0.3"/>
      <pageSetup scale="19" orientation="landscape" verticalDpi="300" r:id="rId1"/>
    </customSheetView>
    <customSheetView guid="{ECD6FE6A-9548-414E-B8AA-6998703C57E0}" scale="85" showPageBreaks="1" fitToPage="1" view="pageBreakPreview" topLeftCell="I1">
      <selection activeCell="A3" sqref="A3:Z4"/>
      <pageMargins left="0.7" right="0.7" top="0.75" bottom="0.75" header="0.3" footer="0.3"/>
      <pageSetup scale="19" orientation="landscape" verticalDpi="300" r:id="rId2"/>
    </customSheetView>
  </customSheetViews>
  <mergeCells count="8">
    <mergeCell ref="A74:C74"/>
    <mergeCell ref="K1:M1"/>
    <mergeCell ref="N1:P1"/>
    <mergeCell ref="Q1:AM1"/>
    <mergeCell ref="E59:G59"/>
    <mergeCell ref="A60:C60"/>
    <mergeCell ref="E64:F64"/>
    <mergeCell ref="A66:C66"/>
  </mergeCells>
  <dataValidations disablePrompts="1" count="1">
    <dataValidation type="list" allowBlank="1" showInputMessage="1" showErrorMessage="1" sqref="D3:D4" xr:uid="{00000000-0002-0000-0300-000000000000}">
      <formula1>MeasureType</formula1>
    </dataValidation>
  </dataValidations>
  <pageMargins left="0.7" right="0.7" top="0.75" bottom="0.75" header="0.3" footer="0.3"/>
  <pageSetup scale="18" orientation="landscape" verticalDpi="3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59999389629810485"/>
    <pageSetUpPr fitToPage="1"/>
  </sheetPr>
  <dimension ref="A2:AM104"/>
  <sheetViews>
    <sheetView view="pageBreakPreview" zoomScale="70" zoomScaleNormal="100" zoomScaleSheetLayoutView="70" workbookViewId="0">
      <selection activeCell="V29" sqref="V29"/>
    </sheetView>
  </sheetViews>
  <sheetFormatPr defaultRowHeight="14.5" x14ac:dyDescent="0.35"/>
  <cols>
    <col min="1" max="1" width="19" customWidth="1"/>
    <col min="2" max="2" width="47.1796875" customWidth="1"/>
    <col min="3" max="3" width="32.26953125" customWidth="1"/>
    <col min="4" max="4" width="20.26953125" customWidth="1"/>
    <col min="5" max="5" width="10.81640625" customWidth="1"/>
    <col min="6" max="7" width="14.54296875" customWidth="1"/>
    <col min="8" max="9" width="13" customWidth="1"/>
    <col min="10" max="10" width="32.453125" customWidth="1"/>
    <col min="11" max="11" width="33.1796875" customWidth="1"/>
    <col min="12" max="12" width="12.26953125" customWidth="1"/>
    <col min="14" max="16" width="10.54296875" customWidth="1"/>
    <col min="17" max="17" width="11.81640625" customWidth="1"/>
    <col min="19" max="19" width="9.54296875" bestFit="1" customWidth="1"/>
    <col min="20" max="20" width="11.453125" customWidth="1"/>
    <col min="22" max="22" width="11.26953125" customWidth="1"/>
    <col min="29" max="29" width="11.26953125" customWidth="1"/>
    <col min="35" max="35" width="8.453125" customWidth="1"/>
    <col min="36" max="36" width="13.1796875" customWidth="1"/>
    <col min="37" max="37" width="12.7265625" customWidth="1"/>
    <col min="39" max="39" width="9.54296875" bestFit="1" customWidth="1"/>
  </cols>
  <sheetData>
    <row r="2" spans="1:39" x14ac:dyDescent="0.35">
      <c r="A2" s="1145" t="s">
        <v>329</v>
      </c>
      <c r="B2" s="1144" t="s">
        <v>365</v>
      </c>
      <c r="C2" s="1144"/>
      <c r="D2" s="1144"/>
      <c r="E2" s="1143"/>
      <c r="F2" s="1143"/>
      <c r="G2" s="1143"/>
      <c r="H2" s="1143"/>
      <c r="I2" s="1143"/>
      <c r="J2" s="1143"/>
      <c r="K2" s="1143"/>
      <c r="L2" s="1143"/>
      <c r="M2" s="1143"/>
      <c r="N2" s="1143"/>
      <c r="O2" s="1235"/>
      <c r="P2" s="1235"/>
      <c r="Q2" s="2216" t="s">
        <v>335</v>
      </c>
      <c r="R2" s="2217"/>
      <c r="S2" s="2217"/>
      <c r="T2" s="2216" t="s">
        <v>336</v>
      </c>
      <c r="U2" s="2217"/>
      <c r="V2" s="2217"/>
      <c r="W2" s="2270" t="s">
        <v>337</v>
      </c>
      <c r="X2" s="2271"/>
      <c r="Y2" s="2271"/>
      <c r="Z2" s="2271"/>
      <c r="AA2" s="2271"/>
      <c r="AB2" s="2271"/>
      <c r="AC2" s="2271"/>
      <c r="AD2" s="2271"/>
      <c r="AE2" s="2271"/>
      <c r="AF2" s="2271"/>
      <c r="AG2" s="2271"/>
      <c r="AH2" s="2271"/>
      <c r="AI2" s="2271"/>
      <c r="AJ2" s="2271"/>
      <c r="AK2" s="2271"/>
      <c r="AL2" s="2271"/>
      <c r="AM2" s="2271"/>
    </row>
    <row r="3" spans="1:39" ht="43.5" x14ac:dyDescent="0.35">
      <c r="A3" s="1145" t="s">
        <v>338</v>
      </c>
      <c r="B3" s="1145" t="s">
        <v>1</v>
      </c>
      <c r="C3" s="1129" t="s">
        <v>339</v>
      </c>
      <c r="D3" s="1129" t="s">
        <v>340</v>
      </c>
      <c r="E3" s="1128" t="s">
        <v>342</v>
      </c>
      <c r="F3" s="1128" t="s">
        <v>343</v>
      </c>
      <c r="G3" s="1128" t="s">
        <v>366</v>
      </c>
      <c r="H3" s="1128" t="s">
        <v>367</v>
      </c>
      <c r="I3" s="1145" t="s">
        <v>345</v>
      </c>
      <c r="J3" s="1128" t="s">
        <v>368</v>
      </c>
      <c r="K3" s="1229" t="s">
        <v>369</v>
      </c>
      <c r="L3" s="1128" t="s">
        <v>370</v>
      </c>
      <c r="M3" s="1128" t="s">
        <v>371</v>
      </c>
      <c r="N3" s="1128" t="s">
        <v>372</v>
      </c>
      <c r="O3" s="1128" t="s">
        <v>373</v>
      </c>
      <c r="P3" s="1128" t="s">
        <v>374</v>
      </c>
      <c r="Q3" s="1146" t="s">
        <v>347</v>
      </c>
      <c r="R3" s="1146" t="s">
        <v>348</v>
      </c>
      <c r="S3" s="1230" t="s">
        <v>349</v>
      </c>
      <c r="T3" s="1146" t="s">
        <v>347</v>
      </c>
      <c r="U3" s="1146" t="s">
        <v>348</v>
      </c>
      <c r="V3" s="1147" t="s">
        <v>349</v>
      </c>
      <c r="W3" s="73" t="s">
        <v>375</v>
      </c>
      <c r="X3" s="73" t="s">
        <v>376</v>
      </c>
      <c r="Y3" s="73" t="s">
        <v>377</v>
      </c>
      <c r="Z3" s="73" t="s">
        <v>378</v>
      </c>
      <c r="AA3" s="73" t="s">
        <v>379</v>
      </c>
      <c r="AB3" s="73" t="s">
        <v>380</v>
      </c>
      <c r="AC3" s="73" t="s">
        <v>381</v>
      </c>
      <c r="AD3" s="73" t="s">
        <v>382</v>
      </c>
      <c r="AE3" s="73" t="s">
        <v>383</v>
      </c>
      <c r="AF3" s="73" t="s">
        <v>384</v>
      </c>
      <c r="AG3" s="73" t="s">
        <v>385</v>
      </c>
      <c r="AH3" s="73" t="s">
        <v>386</v>
      </c>
      <c r="AI3" s="73" t="s">
        <v>387</v>
      </c>
      <c r="AJ3" s="73" t="s">
        <v>388</v>
      </c>
      <c r="AK3" s="73" t="s">
        <v>389</v>
      </c>
      <c r="AL3" s="73" t="s">
        <v>390</v>
      </c>
      <c r="AM3" s="73" t="s">
        <v>391</v>
      </c>
    </row>
    <row r="4" spans="1:39" ht="36.5" x14ac:dyDescent="0.35">
      <c r="A4" s="1142" t="s">
        <v>392</v>
      </c>
      <c r="B4" s="1142" t="str">
        <f>$B$2&amp;" - ("&amp;E4&amp;" - "&amp;J4&amp;" - "&amp;N4&amp;")"</f>
        <v>Advanced Thermostat - (TOS - Blended - Single Family)</v>
      </c>
      <c r="C4" s="135" t="s">
        <v>247</v>
      </c>
      <c r="D4" s="1133" t="s">
        <v>393</v>
      </c>
      <c r="E4" s="135" t="s">
        <v>356</v>
      </c>
      <c r="F4" s="1236">
        <f>+$B$47</f>
        <v>10</v>
      </c>
      <c r="G4" s="1237"/>
      <c r="H4" s="1231"/>
      <c r="I4" s="1232" t="s">
        <v>395</v>
      </c>
      <c r="J4" s="1233" t="s">
        <v>396</v>
      </c>
      <c r="K4" s="1149" t="s">
        <v>397</v>
      </c>
      <c r="L4" s="1150" t="s">
        <v>398</v>
      </c>
      <c r="M4" s="1150" t="s">
        <v>399</v>
      </c>
      <c r="N4" s="1148" t="s">
        <v>400</v>
      </c>
      <c r="O4" s="1148" t="s">
        <v>401</v>
      </c>
      <c r="P4" s="1148" t="s">
        <v>399</v>
      </c>
      <c r="Q4" s="1155"/>
      <c r="R4" s="1155"/>
      <c r="S4" s="1154">
        <f>AC4*AD4*Y4*Z4*AA4</f>
        <v>74.347799999999992</v>
      </c>
      <c r="T4" s="1154"/>
      <c r="U4" s="1154"/>
      <c r="V4" s="1156">
        <f>S4*F4</f>
        <v>743.47799999999995</v>
      </c>
      <c r="W4" s="75">
        <f>VLOOKUP(K4,$B$55:$C$57,2,FALSE)</f>
        <v>0</v>
      </c>
      <c r="X4" s="62">
        <f>IF(AND(L4=$B$67,M4=$D$76)=TRUE,15678,VLOOKUP(L4,$B$62:$D$68,IF(M4=$B$76,2,3),FALSE))</f>
        <v>12213.9</v>
      </c>
      <c r="Y4" s="323">
        <f>+VLOOKUP(O4,$B$81:$C$83,2,FALSE)</f>
        <v>7.3999999999999996E-2</v>
      </c>
      <c r="Z4" s="75">
        <f>VLOOKUP(N4,$B$71:$C$72,2,FALSE)</f>
        <v>1</v>
      </c>
      <c r="AA4" s="324">
        <f>VLOOKUP(E4,$H$93:$I$100,2,FALSE)</f>
        <v>1</v>
      </c>
      <c r="AB4" s="323">
        <f>+$B$29</f>
        <v>3.1399999999999997E-2</v>
      </c>
      <c r="AC4" s="62">
        <f>VLOOKUP(K4,$B$55:$D$57,3,FALSE)</f>
        <v>1</v>
      </c>
      <c r="AD4" s="62">
        <f>VLOOKUP(L4,$B$62:$E$68,4,FALSE)</f>
        <v>1004.6999999999999</v>
      </c>
      <c r="AE4" s="62">
        <f>+VLOOKUP(P4,$H$81:$I$83,2,FALSE)</f>
        <v>0.66</v>
      </c>
      <c r="AF4" s="62">
        <f>+IF($N4="Single Family",VLOOKUP($L4,$B$88:$E$94,2,FALSE),3)</f>
        <v>568.6</v>
      </c>
      <c r="AG4" s="62">
        <f>+$C$99</f>
        <v>33600</v>
      </c>
      <c r="AH4" s="62">
        <f>+$C$104</f>
        <v>8.6</v>
      </c>
      <c r="AI4" s="361">
        <f>+$B$43</f>
        <v>0.08</v>
      </c>
      <c r="AJ4" s="463"/>
      <c r="AK4" s="464"/>
      <c r="AL4" s="463">
        <f>+$B$46</f>
        <v>29.3</v>
      </c>
      <c r="AM4" s="463">
        <f>+$B$45</f>
        <v>1000</v>
      </c>
    </row>
    <row r="5" spans="1:39" ht="36.5" x14ac:dyDescent="0.35">
      <c r="A5" s="1142" t="s">
        <v>402</v>
      </c>
      <c r="B5" s="1142" t="str">
        <f>$B$2&amp;" - ("&amp;E5&amp;" - "&amp;J5&amp;" - "&amp;N5&amp;")"</f>
        <v>Advanced Thermostat - (DI - Blended - Single Family)</v>
      </c>
      <c r="C5" s="135" t="s">
        <v>230</v>
      </c>
      <c r="D5" s="1133" t="s">
        <v>393</v>
      </c>
      <c r="E5" s="135" t="s">
        <v>403</v>
      </c>
      <c r="F5" s="1236">
        <f>+$B$47</f>
        <v>10</v>
      </c>
      <c r="G5" s="1237"/>
      <c r="H5" s="1231"/>
      <c r="I5" s="1232" t="s">
        <v>395</v>
      </c>
      <c r="J5" s="1233" t="s">
        <v>396</v>
      </c>
      <c r="K5" s="1149" t="s">
        <v>397</v>
      </c>
      <c r="L5" s="1150" t="s">
        <v>398</v>
      </c>
      <c r="M5" s="1150" t="s">
        <v>399</v>
      </c>
      <c r="N5" s="1148" t="s">
        <v>400</v>
      </c>
      <c r="O5" s="1148" t="s">
        <v>401</v>
      </c>
      <c r="P5" s="1148" t="s">
        <v>399</v>
      </c>
      <c r="Q5" s="1155"/>
      <c r="R5" s="1155"/>
      <c r="S5" s="1154">
        <f>AC5*AD5*Y5*Z5*AA5</f>
        <v>74.347799999999992</v>
      </c>
      <c r="T5" s="1154"/>
      <c r="U5" s="1154"/>
      <c r="V5" s="1156">
        <f>S5*F5</f>
        <v>743.47799999999995</v>
      </c>
      <c r="W5" s="75">
        <f>VLOOKUP(K5,$B$55:$C$57,2,FALSE)</f>
        <v>0</v>
      </c>
      <c r="X5" s="62">
        <f>IF(AND(L5=$B$67,M5=$D$76)=TRUE,15678,VLOOKUP(L5,$B$62:$D$68,IF(M5=$B$76,2,3),FALSE))</f>
        <v>12213.9</v>
      </c>
      <c r="Y5" s="323">
        <f>+VLOOKUP(O5,$B$81:$C$83,2,FALSE)</f>
        <v>7.3999999999999996E-2</v>
      </c>
      <c r="Z5" s="75">
        <f>VLOOKUP(N5,$B$71:$C$72,2,FALSE)</f>
        <v>1</v>
      </c>
      <c r="AA5" s="324">
        <f>VLOOKUP(E5,$H$93:$I$100,2,FALSE)</f>
        <v>1</v>
      </c>
      <c r="AB5" s="323">
        <f>+$B$29</f>
        <v>3.1399999999999997E-2</v>
      </c>
      <c r="AC5" s="62">
        <f>VLOOKUP(K5,$B$55:$D$57,3,FALSE)</f>
        <v>1</v>
      </c>
      <c r="AD5" s="62">
        <f>VLOOKUP(L5,$B$62:$E$68,4,FALSE)</f>
        <v>1004.6999999999999</v>
      </c>
      <c r="AE5" s="62">
        <f>+VLOOKUP(P5,$H$81:$I$83,2,FALSE)</f>
        <v>0.66</v>
      </c>
      <c r="AF5" s="62">
        <f>+IF($N5="Single Family",VLOOKUP($L5,$B$88:$E$94,2,FALSE),3)</f>
        <v>568.6</v>
      </c>
      <c r="AG5" s="62">
        <f t="shared" ref="AG5:AG7" si="0">+$C$99</f>
        <v>33600</v>
      </c>
      <c r="AH5" s="62">
        <f t="shared" ref="AH5:AH7" si="1">+$C$104</f>
        <v>8.6</v>
      </c>
      <c r="AI5" s="361">
        <f>+$B$43</f>
        <v>0.08</v>
      </c>
      <c r="AJ5" s="463"/>
      <c r="AK5" s="464"/>
      <c r="AL5" s="463">
        <f>+$B$46</f>
        <v>29.3</v>
      </c>
      <c r="AM5" s="463">
        <f>+$B$45</f>
        <v>1000</v>
      </c>
    </row>
    <row r="6" spans="1:39" ht="36.5" x14ac:dyDescent="0.35">
      <c r="A6" s="1142" t="s">
        <v>404</v>
      </c>
      <c r="B6" s="1142" t="str">
        <f>$B$2&amp;"  - ("&amp;E6&amp;" - "&amp;J6&amp;" - "&amp;N6&amp;")"</f>
        <v>Advanced Thermostat  - (TOS Joint - Blended - Single Family)</v>
      </c>
      <c r="C6" s="135" t="s">
        <v>247</v>
      </c>
      <c r="D6" s="1133" t="s">
        <v>393</v>
      </c>
      <c r="E6" s="135" t="s">
        <v>405</v>
      </c>
      <c r="F6" s="1236">
        <f>+$B$47</f>
        <v>10</v>
      </c>
      <c r="G6" s="1237"/>
      <c r="H6" s="1231"/>
      <c r="I6" s="1232" t="s">
        <v>395</v>
      </c>
      <c r="J6" s="1233" t="s">
        <v>396</v>
      </c>
      <c r="K6" s="1149" t="s">
        <v>397</v>
      </c>
      <c r="L6" s="1150" t="s">
        <v>398</v>
      </c>
      <c r="M6" s="1150" t="s">
        <v>399</v>
      </c>
      <c r="N6" s="1148" t="s">
        <v>400</v>
      </c>
      <c r="O6" s="1148" t="s">
        <v>401</v>
      </c>
      <c r="P6" s="1148" t="s">
        <v>399</v>
      </c>
      <c r="Q6" s="1155"/>
      <c r="R6" s="1155"/>
      <c r="S6" s="1154">
        <f>AC6*AD6*Y6*Z6*AA6</f>
        <v>74.347799999999992</v>
      </c>
      <c r="T6" s="1154"/>
      <c r="U6" s="1154"/>
      <c r="V6" s="1156">
        <f>S6*F6</f>
        <v>743.47799999999995</v>
      </c>
      <c r="W6" s="75">
        <f>VLOOKUP(K6,$B$55:$C$57,2,FALSE)</f>
        <v>0</v>
      </c>
      <c r="X6" s="62">
        <f>IF(AND(L6=$B$67,M6=$D$76)=TRUE,15678,VLOOKUP(L6,$B$62:$D$68,IF(M6=$B$76,2,3),FALSE))</f>
        <v>12213.9</v>
      </c>
      <c r="Y6" s="323">
        <f>+VLOOKUP(O6,$B$81:$C$83,2,FALSE)</f>
        <v>7.3999999999999996E-2</v>
      </c>
      <c r="Z6" s="75">
        <f>VLOOKUP(N6,$B$71:$C$72,2,FALSE)</f>
        <v>1</v>
      </c>
      <c r="AA6" s="324">
        <f>VLOOKUP(E6,$H$93:$I$100,2,FALSE)</f>
        <v>1</v>
      </c>
      <c r="AB6" s="323">
        <f>+$B$29</f>
        <v>3.1399999999999997E-2</v>
      </c>
      <c r="AC6" s="62">
        <f>VLOOKUP(K6,$B$55:$D$57,3,FALSE)</f>
        <v>1</v>
      </c>
      <c r="AD6" s="62">
        <f>VLOOKUP(L6,$B$62:$E$68,4,FALSE)</f>
        <v>1004.6999999999999</v>
      </c>
      <c r="AE6" s="62">
        <f>+VLOOKUP(P6,$H$81:$I$83,2,FALSE)</f>
        <v>0.66</v>
      </c>
      <c r="AF6" s="62">
        <f>+IF($N6="Single Family",VLOOKUP($L6,$B$88:$E$94,2,FALSE),3)</f>
        <v>568.6</v>
      </c>
      <c r="AG6" s="62">
        <f t="shared" si="0"/>
        <v>33600</v>
      </c>
      <c r="AH6" s="62">
        <f t="shared" si="1"/>
        <v>8.6</v>
      </c>
      <c r="AI6" s="361">
        <f>+$B$43</f>
        <v>0.08</v>
      </c>
      <c r="AJ6" s="463"/>
      <c r="AK6" s="464"/>
      <c r="AL6" s="463">
        <f>+$B$46</f>
        <v>29.3</v>
      </c>
      <c r="AM6" s="463">
        <f>+$B$45</f>
        <v>1000</v>
      </c>
    </row>
    <row r="7" spans="1:39" ht="36.5" x14ac:dyDescent="0.35">
      <c r="A7" s="1142" t="s">
        <v>406</v>
      </c>
      <c r="B7" s="1142" t="str">
        <f>$B$2&amp;"  - ("&amp;E7&amp;" - "&amp;J7&amp;" - "&amp;N7&amp;")"</f>
        <v>Advanced Thermostat  - (DI Joint - Blended - Single Family)</v>
      </c>
      <c r="C7" s="135" t="s">
        <v>230</v>
      </c>
      <c r="D7" s="1133" t="s">
        <v>393</v>
      </c>
      <c r="E7" s="135" t="s">
        <v>407</v>
      </c>
      <c r="F7" s="1236">
        <f>+$B$47</f>
        <v>10</v>
      </c>
      <c r="G7" s="1237"/>
      <c r="H7" s="1231"/>
      <c r="I7" s="1232" t="s">
        <v>395</v>
      </c>
      <c r="J7" s="1233" t="s">
        <v>396</v>
      </c>
      <c r="K7" s="1149" t="s">
        <v>397</v>
      </c>
      <c r="L7" s="1150" t="s">
        <v>398</v>
      </c>
      <c r="M7" s="1150" t="s">
        <v>399</v>
      </c>
      <c r="N7" s="1148" t="s">
        <v>400</v>
      </c>
      <c r="O7" s="1148" t="s">
        <v>401</v>
      </c>
      <c r="P7" s="1148" t="s">
        <v>399</v>
      </c>
      <c r="Q7" s="1155"/>
      <c r="R7" s="1155"/>
      <c r="S7" s="1154">
        <f>AC7*AD7*Y7*Z7*AA7</f>
        <v>74.347799999999992</v>
      </c>
      <c r="T7" s="1154"/>
      <c r="U7" s="1154"/>
      <c r="V7" s="1156">
        <f>S7*F7</f>
        <v>743.47799999999995</v>
      </c>
      <c r="W7" s="75">
        <f>VLOOKUP(K7,$B$55:$C$57,2,FALSE)</f>
        <v>0</v>
      </c>
      <c r="X7" s="62">
        <f>IF(AND(L7=$B$67,M7=$D$76)=TRUE,15678,VLOOKUP(L7,$B$62:$D$68,IF(M7=$B$76,2,3),FALSE))</f>
        <v>12213.9</v>
      </c>
      <c r="Y7" s="323">
        <f>+VLOOKUP(O7,$B$81:$C$83,2,FALSE)</f>
        <v>7.3999999999999996E-2</v>
      </c>
      <c r="Z7" s="75">
        <f>VLOOKUP(N7,$B$71:$C$72,2,FALSE)</f>
        <v>1</v>
      </c>
      <c r="AA7" s="324">
        <f>VLOOKUP(E7,$H$93:$I$102,2,FALSE)</f>
        <v>1</v>
      </c>
      <c r="AB7" s="323">
        <f>+$B$29</f>
        <v>3.1399999999999997E-2</v>
      </c>
      <c r="AC7" s="62">
        <f>VLOOKUP(K7,$B$55:$D$57,3,FALSE)</f>
        <v>1</v>
      </c>
      <c r="AD7" s="62">
        <f>VLOOKUP(L7,$B$62:$E$68,4,FALSE)</f>
        <v>1004.6999999999999</v>
      </c>
      <c r="AE7" s="62">
        <f>+VLOOKUP(P7,$H$81:$I$83,2,FALSE)</f>
        <v>0.66</v>
      </c>
      <c r="AF7" s="62">
        <f>+IF($N7="Single Family",VLOOKUP($L7,$B$88:$E$94,2,FALSE),3)</f>
        <v>568.6</v>
      </c>
      <c r="AG7" s="62">
        <f t="shared" si="0"/>
        <v>33600</v>
      </c>
      <c r="AH7" s="62">
        <f t="shared" si="1"/>
        <v>8.6</v>
      </c>
      <c r="AI7" s="361">
        <f>+$B$43</f>
        <v>0.08</v>
      </c>
      <c r="AJ7" s="463"/>
      <c r="AK7" s="464"/>
      <c r="AL7" s="463">
        <f>+$B$46</f>
        <v>29.3</v>
      </c>
      <c r="AM7" s="463">
        <f>+$B$45</f>
        <v>1000</v>
      </c>
    </row>
    <row r="9" spans="1:39" ht="15" thickBot="1" x14ac:dyDescent="0.4"/>
    <row r="10" spans="1:39" ht="15" thickBot="1" x14ac:dyDescent="0.4">
      <c r="A10" s="76" t="s">
        <v>408</v>
      </c>
      <c r="B10" s="77"/>
      <c r="C10" s="78"/>
      <c r="D10" s="78"/>
      <c r="E10" s="78"/>
      <c r="F10" s="78"/>
      <c r="G10" s="78"/>
      <c r="H10" s="79"/>
      <c r="Q10" s="80"/>
    </row>
    <row r="11" spans="1:39" x14ac:dyDescent="0.35">
      <c r="A11" s="81" t="s">
        <v>409</v>
      </c>
      <c r="B11" s="82"/>
      <c r="C11" s="83"/>
      <c r="D11" s="83"/>
      <c r="E11" s="83"/>
      <c r="F11" s="83"/>
      <c r="G11" s="83"/>
      <c r="H11" s="84"/>
      <c r="Q11" s="80"/>
    </row>
    <row r="12" spans="1:39" x14ac:dyDescent="0.35">
      <c r="A12" s="81" t="s">
        <v>410</v>
      </c>
      <c r="B12" s="82"/>
      <c r="C12" s="83"/>
      <c r="D12" s="83"/>
      <c r="E12" s="83"/>
      <c r="F12" s="83"/>
      <c r="G12" s="83"/>
      <c r="H12" s="84"/>
    </row>
    <row r="13" spans="1:39" x14ac:dyDescent="0.35">
      <c r="A13" s="81" t="s">
        <v>411</v>
      </c>
      <c r="B13" s="82"/>
      <c r="C13" s="83"/>
      <c r="D13" s="83"/>
      <c r="E13" s="83"/>
      <c r="F13" s="83"/>
      <c r="G13" s="83"/>
      <c r="H13" s="84"/>
    </row>
    <row r="14" spans="1:39" ht="15" thickBot="1" x14ac:dyDescent="0.4">
      <c r="A14" s="85" t="s">
        <v>412</v>
      </c>
      <c r="B14" s="86"/>
      <c r="C14" s="86"/>
      <c r="D14" s="86"/>
      <c r="E14" s="86"/>
      <c r="F14" s="86"/>
      <c r="G14" s="86"/>
      <c r="H14" s="87"/>
    </row>
    <row r="15" spans="1:39" ht="15" thickBot="1" x14ac:dyDescent="0.4">
      <c r="A15" s="188" t="s">
        <v>2571</v>
      </c>
      <c r="B15" s="1384" t="e">
        <f>+#REF!</f>
        <v>#REF!</v>
      </c>
    </row>
    <row r="16" spans="1:39" ht="15" thickBot="1" x14ac:dyDescent="0.4">
      <c r="A16" s="188" t="s">
        <v>2572</v>
      </c>
      <c r="B16" s="701" t="s">
        <v>2803</v>
      </c>
    </row>
    <row r="17" spans="1:10" ht="15" thickBot="1" x14ac:dyDescent="0.4">
      <c r="A17" s="69"/>
    </row>
    <row r="18" spans="1:10" ht="15" thickBot="1" x14ac:dyDescent="0.4">
      <c r="A18" s="88" t="s">
        <v>413</v>
      </c>
      <c r="B18" s="89" t="s">
        <v>414</v>
      </c>
      <c r="C18" s="90" t="s">
        <v>415</v>
      </c>
      <c r="D18" s="78"/>
      <c r="E18" s="78"/>
      <c r="F18" s="78"/>
      <c r="G18" s="78"/>
      <c r="H18" s="78"/>
      <c r="I18" s="78"/>
      <c r="J18" s="79"/>
    </row>
    <row r="19" spans="1:10" x14ac:dyDescent="0.35">
      <c r="A19" s="91" t="s">
        <v>375</v>
      </c>
      <c r="B19" s="92"/>
      <c r="C19" s="93" t="s">
        <v>416</v>
      </c>
      <c r="D19" s="94"/>
      <c r="E19" s="94"/>
      <c r="F19" s="94"/>
      <c r="G19" s="94"/>
      <c r="H19" s="94"/>
      <c r="I19" s="94"/>
      <c r="J19" s="95"/>
    </row>
    <row r="20" spans="1:10" ht="15" thickBot="1" x14ac:dyDescent="0.4">
      <c r="A20" s="96"/>
      <c r="B20" s="97"/>
      <c r="C20" s="98" t="s">
        <v>417</v>
      </c>
      <c r="D20" s="99"/>
      <c r="E20" s="99"/>
      <c r="F20" s="99"/>
      <c r="G20" s="99"/>
      <c r="H20" s="99"/>
      <c r="I20" s="99"/>
      <c r="J20" s="100"/>
    </row>
    <row r="21" spans="1:10" ht="24.5" x14ac:dyDescent="0.35">
      <c r="A21" s="91" t="s">
        <v>376</v>
      </c>
      <c r="B21" s="101"/>
      <c r="C21" s="2419" t="s">
        <v>418</v>
      </c>
      <c r="D21" s="2419"/>
      <c r="E21" s="2419"/>
      <c r="F21" s="2419"/>
      <c r="G21" s="2419"/>
      <c r="H21" s="94"/>
      <c r="I21" s="94"/>
      <c r="J21" s="95"/>
    </row>
    <row r="22" spans="1:10" ht="15" thickBot="1" x14ac:dyDescent="0.4">
      <c r="A22" s="96"/>
      <c r="B22" s="97"/>
      <c r="C22" s="98" t="s">
        <v>419</v>
      </c>
      <c r="D22" s="99"/>
      <c r="E22" s="99"/>
      <c r="F22" s="99"/>
      <c r="G22" s="99"/>
      <c r="H22" s="99"/>
      <c r="I22" s="99"/>
      <c r="J22" s="100"/>
    </row>
    <row r="23" spans="1:10" x14ac:dyDescent="0.35">
      <c r="A23" s="102" t="s">
        <v>377</v>
      </c>
      <c r="B23" s="103">
        <v>6.2E-2</v>
      </c>
      <c r="C23" s="2236" t="s">
        <v>420</v>
      </c>
      <c r="D23" s="2236"/>
      <c r="E23" s="2236"/>
      <c r="F23" s="2236"/>
      <c r="G23" s="2236"/>
      <c r="H23" s="104"/>
      <c r="I23" s="104"/>
      <c r="J23" s="105"/>
    </row>
    <row r="24" spans="1:10" ht="15" thickBot="1" x14ac:dyDescent="0.4">
      <c r="A24" s="106"/>
      <c r="B24" s="107"/>
      <c r="C24" s="108" t="s">
        <v>421</v>
      </c>
      <c r="D24" s="109"/>
      <c r="E24" s="109"/>
      <c r="F24" s="109"/>
      <c r="G24" s="109"/>
      <c r="H24" s="109"/>
      <c r="I24" s="109"/>
      <c r="J24" s="110"/>
    </row>
    <row r="25" spans="1:10" x14ac:dyDescent="0.35">
      <c r="A25" s="91" t="s">
        <v>378</v>
      </c>
      <c r="B25" s="92"/>
      <c r="C25" s="93" t="s">
        <v>422</v>
      </c>
      <c r="D25" s="94"/>
      <c r="E25" s="94"/>
      <c r="F25" s="94"/>
      <c r="G25" s="94"/>
      <c r="H25" s="94"/>
      <c r="I25" s="94"/>
      <c r="J25" s="95"/>
    </row>
    <row r="26" spans="1:10" ht="15" thickBot="1" x14ac:dyDescent="0.4">
      <c r="A26" s="96"/>
      <c r="B26" s="97"/>
      <c r="C26" s="98" t="s">
        <v>423</v>
      </c>
      <c r="D26" s="99"/>
      <c r="E26" s="99"/>
      <c r="F26" s="99"/>
      <c r="G26" s="99"/>
      <c r="H26" s="99"/>
      <c r="I26" s="99"/>
      <c r="J26" s="100"/>
    </row>
    <row r="27" spans="1:10" x14ac:dyDescent="0.35">
      <c r="A27" s="91" t="s">
        <v>379</v>
      </c>
      <c r="B27" s="92"/>
      <c r="C27" s="93" t="s">
        <v>424</v>
      </c>
      <c r="D27" s="94"/>
      <c r="E27" s="94"/>
      <c r="F27" s="94"/>
      <c r="G27" s="94"/>
      <c r="H27" s="94"/>
      <c r="I27" s="94"/>
      <c r="J27" s="95"/>
    </row>
    <row r="28" spans="1:10" ht="26.25" customHeight="1" thickBot="1" x14ac:dyDescent="0.4">
      <c r="A28" s="111"/>
      <c r="B28" s="99"/>
      <c r="C28" s="98" t="s">
        <v>425</v>
      </c>
      <c r="D28" s="99"/>
      <c r="E28" s="99"/>
      <c r="F28" s="99"/>
      <c r="G28" s="99"/>
      <c r="H28" s="99"/>
      <c r="I28" s="99"/>
      <c r="J28" s="100"/>
    </row>
    <row r="29" spans="1:10" x14ac:dyDescent="0.35">
      <c r="A29" s="91" t="s">
        <v>380</v>
      </c>
      <c r="B29" s="112">
        <v>3.1399999999999997E-2</v>
      </c>
      <c r="C29" s="93" t="s">
        <v>426</v>
      </c>
      <c r="D29" s="94"/>
      <c r="E29" s="94"/>
      <c r="F29" s="94"/>
      <c r="G29" s="94"/>
      <c r="H29" s="94"/>
      <c r="I29" s="94"/>
      <c r="J29" s="95"/>
    </row>
    <row r="30" spans="1:10" ht="15" thickBot="1" x14ac:dyDescent="0.4">
      <c r="A30" s="111"/>
      <c r="B30" s="99"/>
      <c r="C30" s="98" t="s">
        <v>427</v>
      </c>
      <c r="D30" s="99"/>
      <c r="E30" s="99"/>
      <c r="F30" s="99"/>
      <c r="G30" s="99"/>
      <c r="H30" s="99"/>
      <c r="I30" s="99"/>
      <c r="J30" s="100"/>
    </row>
    <row r="31" spans="1:10" x14ac:dyDescent="0.35">
      <c r="A31" s="91" t="s">
        <v>381</v>
      </c>
      <c r="B31" s="92"/>
      <c r="C31" s="93" t="s">
        <v>428</v>
      </c>
      <c r="D31" s="94"/>
      <c r="E31" s="94"/>
      <c r="F31" s="94"/>
      <c r="G31" s="94"/>
      <c r="H31" s="94"/>
      <c r="I31" s="94"/>
      <c r="J31" s="95"/>
    </row>
    <row r="32" spans="1:10" ht="15" thickBot="1" x14ac:dyDescent="0.4">
      <c r="A32" s="111"/>
      <c r="B32" s="99"/>
      <c r="C32" s="98" t="s">
        <v>429</v>
      </c>
      <c r="D32" s="99"/>
      <c r="E32" s="99"/>
      <c r="F32" s="99"/>
      <c r="G32" s="99"/>
      <c r="H32" s="99"/>
      <c r="I32" s="99"/>
      <c r="J32" s="100"/>
    </row>
    <row r="33" spans="1:10" x14ac:dyDescent="0.35">
      <c r="A33" s="91" t="s">
        <v>382</v>
      </c>
      <c r="B33" s="113"/>
      <c r="C33" s="2419" t="s">
        <v>430</v>
      </c>
      <c r="D33" s="2419"/>
      <c r="E33" s="2419"/>
      <c r="F33" s="2419"/>
      <c r="G33" s="2419"/>
      <c r="H33" s="94"/>
      <c r="I33" s="94"/>
      <c r="J33" s="95"/>
    </row>
    <row r="34" spans="1:10" ht="15" thickBot="1" x14ac:dyDescent="0.4">
      <c r="A34" s="96"/>
      <c r="B34" s="97"/>
      <c r="C34" s="98" t="s">
        <v>417</v>
      </c>
      <c r="D34" s="99"/>
      <c r="E34" s="99"/>
      <c r="F34" s="99"/>
      <c r="G34" s="99"/>
      <c r="H34" s="99"/>
      <c r="I34" s="99"/>
      <c r="J34" s="100"/>
    </row>
    <row r="35" spans="1:10" x14ac:dyDescent="0.35">
      <c r="A35" s="102" t="s">
        <v>383</v>
      </c>
      <c r="B35" s="114"/>
      <c r="C35" s="115" t="s">
        <v>431</v>
      </c>
      <c r="D35" s="104"/>
      <c r="E35" s="104"/>
      <c r="F35" s="104"/>
      <c r="G35" s="104"/>
      <c r="H35" s="104"/>
      <c r="I35" s="104"/>
      <c r="J35" s="105"/>
    </row>
    <row r="36" spans="1:10" ht="15" thickBot="1" x14ac:dyDescent="0.4">
      <c r="A36" s="106"/>
      <c r="B36" s="116"/>
      <c r="C36" s="108" t="s">
        <v>432</v>
      </c>
      <c r="D36" s="109"/>
      <c r="E36" s="109"/>
      <c r="F36" s="109"/>
      <c r="G36" s="109"/>
      <c r="H36" s="109"/>
      <c r="I36" s="109"/>
      <c r="J36" s="110"/>
    </row>
    <row r="37" spans="1:10" x14ac:dyDescent="0.35">
      <c r="A37" s="102" t="s">
        <v>384</v>
      </c>
      <c r="B37" s="114"/>
      <c r="C37" s="115" t="s">
        <v>433</v>
      </c>
      <c r="D37" s="104"/>
      <c r="E37" s="104"/>
      <c r="F37" s="104"/>
      <c r="G37" s="104"/>
      <c r="H37" s="104"/>
      <c r="I37" s="104"/>
      <c r="J37" s="105"/>
    </row>
    <row r="38" spans="1:10" ht="15" thickBot="1" x14ac:dyDescent="0.4">
      <c r="A38" s="106"/>
      <c r="B38" s="116"/>
      <c r="C38" s="108" t="s">
        <v>434</v>
      </c>
      <c r="D38" s="109"/>
      <c r="E38" s="109"/>
      <c r="F38" s="109"/>
      <c r="G38" s="109"/>
      <c r="H38" s="109"/>
      <c r="I38" s="109"/>
      <c r="J38" s="110"/>
    </row>
    <row r="39" spans="1:10" x14ac:dyDescent="0.35">
      <c r="A39" s="102" t="s">
        <v>385</v>
      </c>
      <c r="B39" s="114"/>
      <c r="C39" s="115" t="s">
        <v>435</v>
      </c>
      <c r="D39" s="104"/>
      <c r="E39" s="104"/>
      <c r="F39" s="104"/>
      <c r="G39" s="104"/>
      <c r="H39" s="104"/>
      <c r="I39" s="104"/>
      <c r="J39" s="105"/>
    </row>
    <row r="40" spans="1:10" ht="15" thickBot="1" x14ac:dyDescent="0.4">
      <c r="A40" s="106"/>
      <c r="B40" s="116"/>
      <c r="C40" s="108" t="s">
        <v>436</v>
      </c>
      <c r="D40" s="109"/>
      <c r="E40" s="109"/>
      <c r="F40" s="109"/>
      <c r="G40" s="109"/>
      <c r="H40" s="109"/>
      <c r="I40" s="109"/>
      <c r="J40" s="110"/>
    </row>
    <row r="41" spans="1:10" x14ac:dyDescent="0.35">
      <c r="A41" s="102" t="s">
        <v>386</v>
      </c>
      <c r="B41" s="114"/>
      <c r="C41" s="115" t="s">
        <v>437</v>
      </c>
      <c r="D41" s="104"/>
      <c r="E41" s="104"/>
      <c r="F41" s="104"/>
      <c r="G41" s="104"/>
      <c r="H41" s="104"/>
      <c r="I41" s="104"/>
      <c r="J41" s="105"/>
    </row>
    <row r="42" spans="1:10" ht="15" thickBot="1" x14ac:dyDescent="0.4">
      <c r="A42" s="106"/>
      <c r="B42" s="116"/>
      <c r="C42" s="108" t="s">
        <v>438</v>
      </c>
      <c r="D42" s="109"/>
      <c r="E42" s="109"/>
      <c r="F42" s="109"/>
      <c r="G42" s="109"/>
      <c r="H42" s="109"/>
      <c r="I42" s="109"/>
      <c r="J42" s="110"/>
    </row>
    <row r="43" spans="1:10" x14ac:dyDescent="0.35">
      <c r="A43" s="102" t="s">
        <v>387</v>
      </c>
      <c r="B43" s="117">
        <v>0.08</v>
      </c>
      <c r="C43" s="115" t="s">
        <v>439</v>
      </c>
      <c r="D43" s="104"/>
      <c r="E43" s="104"/>
      <c r="F43" s="104"/>
      <c r="G43" s="104"/>
      <c r="H43" s="104"/>
      <c r="I43" s="104"/>
      <c r="J43" s="105"/>
    </row>
    <row r="44" spans="1:10" ht="15" thickBot="1" x14ac:dyDescent="0.4">
      <c r="A44" s="106"/>
      <c r="B44" s="116"/>
      <c r="C44" s="108" t="s">
        <v>440</v>
      </c>
      <c r="D44" s="109"/>
      <c r="E44" s="109"/>
      <c r="F44" s="109"/>
      <c r="G44" s="109"/>
      <c r="H44" s="109"/>
      <c r="I44" s="109"/>
      <c r="J44" s="110"/>
    </row>
    <row r="45" spans="1:10" x14ac:dyDescent="0.35">
      <c r="A45" s="102" t="s">
        <v>441</v>
      </c>
      <c r="B45" s="114">
        <v>1000</v>
      </c>
      <c r="C45" s="115" t="s">
        <v>391</v>
      </c>
      <c r="D45" s="104"/>
      <c r="E45" s="104"/>
      <c r="F45" s="104"/>
      <c r="G45" s="104"/>
      <c r="H45" s="104"/>
      <c r="I45" s="104"/>
      <c r="J45" s="105"/>
    </row>
    <row r="46" spans="1:10" ht="15" thickBot="1" x14ac:dyDescent="0.4">
      <c r="A46" s="106"/>
      <c r="B46" s="116">
        <v>29.3</v>
      </c>
      <c r="C46" s="108" t="s">
        <v>442</v>
      </c>
      <c r="D46" s="109"/>
      <c r="E46" s="109"/>
      <c r="F46" s="109"/>
      <c r="G46" s="109"/>
      <c r="H46" s="109"/>
      <c r="I46" s="109"/>
      <c r="J46" s="110"/>
    </row>
    <row r="47" spans="1:10" ht="43.5" customHeight="1" x14ac:dyDescent="0.35">
      <c r="A47" s="118" t="s">
        <v>443</v>
      </c>
      <c r="B47" s="94">
        <v>10</v>
      </c>
      <c r="C47" s="2225" t="s">
        <v>444</v>
      </c>
      <c r="D47" s="2225"/>
      <c r="E47" s="2225"/>
      <c r="F47" s="2225"/>
      <c r="G47" s="2225"/>
      <c r="H47" s="2225"/>
      <c r="I47" s="2225"/>
      <c r="J47" s="95"/>
    </row>
    <row r="48" spans="1:10" ht="15" thickBot="1" x14ac:dyDescent="0.4">
      <c r="A48" s="111"/>
      <c r="B48" s="99"/>
      <c r="C48" s="108" t="s">
        <v>445</v>
      </c>
      <c r="D48" s="99"/>
      <c r="E48" s="99"/>
      <c r="F48" s="99"/>
      <c r="G48" s="99"/>
      <c r="H48" s="99"/>
      <c r="I48" s="99"/>
      <c r="J48" s="100"/>
    </row>
    <row r="49" spans="1:11" ht="50.25" customHeight="1" thickBot="1" x14ac:dyDescent="0.4">
      <c r="A49" s="119" t="s">
        <v>344</v>
      </c>
      <c r="B49" s="120"/>
      <c r="C49" s="2426"/>
      <c r="D49" s="2426"/>
      <c r="E49" s="2426"/>
      <c r="F49" s="2426"/>
      <c r="G49" s="2426"/>
      <c r="H49" s="2426"/>
      <c r="I49" s="2426"/>
      <c r="J49" s="121"/>
    </row>
    <row r="51" spans="1:11" ht="15" thickBot="1" x14ac:dyDescent="0.4"/>
    <row r="52" spans="1:11" ht="15" thickBot="1" x14ac:dyDescent="0.4">
      <c r="A52" s="122" t="s">
        <v>446</v>
      </c>
      <c r="B52" s="123"/>
      <c r="C52" s="78"/>
      <c r="D52" s="78"/>
      <c r="E52" s="78"/>
      <c r="F52" s="78"/>
      <c r="G52" s="78"/>
      <c r="H52" s="78"/>
      <c r="I52" s="78"/>
      <c r="J52" s="79"/>
    </row>
    <row r="53" spans="1:11" x14ac:dyDescent="0.35">
      <c r="A53" s="124"/>
      <c r="B53" s="83"/>
      <c r="C53" s="83"/>
      <c r="D53" s="83"/>
      <c r="E53" s="83"/>
      <c r="F53" s="83"/>
      <c r="G53" s="83"/>
      <c r="H53" s="83"/>
      <c r="I53" s="83"/>
      <c r="J53" s="125"/>
    </row>
    <row r="54" spans="1:11" x14ac:dyDescent="0.35">
      <c r="A54" s="124"/>
      <c r="B54" s="70" t="s">
        <v>447</v>
      </c>
      <c r="C54" s="70" t="s">
        <v>448</v>
      </c>
      <c r="D54" s="70" t="s">
        <v>449</v>
      </c>
      <c r="E54" s="83"/>
      <c r="F54" s="83"/>
      <c r="G54" s="70" t="s">
        <v>450</v>
      </c>
      <c r="H54" s="70" t="s">
        <v>443</v>
      </c>
      <c r="I54" s="83"/>
      <c r="J54" s="125"/>
    </row>
    <row r="55" spans="1:11" x14ac:dyDescent="0.35">
      <c r="A55" s="124"/>
      <c r="B55" s="126" t="s">
        <v>451</v>
      </c>
      <c r="C55" s="127">
        <v>1</v>
      </c>
      <c r="D55" s="127">
        <v>0</v>
      </c>
      <c r="E55" s="83"/>
      <c r="F55" s="83"/>
      <c r="G55" s="62" t="s">
        <v>452</v>
      </c>
      <c r="H55" s="62">
        <v>5</v>
      </c>
      <c r="I55" s="83"/>
      <c r="J55" s="125"/>
    </row>
    <row r="56" spans="1:11" x14ac:dyDescent="0.35">
      <c r="A56" s="124"/>
      <c r="B56" s="126" t="s">
        <v>397</v>
      </c>
      <c r="C56" s="127">
        <v>0</v>
      </c>
      <c r="D56" s="127">
        <v>1</v>
      </c>
      <c r="E56" s="83"/>
      <c r="F56" s="83"/>
      <c r="G56" s="62" t="s">
        <v>453</v>
      </c>
      <c r="H56" s="62">
        <v>2</v>
      </c>
      <c r="I56" s="83"/>
      <c r="J56" s="125"/>
    </row>
    <row r="57" spans="1:11" x14ac:dyDescent="0.35">
      <c r="A57" s="124"/>
      <c r="B57" s="126" t="s">
        <v>399</v>
      </c>
      <c r="C57" s="127">
        <v>6.5000000000000002E-2</v>
      </c>
      <c r="D57" s="127">
        <v>0.93500000000000005</v>
      </c>
      <c r="E57" s="83"/>
      <c r="F57" s="83"/>
      <c r="G57" s="83"/>
      <c r="H57" s="83"/>
      <c r="I57" s="83"/>
      <c r="J57" s="125"/>
    </row>
    <row r="58" spans="1:11" x14ac:dyDescent="0.35">
      <c r="A58" s="124"/>
      <c r="B58" s="83"/>
      <c r="C58" s="83"/>
      <c r="D58" s="83"/>
      <c r="E58" s="83"/>
      <c r="F58" s="83"/>
      <c r="G58" s="83"/>
      <c r="H58" s="83"/>
      <c r="I58" s="83"/>
      <c r="J58" s="125"/>
    </row>
    <row r="59" spans="1:11" x14ac:dyDescent="0.35">
      <c r="A59" s="124"/>
      <c r="B59" s="83"/>
      <c r="C59" s="83"/>
      <c r="D59" s="83"/>
      <c r="E59" s="83"/>
      <c r="F59" s="83"/>
      <c r="G59" s="83"/>
      <c r="H59" s="83"/>
      <c r="I59" s="83"/>
      <c r="J59" s="125"/>
    </row>
    <row r="60" spans="1:11" x14ac:dyDescent="0.35">
      <c r="A60" s="124"/>
      <c r="B60" s="83"/>
      <c r="C60" s="83"/>
      <c r="D60" s="83"/>
      <c r="E60" s="83"/>
      <c r="F60" s="83"/>
      <c r="G60" s="83"/>
      <c r="H60" s="83"/>
      <c r="I60" s="83"/>
      <c r="J60" s="125"/>
      <c r="K60" s="128"/>
    </row>
    <row r="61" spans="1:11" ht="52" x14ac:dyDescent="0.35">
      <c r="A61" s="124"/>
      <c r="B61" s="70" t="s">
        <v>370</v>
      </c>
      <c r="C61" s="70" t="s">
        <v>454</v>
      </c>
      <c r="D61" s="70" t="s">
        <v>454</v>
      </c>
      <c r="E61" s="70" t="s">
        <v>455</v>
      </c>
      <c r="F61" s="83"/>
      <c r="G61" s="70" t="s">
        <v>456</v>
      </c>
      <c r="H61" s="70"/>
      <c r="I61" s="129"/>
      <c r="J61" s="130"/>
    </row>
    <row r="62" spans="1:11" x14ac:dyDescent="0.35">
      <c r="A62" s="124"/>
      <c r="B62" s="131" t="s">
        <v>457</v>
      </c>
      <c r="C62" s="132">
        <v>21741</v>
      </c>
      <c r="D62" s="133">
        <v>12789</v>
      </c>
      <c r="E62" s="134">
        <v>1052</v>
      </c>
      <c r="F62" s="83"/>
      <c r="G62" s="62" t="s">
        <v>458</v>
      </c>
      <c r="H62" s="75">
        <v>0.3</v>
      </c>
      <c r="I62" s="135"/>
      <c r="J62" s="125"/>
    </row>
    <row r="63" spans="1:11" x14ac:dyDescent="0.35">
      <c r="A63" s="124"/>
      <c r="B63" s="131" t="s">
        <v>459</v>
      </c>
      <c r="C63" s="132">
        <v>20771</v>
      </c>
      <c r="D63" s="133">
        <v>12218</v>
      </c>
      <c r="E63" s="134">
        <v>1005</v>
      </c>
      <c r="F63" s="83"/>
      <c r="G63" s="62" t="s">
        <v>460</v>
      </c>
      <c r="H63" s="75">
        <v>0.6</v>
      </c>
      <c r="I63" s="135"/>
      <c r="J63" s="125"/>
    </row>
    <row r="64" spans="1:11" x14ac:dyDescent="0.35">
      <c r="A64" s="124"/>
      <c r="B64" s="131" t="s">
        <v>461</v>
      </c>
      <c r="C64" s="132">
        <v>17789</v>
      </c>
      <c r="D64" s="133">
        <v>10464</v>
      </c>
      <c r="E64" s="134">
        <v>861</v>
      </c>
      <c r="F64" s="83"/>
      <c r="G64" s="62" t="s">
        <v>462</v>
      </c>
      <c r="H64" s="75">
        <v>0.1</v>
      </c>
      <c r="I64" s="135"/>
      <c r="J64" s="136"/>
    </row>
    <row r="65" spans="1:10" x14ac:dyDescent="0.35">
      <c r="A65" s="124"/>
      <c r="B65" s="131" t="s">
        <v>463</v>
      </c>
      <c r="C65" s="132">
        <v>13722</v>
      </c>
      <c r="D65" s="133">
        <v>8072</v>
      </c>
      <c r="E65" s="134">
        <v>664</v>
      </c>
      <c r="F65" s="83"/>
      <c r="G65" s="135"/>
      <c r="H65" s="135"/>
      <c r="I65" s="135"/>
      <c r="J65" s="125"/>
    </row>
    <row r="66" spans="1:10" x14ac:dyDescent="0.35">
      <c r="A66" s="124"/>
      <c r="B66" s="131" t="s">
        <v>464</v>
      </c>
      <c r="C66" s="132">
        <v>13966</v>
      </c>
      <c r="D66" s="133">
        <v>8215</v>
      </c>
      <c r="E66" s="134">
        <v>676</v>
      </c>
      <c r="F66" s="83"/>
      <c r="G66" s="135"/>
      <c r="H66" s="135"/>
      <c r="I66" s="135"/>
      <c r="J66" s="125"/>
    </row>
    <row r="67" spans="1:10" x14ac:dyDescent="0.35">
      <c r="A67" s="124"/>
      <c r="B67" s="131" t="s">
        <v>399</v>
      </c>
      <c r="C67" s="132">
        <v>19743</v>
      </c>
      <c r="D67" s="133">
        <v>11613</v>
      </c>
      <c r="E67" s="134">
        <v>955</v>
      </c>
      <c r="F67" s="83"/>
      <c r="G67" s="83"/>
      <c r="H67" s="83"/>
      <c r="I67" s="129"/>
      <c r="J67" s="125"/>
    </row>
    <row r="68" spans="1:10" x14ac:dyDescent="0.35">
      <c r="A68" s="124"/>
      <c r="B68" s="131" t="s">
        <v>398</v>
      </c>
      <c r="C68" s="132">
        <f>C62*$H$62+C63*$H$63+C64*$H$64</f>
        <v>20763.800000000003</v>
      </c>
      <c r="D68" s="133">
        <f>D62*$H$62+D63*$H$63+D64*$H$64</f>
        <v>12213.9</v>
      </c>
      <c r="E68" s="134">
        <f>E62*$H$62+E63*$H$63+E64*$H$64</f>
        <v>1004.6999999999999</v>
      </c>
      <c r="F68" s="83"/>
      <c r="G68" s="2249" t="s">
        <v>344</v>
      </c>
      <c r="H68" s="2297"/>
      <c r="I68" s="2250"/>
      <c r="J68" s="125"/>
    </row>
    <row r="69" spans="1:10" ht="39" x14ac:dyDescent="0.35">
      <c r="A69" s="124"/>
      <c r="B69" s="83"/>
      <c r="C69" s="83"/>
      <c r="D69" s="83"/>
      <c r="E69" s="83"/>
      <c r="F69" s="83"/>
      <c r="G69" s="70"/>
      <c r="H69" s="70" t="s">
        <v>452</v>
      </c>
      <c r="I69" s="70" t="s">
        <v>453</v>
      </c>
      <c r="J69" s="125"/>
    </row>
    <row r="70" spans="1:10" x14ac:dyDescent="0.35">
      <c r="A70" s="124"/>
      <c r="B70" s="70" t="s">
        <v>372</v>
      </c>
      <c r="C70" s="70" t="s">
        <v>378</v>
      </c>
      <c r="D70" s="83"/>
      <c r="E70" s="83"/>
      <c r="F70" s="83"/>
      <c r="G70" s="62" t="s">
        <v>394</v>
      </c>
      <c r="H70" s="62">
        <v>30</v>
      </c>
      <c r="I70" s="62">
        <v>10</v>
      </c>
      <c r="J70" s="125"/>
    </row>
    <row r="71" spans="1:10" x14ac:dyDescent="0.35">
      <c r="A71" s="124"/>
      <c r="B71" s="126" t="s">
        <v>400</v>
      </c>
      <c r="C71" s="127">
        <v>1</v>
      </c>
      <c r="D71" s="83"/>
      <c r="E71" s="83"/>
      <c r="F71" s="83"/>
      <c r="G71" s="62" t="s">
        <v>465</v>
      </c>
      <c r="H71" s="62">
        <v>55</v>
      </c>
      <c r="I71" s="62">
        <v>25</v>
      </c>
      <c r="J71" s="125"/>
    </row>
    <row r="72" spans="1:10" x14ac:dyDescent="0.35">
      <c r="A72" s="124"/>
      <c r="B72" s="126" t="s">
        <v>466</v>
      </c>
      <c r="C72" s="127">
        <v>0.65</v>
      </c>
      <c r="D72" s="83"/>
      <c r="E72" s="83"/>
      <c r="F72" s="83"/>
      <c r="G72" s="62" t="s">
        <v>467</v>
      </c>
      <c r="H72" s="62">
        <v>55</v>
      </c>
      <c r="I72" s="62">
        <v>25</v>
      </c>
      <c r="J72" s="125"/>
    </row>
    <row r="73" spans="1:10" x14ac:dyDescent="0.35">
      <c r="A73" s="124"/>
      <c r="B73" s="126" t="s">
        <v>468</v>
      </c>
      <c r="C73" s="127" t="s">
        <v>295</v>
      </c>
      <c r="D73" s="83"/>
      <c r="E73" s="83"/>
      <c r="F73" s="83"/>
      <c r="G73" s="83"/>
      <c r="H73" s="83"/>
      <c r="I73" s="83"/>
      <c r="J73" s="125"/>
    </row>
    <row r="74" spans="1:10" x14ac:dyDescent="0.35">
      <c r="A74" s="124"/>
      <c r="B74" s="83"/>
      <c r="C74" s="83"/>
      <c r="D74" s="83"/>
      <c r="E74" s="83"/>
      <c r="F74" s="83"/>
      <c r="G74" s="83"/>
      <c r="H74" s="83"/>
      <c r="I74" s="83"/>
      <c r="J74" s="125"/>
    </row>
    <row r="75" spans="1:10" x14ac:dyDescent="0.35">
      <c r="A75" s="124"/>
      <c r="B75" s="2249" t="s">
        <v>376</v>
      </c>
      <c r="C75" s="2297"/>
      <c r="D75" s="2250"/>
      <c r="E75" s="83"/>
      <c r="F75" s="83"/>
      <c r="G75" s="83"/>
      <c r="H75" s="83"/>
      <c r="I75" s="83"/>
      <c r="J75" s="125"/>
    </row>
    <row r="76" spans="1:10" x14ac:dyDescent="0.35">
      <c r="A76" s="124"/>
      <c r="B76" s="126" t="s">
        <v>469</v>
      </c>
      <c r="C76" s="126" t="s">
        <v>470</v>
      </c>
      <c r="D76" s="126" t="s">
        <v>399</v>
      </c>
      <c r="E76" s="83"/>
      <c r="F76" s="83"/>
      <c r="G76" s="83"/>
      <c r="H76" s="83"/>
      <c r="I76" s="83"/>
      <c r="J76" s="125"/>
    </row>
    <row r="77" spans="1:10" x14ac:dyDescent="0.35">
      <c r="A77" s="124"/>
      <c r="B77" s="83"/>
      <c r="C77" s="83"/>
      <c r="D77" s="83"/>
      <c r="E77" s="83"/>
      <c r="F77" s="83"/>
      <c r="G77" s="83"/>
      <c r="H77" s="83"/>
      <c r="I77" s="83"/>
      <c r="J77" s="125"/>
    </row>
    <row r="78" spans="1:10" x14ac:dyDescent="0.35">
      <c r="A78" s="137"/>
      <c r="B78" s="135"/>
      <c r="C78" s="135"/>
      <c r="D78" s="135"/>
      <c r="E78" s="135"/>
      <c r="F78" s="135"/>
      <c r="G78" s="83"/>
      <c r="H78" s="83"/>
      <c r="I78" s="83"/>
      <c r="J78" s="125"/>
    </row>
    <row r="80" spans="1:10" ht="39" x14ac:dyDescent="0.35">
      <c r="B80" s="138" t="s">
        <v>373</v>
      </c>
      <c r="C80" s="138" t="s">
        <v>471</v>
      </c>
      <c r="H80" s="138" t="s">
        <v>472</v>
      </c>
      <c r="I80" s="138" t="s">
        <v>383</v>
      </c>
    </row>
    <row r="81" spans="2:13" x14ac:dyDescent="0.35">
      <c r="B81" s="126" t="s">
        <v>473</v>
      </c>
      <c r="C81" s="139">
        <v>8.7999999999999995E-2</v>
      </c>
      <c r="H81" s="139" t="s">
        <v>474</v>
      </c>
      <c r="I81" s="139">
        <v>1</v>
      </c>
    </row>
    <row r="82" spans="2:13" x14ac:dyDescent="0.35">
      <c r="B82" s="126" t="s">
        <v>475</v>
      </c>
      <c r="C82" s="139">
        <v>5.6000000000000001E-2</v>
      </c>
      <c r="H82" s="139" t="s">
        <v>476</v>
      </c>
      <c r="I82" s="139">
        <v>0</v>
      </c>
    </row>
    <row r="83" spans="2:13" x14ac:dyDescent="0.35">
      <c r="B83" s="126" t="s">
        <v>401</v>
      </c>
      <c r="C83" s="139">
        <v>7.3999999999999996E-2</v>
      </c>
      <c r="H83" s="139" t="s">
        <v>399</v>
      </c>
      <c r="I83" s="139">
        <v>0.66</v>
      </c>
    </row>
    <row r="84" spans="2:13" ht="25.5" customHeight="1" x14ac:dyDescent="0.35">
      <c r="B84" s="140"/>
      <c r="H84" s="139" t="s">
        <v>477</v>
      </c>
      <c r="I84" s="139">
        <v>0.46</v>
      </c>
    </row>
    <row r="85" spans="2:13" ht="26" x14ac:dyDescent="0.35">
      <c r="B85" s="141"/>
      <c r="E85" s="141"/>
      <c r="H85" s="139" t="s">
        <v>478</v>
      </c>
      <c r="I85" s="139">
        <v>0.87</v>
      </c>
    </row>
    <row r="86" spans="2:13" ht="44.25" customHeight="1" x14ac:dyDescent="0.35">
      <c r="B86" s="138" t="s">
        <v>479</v>
      </c>
      <c r="C86" s="138" t="s">
        <v>480</v>
      </c>
      <c r="D86" s="138" t="s">
        <v>480</v>
      </c>
      <c r="E86" s="138" t="s">
        <v>481</v>
      </c>
      <c r="K86" s="1403"/>
      <c r="L86" s="1403" t="s">
        <v>482</v>
      </c>
      <c r="M86" s="1403" t="s">
        <v>483</v>
      </c>
    </row>
    <row r="87" spans="2:13" x14ac:dyDescent="0.35">
      <c r="B87" s="138" t="s">
        <v>484</v>
      </c>
      <c r="C87" s="138" t="s">
        <v>485</v>
      </c>
      <c r="D87" s="138" t="s">
        <v>486</v>
      </c>
      <c r="E87" s="138"/>
      <c r="K87" s="1" t="s">
        <v>487</v>
      </c>
      <c r="L87" s="289"/>
      <c r="M87" s="289"/>
    </row>
    <row r="88" spans="2:13" x14ac:dyDescent="0.35">
      <c r="B88" s="126" t="s">
        <v>457</v>
      </c>
      <c r="C88" s="126">
        <v>512</v>
      </c>
      <c r="D88" s="126">
        <v>467</v>
      </c>
      <c r="E88" s="126">
        <v>243</v>
      </c>
      <c r="K88" s="1" t="s">
        <v>403</v>
      </c>
      <c r="L88" s="288"/>
      <c r="M88" s="288"/>
    </row>
    <row r="89" spans="2:13" x14ac:dyDescent="0.35">
      <c r="B89" s="126" t="s">
        <v>459</v>
      </c>
      <c r="C89" s="126">
        <v>570</v>
      </c>
      <c r="D89" s="126">
        <v>506</v>
      </c>
      <c r="E89" s="126">
        <v>263</v>
      </c>
      <c r="H89" s="140"/>
    </row>
    <row r="90" spans="2:13" x14ac:dyDescent="0.35">
      <c r="B90" s="126" t="s">
        <v>461</v>
      </c>
      <c r="C90" s="126">
        <v>730</v>
      </c>
      <c r="D90" s="126">
        <v>663</v>
      </c>
      <c r="E90" s="126">
        <v>345</v>
      </c>
      <c r="H90" s="140"/>
    </row>
    <row r="91" spans="2:13" x14ac:dyDescent="0.35">
      <c r="B91" s="126" t="s">
        <v>463</v>
      </c>
      <c r="C91" s="126">
        <v>1035</v>
      </c>
      <c r="D91" s="126">
        <v>940</v>
      </c>
      <c r="E91" s="126">
        <v>489</v>
      </c>
    </row>
    <row r="92" spans="2:13" x14ac:dyDescent="0.35">
      <c r="B92" s="126" t="s">
        <v>464</v>
      </c>
      <c r="C92" s="126">
        <v>903</v>
      </c>
      <c r="D92" s="126">
        <v>820</v>
      </c>
      <c r="E92" s="126">
        <v>426</v>
      </c>
      <c r="H92" s="70" t="s">
        <v>342</v>
      </c>
      <c r="I92" s="70" t="s">
        <v>379</v>
      </c>
    </row>
    <row r="93" spans="2:13" x14ac:dyDescent="0.35">
      <c r="B93" s="126" t="s">
        <v>488</v>
      </c>
      <c r="C93" s="126">
        <v>629</v>
      </c>
      <c r="D93" s="126">
        <v>564</v>
      </c>
      <c r="E93" s="126">
        <v>293</v>
      </c>
      <c r="H93" s="62" t="s">
        <v>403</v>
      </c>
      <c r="I93" s="75">
        <v>1</v>
      </c>
    </row>
    <row r="94" spans="2:13" x14ac:dyDescent="0.35">
      <c r="B94" s="131" t="s">
        <v>398</v>
      </c>
      <c r="C94" s="132">
        <f>C88*$H$62+C89*$H$63+C90*$H$64</f>
        <v>568.6</v>
      </c>
      <c r="D94" s="133">
        <f>D88*$H$62+D89*$H$63+D90*$H$64</f>
        <v>509.99999999999994</v>
      </c>
      <c r="E94" s="134">
        <f>E88*$H$62+E89*$H$63+E90*$H$64</f>
        <v>265.2</v>
      </c>
      <c r="H94" s="62" t="s">
        <v>489</v>
      </c>
      <c r="I94" s="75">
        <v>1</v>
      </c>
    </row>
    <row r="95" spans="2:13" x14ac:dyDescent="0.35">
      <c r="H95" s="62"/>
      <c r="I95" s="75"/>
    </row>
    <row r="96" spans="2:13" x14ac:dyDescent="0.35">
      <c r="B96" s="2308" t="s">
        <v>490</v>
      </c>
      <c r="C96" s="2309"/>
      <c r="H96" s="70" t="s">
        <v>342</v>
      </c>
      <c r="I96" s="70" t="s">
        <v>379</v>
      </c>
      <c r="J96" s="70" t="s">
        <v>344</v>
      </c>
      <c r="K96" s="70" t="s">
        <v>415</v>
      </c>
    </row>
    <row r="97" spans="2:11" x14ac:dyDescent="0.35">
      <c r="B97" s="138" t="s">
        <v>491</v>
      </c>
      <c r="C97" s="138" t="s">
        <v>385</v>
      </c>
      <c r="H97" s="62" t="s">
        <v>356</v>
      </c>
      <c r="I97" s="75">
        <f t="shared" ref="I97:I102" si="2">+$I$94</f>
        <v>1</v>
      </c>
      <c r="J97" s="143"/>
      <c r="K97" s="62"/>
    </row>
    <row r="98" spans="2:11" x14ac:dyDescent="0.35">
      <c r="B98" s="126" t="s">
        <v>492</v>
      </c>
      <c r="C98" s="126" t="s">
        <v>468</v>
      </c>
      <c r="H98" s="62" t="s">
        <v>405</v>
      </c>
      <c r="I98" s="75">
        <f t="shared" si="2"/>
        <v>1</v>
      </c>
      <c r="J98" s="143"/>
      <c r="K98" s="62"/>
    </row>
    <row r="99" spans="2:11" x14ac:dyDescent="0.35">
      <c r="B99" s="126" t="s">
        <v>493</v>
      </c>
      <c r="C99" s="126">
        <v>33600</v>
      </c>
      <c r="H99" s="62" t="s">
        <v>494</v>
      </c>
      <c r="I99" s="75">
        <f t="shared" si="2"/>
        <v>1</v>
      </c>
      <c r="J99" s="143"/>
      <c r="K99" s="62"/>
    </row>
    <row r="100" spans="2:11" x14ac:dyDescent="0.35">
      <c r="B100" s="140"/>
      <c r="H100" s="62" t="s">
        <v>495</v>
      </c>
      <c r="I100" s="75">
        <f t="shared" si="2"/>
        <v>1</v>
      </c>
      <c r="J100" s="143"/>
      <c r="K100" s="62"/>
    </row>
    <row r="101" spans="2:11" x14ac:dyDescent="0.35">
      <c r="B101" s="2308" t="s">
        <v>496</v>
      </c>
      <c r="C101" s="2309"/>
      <c r="H101" s="62" t="s">
        <v>403</v>
      </c>
      <c r="I101" s="75">
        <f t="shared" si="2"/>
        <v>1</v>
      </c>
      <c r="J101" s="143"/>
      <c r="K101" s="62"/>
    </row>
    <row r="102" spans="2:11" x14ac:dyDescent="0.35">
      <c r="B102" s="138" t="s">
        <v>497</v>
      </c>
      <c r="C102" s="138" t="s">
        <v>498</v>
      </c>
      <c r="H102" s="62" t="s">
        <v>407</v>
      </c>
      <c r="I102" s="75">
        <f t="shared" si="2"/>
        <v>1</v>
      </c>
      <c r="J102" s="143"/>
      <c r="K102" s="62"/>
    </row>
    <row r="103" spans="2:11" x14ac:dyDescent="0.35">
      <c r="B103" s="126" t="s">
        <v>499</v>
      </c>
      <c r="C103" s="126">
        <v>9.1199999999999992</v>
      </c>
    </row>
    <row r="104" spans="2:11" x14ac:dyDescent="0.35">
      <c r="B104" s="126" t="s">
        <v>500</v>
      </c>
      <c r="C104" s="126">
        <v>8.6</v>
      </c>
    </row>
  </sheetData>
  <customSheetViews>
    <customSheetView guid="{11DE45F5-F478-4ED6-8DFF-12002C22A637}" scale="70" showPageBreaks="1" fitToPage="1" view="pageBreakPreview">
      <selection activeCell="V29" sqref="V29"/>
      <pageMargins left="0.7" right="0.7" top="0.75" bottom="0.75" header="0.3" footer="0.3"/>
      <pageSetup scale="23" orientation="landscape" r:id="rId1"/>
    </customSheetView>
    <customSheetView guid="{ECD6FE6A-9548-414E-B8AA-6998703C57E0}" scale="70" showPageBreaks="1" fitToPage="1" view="pageBreakPreview">
      <selection activeCell="V29" sqref="V29"/>
      <pageMargins left="0.7" right="0.7" top="0.75" bottom="0.75" header="0.3" footer="0.3"/>
      <pageSetup scale="23" orientation="landscape" r:id="rId2"/>
    </customSheetView>
  </customSheetViews>
  <mergeCells count="12">
    <mergeCell ref="C33:G33"/>
    <mergeCell ref="Q2:S2"/>
    <mergeCell ref="T2:V2"/>
    <mergeCell ref="W2:AM2"/>
    <mergeCell ref="C21:G21"/>
    <mergeCell ref="C23:G23"/>
    <mergeCell ref="B101:C101"/>
    <mergeCell ref="C47:I47"/>
    <mergeCell ref="C49:I49"/>
    <mergeCell ref="G68:I68"/>
    <mergeCell ref="B75:D75"/>
    <mergeCell ref="B96:C96"/>
  </mergeCells>
  <dataValidations count="8">
    <dataValidation type="list" allowBlank="1" showInputMessage="1" showErrorMessage="1" sqref="K4:K7" xr:uid="{00000000-0002-0000-2C00-000000000000}">
      <formula1>Fuel2</formula1>
    </dataValidation>
    <dataValidation type="list" allowBlank="1" showInputMessage="1" showErrorMessage="1" sqref="M4:M7" xr:uid="{00000000-0002-0000-2C00-000001000000}">
      <formula1>PgTs2</formula1>
    </dataValidation>
    <dataValidation type="list" allowBlank="1" showInputMessage="1" showErrorMessage="1" sqref="L4:L7" xr:uid="{00000000-0002-0000-2C00-000002000000}">
      <formula1>$B$62:$B$68</formula1>
    </dataValidation>
    <dataValidation type="list" allowBlank="1" showInputMessage="1" showErrorMessage="1" sqref="D4:D7" xr:uid="{00000000-0002-0000-2C00-000003000000}">
      <formula1>MeasureType</formula1>
    </dataValidation>
    <dataValidation type="list" allowBlank="1" showInputMessage="1" showErrorMessage="1" sqref="J4:J7" xr:uid="{00000000-0002-0000-2C00-000004000000}">
      <formula1>PgTs3</formula1>
    </dataValidation>
    <dataValidation type="list" allowBlank="1" showInputMessage="1" showErrorMessage="1" sqref="E4:E7" xr:uid="{00000000-0002-0000-2C00-000005000000}">
      <formula1>PgTs1</formula1>
    </dataValidation>
    <dataValidation type="list" allowBlank="1" showInputMessage="1" showErrorMessage="1" sqref="H4:H7" xr:uid="{00000000-0002-0000-2C00-000006000000}">
      <formula1>$G$70:$G$72</formula1>
    </dataValidation>
    <dataValidation type="list" allowBlank="1" showInputMessage="1" showErrorMessage="1" sqref="N4:N7" xr:uid="{00000000-0002-0000-2C00-000007000000}">
      <formula1>$B$71:$B$72</formula1>
    </dataValidation>
  </dataValidations>
  <hyperlinks>
    <hyperlink ref="C87" location="_ftn1" display="_ftn1" xr:uid="{00000000-0004-0000-2C00-000000000000}"/>
    <hyperlink ref="D87" location="_ftn2" display="_ftn2" xr:uid="{00000000-0004-0000-2C00-000001000000}"/>
    <hyperlink ref="E86" location="_ftn3" display="_ftn3" xr:uid="{00000000-0004-0000-2C00-000002000000}"/>
    <hyperlink ref="B93" location="_ftn4" display="_ftn4" xr:uid="{00000000-0004-0000-2C00-000003000000}"/>
    <hyperlink ref="C102" location="_ftn1" display="_ftn1" xr:uid="{00000000-0004-0000-2C00-000004000000}"/>
  </hyperlinks>
  <pageMargins left="0.7" right="0.7" top="0.75" bottom="0.75" header="0.3" footer="0.3"/>
  <pageSetup scale="23" orientation="landscape"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59999389629810485"/>
    <pageSetUpPr fitToPage="1"/>
  </sheetPr>
  <dimension ref="A1:AE58"/>
  <sheetViews>
    <sheetView view="pageBreakPreview" zoomScale="60" zoomScaleNormal="100" workbookViewId="0">
      <selection activeCell="T13" sqref="T13"/>
    </sheetView>
  </sheetViews>
  <sheetFormatPr defaultRowHeight="14.5" x14ac:dyDescent="0.35"/>
  <cols>
    <col min="1" max="1" width="20.81640625" customWidth="1"/>
    <col min="2" max="2" width="32.453125" customWidth="1"/>
    <col min="3" max="3" width="33.81640625" customWidth="1"/>
    <col min="4" max="4" width="20" bestFit="1" customWidth="1"/>
    <col min="6" max="6" width="11.1796875" customWidth="1"/>
    <col min="7" max="7" width="10" customWidth="1"/>
    <col min="8" max="8" width="10.26953125" customWidth="1"/>
    <col min="9" max="9" width="10.453125" customWidth="1"/>
    <col min="14" max="14" width="10.7265625" customWidth="1"/>
    <col min="22" max="22" width="9.7265625" bestFit="1" customWidth="1"/>
    <col min="25" max="25" width="22.81640625" bestFit="1" customWidth="1"/>
    <col min="26" max="26" width="12.26953125" bestFit="1" customWidth="1"/>
    <col min="27" max="28" width="10.54296875" customWidth="1"/>
  </cols>
  <sheetData>
    <row r="1" spans="1:31" x14ac:dyDescent="0.35">
      <c r="A1" s="1721" t="s">
        <v>2563</v>
      </c>
      <c r="B1" s="1172" t="s">
        <v>2533</v>
      </c>
      <c r="C1" s="1176"/>
      <c r="D1" s="1176"/>
      <c r="E1" s="1177"/>
      <c r="F1" s="1177"/>
      <c r="G1" s="1177"/>
      <c r="H1" s="1177"/>
      <c r="I1" s="1177"/>
      <c r="J1" s="1177"/>
      <c r="K1" s="1177"/>
      <c r="L1" s="1177"/>
      <c r="M1" s="1177"/>
      <c r="N1" s="2219" t="s">
        <v>335</v>
      </c>
      <c r="O1" s="2220"/>
      <c r="P1" s="2274"/>
      <c r="Q1" s="2219" t="s">
        <v>336</v>
      </c>
      <c r="R1" s="2220"/>
      <c r="S1" s="2220"/>
      <c r="T1" s="2199" t="s">
        <v>337</v>
      </c>
      <c r="U1" s="2199"/>
      <c r="V1" s="2199"/>
      <c r="W1" s="2199"/>
      <c r="X1" s="2199"/>
      <c r="Y1" s="2199"/>
      <c r="Z1" s="2427"/>
      <c r="AA1" s="1925"/>
      <c r="AB1" s="1925"/>
    </row>
    <row r="2" spans="1:31" ht="72.5" x14ac:dyDescent="0.35">
      <c r="A2" s="1145" t="s">
        <v>338</v>
      </c>
      <c r="B2" s="1129" t="s">
        <v>1</v>
      </c>
      <c r="C2" s="1129" t="s">
        <v>339</v>
      </c>
      <c r="D2" s="1129" t="s">
        <v>688</v>
      </c>
      <c r="E2" s="1177" t="s">
        <v>342</v>
      </c>
      <c r="F2" s="1177" t="s">
        <v>343</v>
      </c>
      <c r="G2" s="1177" t="s">
        <v>839</v>
      </c>
      <c r="H2" s="1177" t="s">
        <v>367</v>
      </c>
      <c r="I2" s="1177" t="s">
        <v>345</v>
      </c>
      <c r="J2" s="1177" t="s">
        <v>602</v>
      </c>
      <c r="K2" s="1177" t="s">
        <v>2534</v>
      </c>
      <c r="L2" s="1177" t="s">
        <v>2535</v>
      </c>
      <c r="M2" s="1177" t="s">
        <v>2536</v>
      </c>
      <c r="N2" s="1370" t="s">
        <v>347</v>
      </c>
      <c r="O2" s="1370" t="s">
        <v>348</v>
      </c>
      <c r="P2" s="1370" t="s">
        <v>349</v>
      </c>
      <c r="Q2" s="1370" t="s">
        <v>347</v>
      </c>
      <c r="R2" s="1370" t="s">
        <v>348</v>
      </c>
      <c r="S2" s="1369" t="s">
        <v>349</v>
      </c>
      <c r="T2" s="134" t="s">
        <v>2537</v>
      </c>
      <c r="U2" s="134" t="s">
        <v>2538</v>
      </c>
      <c r="V2" s="818" t="s">
        <v>1057</v>
      </c>
      <c r="W2" s="818" t="s">
        <v>2539</v>
      </c>
      <c r="X2" s="134" t="s">
        <v>2540</v>
      </c>
      <c r="Y2" s="134" t="s">
        <v>2564</v>
      </c>
      <c r="Z2" s="134" t="s">
        <v>2541</v>
      </c>
      <c r="AA2" s="1890" t="s">
        <v>3431</v>
      </c>
      <c r="AB2" s="1890" t="s">
        <v>3432</v>
      </c>
      <c r="AD2" s="1373"/>
      <c r="AE2" s="1373"/>
    </row>
    <row r="3" spans="1:31" ht="29" x14ac:dyDescent="0.35">
      <c r="A3" s="1131" t="s">
        <v>2543</v>
      </c>
      <c r="B3" s="1131" t="str">
        <f>$B$1&amp;"/ "&amp;K3&amp;" ft./ "&amp;L3&amp;" R-value/ "&amp;FIXED(M3,2)&amp;" in. dia. - "&amp;IF(E3="RF","DI",E3)&amp;", "&amp;IF(H3="Actual -SF","SF",IF(H3="Actual - MF","MF",""))</f>
        <v xml:space="preserve">Domestic Hot Water Pipe insulation/ 3 ft./ 4 R-value/ 0.75 in. dia. - DI, </v>
      </c>
      <c r="C3" s="135" t="s">
        <v>244</v>
      </c>
      <c r="D3" s="1133" t="s">
        <v>1686</v>
      </c>
      <c r="E3" s="135" t="s">
        <v>495</v>
      </c>
      <c r="F3" s="1179">
        <f>+$B$29</f>
        <v>15</v>
      </c>
      <c r="G3" s="1279"/>
      <c r="H3" s="1279"/>
      <c r="I3" s="1280" t="s">
        <v>2542</v>
      </c>
      <c r="J3" s="135" t="s">
        <v>397</v>
      </c>
      <c r="K3" s="1379">
        <v>3</v>
      </c>
      <c r="L3" s="1379">
        <v>4</v>
      </c>
      <c r="M3" s="1379">
        <v>0.75</v>
      </c>
      <c r="N3" s="1380"/>
      <c r="O3" s="1381"/>
      <c r="P3" s="1942">
        <f>IF(J3=$A$54,((AA3/T3-AB3/U3)*V3*X3*8766)/Z3/100000,0)</f>
        <v>2.6419375384615384</v>
      </c>
      <c r="Q3" s="1382"/>
      <c r="R3" s="1381"/>
      <c r="S3" s="1383">
        <f>P3*F3</f>
        <v>39.629063076923075</v>
      </c>
      <c r="T3" s="62">
        <f>+$B$15</f>
        <v>1</v>
      </c>
      <c r="U3" s="62">
        <f>+$B$17+L3</f>
        <v>5</v>
      </c>
      <c r="V3" s="62">
        <f>K3</f>
        <v>3</v>
      </c>
      <c r="W3" s="152">
        <f>+M3*$B$38/$B$39</f>
        <v>0.19634954084936207</v>
      </c>
      <c r="X3" s="62">
        <f>+$B$23</f>
        <v>60</v>
      </c>
      <c r="Y3" s="62">
        <f>+$B$25</f>
        <v>0.98</v>
      </c>
      <c r="Z3" s="62">
        <f>+$B$27</f>
        <v>0.78</v>
      </c>
      <c r="AA3" s="1920">
        <v>0.19600000000000001</v>
      </c>
      <c r="AB3" s="1920">
        <v>0.32700000000000001</v>
      </c>
      <c r="AD3" s="184"/>
      <c r="AE3" s="184"/>
    </row>
    <row r="4" spans="1:31" ht="15" thickBot="1" x14ac:dyDescent="0.4"/>
    <row r="5" spans="1:31" ht="15" thickBot="1" x14ac:dyDescent="0.4">
      <c r="A5" s="76" t="s">
        <v>408</v>
      </c>
      <c r="B5" s="78"/>
      <c r="C5" s="78"/>
      <c r="D5" s="78"/>
      <c r="E5" s="78"/>
      <c r="F5" s="79"/>
    </row>
    <row r="6" spans="1:31" x14ac:dyDescent="0.35">
      <c r="A6" s="335" t="s">
        <v>2444</v>
      </c>
      <c r="B6" s="571"/>
      <c r="C6" s="571"/>
      <c r="D6" s="83"/>
      <c r="E6" s="83"/>
      <c r="F6" s="84"/>
    </row>
    <row r="7" spans="1:31" x14ac:dyDescent="0.35">
      <c r="A7" s="1943" t="s">
        <v>3429</v>
      </c>
      <c r="B7" s="1944"/>
      <c r="C7" s="1933"/>
      <c r="D7" s="1933"/>
      <c r="E7" s="1933"/>
      <c r="F7" s="1945"/>
    </row>
    <row r="8" spans="1:31" x14ac:dyDescent="0.35">
      <c r="A8" s="81" t="s">
        <v>2544</v>
      </c>
      <c r="B8" s="379"/>
      <c r="C8" s="83"/>
      <c r="D8" s="83"/>
      <c r="E8" s="83"/>
      <c r="F8" s="84"/>
    </row>
    <row r="9" spans="1:31" x14ac:dyDescent="0.35">
      <c r="A9" s="335" t="s">
        <v>2447</v>
      </c>
      <c r="B9" s="83"/>
      <c r="C9" s="83"/>
      <c r="D9" s="83"/>
      <c r="E9" s="83"/>
      <c r="F9" s="84"/>
    </row>
    <row r="10" spans="1:31" ht="15" thickBot="1" x14ac:dyDescent="0.4">
      <c r="A10" s="1916" t="s">
        <v>3430</v>
      </c>
      <c r="B10" s="1917"/>
      <c r="C10" s="1946"/>
      <c r="D10" s="1917"/>
      <c r="E10" s="1917"/>
      <c r="F10" s="1918"/>
    </row>
    <row r="11" spans="1:31" ht="15" thickBot="1" x14ac:dyDescent="0.4">
      <c r="A11" s="188" t="s">
        <v>2571</v>
      </c>
      <c r="B11" s="1384" t="e">
        <f>+#REF!</f>
        <v>#REF!</v>
      </c>
    </row>
    <row r="12" spans="1:31" ht="15" thickBot="1" x14ac:dyDescent="0.4">
      <c r="A12" s="188" t="s">
        <v>2572</v>
      </c>
      <c r="B12" s="701" t="s">
        <v>2570</v>
      </c>
    </row>
    <row r="13" spans="1:31" ht="15" thickBot="1" x14ac:dyDescent="0.4"/>
    <row r="14" spans="1:31" ht="15" thickBot="1" x14ac:dyDescent="0.4">
      <c r="A14" s="88" t="s">
        <v>413</v>
      </c>
      <c r="B14" s="1371" t="s">
        <v>414</v>
      </c>
      <c r="C14" s="90" t="s">
        <v>415</v>
      </c>
      <c r="D14" s="78"/>
      <c r="E14" s="78"/>
      <c r="F14" s="78"/>
      <c r="G14" s="78"/>
      <c r="H14" s="79"/>
    </row>
    <row r="15" spans="1:31" ht="15" x14ac:dyDescent="0.35">
      <c r="A15" s="1374" t="s">
        <v>2537</v>
      </c>
      <c r="B15" s="94">
        <v>1</v>
      </c>
      <c r="C15" s="93" t="s">
        <v>2545</v>
      </c>
      <c r="D15" s="94"/>
      <c r="E15" s="94"/>
      <c r="F15" s="94"/>
      <c r="G15" s="94"/>
      <c r="H15" s="95"/>
    </row>
    <row r="16" spans="1:31" ht="15" thickBot="1" x14ac:dyDescent="0.4">
      <c r="A16" s="1375"/>
      <c r="B16" s="99"/>
      <c r="C16" s="98" t="s">
        <v>1732</v>
      </c>
      <c r="D16" s="99"/>
      <c r="E16" s="99"/>
      <c r="F16" s="99"/>
      <c r="G16" s="99"/>
      <c r="H16" s="100"/>
    </row>
    <row r="17" spans="1:8" ht="15" x14ac:dyDescent="0.35">
      <c r="A17" s="1374" t="s">
        <v>2538</v>
      </c>
      <c r="B17" s="94">
        <v>1</v>
      </c>
      <c r="C17" s="93" t="s">
        <v>2546</v>
      </c>
      <c r="D17" s="94"/>
      <c r="E17" s="94"/>
      <c r="F17" s="94"/>
      <c r="G17" s="94"/>
      <c r="H17" s="95"/>
    </row>
    <row r="18" spans="1:8" ht="15" thickBot="1" x14ac:dyDescent="0.4">
      <c r="A18" s="1375"/>
      <c r="B18" s="99"/>
      <c r="C18" s="98" t="s">
        <v>2547</v>
      </c>
      <c r="D18" s="99"/>
      <c r="E18" s="99"/>
      <c r="F18" s="99"/>
      <c r="G18" s="99"/>
      <c r="H18" s="100"/>
    </row>
    <row r="19" spans="1:8" x14ac:dyDescent="0.35">
      <c r="A19" s="118" t="s">
        <v>1057</v>
      </c>
      <c r="B19" s="94"/>
      <c r="C19" s="93" t="s">
        <v>2548</v>
      </c>
      <c r="D19" s="94"/>
      <c r="E19" s="94"/>
      <c r="F19" s="94"/>
      <c r="G19" s="94"/>
      <c r="H19" s="95"/>
    </row>
    <row r="20" spans="1:8" ht="15" thickBot="1" x14ac:dyDescent="0.4">
      <c r="A20" s="1375"/>
      <c r="B20" s="99"/>
      <c r="C20" s="98" t="s">
        <v>2549</v>
      </c>
      <c r="D20" s="99"/>
      <c r="E20" s="99"/>
      <c r="F20" s="99"/>
      <c r="G20" s="99"/>
      <c r="H20" s="100"/>
    </row>
    <row r="21" spans="1:8" x14ac:dyDescent="0.35">
      <c r="A21" s="118" t="s">
        <v>2539</v>
      </c>
      <c r="B21" s="1376"/>
      <c r="C21" s="93" t="s">
        <v>2550</v>
      </c>
      <c r="D21" s="94"/>
      <c r="E21" s="94"/>
      <c r="F21" s="94"/>
      <c r="G21" s="94"/>
      <c r="H21" s="95"/>
    </row>
    <row r="22" spans="1:8" ht="15" thickBot="1" x14ac:dyDescent="0.4">
      <c r="A22" s="1375"/>
      <c r="B22" s="99"/>
      <c r="C22" s="98" t="s">
        <v>2551</v>
      </c>
      <c r="D22" s="99"/>
      <c r="E22" s="99"/>
      <c r="F22" s="99"/>
      <c r="G22" s="99"/>
      <c r="H22" s="100"/>
    </row>
    <row r="23" spans="1:8" x14ac:dyDescent="0.35">
      <c r="A23" s="1374" t="s">
        <v>2540</v>
      </c>
      <c r="B23" s="94">
        <v>60</v>
      </c>
      <c r="C23" s="93" t="s">
        <v>2552</v>
      </c>
      <c r="D23" s="94"/>
      <c r="E23" s="94"/>
      <c r="F23" s="94"/>
      <c r="G23" s="94"/>
      <c r="H23" s="95"/>
    </row>
    <row r="24" spans="1:8" ht="15" thickBot="1" x14ac:dyDescent="0.4">
      <c r="A24" s="111"/>
      <c r="B24" s="99"/>
      <c r="C24" s="98" t="s">
        <v>1732</v>
      </c>
      <c r="D24" s="99"/>
      <c r="E24" s="99"/>
      <c r="F24" s="99"/>
      <c r="G24" s="99"/>
      <c r="H24" s="100"/>
    </row>
    <row r="25" spans="1:8" x14ac:dyDescent="0.35">
      <c r="A25" s="1374" t="s">
        <v>2553</v>
      </c>
      <c r="B25" s="94">
        <v>0.98</v>
      </c>
      <c r="C25" s="93" t="s">
        <v>2554</v>
      </c>
      <c r="D25" s="94"/>
      <c r="E25" s="94"/>
      <c r="F25" s="94"/>
      <c r="G25" s="94"/>
      <c r="H25" s="95"/>
    </row>
    <row r="26" spans="1:8" ht="15" thickBot="1" x14ac:dyDescent="0.4">
      <c r="A26" s="111"/>
      <c r="B26" s="99"/>
      <c r="C26" s="98" t="s">
        <v>1732</v>
      </c>
      <c r="D26" s="99"/>
      <c r="E26" s="99"/>
      <c r="F26" s="99"/>
      <c r="G26" s="99"/>
      <c r="H26" s="100"/>
    </row>
    <row r="27" spans="1:8" x14ac:dyDescent="0.35">
      <c r="A27" s="1374" t="s">
        <v>2555</v>
      </c>
      <c r="B27" s="94">
        <v>0.78</v>
      </c>
      <c r="C27" s="93" t="s">
        <v>2556</v>
      </c>
      <c r="D27" s="94"/>
      <c r="E27" s="94"/>
      <c r="F27" s="94"/>
      <c r="G27" s="94"/>
      <c r="H27" s="95"/>
    </row>
    <row r="28" spans="1:8" ht="15" thickBot="1" x14ac:dyDescent="0.4">
      <c r="A28" s="111"/>
      <c r="B28" s="99"/>
      <c r="C28" s="98" t="s">
        <v>1732</v>
      </c>
      <c r="D28" s="99"/>
      <c r="E28" s="99"/>
      <c r="F28" s="99"/>
      <c r="G28" s="99"/>
      <c r="H28" s="100"/>
    </row>
    <row r="29" spans="1:8" x14ac:dyDescent="0.35">
      <c r="A29" s="118" t="s">
        <v>443</v>
      </c>
      <c r="B29" s="94">
        <v>15</v>
      </c>
      <c r="C29" s="94" t="s">
        <v>2557</v>
      </c>
      <c r="D29" s="94"/>
      <c r="E29" s="94"/>
      <c r="F29" s="94"/>
      <c r="G29" s="94"/>
      <c r="H29" s="95"/>
    </row>
    <row r="30" spans="1:8" ht="15" thickBot="1" x14ac:dyDescent="0.4">
      <c r="A30" s="111"/>
      <c r="B30" s="99"/>
      <c r="C30" s="98" t="s">
        <v>1732</v>
      </c>
      <c r="D30" s="99"/>
      <c r="E30" s="99"/>
      <c r="F30" s="99"/>
      <c r="G30" s="99"/>
      <c r="H30" s="100"/>
    </row>
    <row r="31" spans="1:8" x14ac:dyDescent="0.35">
      <c r="A31" s="118" t="s">
        <v>344</v>
      </c>
      <c r="B31" s="94"/>
      <c r="C31" s="94"/>
      <c r="D31" s="94"/>
      <c r="E31" s="94"/>
      <c r="F31" s="94"/>
      <c r="G31" s="94"/>
      <c r="H31" s="95"/>
    </row>
    <row r="32" spans="1:8" ht="15" thickBot="1" x14ac:dyDescent="0.4">
      <c r="A32" s="111"/>
      <c r="B32" s="99"/>
      <c r="C32" s="108"/>
      <c r="D32" s="99"/>
      <c r="E32" s="99"/>
      <c r="F32" s="99"/>
      <c r="G32" s="99"/>
      <c r="H32" s="100"/>
    </row>
    <row r="33" spans="1:26" ht="15" thickBot="1" x14ac:dyDescent="0.4">
      <c r="A33" s="67"/>
      <c r="B33" s="67"/>
      <c r="C33" s="67"/>
    </row>
    <row r="34" spans="1:26" ht="15" thickBot="1" x14ac:dyDescent="0.4">
      <c r="A34" s="122" t="s">
        <v>446</v>
      </c>
      <c r="B34" s="123"/>
      <c r="C34" s="78"/>
      <c r="D34" s="78"/>
      <c r="E34" s="78"/>
      <c r="F34" s="79"/>
    </row>
    <row r="35" spans="1:26" x14ac:dyDescent="0.35">
      <c r="A35" s="124"/>
      <c r="B35" s="83"/>
      <c r="C35" s="83"/>
      <c r="D35" s="83"/>
      <c r="E35" s="83"/>
      <c r="F35" s="125"/>
    </row>
    <row r="36" spans="1:26" x14ac:dyDescent="0.35">
      <c r="A36" s="1276" t="s">
        <v>2558</v>
      </c>
      <c r="B36" s="1277"/>
      <c r="C36" s="83"/>
      <c r="D36" s="83"/>
      <c r="E36" s="83"/>
      <c r="F36" s="125"/>
    </row>
    <row r="37" spans="1:26" x14ac:dyDescent="0.35">
      <c r="A37" s="360" t="s">
        <v>2559</v>
      </c>
      <c r="B37" s="424" t="s">
        <v>2550</v>
      </c>
      <c r="C37" s="83"/>
      <c r="D37" s="83"/>
      <c r="E37" s="83"/>
      <c r="F37" s="125"/>
      <c r="Z37" t="s">
        <v>2560</v>
      </c>
    </row>
    <row r="38" spans="1:26" x14ac:dyDescent="0.35">
      <c r="A38" s="360" t="s">
        <v>2561</v>
      </c>
      <c r="B38" s="62">
        <f>+PI()</f>
        <v>3.1415926535897931</v>
      </c>
      <c r="C38" s="83"/>
      <c r="D38" s="83"/>
      <c r="E38" s="83"/>
      <c r="F38" s="125"/>
    </row>
    <row r="39" spans="1:26" x14ac:dyDescent="0.35">
      <c r="A39" s="360" t="s">
        <v>2562</v>
      </c>
      <c r="B39" s="62">
        <v>12</v>
      </c>
      <c r="C39" s="83"/>
      <c r="D39" s="83"/>
      <c r="E39" s="83"/>
      <c r="F39" s="125"/>
    </row>
    <row r="40" spans="1:26" x14ac:dyDescent="0.35">
      <c r="A40" s="124"/>
      <c r="B40" s="83"/>
      <c r="C40" s="83"/>
      <c r="D40" s="83"/>
      <c r="E40" s="83"/>
      <c r="F40" s="125"/>
    </row>
    <row r="41" spans="1:26" x14ac:dyDescent="0.35">
      <c r="A41" s="124"/>
      <c r="B41" s="83"/>
      <c r="C41" s="83"/>
      <c r="D41" s="83"/>
      <c r="E41" s="83"/>
      <c r="F41" s="125"/>
    </row>
    <row r="42" spans="1:26" x14ac:dyDescent="0.35">
      <c r="A42" s="1276" t="s">
        <v>344</v>
      </c>
      <c r="B42" s="1277"/>
      <c r="C42" s="1277"/>
      <c r="D42" s="83"/>
      <c r="E42" s="83"/>
      <c r="F42" s="125"/>
    </row>
    <row r="43" spans="1:26" x14ac:dyDescent="0.35">
      <c r="A43" s="1377"/>
      <c r="B43" s="840"/>
      <c r="C43" s="62"/>
      <c r="D43" s="83"/>
      <c r="E43" s="83"/>
      <c r="F43" s="125"/>
    </row>
    <row r="44" spans="1:26" x14ac:dyDescent="0.35">
      <c r="A44" s="1378"/>
      <c r="B44" s="921"/>
      <c r="C44" s="62"/>
      <c r="D44" s="83"/>
      <c r="E44" s="83"/>
      <c r="F44" s="125"/>
    </row>
    <row r="45" spans="1:26" x14ac:dyDescent="0.35">
      <c r="A45" s="1378"/>
      <c r="B45" s="921"/>
      <c r="C45" s="62"/>
      <c r="D45" s="83"/>
      <c r="E45" s="83"/>
      <c r="F45" s="125"/>
    </row>
    <row r="46" spans="1:26" x14ac:dyDescent="0.35">
      <c r="A46" s="124"/>
      <c r="B46" s="83"/>
      <c r="C46" s="83"/>
      <c r="D46" s="83"/>
      <c r="E46" s="83"/>
      <c r="F46" s="125"/>
    </row>
    <row r="47" spans="1:26" x14ac:dyDescent="0.35">
      <c r="A47" s="1276" t="s">
        <v>342</v>
      </c>
      <c r="B47" s="1277"/>
      <c r="C47" s="83"/>
      <c r="D47" s="83"/>
      <c r="E47" s="83"/>
      <c r="F47" s="125"/>
    </row>
    <row r="48" spans="1:26" x14ac:dyDescent="0.35">
      <c r="A48" s="360" t="s">
        <v>356</v>
      </c>
      <c r="B48" s="62" t="s">
        <v>542</v>
      </c>
      <c r="C48" s="83"/>
      <c r="D48" s="83"/>
      <c r="E48" s="83"/>
      <c r="F48" s="125"/>
    </row>
    <row r="49" spans="1:6" x14ac:dyDescent="0.35">
      <c r="A49" s="360" t="s">
        <v>494</v>
      </c>
      <c r="B49" s="62" t="s">
        <v>543</v>
      </c>
      <c r="C49" s="83"/>
      <c r="D49" s="83"/>
      <c r="E49" s="83"/>
      <c r="F49" s="125"/>
    </row>
    <row r="50" spans="1:6" x14ac:dyDescent="0.35">
      <c r="A50" s="360" t="s">
        <v>495</v>
      </c>
      <c r="B50" s="62" t="s">
        <v>546</v>
      </c>
      <c r="C50" s="83"/>
      <c r="D50" s="83"/>
      <c r="E50" s="83"/>
      <c r="F50" s="125"/>
    </row>
    <row r="51" spans="1:6" x14ac:dyDescent="0.35">
      <c r="A51" s="124"/>
      <c r="B51" s="83"/>
      <c r="C51" s="83"/>
      <c r="D51" s="83"/>
      <c r="E51" s="83"/>
      <c r="F51" s="125"/>
    </row>
    <row r="52" spans="1:6" x14ac:dyDescent="0.35">
      <c r="A52" s="1276" t="s">
        <v>814</v>
      </c>
      <c r="B52" s="1277"/>
      <c r="C52" s="83"/>
      <c r="D52" s="83"/>
      <c r="E52" s="83"/>
      <c r="F52" s="125"/>
    </row>
    <row r="53" spans="1:6" x14ac:dyDescent="0.35">
      <c r="A53" s="360" t="s">
        <v>451</v>
      </c>
      <c r="B53" s="62"/>
      <c r="C53" s="83"/>
      <c r="D53" s="83"/>
      <c r="E53" s="83"/>
      <c r="F53" s="125"/>
    </row>
    <row r="54" spans="1:6" x14ac:dyDescent="0.35">
      <c r="A54" s="360" t="s">
        <v>397</v>
      </c>
      <c r="B54" s="62"/>
      <c r="C54" s="83"/>
      <c r="D54" s="83"/>
      <c r="E54" s="83"/>
      <c r="F54" s="125"/>
    </row>
    <row r="55" spans="1:6" x14ac:dyDescent="0.35">
      <c r="A55" s="124"/>
      <c r="B55" s="83"/>
      <c r="C55" s="83"/>
      <c r="D55" s="83"/>
      <c r="E55" s="83"/>
      <c r="F55" s="125"/>
    </row>
    <row r="56" spans="1:6" x14ac:dyDescent="0.35">
      <c r="A56" s="124"/>
      <c r="B56" s="83"/>
      <c r="C56" s="83"/>
      <c r="D56" s="83"/>
      <c r="E56" s="83"/>
      <c r="F56" s="125"/>
    </row>
    <row r="57" spans="1:6" x14ac:dyDescent="0.35">
      <c r="A57" s="124"/>
      <c r="B57" s="83"/>
      <c r="C57" s="83"/>
      <c r="D57" s="83"/>
      <c r="E57" s="83"/>
      <c r="F57" s="125"/>
    </row>
    <row r="58" spans="1:6" ht="15" thickBot="1" x14ac:dyDescent="0.4">
      <c r="A58" s="321"/>
      <c r="B58" s="201"/>
      <c r="C58" s="201"/>
      <c r="D58" s="201"/>
      <c r="E58" s="201"/>
      <c r="F58" s="203"/>
    </row>
  </sheetData>
  <customSheetViews>
    <customSheetView guid="{11DE45F5-F478-4ED6-8DFF-12002C22A637}" scale="60" showPageBreaks="1" fitToPage="1" view="pageBreakPreview">
      <selection activeCell="T13" sqref="T13"/>
      <pageMargins left="0.7" right="0.7" top="0.75" bottom="0.75" header="0.3" footer="0.3"/>
      <pageSetup scale="35" orientation="landscape" verticalDpi="300" r:id="rId1"/>
    </customSheetView>
    <customSheetView guid="{ECD6FE6A-9548-414E-B8AA-6998703C57E0}" scale="60" showPageBreaks="1" fitToPage="1" view="pageBreakPreview">
      <selection activeCell="T13" sqref="T13"/>
      <pageMargins left="0.7" right="0.7" top="0.75" bottom="0.75" header="0.3" footer="0.3"/>
      <pageSetup scale="35" orientation="landscape" verticalDpi="300" r:id="rId2"/>
    </customSheetView>
  </customSheetViews>
  <mergeCells count="3">
    <mergeCell ref="N1:P1"/>
    <mergeCell ref="Q1:S1"/>
    <mergeCell ref="T1:Z1"/>
  </mergeCells>
  <dataValidations count="4">
    <dataValidation type="list" allowBlank="1" showInputMessage="1" showErrorMessage="1" sqref="H3" xr:uid="{00000000-0002-0000-2600-000000000000}">
      <formula1>$A$43:$A$45</formula1>
    </dataValidation>
    <dataValidation type="list" allowBlank="1" showInputMessage="1" showErrorMessage="1" sqref="D3" xr:uid="{00000000-0002-0000-2600-000001000000}">
      <formula1>MeasureType</formula1>
    </dataValidation>
    <dataValidation type="list" allowBlank="1" showInputMessage="1" showErrorMessage="1" sqref="E3" xr:uid="{00000000-0002-0000-2600-000002000000}">
      <formula1>HEBEF1</formula1>
    </dataValidation>
    <dataValidation type="list" allowBlank="1" showInputMessage="1" showErrorMessage="1" sqref="J3" xr:uid="{00000000-0002-0000-2600-000003000000}">
      <formula1>Fuel2</formula1>
    </dataValidation>
  </dataValidations>
  <pageMargins left="0.7" right="0.7" top="0.75" bottom="0.75" header="0.3" footer="0.3"/>
  <pageSetup scale="35" orientation="landscape" verticalDpi="300" r:id="rId3"/>
  <legacy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59999389629810485"/>
    <pageSetUpPr fitToPage="1"/>
  </sheetPr>
  <dimension ref="A1:AB66"/>
  <sheetViews>
    <sheetView view="pageBreakPreview" zoomScale="60" zoomScaleNormal="100" workbookViewId="0">
      <selection activeCell="S4" sqref="S4"/>
    </sheetView>
  </sheetViews>
  <sheetFormatPr defaultRowHeight="14.5" x14ac:dyDescent="0.35"/>
  <cols>
    <col min="1" max="1" width="23.54296875" customWidth="1"/>
    <col min="2" max="2" width="31.54296875" customWidth="1"/>
    <col min="3" max="5" width="22.81640625" customWidth="1"/>
    <col min="6" max="6" width="21.54296875" customWidth="1"/>
    <col min="7" max="7" width="11.453125" customWidth="1"/>
    <col min="8" max="8" width="24.1796875" customWidth="1"/>
    <col min="9" max="9" width="18.453125" customWidth="1"/>
    <col min="10" max="10" width="17" customWidth="1"/>
    <col min="14" max="14" width="10" bestFit="1" customWidth="1"/>
    <col min="15" max="15" width="12.26953125" customWidth="1"/>
    <col min="16" max="16" width="10.7265625" customWidth="1"/>
    <col min="18" max="18" width="14.54296875" customWidth="1"/>
    <col min="20" max="27" width="13.453125" customWidth="1"/>
  </cols>
  <sheetData>
    <row r="1" spans="1:28" x14ac:dyDescent="0.35">
      <c r="A1" s="1721" t="s">
        <v>3290</v>
      </c>
      <c r="B1" s="1144" t="s">
        <v>3244</v>
      </c>
      <c r="C1" s="1144"/>
      <c r="D1" s="1144"/>
      <c r="E1" s="1144"/>
      <c r="F1" s="1143"/>
      <c r="G1" s="1143"/>
      <c r="H1" s="1143"/>
      <c r="I1" s="1143"/>
      <c r="J1" s="1143"/>
      <c r="K1" s="1235"/>
      <c r="L1" s="1235"/>
      <c r="M1" s="2216" t="s">
        <v>335</v>
      </c>
      <c r="N1" s="2217"/>
      <c r="O1" s="2217"/>
      <c r="P1" s="2220" t="s">
        <v>336</v>
      </c>
      <c r="Q1" s="2220"/>
      <c r="R1" s="2220"/>
      <c r="S1" s="2199" t="s">
        <v>337</v>
      </c>
      <c r="T1" s="2199"/>
      <c r="U1" s="2199"/>
      <c r="V1" s="2199"/>
      <c r="W1" s="2199"/>
      <c r="X1" s="2199"/>
      <c r="Y1" s="2199"/>
      <c r="Z1" s="2199"/>
      <c r="AA1" s="2199"/>
    </row>
    <row r="2" spans="1:28" ht="42.75" customHeight="1" x14ac:dyDescent="0.35">
      <c r="A2" s="1145" t="s">
        <v>338</v>
      </c>
      <c r="B2" s="1145" t="s">
        <v>1</v>
      </c>
      <c r="C2" s="1129" t="s">
        <v>339</v>
      </c>
      <c r="D2" s="1129" t="s">
        <v>340</v>
      </c>
      <c r="E2" s="1129" t="s">
        <v>341</v>
      </c>
      <c r="F2" s="1128" t="s">
        <v>342</v>
      </c>
      <c r="G2" s="1128" t="s">
        <v>343</v>
      </c>
      <c r="H2" s="1128" t="s">
        <v>3245</v>
      </c>
      <c r="I2" s="1128" t="s">
        <v>344</v>
      </c>
      <c r="J2" s="1145" t="s">
        <v>345</v>
      </c>
      <c r="K2" s="1128" t="s">
        <v>3246</v>
      </c>
      <c r="L2" s="1128" t="s">
        <v>346</v>
      </c>
      <c r="M2" s="1649" t="s">
        <v>347</v>
      </c>
      <c r="N2" s="1649" t="s">
        <v>348</v>
      </c>
      <c r="O2" s="1649" t="s">
        <v>349</v>
      </c>
      <c r="P2" s="1649" t="s">
        <v>347</v>
      </c>
      <c r="Q2" s="1649" t="s">
        <v>348</v>
      </c>
      <c r="R2" s="1649" t="s">
        <v>349</v>
      </c>
      <c r="S2" s="1753" t="s">
        <v>3247</v>
      </c>
      <c r="T2" s="1753" t="s">
        <v>3248</v>
      </c>
      <c r="U2" s="1753" t="s">
        <v>3249</v>
      </c>
      <c r="V2" s="1753" t="s">
        <v>3250</v>
      </c>
      <c r="W2" s="1753" t="s">
        <v>3251</v>
      </c>
      <c r="X2" s="1753" t="s">
        <v>350</v>
      </c>
      <c r="Y2" s="1753" t="s">
        <v>351</v>
      </c>
      <c r="Z2" s="1753" t="s">
        <v>352</v>
      </c>
      <c r="AA2" s="1753" t="s">
        <v>353</v>
      </c>
      <c r="AB2" s="24"/>
    </row>
    <row r="3" spans="1:28" ht="29" x14ac:dyDescent="0.35">
      <c r="A3" s="1142" t="s">
        <v>3252</v>
      </c>
      <c r="B3" s="1142" t="str">
        <f>$B$1&amp;"-  "&amp;E3&amp;" - "&amp;H3&amp;" - "&amp;K3&amp;" gals"</f>
        <v>Gas Water heater-  Single-Family - Condensing gas storage - 40 gals</v>
      </c>
      <c r="C3" s="1132" t="str">
        <f>"WH -"&amp;IF(E3="Single-Family"," SF"," MF")&amp;IF(H3=$B$52," Storage ",IF(H3=$B$53," Condensing "," Tankless "))&amp;K3&amp;" gal"</f>
        <v>WH - SF Tankless 40 gal</v>
      </c>
      <c r="D3" s="1133" t="s">
        <v>354</v>
      </c>
      <c r="E3" s="1132" t="s">
        <v>355</v>
      </c>
      <c r="F3" s="135" t="s">
        <v>356</v>
      </c>
      <c r="G3" s="1151">
        <v>13</v>
      </c>
      <c r="H3" s="1150" t="s">
        <v>3253</v>
      </c>
      <c r="I3" s="1152"/>
      <c r="J3" s="1148" t="s">
        <v>357</v>
      </c>
      <c r="K3" s="1149">
        <v>40</v>
      </c>
      <c r="L3" s="1149"/>
      <c r="M3" s="1154"/>
      <c r="N3" s="1155"/>
      <c r="O3" s="1954">
        <f>IF(F3=$I$59,((1/S3-1/T3)*(V3*Z3*365.25*W3*(X3-Y3)*1)/100000),(IF(F3=$I$60,(((1/U3-1/T3)*V3*Z3*365.25*W3*(X3-Y3)*1)/100000)+((1/S3-1/T3)*(V3*Z3*365.25*W3*(X3-Y3)*1)/100000))))</f>
        <v>44.521006752883906</v>
      </c>
      <c r="P3" s="1154"/>
      <c r="Q3" s="1154"/>
      <c r="R3" s="1895">
        <f t="shared" ref="R3" si="0">O3*G3</f>
        <v>578.77308778749079</v>
      </c>
      <c r="S3" s="1920">
        <f>IF(AA3=$C$59,0.6483-(0.0017*K3),0.7897-(0.0004*K3))</f>
        <v>0.58030000000000004</v>
      </c>
      <c r="T3" s="62">
        <f>VLOOKUP(H3,$B$52:$E$54,4,FALSE)</f>
        <v>0.79</v>
      </c>
      <c r="U3" s="62">
        <v>0.52</v>
      </c>
      <c r="V3" s="62">
        <v>17.600000000000001</v>
      </c>
      <c r="W3" s="62">
        <v>8.33</v>
      </c>
      <c r="X3" s="62">
        <v>125</v>
      </c>
      <c r="Y3" s="62">
        <v>54</v>
      </c>
      <c r="Z3" s="62">
        <f>VLOOKUP(E3,$I$52:$J$54,2,FALSE)</f>
        <v>2.56</v>
      </c>
      <c r="AA3" s="62" t="str">
        <f>IF(AND(K3&gt;20,K3&lt;54),"20-55","55-100")</f>
        <v>20-55</v>
      </c>
    </row>
    <row r="4" spans="1:28" ht="15" thickBot="1" x14ac:dyDescent="0.4"/>
    <row r="5" spans="1:28" ht="15" thickBot="1" x14ac:dyDescent="0.4">
      <c r="A5" s="76" t="s">
        <v>408</v>
      </c>
      <c r="B5" s="77"/>
      <c r="C5" s="78"/>
      <c r="D5" s="78"/>
      <c r="E5" s="78"/>
      <c r="F5" s="78"/>
      <c r="G5" s="78"/>
      <c r="H5" s="79"/>
    </row>
    <row r="6" spans="1:28" x14ac:dyDescent="0.35">
      <c r="A6" s="375" t="s">
        <v>3255</v>
      </c>
      <c r="B6" s="65"/>
      <c r="C6" s="65"/>
      <c r="D6" s="65"/>
      <c r="E6" s="65"/>
      <c r="F6" s="65"/>
      <c r="G6" s="65"/>
      <c r="H6" s="1764"/>
      <c r="J6" s="66"/>
    </row>
    <row r="7" spans="1:28" ht="15" x14ac:dyDescent="0.4">
      <c r="A7" s="375" t="s">
        <v>3256</v>
      </c>
      <c r="B7" s="65"/>
      <c r="C7" s="65"/>
      <c r="D7" s="65"/>
      <c r="E7" s="65"/>
      <c r="F7" s="65"/>
      <c r="G7" s="65"/>
      <c r="H7" s="1764"/>
      <c r="J7" s="66"/>
    </row>
    <row r="8" spans="1:28" x14ac:dyDescent="0.35">
      <c r="A8" s="375" t="s">
        <v>3257</v>
      </c>
      <c r="B8" s="65"/>
      <c r="C8" s="65"/>
      <c r="D8" s="65"/>
      <c r="E8" s="65"/>
      <c r="F8" s="65"/>
      <c r="G8" s="65"/>
      <c r="H8" s="1764"/>
      <c r="J8" s="66"/>
    </row>
    <row r="9" spans="1:28" x14ac:dyDescent="0.35">
      <c r="A9" s="375" t="s">
        <v>3258</v>
      </c>
      <c r="B9" s="65"/>
      <c r="C9" s="65"/>
      <c r="D9" s="65"/>
      <c r="E9" s="65"/>
      <c r="F9" s="65"/>
      <c r="G9" s="65"/>
      <c r="H9" s="1764"/>
      <c r="J9" s="66"/>
    </row>
    <row r="10" spans="1:28" x14ac:dyDescent="0.35">
      <c r="A10" s="375"/>
      <c r="B10" s="65" t="s">
        <v>3259</v>
      </c>
      <c r="C10" s="65"/>
      <c r="D10" s="65"/>
      <c r="E10" s="65"/>
      <c r="F10" s="65"/>
      <c r="G10" s="65"/>
      <c r="H10" s="1764"/>
      <c r="J10" s="66"/>
    </row>
    <row r="11" spans="1:28" x14ac:dyDescent="0.35">
      <c r="A11" s="375" t="s">
        <v>3260</v>
      </c>
      <c r="B11" s="65"/>
      <c r="C11" s="65"/>
      <c r="D11" s="65"/>
      <c r="E11" s="65"/>
      <c r="F11" s="65"/>
      <c r="G11" s="65"/>
      <c r="H11" s="1764"/>
      <c r="J11" s="66"/>
    </row>
    <row r="12" spans="1:28" ht="15" thickBot="1" x14ac:dyDescent="0.4">
      <c r="A12" s="380"/>
      <c r="B12" s="768" t="s">
        <v>3261</v>
      </c>
      <c r="C12" s="768"/>
      <c r="D12" s="768"/>
      <c r="E12" s="768"/>
      <c r="F12" s="768"/>
      <c r="G12" s="768"/>
      <c r="H12" s="1765"/>
      <c r="J12" s="66"/>
    </row>
    <row r="13" spans="1:28" ht="15" thickBot="1" x14ac:dyDescent="0.4">
      <c r="A13" s="188" t="s">
        <v>2571</v>
      </c>
      <c r="B13" s="1384" t="e">
        <f>+#REF!</f>
        <v>#REF!</v>
      </c>
      <c r="C13" s="67"/>
      <c r="D13" s="67"/>
      <c r="E13" s="67"/>
      <c r="F13" s="67"/>
      <c r="G13" s="67"/>
      <c r="H13" s="67"/>
      <c r="J13" s="66"/>
    </row>
    <row r="14" spans="1:28" ht="15" thickBot="1" x14ac:dyDescent="0.4">
      <c r="A14" s="188" t="s">
        <v>2572</v>
      </c>
      <c r="B14" s="701" t="s">
        <v>3058</v>
      </c>
      <c r="C14" s="67"/>
      <c r="D14" s="67"/>
      <c r="E14" s="67"/>
      <c r="F14" s="67"/>
      <c r="G14" s="67"/>
      <c r="H14" s="67"/>
      <c r="J14" s="66"/>
    </row>
    <row r="15" spans="1:28" x14ac:dyDescent="0.35">
      <c r="A15" s="67"/>
      <c r="B15" s="67"/>
      <c r="C15" s="67"/>
      <c r="D15" s="67"/>
      <c r="E15" s="67"/>
      <c r="F15" s="67"/>
      <c r="G15" s="67"/>
      <c r="H15" s="67"/>
      <c r="J15" s="66"/>
      <c r="M15" s="68"/>
    </row>
    <row r="16" spans="1:28" ht="15" thickBot="1" x14ac:dyDescent="0.4">
      <c r="A16" s="67"/>
      <c r="B16" s="67"/>
      <c r="C16" s="67"/>
      <c r="D16" s="67"/>
      <c r="E16" s="67"/>
      <c r="F16" s="67"/>
      <c r="G16" s="67"/>
      <c r="H16" s="66"/>
      <c r="I16" s="66"/>
      <c r="J16" s="66"/>
      <c r="M16" s="68"/>
    </row>
    <row r="17" spans="1:13" ht="15" thickBot="1" x14ac:dyDescent="0.4">
      <c r="A17" s="763" t="s">
        <v>413</v>
      </c>
      <c r="B17" s="1654" t="s">
        <v>414</v>
      </c>
      <c r="C17" s="765" t="s">
        <v>2659</v>
      </c>
      <c r="D17" s="765"/>
      <c r="E17" s="765"/>
      <c r="F17" s="765"/>
      <c r="G17" s="765"/>
      <c r="H17" s="66"/>
      <c r="I17" s="66"/>
      <c r="J17" s="66"/>
      <c r="M17" s="68"/>
    </row>
    <row r="18" spans="1:13" ht="15" customHeight="1" x14ac:dyDescent="0.35">
      <c r="A18" s="118" t="s">
        <v>3247</v>
      </c>
      <c r="B18" s="94">
        <f>(0.67-0.0015*$K$3)</f>
        <v>0.6100000000000001</v>
      </c>
      <c r="C18" s="93" t="s">
        <v>3262</v>
      </c>
      <c r="D18" s="94"/>
      <c r="E18" s="94"/>
      <c r="F18" s="94"/>
      <c r="G18" s="95"/>
      <c r="H18" s="66"/>
      <c r="I18" s="66"/>
      <c r="J18" s="66"/>
      <c r="M18" s="68"/>
    </row>
    <row r="19" spans="1:13" x14ac:dyDescent="0.35">
      <c r="A19" s="311"/>
      <c r="B19" s="67"/>
      <c r="C19" s="1932" t="s">
        <v>3435</v>
      </c>
      <c r="D19" s="1933"/>
      <c r="E19" s="1933"/>
      <c r="F19" s="1933"/>
      <c r="G19" s="1934"/>
      <c r="H19" s="66"/>
      <c r="I19" s="66"/>
      <c r="J19" s="66"/>
      <c r="M19" s="68"/>
    </row>
    <row r="20" spans="1:13" x14ac:dyDescent="0.35">
      <c r="A20" s="311"/>
      <c r="B20" s="67"/>
      <c r="C20" s="1932" t="s">
        <v>3436</v>
      </c>
      <c r="D20" s="1933"/>
      <c r="E20" s="1933"/>
      <c r="F20" s="1933"/>
      <c r="G20" s="1934"/>
      <c r="H20" s="66"/>
      <c r="I20" s="66"/>
      <c r="J20" s="66"/>
      <c r="M20" s="68"/>
    </row>
    <row r="21" spans="1:13" ht="15" thickBot="1" x14ac:dyDescent="0.4">
      <c r="A21" s="111"/>
      <c r="B21" s="99"/>
      <c r="C21" s="1950" t="s">
        <v>3437</v>
      </c>
      <c r="D21" s="1935"/>
      <c r="E21" s="1935"/>
      <c r="F21" s="1935"/>
      <c r="G21" s="1936"/>
      <c r="H21" s="66"/>
      <c r="I21" s="66"/>
      <c r="J21" s="66"/>
      <c r="M21" s="68"/>
    </row>
    <row r="22" spans="1:13" ht="24" customHeight="1" x14ac:dyDescent="0.35">
      <c r="A22" s="118" t="s">
        <v>3248</v>
      </c>
      <c r="B22" s="2429" t="s">
        <v>3265</v>
      </c>
      <c r="C22" s="93" t="s">
        <v>3263</v>
      </c>
      <c r="D22" s="94"/>
      <c r="E22" s="94"/>
      <c r="F22" s="94"/>
      <c r="G22" s="95"/>
      <c r="H22" s="66"/>
      <c r="I22" s="66"/>
      <c r="J22" s="66"/>
      <c r="M22" s="68"/>
    </row>
    <row r="23" spans="1:13" ht="22.5" customHeight="1" x14ac:dyDescent="0.35">
      <c r="A23" s="311"/>
      <c r="B23" s="2430"/>
      <c r="C23" s="309" t="s">
        <v>3264</v>
      </c>
      <c r="D23" s="67"/>
      <c r="E23" s="67"/>
      <c r="F23" s="67"/>
      <c r="G23" s="310"/>
      <c r="H23" s="66"/>
      <c r="I23" s="66"/>
      <c r="J23" s="66"/>
      <c r="M23" s="68"/>
    </row>
    <row r="24" spans="1:13" ht="30" customHeight="1" thickBot="1" x14ac:dyDescent="0.4">
      <c r="A24" s="111"/>
      <c r="B24" s="2431"/>
      <c r="C24" s="98" t="s">
        <v>3265</v>
      </c>
      <c r="D24" s="99"/>
      <c r="E24" s="99"/>
      <c r="F24" s="99"/>
      <c r="G24" s="100"/>
      <c r="H24" s="66"/>
      <c r="I24" s="66"/>
      <c r="J24" s="66"/>
      <c r="M24" s="68"/>
    </row>
    <row r="25" spans="1:13" ht="15" customHeight="1" x14ac:dyDescent="0.35">
      <c r="A25" s="118" t="s">
        <v>3250</v>
      </c>
      <c r="B25" s="1766">
        <v>17.600000000000001</v>
      </c>
      <c r="C25" s="93" t="s">
        <v>3266</v>
      </c>
      <c r="D25" s="94"/>
      <c r="E25" s="94"/>
      <c r="F25" s="94"/>
      <c r="G25" s="95"/>
      <c r="H25" s="66"/>
      <c r="I25" s="66"/>
      <c r="J25" s="66"/>
      <c r="M25" s="68"/>
    </row>
    <row r="26" spans="1:13" x14ac:dyDescent="0.35">
      <c r="A26" s="311"/>
      <c r="B26" s="67"/>
      <c r="C26" s="309" t="s">
        <v>3267</v>
      </c>
      <c r="D26" s="67"/>
      <c r="E26" s="67"/>
      <c r="F26" s="67"/>
      <c r="G26" s="310"/>
      <c r="H26" s="66"/>
      <c r="I26" s="66"/>
      <c r="J26" s="66"/>
      <c r="M26" s="68"/>
    </row>
    <row r="27" spans="1:13" ht="15" thickBot="1" x14ac:dyDescent="0.4">
      <c r="A27" s="111"/>
      <c r="B27" s="99"/>
      <c r="C27" s="98" t="s">
        <v>3268</v>
      </c>
      <c r="D27" s="99"/>
      <c r="E27" s="99"/>
      <c r="F27" s="99"/>
      <c r="G27" s="100"/>
      <c r="H27" s="66"/>
      <c r="I27" s="66"/>
      <c r="J27" s="66"/>
      <c r="M27" s="68"/>
    </row>
    <row r="28" spans="1:13" ht="15" customHeight="1" x14ac:dyDescent="0.35">
      <c r="A28" s="118" t="s">
        <v>352</v>
      </c>
      <c r="B28" s="94"/>
      <c r="C28" s="93" t="s">
        <v>3269</v>
      </c>
      <c r="D28" s="94"/>
      <c r="E28" s="94"/>
      <c r="F28" s="94"/>
      <c r="G28" s="95"/>
      <c r="H28" s="66"/>
      <c r="I28" s="66"/>
      <c r="J28" s="66"/>
      <c r="M28" s="68"/>
    </row>
    <row r="29" spans="1:13" ht="30.75" customHeight="1" thickBot="1" x14ac:dyDescent="0.4">
      <c r="A29" s="111"/>
      <c r="B29" s="99"/>
      <c r="C29" s="98" t="s">
        <v>3270</v>
      </c>
      <c r="D29" s="99"/>
      <c r="E29" s="99"/>
      <c r="F29" s="99"/>
      <c r="G29" s="100"/>
      <c r="H29" s="66"/>
      <c r="I29" s="66"/>
      <c r="J29" s="66"/>
      <c r="M29" s="68"/>
    </row>
    <row r="30" spans="1:13" ht="15" customHeight="1" x14ac:dyDescent="0.35">
      <c r="A30" s="118" t="s">
        <v>3251</v>
      </c>
      <c r="B30" s="94">
        <v>8.33</v>
      </c>
      <c r="C30" s="93" t="s">
        <v>3271</v>
      </c>
      <c r="D30" s="94"/>
      <c r="E30" s="94"/>
      <c r="F30" s="94"/>
      <c r="G30" s="95"/>
      <c r="H30" s="66"/>
      <c r="I30" s="66"/>
      <c r="J30" s="66"/>
    </row>
    <row r="31" spans="1:13" ht="15" thickBot="1" x14ac:dyDescent="0.4">
      <c r="A31" s="111"/>
      <c r="B31" s="99"/>
      <c r="C31" s="98" t="s">
        <v>3268</v>
      </c>
      <c r="D31" s="99"/>
      <c r="E31" s="99"/>
      <c r="F31" s="99"/>
      <c r="G31" s="100"/>
      <c r="H31" s="66"/>
      <c r="I31" s="66"/>
      <c r="J31" s="66"/>
    </row>
    <row r="32" spans="1:13" ht="15" customHeight="1" x14ac:dyDescent="0.35">
      <c r="A32" s="118" t="s">
        <v>3272</v>
      </c>
      <c r="B32" s="94">
        <v>365.25</v>
      </c>
      <c r="C32" s="93" t="s">
        <v>3273</v>
      </c>
      <c r="D32" s="94"/>
      <c r="E32" s="94"/>
      <c r="F32" s="94"/>
      <c r="G32" s="95"/>
      <c r="H32" s="66"/>
      <c r="I32" s="66"/>
      <c r="J32" s="66"/>
    </row>
    <row r="33" spans="1:10" ht="15" thickBot="1" x14ac:dyDescent="0.4">
      <c r="A33" s="111"/>
      <c r="B33" s="99"/>
      <c r="C33" s="98" t="s">
        <v>3268</v>
      </c>
      <c r="D33" s="99"/>
      <c r="E33" s="99"/>
      <c r="F33" s="99"/>
      <c r="G33" s="310"/>
      <c r="H33" s="66"/>
      <c r="I33" s="66"/>
      <c r="J33" s="66"/>
    </row>
    <row r="34" spans="1:10" ht="15" customHeight="1" x14ac:dyDescent="0.35">
      <c r="A34" s="118" t="s">
        <v>350</v>
      </c>
      <c r="B34" s="94">
        <v>125</v>
      </c>
      <c r="C34" s="93" t="s">
        <v>359</v>
      </c>
      <c r="D34" s="94"/>
      <c r="E34" s="94"/>
      <c r="F34" s="94"/>
      <c r="G34" s="95"/>
      <c r="H34" s="66"/>
      <c r="I34" s="66"/>
      <c r="J34" s="66"/>
    </row>
    <row r="35" spans="1:10" ht="40.5" customHeight="1" thickBot="1" x14ac:dyDescent="0.4">
      <c r="A35" s="111"/>
      <c r="B35" s="99"/>
      <c r="C35" s="1767" t="s">
        <v>3268</v>
      </c>
      <c r="D35" s="99"/>
      <c r="E35" s="99"/>
      <c r="F35" s="99"/>
      <c r="G35" s="100"/>
      <c r="H35" s="66"/>
      <c r="I35" s="66"/>
      <c r="J35" s="66"/>
    </row>
    <row r="36" spans="1:10" ht="15" customHeight="1" x14ac:dyDescent="0.35">
      <c r="A36" s="118" t="s">
        <v>351</v>
      </c>
      <c r="B36" s="94">
        <v>54</v>
      </c>
      <c r="C36" s="93" t="s">
        <v>360</v>
      </c>
      <c r="D36" s="94"/>
      <c r="E36" s="94"/>
      <c r="F36" s="94"/>
      <c r="G36" s="95"/>
      <c r="H36" s="66"/>
      <c r="I36" s="66"/>
      <c r="J36" s="66"/>
    </row>
    <row r="37" spans="1:10" ht="30.75" customHeight="1" thickBot="1" x14ac:dyDescent="0.4">
      <c r="A37" s="111"/>
      <c r="B37" s="99"/>
      <c r="C37" s="98" t="s">
        <v>3268</v>
      </c>
      <c r="D37" s="99"/>
      <c r="E37" s="99"/>
      <c r="F37" s="99"/>
      <c r="G37" s="100"/>
      <c r="H37" s="66"/>
      <c r="I37" s="66"/>
      <c r="J37" s="66"/>
    </row>
    <row r="38" spans="1:10" ht="15" customHeight="1" x14ac:dyDescent="0.35">
      <c r="A38" s="858" t="s">
        <v>3274</v>
      </c>
      <c r="B38" s="104">
        <v>1</v>
      </c>
      <c r="C38" s="93" t="s">
        <v>3275</v>
      </c>
      <c r="D38" s="94"/>
      <c r="E38" s="94"/>
      <c r="F38" s="94"/>
      <c r="G38" s="95"/>
      <c r="H38" s="66"/>
      <c r="I38" s="66"/>
      <c r="J38" s="66"/>
    </row>
    <row r="39" spans="1:10" ht="15" thickBot="1" x14ac:dyDescent="0.4">
      <c r="A39" s="450"/>
      <c r="B39" s="109"/>
      <c r="C39" s="98" t="s">
        <v>3268</v>
      </c>
      <c r="D39" s="99"/>
      <c r="E39" s="99"/>
      <c r="F39" s="99"/>
      <c r="G39" s="100"/>
      <c r="H39" s="66"/>
      <c r="I39" s="66"/>
      <c r="J39" s="66"/>
    </row>
    <row r="40" spans="1:10" x14ac:dyDescent="0.35">
      <c r="A40" s="118" t="s">
        <v>443</v>
      </c>
      <c r="B40" s="94">
        <v>13</v>
      </c>
      <c r="C40" s="94" t="s">
        <v>3276</v>
      </c>
      <c r="D40" s="94"/>
      <c r="E40" s="94"/>
      <c r="F40" s="94"/>
      <c r="G40" s="95"/>
      <c r="H40" s="66"/>
      <c r="I40" s="66"/>
      <c r="J40" s="66"/>
    </row>
    <row r="41" spans="1:10" x14ac:dyDescent="0.35">
      <c r="A41" s="311"/>
      <c r="B41" s="67">
        <v>4</v>
      </c>
      <c r="C41" s="67" t="s">
        <v>3277</v>
      </c>
      <c r="D41" s="67"/>
      <c r="E41" s="67"/>
      <c r="F41" s="67"/>
      <c r="G41" s="310"/>
      <c r="H41" s="66"/>
      <c r="I41" s="66"/>
      <c r="J41" s="66"/>
    </row>
    <row r="42" spans="1:10" ht="15" thickBot="1" x14ac:dyDescent="0.4">
      <c r="A42" s="111"/>
      <c r="B42" s="99"/>
      <c r="C42" s="108" t="s">
        <v>3278</v>
      </c>
      <c r="D42" s="99"/>
      <c r="E42" s="99"/>
      <c r="F42" s="99"/>
      <c r="G42" s="100"/>
      <c r="H42" s="66"/>
      <c r="I42" s="66"/>
      <c r="J42" s="66"/>
    </row>
    <row r="43" spans="1:10" ht="15" customHeight="1" x14ac:dyDescent="0.35">
      <c r="A43" s="118" t="s">
        <v>344</v>
      </c>
      <c r="B43" s="94"/>
      <c r="C43" s="115"/>
      <c r="D43" s="94"/>
      <c r="E43" s="94"/>
      <c r="F43" s="94"/>
      <c r="G43" s="95"/>
      <c r="H43" s="66"/>
      <c r="I43" s="66"/>
      <c r="J43" s="66"/>
    </row>
    <row r="44" spans="1:10" x14ac:dyDescent="0.35">
      <c r="A44" s="311"/>
      <c r="B44" s="67"/>
      <c r="C44" s="2313"/>
      <c r="D44" s="2313"/>
      <c r="E44" s="2313"/>
      <c r="F44" s="2313"/>
      <c r="G44" s="2314"/>
      <c r="H44" s="66"/>
      <c r="I44" s="66"/>
      <c r="J44" s="66"/>
    </row>
    <row r="45" spans="1:10" ht="15" customHeight="1" x14ac:dyDescent="0.35">
      <c r="A45" s="311"/>
      <c r="B45" s="67"/>
      <c r="C45" s="2313"/>
      <c r="D45" s="2313"/>
      <c r="E45" s="2313"/>
      <c r="F45" s="2313"/>
      <c r="G45" s="2314"/>
      <c r="H45" s="66"/>
      <c r="I45" s="66"/>
      <c r="J45" s="66"/>
    </row>
    <row r="46" spans="1:10" ht="15" thickBot="1" x14ac:dyDescent="0.4">
      <c r="A46" s="111"/>
      <c r="B46" s="99"/>
      <c r="C46" s="2239"/>
      <c r="D46" s="2239"/>
      <c r="E46" s="2239"/>
      <c r="F46" s="2239"/>
      <c r="G46" s="2240"/>
      <c r="H46" s="66"/>
      <c r="I46" s="66"/>
      <c r="J46" s="66"/>
    </row>
    <row r="49" spans="1:10" ht="15" thickBot="1" x14ac:dyDescent="0.4"/>
    <row r="50" spans="1:10" ht="15" thickBot="1" x14ac:dyDescent="0.4">
      <c r="A50" s="122" t="s">
        <v>446</v>
      </c>
      <c r="B50" s="123"/>
      <c r="C50" s="78"/>
      <c r="D50" s="78"/>
      <c r="E50" s="78"/>
      <c r="F50" s="78"/>
      <c r="G50" s="78"/>
      <c r="H50" s="78"/>
      <c r="I50" s="78"/>
      <c r="J50" s="79"/>
    </row>
    <row r="51" spans="1:10" ht="38.25" customHeight="1" x14ac:dyDescent="0.35">
      <c r="A51" s="124"/>
      <c r="B51" s="1652" t="s">
        <v>3279</v>
      </c>
      <c r="C51" s="1652" t="s">
        <v>344</v>
      </c>
      <c r="D51" s="1652" t="s">
        <v>3280</v>
      </c>
      <c r="E51" s="1652" t="s">
        <v>3248</v>
      </c>
      <c r="F51" s="83"/>
      <c r="G51" s="83"/>
      <c r="H51" s="83"/>
      <c r="I51" s="1652" t="s">
        <v>341</v>
      </c>
      <c r="J51" s="795" t="s">
        <v>352</v>
      </c>
    </row>
    <row r="52" spans="1:10" ht="25.5" customHeight="1" x14ac:dyDescent="0.35">
      <c r="A52" s="124"/>
      <c r="B52" s="1928" t="s">
        <v>3438</v>
      </c>
      <c r="C52" s="1952">
        <v>400</v>
      </c>
      <c r="D52" s="1952">
        <v>1014</v>
      </c>
      <c r="E52" s="1953">
        <v>0.64</v>
      </c>
      <c r="F52" s="83"/>
      <c r="G52" s="83"/>
      <c r="H52" s="83"/>
      <c r="I52" s="126" t="s">
        <v>355</v>
      </c>
      <c r="J52" s="1768">
        <v>2.56</v>
      </c>
    </row>
    <row r="53" spans="1:10" x14ac:dyDescent="0.35">
      <c r="A53" s="124"/>
      <c r="B53" s="1928" t="s">
        <v>3439</v>
      </c>
      <c r="C53" s="1952">
        <v>400</v>
      </c>
      <c r="D53" s="1952">
        <v>1014</v>
      </c>
      <c r="E53" s="1953">
        <v>0.78</v>
      </c>
      <c r="F53" s="1769"/>
      <c r="G53" s="1769"/>
      <c r="H53" s="83"/>
      <c r="I53" s="126" t="s">
        <v>361</v>
      </c>
      <c r="J53" s="1768">
        <v>2.1</v>
      </c>
    </row>
    <row r="54" spans="1:10" ht="39" x14ac:dyDescent="0.35">
      <c r="A54" s="124"/>
      <c r="B54" s="126" t="s">
        <v>3253</v>
      </c>
      <c r="C54" s="1249">
        <v>685</v>
      </c>
      <c r="D54" s="1249">
        <v>1299</v>
      </c>
      <c r="E54" s="1953">
        <v>0.79</v>
      </c>
      <c r="F54" s="83"/>
      <c r="G54" s="83"/>
      <c r="H54" s="83"/>
      <c r="I54" s="126" t="s">
        <v>295</v>
      </c>
      <c r="J54" s="1768" t="s">
        <v>362</v>
      </c>
    </row>
    <row r="55" spans="1:10" x14ac:dyDescent="0.35">
      <c r="A55" s="124"/>
      <c r="B55" s="126" t="s">
        <v>3254</v>
      </c>
      <c r="C55" s="1249">
        <v>605</v>
      </c>
      <c r="D55" s="1249">
        <v>1219</v>
      </c>
      <c r="E55" s="1953">
        <v>0.91</v>
      </c>
      <c r="F55" s="83"/>
      <c r="G55" s="83"/>
      <c r="H55" s="83"/>
      <c r="I55" s="406"/>
      <c r="J55" s="1951"/>
    </row>
    <row r="56" spans="1:10" x14ac:dyDescent="0.35">
      <c r="A56" s="124"/>
      <c r="B56" s="83"/>
      <c r="C56" s="83"/>
      <c r="D56" s="83"/>
      <c r="E56" s="83"/>
      <c r="F56" s="83"/>
      <c r="G56" s="83"/>
      <c r="H56" s="83"/>
      <c r="I56" s="83"/>
      <c r="J56" s="125"/>
    </row>
    <row r="57" spans="1:10" x14ac:dyDescent="0.35">
      <c r="A57" s="124"/>
      <c r="B57" s="2428" t="s">
        <v>363</v>
      </c>
      <c r="C57" s="2428"/>
      <c r="D57" s="2428"/>
      <c r="E57" s="2428"/>
      <c r="F57" s="83"/>
      <c r="G57" s="83"/>
      <c r="H57" s="83"/>
      <c r="I57" s="83"/>
      <c r="J57" s="125"/>
    </row>
    <row r="58" spans="1:10" x14ac:dyDescent="0.35">
      <c r="A58" s="124"/>
      <c r="B58" s="1770" t="s">
        <v>3281</v>
      </c>
      <c r="C58" s="1121"/>
      <c r="D58" s="1121"/>
      <c r="E58" s="1121"/>
      <c r="F58" s="83"/>
      <c r="G58" s="83" t="s">
        <v>364</v>
      </c>
      <c r="H58" s="83"/>
      <c r="I58" s="1652" t="s">
        <v>342</v>
      </c>
      <c r="J58" s="125"/>
    </row>
    <row r="59" spans="1:10" x14ac:dyDescent="0.35">
      <c r="A59" s="124"/>
      <c r="B59" s="62">
        <v>55</v>
      </c>
      <c r="C59" s="126" t="s">
        <v>3282</v>
      </c>
      <c r="D59" s="424" t="s">
        <v>3283</v>
      </c>
      <c r="E59" s="62"/>
      <c r="F59" s="83"/>
      <c r="G59" s="83"/>
      <c r="H59" s="83"/>
      <c r="I59" s="62" t="s">
        <v>356</v>
      </c>
      <c r="J59" s="125"/>
    </row>
    <row r="60" spans="1:10" x14ac:dyDescent="0.35">
      <c r="A60" s="124"/>
      <c r="B60" s="62">
        <v>100</v>
      </c>
      <c r="C60" s="126" t="s">
        <v>3284</v>
      </c>
      <c r="D60" s="424" t="s">
        <v>3285</v>
      </c>
      <c r="E60" s="152"/>
      <c r="F60" s="83"/>
      <c r="G60" s="83"/>
      <c r="H60" s="83"/>
      <c r="I60" s="62" t="s">
        <v>358</v>
      </c>
      <c r="J60" s="125"/>
    </row>
    <row r="61" spans="1:10" x14ac:dyDescent="0.35">
      <c r="A61" s="124"/>
      <c r="B61" s="1771" t="s">
        <v>358</v>
      </c>
      <c r="C61" s="1121"/>
      <c r="D61" s="1670"/>
      <c r="E61" s="1121"/>
      <c r="F61" s="83"/>
      <c r="G61" s="83"/>
      <c r="H61" s="83"/>
      <c r="I61" s="83"/>
      <c r="J61" s="125"/>
    </row>
    <row r="62" spans="1:10" x14ac:dyDescent="0.35">
      <c r="A62" s="124"/>
      <c r="B62" s="62"/>
      <c r="C62" s="424" t="s">
        <v>3286</v>
      </c>
      <c r="D62" s="424" t="s">
        <v>3287</v>
      </c>
      <c r="E62" s="62"/>
      <c r="F62" s="83"/>
      <c r="G62" s="83"/>
      <c r="H62" s="83"/>
      <c r="I62" s="83"/>
      <c r="J62" s="125"/>
    </row>
    <row r="63" spans="1:10" x14ac:dyDescent="0.35">
      <c r="A63" s="124"/>
      <c r="B63" s="62"/>
      <c r="C63" s="424" t="s">
        <v>3288</v>
      </c>
      <c r="D63" s="424" t="s">
        <v>3289</v>
      </c>
      <c r="E63" s="62"/>
      <c r="F63" s="83"/>
      <c r="G63" s="83"/>
      <c r="H63" s="83"/>
      <c r="I63" s="83"/>
      <c r="J63" s="125"/>
    </row>
    <row r="64" spans="1:10" x14ac:dyDescent="0.35">
      <c r="A64" s="124"/>
      <c r="B64" s="83"/>
      <c r="C64" s="83"/>
      <c r="D64" s="83"/>
      <c r="E64" s="83"/>
      <c r="F64" s="83"/>
      <c r="G64" s="83"/>
      <c r="H64" s="83"/>
      <c r="I64" s="83"/>
      <c r="J64" s="125"/>
    </row>
    <row r="65" spans="1:10" x14ac:dyDescent="0.35">
      <c r="A65" s="124"/>
      <c r="B65" s="83"/>
      <c r="C65" s="83"/>
      <c r="D65" s="83"/>
      <c r="E65" s="83"/>
      <c r="F65" s="83"/>
      <c r="G65" s="83"/>
      <c r="H65" s="83"/>
      <c r="I65" s="83"/>
      <c r="J65" s="125"/>
    </row>
    <row r="66" spans="1:10" ht="15" thickBot="1" x14ac:dyDescent="0.4">
      <c r="A66" s="321"/>
      <c r="B66" s="201"/>
      <c r="C66" s="201"/>
      <c r="D66" s="201"/>
      <c r="E66" s="201"/>
      <c r="F66" s="201"/>
      <c r="G66" s="201"/>
      <c r="H66" s="201"/>
      <c r="I66" s="201"/>
      <c r="J66" s="203"/>
    </row>
  </sheetData>
  <dataConsolidate link="1"/>
  <customSheetViews>
    <customSheetView guid="{11DE45F5-F478-4ED6-8DFF-12002C22A637}" scale="60" showPageBreaks="1" fitToPage="1" view="pageBreakPreview">
      <selection activeCell="S4" sqref="S4"/>
      <pageMargins left="0.7" right="0.7" top="0.75" bottom="0.75" header="0.3" footer="0.3"/>
      <pageSetup scale="29" orientation="landscape" r:id="rId1"/>
    </customSheetView>
    <customSheetView guid="{ECD6FE6A-9548-414E-B8AA-6998703C57E0}" scale="60" showPageBreaks="1" fitToPage="1" view="pageBreakPreview">
      <selection activeCell="S4" sqref="S4"/>
      <pageMargins left="0.7" right="0.7" top="0.75" bottom="0.75" header="0.3" footer="0.3"/>
      <pageSetup scale="29" orientation="landscape" r:id="rId2"/>
    </customSheetView>
  </customSheetViews>
  <mergeCells count="6">
    <mergeCell ref="S1:AA1"/>
    <mergeCell ref="C44:G46"/>
    <mergeCell ref="B57:E57"/>
    <mergeCell ref="B22:B24"/>
    <mergeCell ref="M1:O1"/>
    <mergeCell ref="P1:R1"/>
  </mergeCells>
  <dataValidations count="4">
    <dataValidation type="list" allowBlank="1" showInputMessage="1" showErrorMessage="1" sqref="F3" xr:uid="{00000000-0002-0000-2700-000000000000}">
      <formula1>GWHr1</formula1>
    </dataValidation>
    <dataValidation type="list" allowBlank="1" showInputMessage="1" showErrorMessage="1" sqref="D3" xr:uid="{00000000-0002-0000-2700-000001000000}">
      <formula1>MeasureType</formula1>
    </dataValidation>
    <dataValidation type="list" allowBlank="1" showInputMessage="1" showErrorMessage="1" sqref="E3" xr:uid="{00000000-0002-0000-2700-000002000000}">
      <formula1>$I$52:$I$54</formula1>
    </dataValidation>
    <dataValidation type="list" allowBlank="1" showInputMessage="1" showErrorMessage="1" sqref="H3" xr:uid="{00000000-0002-0000-2700-000003000000}">
      <formula1>GWHr2</formula1>
    </dataValidation>
  </dataValidations>
  <pageMargins left="0.7" right="0.7" top="0.75" bottom="0.75" header="0.3" footer="0.3"/>
  <pageSetup scale="29" orientation="landscape" r:id="rId3"/>
  <legacy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59999389629810485"/>
    <pageSetUpPr fitToPage="1"/>
  </sheetPr>
  <dimension ref="A1:AN120"/>
  <sheetViews>
    <sheetView view="pageBreakPreview" zoomScale="85" zoomScaleNormal="100" zoomScaleSheetLayoutView="85" workbookViewId="0">
      <selection activeCell="B16" sqref="B16:B17"/>
    </sheetView>
  </sheetViews>
  <sheetFormatPr defaultRowHeight="14.5" x14ac:dyDescent="0.35"/>
  <cols>
    <col min="1" max="1" width="15" customWidth="1"/>
    <col min="2" max="2" width="29.26953125" customWidth="1"/>
    <col min="3" max="3" width="35.81640625" customWidth="1"/>
    <col min="4" max="4" width="37.1796875" customWidth="1"/>
    <col min="5" max="5" width="11.7265625" customWidth="1"/>
    <col min="6" max="6" width="18" bestFit="1" customWidth="1"/>
    <col min="7" max="7" width="12.81640625" bestFit="1" customWidth="1"/>
    <col min="8" max="8" width="14.453125" bestFit="1" customWidth="1"/>
    <col min="9" max="9" width="12" bestFit="1" customWidth="1"/>
    <col min="11" max="11" width="12.26953125" customWidth="1"/>
    <col min="12" max="12" width="10.26953125" customWidth="1"/>
    <col min="13" max="13" width="11.26953125" customWidth="1"/>
    <col min="14" max="14" width="13.26953125" customWidth="1"/>
    <col min="15" max="15" width="17.81640625" bestFit="1" customWidth="1"/>
    <col min="16" max="16" width="10.453125" customWidth="1"/>
    <col min="17" max="17" width="10.81640625" customWidth="1"/>
    <col min="18" max="18" width="13.453125" customWidth="1"/>
    <col min="20" max="20" width="11.81640625" customWidth="1"/>
    <col min="35" max="35" width="21.7265625" bestFit="1" customWidth="1"/>
  </cols>
  <sheetData>
    <row r="1" spans="1:40" x14ac:dyDescent="0.35">
      <c r="A1" s="1143" t="s">
        <v>325</v>
      </c>
      <c r="B1" s="1144" t="s">
        <v>2140</v>
      </c>
      <c r="C1" s="1144"/>
      <c r="D1" s="1144"/>
      <c r="E1" s="1143"/>
      <c r="F1" s="1143"/>
      <c r="G1" s="1143"/>
      <c r="H1" s="1143"/>
      <c r="I1" s="1143"/>
      <c r="J1" s="1235"/>
      <c r="K1" s="1235"/>
      <c r="L1" s="1235"/>
      <c r="M1" s="2219" t="s">
        <v>335</v>
      </c>
      <c r="N1" s="2220"/>
      <c r="O1" s="2220"/>
      <c r="P1" s="2220"/>
      <c r="Q1" s="2432" t="s">
        <v>336</v>
      </c>
      <c r="R1" s="2432"/>
      <c r="S1" s="2432"/>
      <c r="T1" s="2432"/>
      <c r="U1" s="2433" t="s">
        <v>337</v>
      </c>
      <c r="V1" s="2434"/>
      <c r="W1" s="2434"/>
      <c r="X1" s="2434"/>
      <c r="Y1" s="2434"/>
      <c r="Z1" s="2434"/>
      <c r="AA1" s="2434"/>
      <c r="AB1" s="2434"/>
      <c r="AC1" s="2434"/>
      <c r="AD1" s="2434"/>
      <c r="AE1" s="2434"/>
      <c r="AF1" s="2434"/>
      <c r="AG1" s="2434"/>
      <c r="AH1" s="2435"/>
      <c r="AI1" s="1266"/>
    </row>
    <row r="2" spans="1:40" ht="29" x14ac:dyDescent="0.35">
      <c r="A2" s="1145" t="s">
        <v>338</v>
      </c>
      <c r="B2" s="1145" t="s">
        <v>1</v>
      </c>
      <c r="C2" s="1129" t="s">
        <v>339</v>
      </c>
      <c r="D2" s="1129" t="s">
        <v>340</v>
      </c>
      <c r="E2" s="1128" t="s">
        <v>342</v>
      </c>
      <c r="F2" s="1128" t="s">
        <v>343</v>
      </c>
      <c r="G2" s="1128" t="s">
        <v>344</v>
      </c>
      <c r="H2" s="1128" t="s">
        <v>1045</v>
      </c>
      <c r="I2" s="1145" t="s">
        <v>345</v>
      </c>
      <c r="J2" s="1128" t="s">
        <v>602</v>
      </c>
      <c r="K2" s="1274" t="s">
        <v>341</v>
      </c>
      <c r="L2" s="1128" t="s">
        <v>1257</v>
      </c>
      <c r="M2" s="1146" t="s">
        <v>347</v>
      </c>
      <c r="N2" s="1146" t="s">
        <v>348</v>
      </c>
      <c r="O2" s="1146" t="s">
        <v>349</v>
      </c>
      <c r="P2" s="1146" t="s">
        <v>604</v>
      </c>
      <c r="Q2" s="1146" t="s">
        <v>347</v>
      </c>
      <c r="R2" s="1146" t="s">
        <v>348</v>
      </c>
      <c r="S2" s="1146" t="s">
        <v>349</v>
      </c>
      <c r="T2" s="1147" t="s">
        <v>604</v>
      </c>
      <c r="U2" s="1248" t="s">
        <v>605</v>
      </c>
      <c r="V2" s="149" t="s">
        <v>606</v>
      </c>
      <c r="W2" s="149" t="s">
        <v>608</v>
      </c>
      <c r="X2" s="149" t="s">
        <v>607</v>
      </c>
      <c r="Y2" s="149" t="s">
        <v>609</v>
      </c>
      <c r="Z2" s="149" t="s">
        <v>352</v>
      </c>
      <c r="AA2" s="149" t="s">
        <v>1211</v>
      </c>
      <c r="AB2" s="149" t="s">
        <v>1213</v>
      </c>
      <c r="AC2" s="149" t="s">
        <v>612</v>
      </c>
      <c r="AD2" s="149" t="s">
        <v>613</v>
      </c>
      <c r="AE2" s="149" t="s">
        <v>614</v>
      </c>
      <c r="AF2" s="149" t="s">
        <v>615</v>
      </c>
      <c r="AG2" s="149" t="s">
        <v>616</v>
      </c>
      <c r="AH2" s="149" t="s">
        <v>617</v>
      </c>
      <c r="AI2" s="149" t="s">
        <v>2375</v>
      </c>
      <c r="AJ2" s="24"/>
      <c r="AK2" s="24"/>
    </row>
    <row r="3" spans="1:40" ht="43.5" x14ac:dyDescent="0.35">
      <c r="A3" s="1142" t="s">
        <v>2377</v>
      </c>
      <c r="B3" s="1142" t="str">
        <f t="shared" ref="B3:B8" si="0">$B$1&amp;"- "&amp;E3&amp;", "&amp;K3&amp;", "&amp;L3&amp;" "&amp;IF(K3=$B$85, RIGHT(C3, 2), "")</f>
        <v xml:space="preserve">Low Flow Faucet Aerators- DI, Single Family, Bath </v>
      </c>
      <c r="C3" s="1132" t="s">
        <v>234</v>
      </c>
      <c r="D3" s="1133" t="s">
        <v>619</v>
      </c>
      <c r="E3" s="135" t="s">
        <v>403</v>
      </c>
      <c r="F3" s="1151">
        <f t="shared" ref="F3:F8" si="1">+$B$63</f>
        <v>10</v>
      </c>
      <c r="G3" s="1204"/>
      <c r="H3" s="1153"/>
      <c r="I3" s="1148" t="s">
        <v>621</v>
      </c>
      <c r="J3" s="135" t="s">
        <v>397</v>
      </c>
      <c r="K3" s="1148" t="s">
        <v>400</v>
      </c>
      <c r="L3" s="135" t="s">
        <v>1251</v>
      </c>
      <c r="M3" s="1154"/>
      <c r="N3" s="1155"/>
      <c r="O3" s="1895">
        <f>AG3*((V3*X3-W3*Y3)*Z3*365.25*AA3/AB3)*AH3*AD3</f>
        <v>0.90936082797455864</v>
      </c>
      <c r="P3" s="1895">
        <f t="shared" ref="P3:P8" si="2">((V3*X3-W3*Y3)*Z3*365.25*AA3/AB3)*AD3</f>
        <v>266.67472961130755</v>
      </c>
      <c r="Q3" s="1154"/>
      <c r="R3" s="1251"/>
      <c r="S3" s="1895">
        <f t="shared" ref="S3:S8" si="3">O3*F3</f>
        <v>9.0936082797455864</v>
      </c>
      <c r="T3" s="1921">
        <f t="shared" ref="T3:T8" si="4">P3*F3</f>
        <v>2666.7472961130757</v>
      </c>
      <c r="U3" s="62">
        <f t="shared" ref="U3:U8" si="5">VLOOKUP(J3,$B$78:$C$80,2,FALSE)</f>
        <v>0</v>
      </c>
      <c r="V3" s="1920">
        <f t="shared" ref="V3:V6" si="6">+$B$22</f>
        <v>1.53</v>
      </c>
      <c r="W3" s="62">
        <f t="shared" ref="W3:W8" si="7">+$B$24</f>
        <v>0.94</v>
      </c>
      <c r="X3" s="62">
        <f t="shared" ref="X3:X8" si="8">IF(K3=$B$91,VLOOKUP(L3,$C$91:$F$93,4,FALSE),VLOOKUP(L3,$C$94:$F$96,4,FALSE))</f>
        <v>1.6</v>
      </c>
      <c r="Y3" s="62">
        <f t="shared" ref="Y3:Y8" si="9">IF(K3=$B$91,VLOOKUP(L3,$C$91:$F$93,4,FALSE),VLOOKUP(L3,$C$94:$F$96,4,FALSE))</f>
        <v>1.6</v>
      </c>
      <c r="Z3" s="62">
        <f t="shared" ref="Z3:Z8" si="10">VLOOKUP(K3,$B$84:$C$87,2,FALSE)</f>
        <v>2.56</v>
      </c>
      <c r="AA3" s="62">
        <f t="shared" ref="AA3:AA8" si="11">VLOOKUP(L3,$B$73:$C$75,2,FALSE)</f>
        <v>0.9</v>
      </c>
      <c r="AB3" s="62">
        <f t="shared" ref="AB3:AB8" si="12">IF(K3=$B$85,VLOOKUP(L3,$B$73:$E$75,4,FALSE),VLOOKUP(L3,$B$73:$E$75,3,FALSE))</f>
        <v>2.83</v>
      </c>
      <c r="AC3" s="62">
        <f t="shared" ref="AC3:AC8" si="13">VLOOKUP(L3,$B$73:$F$75,5,FALSE)</f>
        <v>7.9500000000000001E-2</v>
      </c>
      <c r="AD3" s="1920">
        <f>+VLOOKUP(AI3,$B$108:$D$117,3,FALSE)</f>
        <v>0.95</v>
      </c>
      <c r="AE3" s="62">
        <f t="shared" ref="AE3:AE8" si="14">IF(K3=$B$91,VLOOKUP(L3,$C$91:$D$93,2,FALSE),VLOOKUP(L3,$C$94:$D$96,2,FALSE))</f>
        <v>14</v>
      </c>
      <c r="AF3" s="62">
        <f t="shared" ref="AF3:AF8" si="15">+$B$52</f>
        <v>2.1999999999999999E-2</v>
      </c>
      <c r="AG3" s="62">
        <f t="shared" ref="AG3:AG8" si="16">VLOOKUP(J3,$B$78:$D$80,3,FALSE)</f>
        <v>1</v>
      </c>
      <c r="AH3" s="62">
        <f t="shared" ref="AH3:AH8" si="17">IF(K3=$B$91,VLOOKUP(L3,$C$91:$E$93,3,FALSE),VLOOKUP(L3,$C$94:$E$96,3,FALSE))</f>
        <v>3.4099999999999998E-3</v>
      </c>
      <c r="AI3" s="62" t="str">
        <f t="shared" ref="AI3:AI8" si="18">+CONCATENATE(E3,K3,L3)</f>
        <v>DISingle FamilyBath</v>
      </c>
      <c r="AJ3" s="24"/>
      <c r="AK3" s="24"/>
      <c r="AN3" s="262"/>
    </row>
    <row r="4" spans="1:40" ht="43.5" x14ac:dyDescent="0.35">
      <c r="A4" s="1142" t="s">
        <v>2378</v>
      </c>
      <c r="B4" s="1142" t="str">
        <f t="shared" si="0"/>
        <v xml:space="preserve">Low Flow Faucet Aerators- DI, Single Family, Kitchen </v>
      </c>
      <c r="C4" s="1132" t="s">
        <v>235</v>
      </c>
      <c r="D4" s="1133" t="s">
        <v>619</v>
      </c>
      <c r="E4" s="135" t="s">
        <v>403</v>
      </c>
      <c r="F4" s="1151">
        <f t="shared" si="1"/>
        <v>10</v>
      </c>
      <c r="G4" s="1204"/>
      <c r="H4" s="1153"/>
      <c r="I4" s="1148" t="s">
        <v>621</v>
      </c>
      <c r="J4" s="135" t="s">
        <v>397</v>
      </c>
      <c r="K4" s="1148" t="s">
        <v>400</v>
      </c>
      <c r="L4" s="135" t="s">
        <v>1247</v>
      </c>
      <c r="M4" s="1154"/>
      <c r="N4" s="1155"/>
      <c r="O4" s="1895">
        <f t="shared" ref="O4:O8" si="19">AG4*((V4*X4-W4*Y4)*Z4*365.25*AA4/AB4)*AH4*AD4</f>
        <v>8.5846928219999992</v>
      </c>
      <c r="P4" s="1895">
        <f t="shared" si="2"/>
        <v>2068.60068</v>
      </c>
      <c r="Q4" s="1154"/>
      <c r="R4" s="1251"/>
      <c r="S4" s="1895">
        <f t="shared" si="3"/>
        <v>85.846928219999995</v>
      </c>
      <c r="T4" s="1921">
        <f t="shared" si="4"/>
        <v>20686.006799999999</v>
      </c>
      <c r="U4" s="62">
        <f t="shared" si="5"/>
        <v>0</v>
      </c>
      <c r="V4" s="1920">
        <v>1.63</v>
      </c>
      <c r="W4" s="62">
        <f t="shared" si="7"/>
        <v>0.94</v>
      </c>
      <c r="X4" s="62">
        <f t="shared" si="8"/>
        <v>4.5</v>
      </c>
      <c r="Y4" s="62">
        <f t="shared" si="9"/>
        <v>4.5</v>
      </c>
      <c r="Z4" s="62">
        <f t="shared" si="10"/>
        <v>2.56</v>
      </c>
      <c r="AA4" s="62">
        <f t="shared" si="11"/>
        <v>0.75</v>
      </c>
      <c r="AB4" s="62">
        <f t="shared" si="12"/>
        <v>1</v>
      </c>
      <c r="AC4" s="62">
        <f t="shared" si="13"/>
        <v>9.69E-2</v>
      </c>
      <c r="AD4" s="1920">
        <f t="shared" ref="AD4:AD8" si="20">+VLOOKUP(AI4,$B$108:$D$117,3,FALSE)</f>
        <v>0.95</v>
      </c>
      <c r="AE4" s="62">
        <f t="shared" si="14"/>
        <v>94</v>
      </c>
      <c r="AF4" s="62">
        <f t="shared" si="15"/>
        <v>2.1999999999999999E-2</v>
      </c>
      <c r="AG4" s="62">
        <f t="shared" si="16"/>
        <v>1</v>
      </c>
      <c r="AH4" s="62">
        <f t="shared" si="17"/>
        <v>4.15E-3</v>
      </c>
      <c r="AI4" s="62" t="str">
        <f t="shared" si="18"/>
        <v>DISingle FamilyKitchen</v>
      </c>
      <c r="AJ4" s="24"/>
      <c r="AK4" s="24"/>
    </row>
    <row r="5" spans="1:40" ht="57.75" customHeight="1" x14ac:dyDescent="0.35">
      <c r="A5" s="1142" t="s">
        <v>2379</v>
      </c>
      <c r="B5" s="1142" t="str">
        <f t="shared" si="0"/>
        <v>Low Flow Faucet Aerators- DI, Multifamily, Bath CA</v>
      </c>
      <c r="C5" s="1132" t="s">
        <v>237</v>
      </c>
      <c r="D5" s="1133" t="s">
        <v>619</v>
      </c>
      <c r="E5" s="135" t="s">
        <v>403</v>
      </c>
      <c r="F5" s="1151">
        <f t="shared" si="1"/>
        <v>10</v>
      </c>
      <c r="G5" s="1204"/>
      <c r="H5" s="1153"/>
      <c r="I5" s="1148" t="s">
        <v>621</v>
      </c>
      <c r="J5" s="135" t="s">
        <v>397</v>
      </c>
      <c r="K5" s="1148" t="s">
        <v>466</v>
      </c>
      <c r="L5" s="135" t="s">
        <v>1251</v>
      </c>
      <c r="M5" s="1154"/>
      <c r="N5" s="1155"/>
      <c r="O5" s="1895">
        <f t="shared" si="19"/>
        <v>1.6385016236400007</v>
      </c>
      <c r="P5" s="1895">
        <f t="shared" si="2"/>
        <v>412.72081200000025</v>
      </c>
      <c r="Q5" s="1154"/>
      <c r="R5" s="1251"/>
      <c r="S5" s="1895">
        <f t="shared" si="3"/>
        <v>16.385016236400006</v>
      </c>
      <c r="T5" s="1921">
        <f t="shared" si="4"/>
        <v>4127.208120000003</v>
      </c>
      <c r="U5" s="62">
        <f t="shared" si="5"/>
        <v>0</v>
      </c>
      <c r="V5" s="1920">
        <f t="shared" si="6"/>
        <v>1.53</v>
      </c>
      <c r="W5" s="62">
        <f t="shared" si="7"/>
        <v>0.94</v>
      </c>
      <c r="X5" s="62">
        <f t="shared" si="8"/>
        <v>1.6</v>
      </c>
      <c r="Y5" s="62">
        <f t="shared" si="9"/>
        <v>1.6</v>
      </c>
      <c r="Z5" s="62">
        <f t="shared" si="10"/>
        <v>2.1</v>
      </c>
      <c r="AA5" s="62">
        <f t="shared" si="11"/>
        <v>0.9</v>
      </c>
      <c r="AB5" s="62">
        <f t="shared" si="12"/>
        <v>1.5</v>
      </c>
      <c r="AC5" s="62">
        <f t="shared" si="13"/>
        <v>7.9500000000000001E-2</v>
      </c>
      <c r="AD5" s="1920">
        <f t="shared" si="20"/>
        <v>0.95</v>
      </c>
      <c r="AE5" s="62">
        <f t="shared" si="14"/>
        <v>22</v>
      </c>
      <c r="AF5" s="62">
        <f t="shared" si="15"/>
        <v>2.1999999999999999E-2</v>
      </c>
      <c r="AG5" s="62">
        <f t="shared" si="16"/>
        <v>1</v>
      </c>
      <c r="AH5" s="62">
        <f t="shared" si="17"/>
        <v>3.9699999999999996E-3</v>
      </c>
      <c r="AI5" s="62" t="str">
        <f t="shared" si="18"/>
        <v>DIMultifamilyBath</v>
      </c>
    </row>
    <row r="6" spans="1:40" ht="57.75" customHeight="1" x14ac:dyDescent="0.35">
      <c r="A6" s="1142" t="s">
        <v>2380</v>
      </c>
      <c r="B6" s="1142" t="str">
        <f t="shared" si="0"/>
        <v>Low Flow Faucet Aerators- DI, Multifamily, Bath IU</v>
      </c>
      <c r="C6" s="1132" t="s">
        <v>236</v>
      </c>
      <c r="D6" s="1133" t="s">
        <v>619</v>
      </c>
      <c r="E6" s="135" t="s">
        <v>403</v>
      </c>
      <c r="F6" s="1151">
        <f t="shared" si="1"/>
        <v>10</v>
      </c>
      <c r="G6" s="1204"/>
      <c r="H6" s="1153"/>
      <c r="I6" s="1148" t="s">
        <v>621</v>
      </c>
      <c r="J6" s="135" t="s">
        <v>397</v>
      </c>
      <c r="K6" s="1148" t="s">
        <v>466</v>
      </c>
      <c r="L6" s="135" t="s">
        <v>1251</v>
      </c>
      <c r="M6" s="1154"/>
      <c r="N6" s="1155"/>
      <c r="O6" s="1895">
        <f t="shared" si="19"/>
        <v>1.6385016236400007</v>
      </c>
      <c r="P6" s="1895">
        <f t="shared" si="2"/>
        <v>412.72081200000025</v>
      </c>
      <c r="Q6" s="1154"/>
      <c r="R6" s="1251"/>
      <c r="S6" s="1895">
        <f t="shared" si="3"/>
        <v>16.385016236400006</v>
      </c>
      <c r="T6" s="1921">
        <f t="shared" si="4"/>
        <v>4127.208120000003</v>
      </c>
      <c r="U6" s="62">
        <f t="shared" si="5"/>
        <v>0</v>
      </c>
      <c r="V6" s="1920">
        <f t="shared" si="6"/>
        <v>1.53</v>
      </c>
      <c r="W6" s="62">
        <f t="shared" si="7"/>
        <v>0.94</v>
      </c>
      <c r="X6" s="62">
        <f t="shared" si="8"/>
        <v>1.6</v>
      </c>
      <c r="Y6" s="62">
        <f t="shared" si="9"/>
        <v>1.6</v>
      </c>
      <c r="Z6" s="62">
        <f t="shared" si="10"/>
        <v>2.1</v>
      </c>
      <c r="AA6" s="62">
        <f t="shared" si="11"/>
        <v>0.9</v>
      </c>
      <c r="AB6" s="62">
        <f t="shared" si="12"/>
        <v>1.5</v>
      </c>
      <c r="AC6" s="62">
        <f t="shared" si="13"/>
        <v>7.9500000000000001E-2</v>
      </c>
      <c r="AD6" s="1920">
        <f t="shared" si="20"/>
        <v>0.95</v>
      </c>
      <c r="AE6" s="62">
        <f t="shared" si="14"/>
        <v>22</v>
      </c>
      <c r="AF6" s="62">
        <f t="shared" si="15"/>
        <v>2.1999999999999999E-2</v>
      </c>
      <c r="AG6" s="62">
        <f t="shared" si="16"/>
        <v>1</v>
      </c>
      <c r="AH6" s="62">
        <f t="shared" si="17"/>
        <v>3.9699999999999996E-3</v>
      </c>
      <c r="AI6" s="62" t="str">
        <f t="shared" si="18"/>
        <v>DIMultifamilyBath</v>
      </c>
    </row>
    <row r="7" spans="1:40" ht="43.5" x14ac:dyDescent="0.35">
      <c r="A7" s="1142" t="s">
        <v>2381</v>
      </c>
      <c r="B7" s="1142" t="str">
        <f t="shared" si="0"/>
        <v>Low Flow Faucet Aerators- DI, Multifamily, Kitchen IU</v>
      </c>
      <c r="C7" s="1132" t="s">
        <v>238</v>
      </c>
      <c r="D7" s="1133" t="s">
        <v>619</v>
      </c>
      <c r="E7" s="135" t="s">
        <v>403</v>
      </c>
      <c r="F7" s="1151">
        <f t="shared" si="1"/>
        <v>10</v>
      </c>
      <c r="G7" s="1204"/>
      <c r="H7" s="1153"/>
      <c r="I7" s="1148" t="s">
        <v>621</v>
      </c>
      <c r="J7" s="135" t="s">
        <v>397</v>
      </c>
      <c r="K7" s="1148" t="s">
        <v>466</v>
      </c>
      <c r="L7" s="135" t="s">
        <v>1247</v>
      </c>
      <c r="M7" s="1154"/>
      <c r="N7" s="1155"/>
      <c r="O7" s="1895">
        <f t="shared" si="19"/>
        <v>7.8671809841624993</v>
      </c>
      <c r="P7" s="1895">
        <f t="shared" si="2"/>
        <v>1625.4506165624998</v>
      </c>
      <c r="Q7" s="1154"/>
      <c r="R7" s="1251"/>
      <c r="S7" s="1895">
        <f t="shared" si="3"/>
        <v>78.671809841624992</v>
      </c>
      <c r="T7" s="1921">
        <f t="shared" si="4"/>
        <v>16254.506165624998</v>
      </c>
      <c r="U7" s="62">
        <f t="shared" si="5"/>
        <v>0</v>
      </c>
      <c r="V7" s="1920">
        <v>1.63</v>
      </c>
      <c r="W7" s="62">
        <f t="shared" si="7"/>
        <v>0.94</v>
      </c>
      <c r="X7" s="62">
        <f t="shared" si="8"/>
        <v>4.5</v>
      </c>
      <c r="Y7" s="62">
        <f t="shared" si="9"/>
        <v>4.5</v>
      </c>
      <c r="Z7" s="62">
        <f t="shared" si="10"/>
        <v>2.1</v>
      </c>
      <c r="AA7" s="62">
        <f t="shared" si="11"/>
        <v>0.75</v>
      </c>
      <c r="AB7" s="62">
        <f t="shared" si="12"/>
        <v>1</v>
      </c>
      <c r="AC7" s="62">
        <f t="shared" si="13"/>
        <v>9.69E-2</v>
      </c>
      <c r="AD7" s="1920">
        <f t="shared" si="20"/>
        <v>0.91</v>
      </c>
      <c r="AE7" s="62">
        <f t="shared" si="14"/>
        <v>77</v>
      </c>
      <c r="AF7" s="62">
        <f t="shared" si="15"/>
        <v>2.1999999999999999E-2</v>
      </c>
      <c r="AG7" s="62">
        <f t="shared" si="16"/>
        <v>1</v>
      </c>
      <c r="AH7" s="62">
        <f t="shared" si="17"/>
        <v>4.8399999999999997E-3</v>
      </c>
      <c r="AI7" s="62" t="str">
        <f t="shared" si="18"/>
        <v>DIMultifamilyKitchen</v>
      </c>
    </row>
    <row r="8" spans="1:40" ht="43.5" x14ac:dyDescent="0.35">
      <c r="A8" s="1142" t="s">
        <v>2382</v>
      </c>
      <c r="B8" s="1142" t="str">
        <f t="shared" si="0"/>
        <v>Low Flow Faucet Aerators- DI, Multifamily, Kitchen CA</v>
      </c>
      <c r="C8" s="1132" t="s">
        <v>239</v>
      </c>
      <c r="D8" s="1133" t="s">
        <v>619</v>
      </c>
      <c r="E8" s="135" t="s">
        <v>403</v>
      </c>
      <c r="F8" s="1151">
        <f t="shared" si="1"/>
        <v>10</v>
      </c>
      <c r="G8" s="1204"/>
      <c r="H8" s="1153"/>
      <c r="I8" s="1148" t="s">
        <v>621</v>
      </c>
      <c r="J8" s="135" t="s">
        <v>397</v>
      </c>
      <c r="K8" s="1148" t="s">
        <v>466</v>
      </c>
      <c r="L8" s="135" t="s">
        <v>1247</v>
      </c>
      <c r="M8" s="1154"/>
      <c r="N8" s="1155"/>
      <c r="O8" s="1895">
        <f t="shared" si="19"/>
        <v>7.8671809841624993</v>
      </c>
      <c r="P8" s="1895">
        <f t="shared" si="2"/>
        <v>1625.4506165624998</v>
      </c>
      <c r="Q8" s="1154"/>
      <c r="R8" s="1251"/>
      <c r="S8" s="1895">
        <f t="shared" si="3"/>
        <v>78.671809841624992</v>
      </c>
      <c r="T8" s="1921">
        <f t="shared" si="4"/>
        <v>16254.506165624998</v>
      </c>
      <c r="U8" s="62">
        <f t="shared" si="5"/>
        <v>0</v>
      </c>
      <c r="V8" s="1920">
        <v>1.63</v>
      </c>
      <c r="W8" s="62">
        <f t="shared" si="7"/>
        <v>0.94</v>
      </c>
      <c r="X8" s="62">
        <f t="shared" si="8"/>
        <v>4.5</v>
      </c>
      <c r="Y8" s="62">
        <f t="shared" si="9"/>
        <v>4.5</v>
      </c>
      <c r="Z8" s="62">
        <f t="shared" si="10"/>
        <v>2.1</v>
      </c>
      <c r="AA8" s="62">
        <f t="shared" si="11"/>
        <v>0.75</v>
      </c>
      <c r="AB8" s="62">
        <f t="shared" si="12"/>
        <v>1</v>
      </c>
      <c r="AC8" s="62">
        <f t="shared" si="13"/>
        <v>9.69E-2</v>
      </c>
      <c r="AD8" s="1920">
        <f t="shared" si="20"/>
        <v>0.91</v>
      </c>
      <c r="AE8" s="62">
        <f t="shared" si="14"/>
        <v>77</v>
      </c>
      <c r="AF8" s="62">
        <f t="shared" si="15"/>
        <v>2.1999999999999999E-2</v>
      </c>
      <c r="AG8" s="62">
        <f t="shared" si="16"/>
        <v>1</v>
      </c>
      <c r="AH8" s="62">
        <f t="shared" si="17"/>
        <v>4.8399999999999997E-3</v>
      </c>
      <c r="AI8" s="62" t="str">
        <f t="shared" si="18"/>
        <v>DIMultifamilyKitchen</v>
      </c>
    </row>
    <row r="9" spans="1:40" x14ac:dyDescent="0.35">
      <c r="A9" s="1137"/>
      <c r="B9" s="1137"/>
      <c r="C9" s="1137"/>
      <c r="D9" s="1151"/>
      <c r="E9" s="1137"/>
      <c r="F9" s="1137"/>
      <c r="G9" s="1137"/>
      <c r="H9" s="1137"/>
      <c r="I9" s="1137"/>
      <c r="J9" s="1137"/>
      <c r="K9" s="1137"/>
      <c r="L9" s="1137"/>
      <c r="M9" s="1137"/>
      <c r="N9" s="1137"/>
      <c r="O9" s="1137"/>
      <c r="P9" s="1137"/>
      <c r="Q9" s="1137"/>
      <c r="R9" s="1137"/>
      <c r="S9" s="1137"/>
      <c r="T9" s="1137"/>
    </row>
    <row r="10" spans="1:40" ht="15" thickBot="1" x14ac:dyDescent="0.4"/>
    <row r="11" spans="1:40" ht="15" thickBot="1" x14ac:dyDescent="0.4">
      <c r="A11" s="76" t="s">
        <v>408</v>
      </c>
      <c r="B11" s="77"/>
      <c r="C11" s="78"/>
      <c r="D11" s="78"/>
      <c r="E11" s="78"/>
      <c r="F11" s="78"/>
      <c r="G11" s="78"/>
      <c r="H11" s="78"/>
      <c r="I11" s="79"/>
    </row>
    <row r="12" spans="1:40" x14ac:dyDescent="0.35">
      <c r="A12" s="81" t="s">
        <v>2383</v>
      </c>
      <c r="B12" s="82"/>
      <c r="C12" s="83"/>
      <c r="D12" s="83"/>
      <c r="E12" s="83"/>
      <c r="F12" s="83"/>
      <c r="G12" s="83"/>
      <c r="H12" s="83"/>
      <c r="I12" s="84"/>
    </row>
    <row r="13" spans="1:40" x14ac:dyDescent="0.35">
      <c r="A13" s="81" t="s">
        <v>2384</v>
      </c>
      <c r="B13" s="82"/>
      <c r="C13" s="83"/>
      <c r="D13" s="83"/>
      <c r="E13" s="83"/>
      <c r="F13" s="83"/>
      <c r="G13" s="83"/>
      <c r="H13" s="83"/>
      <c r="I13" s="84"/>
    </row>
    <row r="14" spans="1:40" x14ac:dyDescent="0.35">
      <c r="A14" s="81" t="s">
        <v>2385</v>
      </c>
      <c r="B14" s="82"/>
      <c r="C14" s="83"/>
      <c r="D14" s="83"/>
      <c r="E14" s="83"/>
      <c r="F14" s="83"/>
      <c r="G14" s="83"/>
      <c r="H14" s="83"/>
      <c r="I14" s="84"/>
    </row>
    <row r="15" spans="1:40" ht="15" thickBot="1" x14ac:dyDescent="0.4">
      <c r="A15" s="85" t="s">
        <v>2386</v>
      </c>
      <c r="B15" s="305"/>
      <c r="C15" s="86"/>
      <c r="D15" s="86"/>
      <c r="E15" s="86"/>
      <c r="F15" s="86"/>
      <c r="G15" s="86"/>
      <c r="H15" s="86"/>
      <c r="I15" s="87"/>
    </row>
    <row r="16" spans="1:40" ht="15" thickBot="1" x14ac:dyDescent="0.4">
      <c r="A16" s="188" t="s">
        <v>2571</v>
      </c>
      <c r="B16" s="1930" t="e">
        <f>+#REF!</f>
        <v>#REF!</v>
      </c>
    </row>
    <row r="17" spans="1:13" ht="15" thickBot="1" x14ac:dyDescent="0.4">
      <c r="A17" s="188" t="s">
        <v>2572</v>
      </c>
      <c r="B17" s="1931" t="s">
        <v>3425</v>
      </c>
    </row>
    <row r="18" spans="1:13" ht="15" thickBot="1" x14ac:dyDescent="0.4"/>
    <row r="19" spans="1:13" ht="15" thickBot="1" x14ac:dyDescent="0.4">
      <c r="A19" s="88" t="s">
        <v>413</v>
      </c>
      <c r="B19" s="579" t="s">
        <v>414</v>
      </c>
      <c r="C19" s="90" t="s">
        <v>415</v>
      </c>
      <c r="D19" s="78"/>
      <c r="E19" s="78"/>
      <c r="F19" s="78"/>
      <c r="G19" s="78"/>
      <c r="H19" s="78"/>
      <c r="I19" s="78"/>
      <c r="J19" s="78"/>
      <c r="K19" s="78"/>
      <c r="L19" s="78"/>
      <c r="M19" s="79"/>
    </row>
    <row r="20" spans="1:13" x14ac:dyDescent="0.35">
      <c r="A20" s="442" t="s">
        <v>605</v>
      </c>
      <c r="B20" s="92"/>
      <c r="C20" s="93" t="s">
        <v>631</v>
      </c>
      <c r="D20" s="94"/>
      <c r="E20" s="94"/>
      <c r="F20" s="94"/>
      <c r="G20" s="94"/>
      <c r="H20" s="94"/>
      <c r="I20" s="94"/>
      <c r="J20" s="94"/>
      <c r="K20" s="94"/>
      <c r="L20" s="94"/>
      <c r="M20" s="95"/>
    </row>
    <row r="21" spans="1:13" ht="15" thickBot="1" x14ac:dyDescent="0.4">
      <c r="A21" s="444"/>
      <c r="B21" s="97"/>
      <c r="C21" s="98" t="s">
        <v>1089</v>
      </c>
      <c r="D21" s="99"/>
      <c r="E21" s="99"/>
      <c r="F21" s="99"/>
      <c r="G21" s="99"/>
      <c r="H21" s="99"/>
      <c r="I21" s="99"/>
      <c r="J21" s="99"/>
      <c r="K21" s="99"/>
      <c r="L21" s="99"/>
      <c r="M21" s="100"/>
    </row>
    <row r="22" spans="1:13" x14ac:dyDescent="0.35">
      <c r="A22" s="118" t="s">
        <v>606</v>
      </c>
      <c r="B22" s="94">
        <v>1.53</v>
      </c>
      <c r="C22" s="93" t="s">
        <v>2387</v>
      </c>
      <c r="D22" s="94"/>
      <c r="E22" s="94"/>
      <c r="F22" s="94"/>
      <c r="G22" s="94"/>
      <c r="H22" s="94"/>
      <c r="I22" s="94"/>
      <c r="J22" s="94"/>
      <c r="K22" s="94"/>
      <c r="L22" s="94"/>
      <c r="M22" s="95"/>
    </row>
    <row r="23" spans="1:13" ht="15" thickBot="1" x14ac:dyDescent="0.4">
      <c r="A23" s="444"/>
      <c r="B23" s="97"/>
      <c r="C23" s="98" t="s">
        <v>2388</v>
      </c>
      <c r="D23" s="99"/>
      <c r="E23" s="99"/>
      <c r="F23" s="99"/>
      <c r="G23" s="99"/>
      <c r="H23" s="99"/>
      <c r="I23" s="99"/>
      <c r="J23" s="99"/>
      <c r="K23" s="99"/>
      <c r="L23" s="99"/>
      <c r="M23" s="100"/>
    </row>
    <row r="24" spans="1:13" x14ac:dyDescent="0.35">
      <c r="A24" s="118" t="s">
        <v>608</v>
      </c>
      <c r="B24" s="94">
        <v>0.94</v>
      </c>
      <c r="C24" s="93" t="s">
        <v>1209</v>
      </c>
      <c r="D24" s="94"/>
      <c r="E24" s="94"/>
      <c r="F24" s="94"/>
      <c r="G24" s="94"/>
      <c r="H24" s="94"/>
      <c r="I24" s="94"/>
      <c r="J24" s="94"/>
      <c r="K24" s="94"/>
      <c r="L24" s="94"/>
      <c r="M24" s="95"/>
    </row>
    <row r="25" spans="1:13" ht="15" thickBot="1" x14ac:dyDescent="0.4">
      <c r="A25" s="444"/>
      <c r="B25" s="97"/>
      <c r="C25" s="98" t="s">
        <v>2389</v>
      </c>
      <c r="D25" s="99"/>
      <c r="E25" s="99"/>
      <c r="F25" s="99"/>
      <c r="G25" s="99"/>
      <c r="H25" s="99"/>
      <c r="I25" s="99"/>
      <c r="J25" s="99"/>
      <c r="K25" s="99"/>
      <c r="L25" s="99"/>
      <c r="M25" s="100"/>
    </row>
    <row r="26" spans="1:13" x14ac:dyDescent="0.35">
      <c r="A26" s="118" t="s">
        <v>607</v>
      </c>
      <c r="B26" s="94"/>
      <c r="C26" s="94" t="s">
        <v>2390</v>
      </c>
      <c r="D26" s="94"/>
      <c r="E26" s="94"/>
      <c r="F26" s="94"/>
      <c r="G26" s="94"/>
      <c r="H26" s="94"/>
      <c r="I26" s="94"/>
      <c r="J26" s="94"/>
      <c r="K26" s="94"/>
      <c r="L26" s="94"/>
      <c r="M26" s="95"/>
    </row>
    <row r="27" spans="1:13" ht="15" thickBot="1" x14ac:dyDescent="0.4">
      <c r="A27" s="444"/>
      <c r="B27" s="97"/>
      <c r="C27" s="98" t="s">
        <v>2391</v>
      </c>
      <c r="D27" s="99"/>
      <c r="E27" s="99"/>
      <c r="F27" s="99"/>
      <c r="G27" s="99"/>
      <c r="H27" s="99"/>
      <c r="I27" s="99"/>
      <c r="J27" s="99"/>
      <c r="K27" s="99"/>
      <c r="L27" s="99"/>
      <c r="M27" s="100"/>
    </row>
    <row r="28" spans="1:13" x14ac:dyDescent="0.35">
      <c r="A28" s="118" t="s">
        <v>609</v>
      </c>
      <c r="B28" s="94"/>
      <c r="C28" s="93" t="s">
        <v>2392</v>
      </c>
      <c r="D28" s="94"/>
      <c r="E28" s="94"/>
      <c r="F28" s="94"/>
      <c r="G28" s="94"/>
      <c r="H28" s="94"/>
      <c r="I28" s="94"/>
      <c r="J28" s="94"/>
      <c r="K28" s="94"/>
      <c r="L28" s="94"/>
      <c r="M28" s="95"/>
    </row>
    <row r="29" spans="1:13" ht="15" thickBot="1" x14ac:dyDescent="0.4">
      <c r="A29" s="444"/>
      <c r="B29" s="97"/>
      <c r="C29" s="98" t="s">
        <v>2391</v>
      </c>
      <c r="D29" s="99"/>
      <c r="E29" s="99"/>
      <c r="F29" s="99"/>
      <c r="G29" s="99"/>
      <c r="H29" s="99"/>
      <c r="I29" s="99"/>
      <c r="J29" s="99"/>
      <c r="K29" s="99"/>
      <c r="L29" s="99"/>
      <c r="M29" s="100"/>
    </row>
    <row r="30" spans="1:13" x14ac:dyDescent="0.35">
      <c r="A30" s="118" t="s">
        <v>352</v>
      </c>
      <c r="B30" s="94"/>
      <c r="C30" s="93" t="s">
        <v>640</v>
      </c>
      <c r="D30" s="94"/>
      <c r="E30" s="94"/>
      <c r="F30" s="94"/>
      <c r="G30" s="94"/>
      <c r="H30" s="94"/>
      <c r="I30" s="94"/>
      <c r="J30" s="94"/>
      <c r="K30" s="94"/>
      <c r="L30" s="94"/>
      <c r="M30" s="95"/>
    </row>
    <row r="31" spans="1:13" ht="15" thickBot="1" x14ac:dyDescent="0.4">
      <c r="A31" s="444"/>
      <c r="B31" s="97"/>
      <c r="C31" s="98" t="s">
        <v>641</v>
      </c>
      <c r="D31" s="99"/>
      <c r="E31" s="99"/>
      <c r="F31" s="99"/>
      <c r="G31" s="99"/>
      <c r="H31" s="99"/>
      <c r="I31" s="99"/>
      <c r="J31" s="99"/>
      <c r="K31" s="99"/>
      <c r="L31" s="99"/>
      <c r="M31" s="100"/>
    </row>
    <row r="32" spans="1:13" x14ac:dyDescent="0.35">
      <c r="A32" s="442" t="s">
        <v>2393</v>
      </c>
      <c r="B32" s="446">
        <v>365.25</v>
      </c>
      <c r="C32" s="93" t="s">
        <v>2394</v>
      </c>
      <c r="D32" s="94"/>
      <c r="E32" s="94"/>
      <c r="F32" s="94"/>
      <c r="G32" s="94"/>
      <c r="H32" s="94"/>
      <c r="I32" s="94"/>
      <c r="J32" s="94"/>
      <c r="K32" s="94"/>
      <c r="L32" s="94"/>
      <c r="M32" s="95"/>
    </row>
    <row r="33" spans="1:13" ht="15" thickBot="1" x14ac:dyDescent="0.4">
      <c r="A33" s="444"/>
      <c r="B33" s="97"/>
      <c r="C33" s="98" t="s">
        <v>1237</v>
      </c>
      <c r="D33" s="99"/>
      <c r="E33" s="99"/>
      <c r="F33" s="99"/>
      <c r="G33" s="99"/>
      <c r="H33" s="99"/>
      <c r="I33" s="99"/>
      <c r="J33" s="99"/>
      <c r="K33" s="99"/>
      <c r="L33" s="99"/>
      <c r="M33" s="100"/>
    </row>
    <row r="34" spans="1:13" x14ac:dyDescent="0.35">
      <c r="A34" s="118" t="s">
        <v>1211</v>
      </c>
      <c r="B34" s="327"/>
      <c r="C34" s="93" t="s">
        <v>2395</v>
      </c>
      <c r="D34" s="94"/>
      <c r="E34" s="94"/>
      <c r="F34" s="94"/>
      <c r="G34" s="94"/>
      <c r="H34" s="94"/>
      <c r="I34" s="94"/>
      <c r="J34" s="94"/>
      <c r="K34" s="94"/>
      <c r="L34" s="94"/>
      <c r="M34" s="95"/>
    </row>
    <row r="35" spans="1:13" ht="15" thickBot="1" x14ac:dyDescent="0.4">
      <c r="A35" s="444"/>
      <c r="B35" s="97"/>
      <c r="C35" s="98" t="s">
        <v>2396</v>
      </c>
      <c r="D35" s="99"/>
      <c r="E35" s="99"/>
      <c r="F35" s="99"/>
      <c r="G35" s="99"/>
      <c r="H35" s="99"/>
      <c r="I35" s="99"/>
      <c r="J35" s="99"/>
      <c r="K35" s="99"/>
      <c r="L35" s="99"/>
      <c r="M35" s="100"/>
    </row>
    <row r="36" spans="1:13" x14ac:dyDescent="0.35">
      <c r="A36" s="118" t="s">
        <v>1213</v>
      </c>
      <c r="B36" s="94"/>
      <c r="C36" s="93" t="s">
        <v>1214</v>
      </c>
      <c r="D36" s="94"/>
      <c r="E36" s="94"/>
      <c r="F36" s="94"/>
      <c r="G36" s="94"/>
      <c r="H36" s="94"/>
      <c r="I36" s="94"/>
      <c r="J36" s="94"/>
      <c r="K36" s="94"/>
      <c r="L36" s="94"/>
      <c r="M36" s="95"/>
    </row>
    <row r="37" spans="1:13" ht="15" thickBot="1" x14ac:dyDescent="0.4">
      <c r="A37" s="111"/>
      <c r="B37" s="99"/>
      <c r="C37" s="98" t="s">
        <v>2397</v>
      </c>
      <c r="D37" s="99"/>
      <c r="E37" s="99"/>
      <c r="F37" s="99"/>
      <c r="G37" s="99"/>
      <c r="H37" s="99"/>
      <c r="I37" s="99"/>
      <c r="J37" s="99"/>
      <c r="K37" s="99"/>
      <c r="L37" s="99"/>
      <c r="M37" s="100"/>
    </row>
    <row r="38" spans="1:13" x14ac:dyDescent="0.35">
      <c r="A38" s="118" t="s">
        <v>612</v>
      </c>
      <c r="B38" s="94"/>
      <c r="C38" s="93" t="s">
        <v>2398</v>
      </c>
      <c r="D38" s="94"/>
      <c r="E38" s="94"/>
      <c r="F38" s="94"/>
      <c r="G38" s="94"/>
      <c r="H38" s="94"/>
      <c r="I38" s="94"/>
      <c r="J38" s="94"/>
      <c r="K38" s="94"/>
      <c r="L38" s="94"/>
      <c r="M38" s="95"/>
    </row>
    <row r="39" spans="1:13" x14ac:dyDescent="0.35">
      <c r="A39" s="311"/>
      <c r="B39" s="67"/>
      <c r="C39" s="67" t="s">
        <v>2432</v>
      </c>
      <c r="D39" s="67"/>
      <c r="E39" s="67"/>
      <c r="F39" s="67"/>
      <c r="G39" s="67"/>
      <c r="H39" s="67"/>
      <c r="I39" s="67"/>
      <c r="J39" s="67"/>
      <c r="K39" s="67"/>
      <c r="L39" s="67"/>
      <c r="M39" s="310"/>
    </row>
    <row r="40" spans="1:13" x14ac:dyDescent="0.35">
      <c r="A40" s="311"/>
      <c r="B40" s="67"/>
      <c r="C40" s="67" t="s">
        <v>2399</v>
      </c>
      <c r="D40" s="67"/>
      <c r="E40" s="67"/>
      <c r="F40" s="67"/>
      <c r="G40" s="67"/>
      <c r="H40" s="67"/>
      <c r="I40" s="67"/>
      <c r="J40" s="67"/>
      <c r="K40" s="67"/>
      <c r="L40" s="67"/>
      <c r="M40" s="310"/>
    </row>
    <row r="41" spans="1:13" x14ac:dyDescent="0.35">
      <c r="A41" s="311"/>
      <c r="B41" s="67"/>
      <c r="C41" s="67" t="s">
        <v>2400</v>
      </c>
      <c r="D41" s="67"/>
      <c r="E41" s="67"/>
      <c r="F41" s="67"/>
      <c r="G41" s="67"/>
      <c r="H41" s="67"/>
      <c r="I41" s="67"/>
      <c r="J41" s="67"/>
      <c r="K41" s="67"/>
      <c r="L41" s="67"/>
      <c r="M41" s="310"/>
    </row>
    <row r="42" spans="1:13" x14ac:dyDescent="0.35">
      <c r="A42" s="311"/>
      <c r="B42" s="67"/>
      <c r="C42" s="67" t="s">
        <v>648</v>
      </c>
      <c r="D42" s="67"/>
      <c r="E42" s="67"/>
      <c r="F42" s="67"/>
      <c r="G42" s="67"/>
      <c r="H42" s="67"/>
      <c r="I42" s="67"/>
      <c r="J42" s="67"/>
      <c r="K42" s="67"/>
      <c r="L42" s="67"/>
      <c r="M42" s="310"/>
    </row>
    <row r="43" spans="1:13" x14ac:dyDescent="0.35">
      <c r="A43" s="311"/>
      <c r="B43" s="67"/>
      <c r="C43" s="67" t="s">
        <v>649</v>
      </c>
      <c r="D43" s="67"/>
      <c r="E43" s="67"/>
      <c r="F43" s="67"/>
      <c r="G43" s="67"/>
      <c r="H43" s="67"/>
      <c r="I43" s="67"/>
      <c r="J43" s="67"/>
      <c r="K43" s="67"/>
      <c r="L43" s="67"/>
      <c r="M43" s="310"/>
    </row>
    <row r="44" spans="1:13" x14ac:dyDescent="0.35">
      <c r="A44" s="311"/>
      <c r="B44" s="67"/>
      <c r="C44" s="67" t="s">
        <v>2401</v>
      </c>
      <c r="D44" s="67"/>
      <c r="E44" s="67"/>
      <c r="F44" s="67"/>
      <c r="G44" s="67"/>
      <c r="H44" s="67"/>
      <c r="I44" s="67"/>
      <c r="J44" s="67"/>
      <c r="K44" s="67"/>
      <c r="L44" s="67"/>
      <c r="M44" s="310"/>
    </row>
    <row r="45" spans="1:13" x14ac:dyDescent="0.35">
      <c r="A45" s="311"/>
      <c r="B45" s="67"/>
      <c r="C45" s="67" t="s">
        <v>651</v>
      </c>
      <c r="D45" s="67"/>
      <c r="E45" s="67"/>
      <c r="F45" s="67"/>
      <c r="G45" s="67"/>
      <c r="H45" s="67"/>
      <c r="I45" s="67"/>
      <c r="J45" s="67"/>
      <c r="K45" s="67"/>
      <c r="L45" s="67"/>
      <c r="M45" s="310"/>
    </row>
    <row r="46" spans="1:13" x14ac:dyDescent="0.35">
      <c r="A46" s="311"/>
      <c r="B46" s="67"/>
      <c r="C46" s="67" t="s">
        <v>2402</v>
      </c>
      <c r="D46" s="67"/>
      <c r="E46" s="67"/>
      <c r="F46" s="67"/>
      <c r="G46" s="67"/>
      <c r="H46" s="67"/>
      <c r="I46" s="67"/>
      <c r="J46" s="67"/>
      <c r="K46" s="67"/>
      <c r="L46" s="67"/>
      <c r="M46" s="310"/>
    </row>
    <row r="47" spans="1:13" ht="15" thickBot="1" x14ac:dyDescent="0.4">
      <c r="A47" s="111"/>
      <c r="B47" s="99"/>
      <c r="C47" s="99" t="s">
        <v>653</v>
      </c>
      <c r="D47" s="99"/>
      <c r="E47" s="99"/>
      <c r="F47" s="99"/>
      <c r="G47" s="99"/>
      <c r="H47" s="99"/>
      <c r="I47" s="99"/>
      <c r="J47" s="99"/>
      <c r="K47" s="99"/>
      <c r="L47" s="99"/>
      <c r="M47" s="100"/>
    </row>
    <row r="48" spans="1:13" x14ac:dyDescent="0.35">
      <c r="A48" s="118" t="s">
        <v>613</v>
      </c>
      <c r="B48" s="104">
        <f>IF(E3=B103,IF(K3=B84,0.95,IF(L3=B73,0.91,0.95)),1)</f>
        <v>0.95</v>
      </c>
      <c r="C48" s="93" t="s">
        <v>2433</v>
      </c>
      <c r="D48" s="94"/>
      <c r="E48" s="94"/>
      <c r="F48" s="94"/>
      <c r="G48" s="94"/>
      <c r="H48" s="94"/>
      <c r="I48" s="94"/>
      <c r="J48" s="94"/>
      <c r="K48" s="94"/>
      <c r="L48" s="94"/>
      <c r="M48" s="95"/>
    </row>
    <row r="49" spans="1:13" ht="15" thickBot="1" x14ac:dyDescent="0.4">
      <c r="A49" s="111"/>
      <c r="B49" s="109"/>
      <c r="C49" s="98" t="s">
        <v>2434</v>
      </c>
      <c r="D49" s="99"/>
      <c r="E49" s="99"/>
      <c r="F49" s="99"/>
      <c r="G49" s="99"/>
      <c r="H49" s="99"/>
      <c r="I49" s="99"/>
      <c r="J49" s="99"/>
      <c r="K49" s="99"/>
      <c r="L49" s="99"/>
      <c r="M49" s="100"/>
    </row>
    <row r="50" spans="1:13" x14ac:dyDescent="0.35">
      <c r="A50" s="118" t="s">
        <v>614</v>
      </c>
      <c r="B50" s="94"/>
      <c r="C50" s="93" t="s">
        <v>2403</v>
      </c>
      <c r="D50" s="94"/>
      <c r="E50" s="94"/>
      <c r="F50" s="94"/>
      <c r="G50" s="94"/>
      <c r="H50" s="94"/>
      <c r="I50" s="94"/>
      <c r="J50" s="94"/>
      <c r="K50" s="94"/>
      <c r="L50" s="94"/>
      <c r="M50" s="95"/>
    </row>
    <row r="51" spans="1:13" ht="15" thickBot="1" x14ac:dyDescent="0.4">
      <c r="A51" s="111"/>
      <c r="B51" s="109"/>
      <c r="C51" s="98" t="s">
        <v>2404</v>
      </c>
      <c r="D51" s="99"/>
      <c r="E51" s="99"/>
      <c r="F51" s="99"/>
      <c r="G51" s="99"/>
      <c r="H51" s="99"/>
      <c r="I51" s="99"/>
      <c r="J51" s="99"/>
      <c r="K51" s="99"/>
      <c r="L51" s="99"/>
      <c r="M51" s="100"/>
    </row>
    <row r="52" spans="1:13" x14ac:dyDescent="0.35">
      <c r="A52" s="118" t="s">
        <v>615</v>
      </c>
      <c r="B52" s="94">
        <v>2.1999999999999999E-2</v>
      </c>
      <c r="C52" s="93" t="s">
        <v>658</v>
      </c>
      <c r="D52" s="94"/>
      <c r="E52" s="94"/>
      <c r="F52" s="94"/>
      <c r="G52" s="94"/>
      <c r="H52" s="94"/>
      <c r="I52" s="94"/>
      <c r="J52" s="94"/>
      <c r="K52" s="94"/>
      <c r="L52" s="94"/>
      <c r="M52" s="95"/>
    </row>
    <row r="53" spans="1:13" ht="15" thickBot="1" x14ac:dyDescent="0.4">
      <c r="A53" s="111"/>
      <c r="B53" s="109"/>
      <c r="C53" s="98" t="s">
        <v>2405</v>
      </c>
      <c r="D53" s="99"/>
      <c r="E53" s="99"/>
      <c r="F53" s="99"/>
      <c r="G53" s="99"/>
      <c r="H53" s="99"/>
      <c r="I53" s="99"/>
      <c r="J53" s="99"/>
      <c r="K53" s="99"/>
      <c r="L53" s="99"/>
      <c r="M53" s="100"/>
    </row>
    <row r="54" spans="1:13" x14ac:dyDescent="0.35">
      <c r="A54" s="118" t="s">
        <v>616</v>
      </c>
      <c r="B54" s="92"/>
      <c r="C54" s="93" t="s">
        <v>660</v>
      </c>
      <c r="D54" s="94"/>
      <c r="E54" s="94"/>
      <c r="F54" s="94"/>
      <c r="G54" s="94"/>
      <c r="H54" s="94"/>
      <c r="I54" s="94"/>
      <c r="J54" s="94"/>
      <c r="K54" s="94"/>
      <c r="L54" s="94"/>
      <c r="M54" s="95"/>
    </row>
    <row r="55" spans="1:13" ht="15" thickBot="1" x14ac:dyDescent="0.4">
      <c r="A55" s="111"/>
      <c r="B55" s="109"/>
      <c r="C55" s="98" t="s">
        <v>661</v>
      </c>
      <c r="D55" s="99"/>
      <c r="E55" s="99"/>
      <c r="F55" s="99"/>
      <c r="G55" s="99"/>
      <c r="H55" s="99"/>
      <c r="I55" s="99"/>
      <c r="J55" s="99"/>
      <c r="K55" s="99"/>
      <c r="L55" s="99"/>
      <c r="M55" s="100"/>
    </row>
    <row r="56" spans="1:13" x14ac:dyDescent="0.35">
      <c r="A56" s="118" t="s">
        <v>617</v>
      </c>
      <c r="B56" s="94"/>
      <c r="C56" s="93" t="s">
        <v>2406</v>
      </c>
      <c r="D56" s="94"/>
      <c r="E56" s="94"/>
      <c r="F56" s="94"/>
      <c r="G56" s="94"/>
      <c r="H56" s="94"/>
      <c r="I56" s="94"/>
      <c r="J56" s="94"/>
      <c r="K56" s="94"/>
      <c r="L56" s="94"/>
      <c r="M56" s="95"/>
    </row>
    <row r="57" spans="1:13" x14ac:dyDescent="0.35">
      <c r="A57" s="311"/>
      <c r="B57" s="67"/>
      <c r="C57" s="67" t="s">
        <v>2407</v>
      </c>
      <c r="D57" s="67"/>
      <c r="E57" s="67"/>
      <c r="F57" s="67"/>
      <c r="G57" s="67"/>
      <c r="H57" s="67"/>
      <c r="I57" s="67"/>
      <c r="J57" s="67"/>
      <c r="K57" s="67"/>
      <c r="L57" s="67"/>
      <c r="M57" s="310"/>
    </row>
    <row r="58" spans="1:13" x14ac:dyDescent="0.35">
      <c r="A58" s="311"/>
      <c r="B58" s="67"/>
      <c r="C58" s="67" t="s">
        <v>2367</v>
      </c>
      <c r="D58" s="67"/>
      <c r="E58" s="67"/>
      <c r="F58" s="67"/>
      <c r="G58" s="67"/>
      <c r="H58" s="67"/>
      <c r="I58" s="67"/>
      <c r="J58" s="67"/>
      <c r="K58" s="67"/>
      <c r="L58" s="67"/>
      <c r="M58" s="310"/>
    </row>
    <row r="59" spans="1:13" x14ac:dyDescent="0.35">
      <c r="A59" s="311"/>
      <c r="B59" s="67"/>
      <c r="C59" s="67" t="s">
        <v>2408</v>
      </c>
      <c r="D59" s="67"/>
      <c r="E59" s="67"/>
      <c r="F59" s="67"/>
      <c r="G59" s="67"/>
      <c r="H59" s="67"/>
      <c r="I59" s="67"/>
      <c r="J59" s="67"/>
      <c r="K59" s="67"/>
      <c r="L59" s="67"/>
      <c r="M59" s="310"/>
    </row>
    <row r="60" spans="1:13" x14ac:dyDescent="0.35">
      <c r="A60" s="311"/>
      <c r="B60" s="67"/>
      <c r="C60" s="67" t="s">
        <v>665</v>
      </c>
      <c r="D60" s="67"/>
      <c r="E60" s="67"/>
      <c r="F60" s="67"/>
      <c r="G60" s="67"/>
      <c r="H60" s="67"/>
      <c r="I60" s="67"/>
      <c r="J60" s="67"/>
      <c r="K60" s="67"/>
      <c r="L60" s="67"/>
      <c r="M60" s="310"/>
    </row>
    <row r="61" spans="1:13" x14ac:dyDescent="0.35">
      <c r="A61" s="311"/>
      <c r="B61" s="67"/>
      <c r="C61" s="67" t="s">
        <v>666</v>
      </c>
      <c r="D61" s="67"/>
      <c r="E61" s="67"/>
      <c r="F61" s="67"/>
      <c r="G61" s="67"/>
      <c r="H61" s="67"/>
      <c r="I61" s="67"/>
      <c r="J61" s="67"/>
      <c r="K61" s="67"/>
      <c r="L61" s="67"/>
      <c r="M61" s="310"/>
    </row>
    <row r="62" spans="1:13" ht="15" thickBot="1" x14ac:dyDescent="0.4">
      <c r="A62" s="111"/>
      <c r="B62" s="99"/>
      <c r="C62" s="99" t="s">
        <v>667</v>
      </c>
      <c r="D62" s="99"/>
      <c r="E62" s="99"/>
      <c r="F62" s="99"/>
      <c r="G62" s="99"/>
      <c r="H62" s="99"/>
      <c r="I62" s="99"/>
      <c r="J62" s="99"/>
      <c r="K62" s="99"/>
      <c r="L62" s="99"/>
      <c r="M62" s="100"/>
    </row>
    <row r="63" spans="1:13" x14ac:dyDescent="0.35">
      <c r="A63" s="118" t="s">
        <v>443</v>
      </c>
      <c r="B63" s="1926">
        <v>10</v>
      </c>
      <c r="C63" s="94" t="s">
        <v>2409</v>
      </c>
      <c r="D63" s="94"/>
      <c r="E63" s="94"/>
      <c r="F63" s="94"/>
      <c r="G63" s="94"/>
      <c r="H63" s="94"/>
      <c r="I63" s="94"/>
      <c r="J63" s="94"/>
      <c r="K63" s="94"/>
      <c r="L63" s="94"/>
      <c r="M63" s="95"/>
    </row>
    <row r="64" spans="1:13" ht="15" thickBot="1" x14ac:dyDescent="0.4">
      <c r="A64" s="111"/>
      <c r="B64" s="99"/>
      <c r="C64" s="99" t="s">
        <v>1237</v>
      </c>
      <c r="D64" s="99"/>
      <c r="E64" s="99"/>
      <c r="F64" s="99"/>
      <c r="G64" s="99"/>
      <c r="H64" s="99"/>
      <c r="I64" s="99"/>
      <c r="J64" s="99"/>
      <c r="K64" s="99"/>
      <c r="L64" s="99"/>
      <c r="M64" s="100"/>
    </row>
    <row r="65" spans="1:13" x14ac:dyDescent="0.35">
      <c r="A65" s="118" t="s">
        <v>344</v>
      </c>
      <c r="B65" s="94"/>
      <c r="C65" s="94"/>
      <c r="D65" s="94"/>
      <c r="E65" s="94"/>
      <c r="F65" s="94"/>
      <c r="G65" s="94"/>
      <c r="H65" s="94"/>
      <c r="I65" s="94"/>
      <c r="J65" s="94"/>
      <c r="K65" s="94"/>
      <c r="L65" s="94"/>
      <c r="M65" s="95"/>
    </row>
    <row r="66" spans="1:13" x14ac:dyDescent="0.35">
      <c r="A66" s="311"/>
      <c r="B66" s="67"/>
      <c r="C66" s="67"/>
      <c r="D66" s="67"/>
      <c r="E66" s="67"/>
      <c r="F66" s="67"/>
      <c r="G66" s="67"/>
      <c r="H66" s="67"/>
      <c r="I66" s="67"/>
      <c r="J66" s="67"/>
      <c r="K66" s="67"/>
      <c r="L66" s="67"/>
      <c r="M66" s="310"/>
    </row>
    <row r="67" spans="1:13" ht="15" thickBot="1" x14ac:dyDescent="0.4">
      <c r="A67" s="111"/>
      <c r="B67" s="99"/>
      <c r="C67" s="99"/>
      <c r="D67" s="99"/>
      <c r="E67" s="99"/>
      <c r="F67" s="99"/>
      <c r="G67" s="99"/>
      <c r="H67" s="99"/>
      <c r="I67" s="99"/>
      <c r="J67" s="99"/>
      <c r="K67" s="99"/>
      <c r="L67" s="99"/>
      <c r="M67" s="100"/>
    </row>
    <row r="68" spans="1:13" ht="15" thickBot="1" x14ac:dyDescent="0.4">
      <c r="D68" s="67"/>
    </row>
    <row r="69" spans="1:13" ht="15" thickBot="1" x14ac:dyDescent="0.4">
      <c r="A69" s="122" t="s">
        <v>446</v>
      </c>
      <c r="B69" s="123"/>
      <c r="C69" s="78"/>
      <c r="D69" s="78"/>
      <c r="E69" s="78"/>
      <c r="F69" s="78"/>
      <c r="G69" s="78"/>
      <c r="H69" s="78"/>
      <c r="I69" s="79"/>
    </row>
    <row r="70" spans="1:13" x14ac:dyDescent="0.35">
      <c r="A70" s="124"/>
      <c r="B70" s="83"/>
      <c r="C70" s="83"/>
      <c r="D70" s="83"/>
      <c r="E70" s="83"/>
      <c r="F70" s="83"/>
      <c r="G70" s="83"/>
      <c r="H70" s="83"/>
      <c r="I70" s="125"/>
    </row>
    <row r="71" spans="1:13" x14ac:dyDescent="0.35">
      <c r="A71" s="124"/>
      <c r="B71" s="83"/>
      <c r="C71" s="83"/>
      <c r="D71" s="83"/>
      <c r="E71" s="83"/>
      <c r="F71" s="83"/>
      <c r="G71" s="83"/>
      <c r="H71" s="83"/>
      <c r="I71" s="125"/>
    </row>
    <row r="72" spans="1:13" ht="26" x14ac:dyDescent="0.35">
      <c r="A72" s="124"/>
      <c r="B72" s="221" t="s">
        <v>1257</v>
      </c>
      <c r="C72" s="221" t="s">
        <v>2395</v>
      </c>
      <c r="D72" s="221" t="s">
        <v>2410</v>
      </c>
      <c r="E72" s="221" t="s">
        <v>2411</v>
      </c>
      <c r="F72" s="221" t="s">
        <v>612</v>
      </c>
      <c r="G72" s="1927" t="s">
        <v>606</v>
      </c>
      <c r="H72" s="83"/>
      <c r="I72" s="125"/>
    </row>
    <row r="73" spans="1:13" x14ac:dyDescent="0.35">
      <c r="A73" s="124"/>
      <c r="B73" s="126" t="s">
        <v>1247</v>
      </c>
      <c r="C73" s="127">
        <v>0.75</v>
      </c>
      <c r="D73" s="62">
        <v>1</v>
      </c>
      <c r="E73" s="62">
        <v>1</v>
      </c>
      <c r="F73" s="1267">
        <v>9.69E-2</v>
      </c>
      <c r="G73" s="1920">
        <v>1.63</v>
      </c>
      <c r="H73" s="83"/>
      <c r="I73" s="125"/>
    </row>
    <row r="74" spans="1:13" x14ac:dyDescent="0.35">
      <c r="A74" s="124"/>
      <c r="B74" s="126" t="s">
        <v>1251</v>
      </c>
      <c r="C74" s="127">
        <v>0.9</v>
      </c>
      <c r="D74" s="935">
        <v>2.83</v>
      </c>
      <c r="E74" s="62">
        <v>1.5</v>
      </c>
      <c r="F74" s="320">
        <v>7.9500000000000001E-2</v>
      </c>
      <c r="G74" s="1920">
        <v>1.53</v>
      </c>
      <c r="H74" s="83"/>
      <c r="I74" s="125"/>
    </row>
    <row r="75" spans="1:13" x14ac:dyDescent="0.35">
      <c r="A75" s="124"/>
      <c r="B75" s="126" t="s">
        <v>399</v>
      </c>
      <c r="C75" s="1268">
        <v>0.79500000000000004</v>
      </c>
      <c r="D75" s="62">
        <f>SUM(D73:D74)</f>
        <v>3.83</v>
      </c>
      <c r="E75" s="62">
        <f>SUM(E73:E74)</f>
        <v>2.5</v>
      </c>
      <c r="F75" s="320">
        <v>9.1899999999999996E-2</v>
      </c>
      <c r="G75" s="1920">
        <v>1.58</v>
      </c>
      <c r="H75" s="83"/>
      <c r="I75" s="125"/>
    </row>
    <row r="76" spans="1:13" x14ac:dyDescent="0.35">
      <c r="A76" s="124"/>
      <c r="B76" s="83"/>
      <c r="C76" s="83"/>
      <c r="D76" s="83"/>
      <c r="E76" s="83"/>
      <c r="F76" s="83"/>
      <c r="G76" s="83"/>
      <c r="H76" s="83"/>
      <c r="I76" s="125"/>
    </row>
    <row r="77" spans="1:13" x14ac:dyDescent="0.35">
      <c r="A77" s="124"/>
      <c r="B77" s="221" t="s">
        <v>672</v>
      </c>
      <c r="C77" s="221" t="s">
        <v>673</v>
      </c>
      <c r="D77" s="221" t="s">
        <v>674</v>
      </c>
      <c r="E77" s="83"/>
      <c r="F77" s="83"/>
      <c r="G77" s="83"/>
      <c r="H77" s="83"/>
      <c r="I77" s="125"/>
    </row>
    <row r="78" spans="1:13" x14ac:dyDescent="0.35">
      <c r="A78" s="124"/>
      <c r="B78" s="126" t="s">
        <v>451</v>
      </c>
      <c r="C78" s="127">
        <v>1</v>
      </c>
      <c r="D78" s="127">
        <v>0</v>
      </c>
      <c r="E78" s="83"/>
      <c r="F78" s="1269"/>
      <c r="G78" s="83"/>
      <c r="H78" s="83"/>
      <c r="I78" s="125"/>
    </row>
    <row r="79" spans="1:13" x14ac:dyDescent="0.35">
      <c r="A79" s="124"/>
      <c r="B79" s="126" t="s">
        <v>397</v>
      </c>
      <c r="C79" s="127">
        <v>0</v>
      </c>
      <c r="D79" s="127">
        <v>1</v>
      </c>
      <c r="E79" s="83"/>
      <c r="F79" s="83"/>
      <c r="G79" s="83"/>
      <c r="H79" s="83"/>
      <c r="I79" s="125"/>
    </row>
    <row r="80" spans="1:13" x14ac:dyDescent="0.35">
      <c r="A80" s="124"/>
      <c r="B80" s="126" t="s">
        <v>399</v>
      </c>
      <c r="C80" s="127">
        <v>0.16</v>
      </c>
      <c r="D80" s="127">
        <v>0.84</v>
      </c>
      <c r="E80" s="83"/>
      <c r="F80" s="83"/>
      <c r="G80" s="83"/>
      <c r="H80" s="83"/>
      <c r="I80" s="125"/>
    </row>
    <row r="81" spans="1:9" x14ac:dyDescent="0.35">
      <c r="A81" s="124"/>
      <c r="B81" s="83"/>
      <c r="C81" s="83"/>
      <c r="D81" s="83"/>
      <c r="E81" s="83"/>
      <c r="F81" s="83"/>
      <c r="G81" s="83"/>
      <c r="H81" s="83"/>
      <c r="I81" s="125"/>
    </row>
    <row r="82" spans="1:9" x14ac:dyDescent="0.35">
      <c r="A82" s="124"/>
      <c r="B82" s="83"/>
      <c r="C82" s="83"/>
      <c r="D82" s="83"/>
      <c r="E82" s="83"/>
      <c r="F82" s="83"/>
      <c r="G82" s="83"/>
      <c r="H82" s="83"/>
      <c r="I82" s="125"/>
    </row>
    <row r="83" spans="1:9" x14ac:dyDescent="0.35">
      <c r="A83" s="124"/>
      <c r="B83" s="221" t="s">
        <v>341</v>
      </c>
      <c r="C83" s="221" t="s">
        <v>2412</v>
      </c>
      <c r="D83" s="83"/>
      <c r="E83" s="83"/>
      <c r="F83" s="83"/>
      <c r="G83" s="83"/>
      <c r="H83" s="83"/>
      <c r="I83" s="125"/>
    </row>
    <row r="84" spans="1:9" x14ac:dyDescent="0.35">
      <c r="A84" s="124"/>
      <c r="B84" s="126" t="s">
        <v>400</v>
      </c>
      <c r="C84" s="62">
        <v>2.56</v>
      </c>
      <c r="D84" s="83"/>
      <c r="E84" s="83"/>
      <c r="F84" s="83"/>
      <c r="G84" s="83"/>
      <c r="H84" s="83"/>
      <c r="I84" s="125"/>
    </row>
    <row r="85" spans="1:9" x14ac:dyDescent="0.35">
      <c r="A85" s="124"/>
      <c r="B85" s="126" t="s">
        <v>2376</v>
      </c>
      <c r="C85" s="62">
        <v>2.1</v>
      </c>
      <c r="D85" s="83"/>
      <c r="E85" s="83"/>
      <c r="F85" s="83"/>
      <c r="G85" s="83"/>
      <c r="H85" s="83"/>
      <c r="I85" s="125"/>
    </row>
    <row r="86" spans="1:9" x14ac:dyDescent="0.35">
      <c r="A86" s="124"/>
      <c r="B86" s="1928" t="s">
        <v>3416</v>
      </c>
      <c r="C86" s="1920">
        <v>2.42</v>
      </c>
      <c r="D86" s="83"/>
      <c r="E86" s="83"/>
      <c r="F86" s="83"/>
      <c r="G86" s="83"/>
      <c r="H86" s="83"/>
      <c r="I86" s="125"/>
    </row>
    <row r="87" spans="1:9" x14ac:dyDescent="0.35">
      <c r="A87" s="124"/>
      <c r="B87" s="126" t="s">
        <v>295</v>
      </c>
      <c r="C87" s="126" t="s">
        <v>2413</v>
      </c>
      <c r="D87" s="83"/>
      <c r="E87" s="83"/>
      <c r="F87" s="83"/>
      <c r="G87" s="83"/>
      <c r="H87" s="83"/>
      <c r="I87" s="125"/>
    </row>
    <row r="88" spans="1:9" x14ac:dyDescent="0.35">
      <c r="A88" s="124"/>
      <c r="B88" s="83"/>
      <c r="C88" s="83"/>
      <c r="D88" s="83"/>
      <c r="E88" s="83"/>
      <c r="F88" s="83"/>
      <c r="G88" s="83"/>
      <c r="H88" s="83"/>
      <c r="I88" s="125"/>
    </row>
    <row r="89" spans="1:9" x14ac:dyDescent="0.35">
      <c r="A89" s="124"/>
      <c r="B89" s="83"/>
      <c r="C89" s="83"/>
      <c r="D89" s="83"/>
      <c r="E89" s="83"/>
      <c r="F89" s="83"/>
      <c r="G89" s="83"/>
      <c r="H89" s="83"/>
      <c r="I89" s="125"/>
    </row>
    <row r="90" spans="1:9" x14ac:dyDescent="0.35">
      <c r="A90" s="124"/>
      <c r="B90" s="221" t="s">
        <v>838</v>
      </c>
      <c r="C90" s="221" t="s">
        <v>2414</v>
      </c>
      <c r="D90" s="221" t="s">
        <v>2415</v>
      </c>
      <c r="E90" s="221" t="s">
        <v>2416</v>
      </c>
      <c r="F90" s="221" t="s">
        <v>2417</v>
      </c>
      <c r="G90" s="83"/>
      <c r="H90" s="83"/>
      <c r="I90" s="125"/>
    </row>
    <row r="91" spans="1:9" x14ac:dyDescent="0.35">
      <c r="A91" s="124"/>
      <c r="B91" s="1270" t="s">
        <v>400</v>
      </c>
      <c r="C91" s="126" t="s">
        <v>1247</v>
      </c>
      <c r="D91" s="1271">
        <v>94</v>
      </c>
      <c r="E91" s="62">
        <v>4.15E-3</v>
      </c>
      <c r="F91" s="62">
        <v>4.5</v>
      </c>
      <c r="G91" s="83"/>
      <c r="H91" s="83"/>
      <c r="I91" s="125"/>
    </row>
    <row r="92" spans="1:9" x14ac:dyDescent="0.35">
      <c r="A92" s="124"/>
      <c r="B92" s="1272"/>
      <c r="C92" s="126" t="s">
        <v>1251</v>
      </c>
      <c r="D92" s="1271">
        <v>14</v>
      </c>
      <c r="E92" s="62">
        <v>3.4099999999999998E-3</v>
      </c>
      <c r="F92" s="62">
        <v>1.6</v>
      </c>
      <c r="G92" s="83"/>
      <c r="H92" s="83"/>
      <c r="I92" s="125"/>
    </row>
    <row r="93" spans="1:9" x14ac:dyDescent="0.35">
      <c r="A93" s="124"/>
      <c r="B93" s="1273"/>
      <c r="C93" s="126" t="s">
        <v>399</v>
      </c>
      <c r="D93" s="1271">
        <v>52</v>
      </c>
      <c r="E93" s="62">
        <v>3.9399999999999999E-3</v>
      </c>
      <c r="F93" s="62">
        <v>9</v>
      </c>
      <c r="G93" s="83"/>
      <c r="H93" s="83"/>
      <c r="I93" s="125"/>
    </row>
    <row r="94" spans="1:9" x14ac:dyDescent="0.35">
      <c r="A94" s="124"/>
      <c r="B94" s="1270" t="s">
        <v>819</v>
      </c>
      <c r="C94" s="126" t="s">
        <v>1247</v>
      </c>
      <c r="D94" s="1271">
        <v>77</v>
      </c>
      <c r="E94" s="62">
        <v>4.8399999999999997E-3</v>
      </c>
      <c r="F94" s="62">
        <v>4.5</v>
      </c>
      <c r="G94" s="83"/>
      <c r="H94" s="83"/>
      <c r="I94" s="125"/>
    </row>
    <row r="95" spans="1:9" x14ac:dyDescent="0.35">
      <c r="A95" s="124"/>
      <c r="B95" s="1272"/>
      <c r="C95" s="126" t="s">
        <v>1251</v>
      </c>
      <c r="D95" s="1271">
        <v>22</v>
      </c>
      <c r="E95" s="62">
        <v>3.9699999999999996E-3</v>
      </c>
      <c r="F95" s="62">
        <v>1.6</v>
      </c>
      <c r="G95" s="83"/>
      <c r="H95" s="83"/>
      <c r="I95" s="125"/>
    </row>
    <row r="96" spans="1:9" x14ac:dyDescent="0.35">
      <c r="A96" s="124"/>
      <c r="B96" s="1273"/>
      <c r="C96" s="126" t="s">
        <v>399</v>
      </c>
      <c r="D96" s="1271">
        <v>50</v>
      </c>
      <c r="E96" s="62">
        <v>4.5900000000000003E-3</v>
      </c>
      <c r="F96" s="62">
        <v>6.9</v>
      </c>
      <c r="G96" s="83"/>
      <c r="H96" s="83"/>
      <c r="I96" s="125"/>
    </row>
    <row r="97" spans="1:10" x14ac:dyDescent="0.35">
      <c r="A97" s="124"/>
      <c r="B97" s="83"/>
      <c r="C97" s="83"/>
      <c r="D97" s="83"/>
      <c r="E97" s="83"/>
      <c r="F97" s="83"/>
      <c r="G97" s="83"/>
      <c r="H97" s="83"/>
      <c r="I97" s="125"/>
    </row>
    <row r="98" spans="1:10" x14ac:dyDescent="0.35">
      <c r="A98" s="124"/>
      <c r="B98" s="83"/>
      <c r="C98" s="83"/>
      <c r="D98" s="83"/>
      <c r="E98" s="83"/>
      <c r="F98" s="83"/>
      <c r="G98" s="83"/>
      <c r="H98" s="83"/>
      <c r="I98" s="125"/>
    </row>
    <row r="99" spans="1:10" x14ac:dyDescent="0.35">
      <c r="A99" s="124"/>
      <c r="B99" s="221"/>
      <c r="C99" s="221"/>
      <c r="D99" s="221" t="s">
        <v>344</v>
      </c>
      <c r="E99" s="221"/>
      <c r="F99" s="847"/>
      <c r="G99" s="83"/>
      <c r="H99" s="83"/>
      <c r="I99" s="125"/>
    </row>
    <row r="100" spans="1:10" x14ac:dyDescent="0.35">
      <c r="A100" s="137"/>
      <c r="B100" s="62" t="s">
        <v>356</v>
      </c>
      <c r="C100" s="62"/>
      <c r="D100" s="62"/>
      <c r="E100" s="151"/>
      <c r="F100" s="83"/>
      <c r="G100" s="83"/>
      <c r="H100" s="83"/>
      <c r="I100" s="125"/>
    </row>
    <row r="101" spans="1:10" x14ac:dyDescent="0.35">
      <c r="A101" s="124"/>
      <c r="B101" s="62" t="s">
        <v>494</v>
      </c>
      <c r="C101" s="62"/>
      <c r="D101" s="62"/>
      <c r="E101" s="151"/>
      <c r="F101" s="83"/>
      <c r="G101" s="83"/>
      <c r="H101" s="83"/>
      <c r="I101" s="125"/>
    </row>
    <row r="102" spans="1:10" x14ac:dyDescent="0.35">
      <c r="A102" s="124"/>
      <c r="B102" s="62" t="s">
        <v>495</v>
      </c>
      <c r="C102" s="62"/>
      <c r="D102" s="62"/>
      <c r="E102" s="151"/>
      <c r="F102" s="83"/>
      <c r="G102" s="83"/>
      <c r="H102" s="83"/>
      <c r="I102" s="125"/>
    </row>
    <row r="103" spans="1:10" x14ac:dyDescent="0.35">
      <c r="A103" s="124"/>
      <c r="B103" s="62" t="s">
        <v>403</v>
      </c>
      <c r="C103" s="62"/>
      <c r="D103" s="62"/>
      <c r="E103" s="151"/>
      <c r="F103" s="83"/>
      <c r="G103" s="83"/>
      <c r="H103" s="83"/>
      <c r="I103" s="125"/>
    </row>
    <row r="104" spans="1:10" x14ac:dyDescent="0.35">
      <c r="A104" s="124"/>
      <c r="B104" s="62" t="s">
        <v>2418</v>
      </c>
      <c r="C104" s="62"/>
      <c r="D104" s="62"/>
      <c r="E104" s="151"/>
      <c r="F104" s="83"/>
      <c r="G104" s="83"/>
      <c r="H104" s="83"/>
      <c r="I104" s="125"/>
    </row>
    <row r="105" spans="1:10" x14ac:dyDescent="0.35">
      <c r="A105" s="124"/>
      <c r="B105" s="83"/>
      <c r="C105" s="83"/>
      <c r="D105" s="83"/>
      <c r="E105" s="83"/>
      <c r="F105" s="83"/>
      <c r="G105" s="83"/>
      <c r="H105" s="83"/>
      <c r="I105" s="125"/>
    </row>
    <row r="106" spans="1:10" x14ac:dyDescent="0.35">
      <c r="A106" s="124"/>
      <c r="B106" s="221"/>
      <c r="C106" s="221" t="s">
        <v>2419</v>
      </c>
      <c r="D106" s="221"/>
      <c r="E106" s="83"/>
      <c r="F106" s="83"/>
      <c r="G106" s="83"/>
      <c r="H106" s="83"/>
      <c r="I106" s="125"/>
    </row>
    <row r="107" spans="1:10" x14ac:dyDescent="0.35">
      <c r="A107" s="124"/>
      <c r="B107" s="221" t="s">
        <v>2375</v>
      </c>
      <c r="C107" s="221" t="s">
        <v>2420</v>
      </c>
      <c r="D107" s="221" t="s">
        <v>613</v>
      </c>
      <c r="E107" s="83"/>
      <c r="F107" s="83"/>
      <c r="G107" s="83"/>
      <c r="H107" s="83"/>
      <c r="I107" s="125"/>
      <c r="J107" s="74"/>
    </row>
    <row r="108" spans="1:10" x14ac:dyDescent="0.35">
      <c r="A108" s="124"/>
      <c r="B108" s="62" t="s">
        <v>2421</v>
      </c>
      <c r="C108" s="62" t="s">
        <v>2422</v>
      </c>
      <c r="D108" s="62">
        <v>0.95</v>
      </c>
      <c r="E108" s="83"/>
      <c r="F108" s="83"/>
      <c r="G108" s="83"/>
      <c r="H108" s="83"/>
      <c r="I108" s="125"/>
      <c r="J108" s="74"/>
    </row>
    <row r="109" spans="1:10" x14ac:dyDescent="0.35">
      <c r="A109" s="124"/>
      <c r="B109" s="62" t="s">
        <v>2423</v>
      </c>
      <c r="C109" s="62" t="s">
        <v>2422</v>
      </c>
      <c r="D109" s="62">
        <v>0.95</v>
      </c>
      <c r="E109" s="83"/>
      <c r="F109" s="83"/>
      <c r="G109" s="83"/>
      <c r="H109" s="83"/>
      <c r="I109" s="125"/>
    </row>
    <row r="110" spans="1:10" x14ac:dyDescent="0.35">
      <c r="A110" s="124"/>
      <c r="B110" s="62" t="s">
        <v>2424</v>
      </c>
      <c r="C110" s="62" t="s">
        <v>2425</v>
      </c>
      <c r="D110" s="62">
        <v>0.91</v>
      </c>
      <c r="E110" s="83"/>
      <c r="F110" s="83"/>
      <c r="G110" s="83"/>
      <c r="H110" s="83"/>
      <c r="I110" s="125"/>
    </row>
    <row r="111" spans="1:10" x14ac:dyDescent="0.35">
      <c r="A111" s="124"/>
      <c r="B111" s="62" t="s">
        <v>2426</v>
      </c>
      <c r="C111" s="62" t="s">
        <v>2427</v>
      </c>
      <c r="D111" s="151">
        <v>0.95</v>
      </c>
      <c r="E111" s="83"/>
      <c r="F111" s="83"/>
      <c r="G111" s="83"/>
      <c r="H111" s="83"/>
      <c r="I111" s="125"/>
    </row>
    <row r="112" spans="1:10" x14ac:dyDescent="0.35">
      <c r="A112" s="124"/>
      <c r="B112" s="1920" t="s">
        <v>3417</v>
      </c>
      <c r="C112" s="1920" t="s">
        <v>3418</v>
      </c>
      <c r="D112" s="1929">
        <v>0.95</v>
      </c>
      <c r="E112" s="83"/>
      <c r="F112" s="83"/>
      <c r="G112" s="83"/>
      <c r="H112" s="83"/>
      <c r="I112" s="125"/>
    </row>
    <row r="113" spans="1:9" x14ac:dyDescent="0.35">
      <c r="A113" s="124"/>
      <c r="B113" s="1920" t="s">
        <v>3419</v>
      </c>
      <c r="C113" s="1920" t="s">
        <v>3420</v>
      </c>
      <c r="D113" s="1929">
        <v>0.93</v>
      </c>
      <c r="E113" s="83"/>
      <c r="F113" s="83"/>
      <c r="G113" s="83"/>
      <c r="H113" s="83"/>
      <c r="I113" s="125"/>
    </row>
    <row r="114" spans="1:9" ht="15" customHeight="1" x14ac:dyDescent="0.35">
      <c r="A114" s="124"/>
      <c r="B114" s="62"/>
      <c r="C114" s="62" t="s">
        <v>2428</v>
      </c>
      <c r="D114" s="1055" t="s">
        <v>678</v>
      </c>
      <c r="E114" s="83"/>
      <c r="F114" s="83"/>
      <c r="G114" s="83"/>
      <c r="H114" s="83"/>
      <c r="I114" s="125"/>
    </row>
    <row r="115" spans="1:9" x14ac:dyDescent="0.35">
      <c r="A115" s="124"/>
      <c r="B115" s="1920" t="s">
        <v>2429</v>
      </c>
      <c r="C115" s="1920"/>
      <c r="D115" s="1929">
        <v>0.61</v>
      </c>
      <c r="E115" s="83"/>
      <c r="F115" s="83"/>
      <c r="G115" s="83"/>
      <c r="H115" s="83"/>
      <c r="I115" s="125"/>
    </row>
    <row r="116" spans="1:9" x14ac:dyDescent="0.35">
      <c r="A116" s="124"/>
      <c r="B116" s="1920" t="s">
        <v>2430</v>
      </c>
      <c r="C116" s="1920"/>
      <c r="D116" s="1929">
        <v>0.57999999999999996</v>
      </c>
      <c r="E116" s="83"/>
      <c r="F116" s="83"/>
      <c r="G116" s="83"/>
      <c r="H116" s="83"/>
      <c r="I116" s="125"/>
    </row>
    <row r="117" spans="1:9" x14ac:dyDescent="0.35">
      <c r="A117" s="124"/>
      <c r="B117" s="1920" t="s">
        <v>2431</v>
      </c>
      <c r="C117" s="1920"/>
      <c r="D117" s="1858">
        <v>0.30499999999999999</v>
      </c>
      <c r="E117" s="83"/>
      <c r="F117" s="83"/>
      <c r="G117" s="83"/>
      <c r="H117" s="83"/>
      <c r="I117" s="125"/>
    </row>
    <row r="118" spans="1:9" x14ac:dyDescent="0.35">
      <c r="A118" s="124"/>
      <c r="B118" s="83"/>
      <c r="C118" s="83"/>
      <c r="D118" s="83"/>
      <c r="E118" s="83"/>
      <c r="F118" s="83"/>
      <c r="G118" s="83"/>
      <c r="H118" s="83"/>
      <c r="I118" s="125"/>
    </row>
    <row r="119" spans="1:9" x14ac:dyDescent="0.35">
      <c r="A119" s="124"/>
      <c r="B119" s="83"/>
      <c r="C119" s="83"/>
      <c r="D119" s="83"/>
      <c r="E119" s="83"/>
      <c r="F119" s="83"/>
      <c r="G119" s="83"/>
      <c r="H119" s="83"/>
      <c r="I119" s="125"/>
    </row>
    <row r="120" spans="1:9" ht="15" thickBot="1" x14ac:dyDescent="0.4">
      <c r="A120" s="321"/>
      <c r="B120" s="201"/>
      <c r="C120" s="201"/>
      <c r="D120" s="201"/>
      <c r="E120" s="201"/>
      <c r="F120" s="201"/>
      <c r="G120" s="201"/>
      <c r="H120" s="201"/>
      <c r="I120" s="203"/>
    </row>
  </sheetData>
  <customSheetViews>
    <customSheetView guid="{11DE45F5-F478-4ED6-8DFF-12002C22A637}" scale="85" showPageBreaks="1" fitToPage="1" view="pageBreakPreview">
      <selection activeCell="B16" sqref="B16:B17"/>
      <pageMargins left="0.7" right="0.7" top="0.75" bottom="0.75" header="0.3" footer="0.3"/>
      <pageSetup scale="19" orientation="portrait" r:id="rId1"/>
    </customSheetView>
    <customSheetView guid="{ECD6FE6A-9548-414E-B8AA-6998703C57E0}" scale="85" showPageBreaks="1" fitToPage="1" view="pageBreakPreview">
      <selection activeCell="B16" sqref="B16:B17"/>
      <pageMargins left="0.7" right="0.7" top="0.75" bottom="0.75" header="0.3" footer="0.3"/>
      <pageSetup scale="19" orientation="portrait" r:id="rId2"/>
    </customSheetView>
  </customSheetViews>
  <mergeCells count="3">
    <mergeCell ref="M1:P1"/>
    <mergeCell ref="Q1:T1"/>
    <mergeCell ref="U1:AH1"/>
  </mergeCells>
  <dataValidations count="7">
    <dataValidation type="list" allowBlank="1" showInputMessage="1" showErrorMessage="1" sqref="H3:H8" xr:uid="{00000000-0002-0000-2800-000000000000}">
      <formula1>$D$100:$D$104</formula1>
    </dataValidation>
    <dataValidation type="list" allowBlank="1" showInputMessage="1" showErrorMessage="1" sqref="K4:K8 J107:J108" xr:uid="{00000000-0002-0000-2800-000001000000}">
      <formula1>Unit1</formula1>
    </dataValidation>
    <dataValidation type="list" allowBlank="1" showInputMessage="1" showErrorMessage="1" sqref="K3" xr:uid="{00000000-0002-0000-2800-000002000000}">
      <formula1>$B$84:$B$87</formula1>
    </dataValidation>
    <dataValidation type="list" allowBlank="1" showInputMessage="1" showErrorMessage="1" sqref="J3:J8" xr:uid="{00000000-0002-0000-2800-000003000000}">
      <formula1>$B$78:$B$80</formula1>
    </dataValidation>
    <dataValidation type="list" allowBlank="1" showInputMessage="1" showErrorMessage="1" sqref="D3:D8" xr:uid="{00000000-0002-0000-2800-000004000000}">
      <formula1>MeasureType</formula1>
    </dataValidation>
    <dataValidation type="list" allowBlank="1" showInputMessage="1" showErrorMessage="1" sqref="L3:L8" xr:uid="{00000000-0002-0000-2800-000005000000}">
      <formula1>LFFA1</formula1>
    </dataValidation>
    <dataValidation type="list" allowBlank="1" showInputMessage="1" showErrorMessage="1" sqref="E3:E8" xr:uid="{00000000-0002-0000-2800-000006000000}">
      <formula1>LFFA2</formula1>
    </dataValidation>
  </dataValidations>
  <pageMargins left="0.7" right="0.7" top="0.75" bottom="0.75" header="0.3" footer="0.3"/>
  <pageSetup scale="19" orientation="portrait"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59999389629810485"/>
    <pageSetUpPr fitToPage="1"/>
  </sheetPr>
  <dimension ref="A2:AL99"/>
  <sheetViews>
    <sheetView view="pageBreakPreview" zoomScale="85" zoomScaleNormal="90" zoomScaleSheetLayoutView="85" workbookViewId="0"/>
  </sheetViews>
  <sheetFormatPr defaultRowHeight="14.5" x14ac:dyDescent="0.35"/>
  <cols>
    <col min="1" max="1" width="21" customWidth="1"/>
    <col min="2" max="3" width="29" customWidth="1"/>
    <col min="6" max="6" width="14" customWidth="1"/>
    <col min="7" max="7" width="11.1796875" bestFit="1" customWidth="1"/>
    <col min="9" max="9" width="11.453125" customWidth="1"/>
    <col min="11" max="11" width="14.26953125" customWidth="1"/>
    <col min="13" max="13" width="12.81640625" bestFit="1" customWidth="1"/>
    <col min="14" max="14" width="11.1796875" bestFit="1" customWidth="1"/>
    <col min="15" max="16" width="11.81640625" customWidth="1"/>
    <col min="17" max="17" width="12.7265625" customWidth="1"/>
    <col min="18" max="18" width="11.81640625" customWidth="1"/>
    <col min="19" max="19" width="10" bestFit="1" customWidth="1"/>
    <col min="20" max="20" width="10.81640625" customWidth="1"/>
    <col min="21" max="21" width="12.453125" bestFit="1" customWidth="1"/>
  </cols>
  <sheetData>
    <row r="2" spans="1:38" x14ac:dyDescent="0.35">
      <c r="A2" s="1145" t="s">
        <v>326</v>
      </c>
      <c r="B2" s="1144" t="s">
        <v>600</v>
      </c>
      <c r="C2" s="1144"/>
      <c r="D2" s="1144"/>
      <c r="E2" s="1143"/>
      <c r="F2" s="1143"/>
      <c r="G2" s="1143"/>
      <c r="H2" s="1143"/>
      <c r="I2" s="1143"/>
      <c r="J2" s="1143"/>
      <c r="K2" s="1235"/>
      <c r="L2" s="1235"/>
      <c r="M2" s="1235"/>
      <c r="N2" s="2219" t="s">
        <v>335</v>
      </c>
      <c r="O2" s="2220"/>
      <c r="P2" s="2220"/>
      <c r="Q2" s="2220"/>
      <c r="R2" s="2432" t="s">
        <v>336</v>
      </c>
      <c r="S2" s="2432"/>
      <c r="T2" s="2432"/>
      <c r="U2" s="2432"/>
      <c r="V2" s="2199" t="s">
        <v>337</v>
      </c>
      <c r="W2" s="2199"/>
      <c r="X2" s="2199"/>
      <c r="Y2" s="2199"/>
      <c r="Z2" s="2199"/>
      <c r="AA2" s="2199"/>
      <c r="AB2" s="2199"/>
      <c r="AC2" s="2199"/>
      <c r="AD2" s="2199"/>
      <c r="AE2" s="2199"/>
      <c r="AF2" s="2199"/>
      <c r="AG2" s="2199"/>
      <c r="AH2" s="2199"/>
      <c r="AI2" s="2199"/>
    </row>
    <row r="3" spans="1:38" ht="43.5" x14ac:dyDescent="0.35">
      <c r="A3" s="1145" t="s">
        <v>338</v>
      </c>
      <c r="B3" s="1145" t="s">
        <v>1</v>
      </c>
      <c r="C3" s="1129" t="s">
        <v>339</v>
      </c>
      <c r="D3" s="1129" t="s">
        <v>340</v>
      </c>
      <c r="E3" s="1128" t="s">
        <v>601</v>
      </c>
      <c r="F3" s="1128" t="s">
        <v>342</v>
      </c>
      <c r="G3" s="1128" t="s">
        <v>343</v>
      </c>
      <c r="H3" s="1128" t="s">
        <v>344</v>
      </c>
      <c r="I3" s="1128" t="s">
        <v>367</v>
      </c>
      <c r="J3" s="1145" t="s">
        <v>345</v>
      </c>
      <c r="K3" s="1128" t="s">
        <v>602</v>
      </c>
      <c r="L3" s="1128" t="s">
        <v>603</v>
      </c>
      <c r="M3" s="1229" t="s">
        <v>341</v>
      </c>
      <c r="N3" s="1146" t="s">
        <v>347</v>
      </c>
      <c r="O3" s="1146" t="s">
        <v>348</v>
      </c>
      <c r="P3" s="1146" t="s">
        <v>349</v>
      </c>
      <c r="Q3" s="1146" t="s">
        <v>604</v>
      </c>
      <c r="R3" s="1146" t="s">
        <v>347</v>
      </c>
      <c r="S3" s="1146" t="s">
        <v>348</v>
      </c>
      <c r="T3" s="1146" t="s">
        <v>349</v>
      </c>
      <c r="U3" s="1147" t="s">
        <v>604</v>
      </c>
      <c r="V3" s="300" t="s">
        <v>605</v>
      </c>
      <c r="W3" s="300" t="s">
        <v>606</v>
      </c>
      <c r="X3" s="300" t="s">
        <v>607</v>
      </c>
      <c r="Y3" s="300" t="s">
        <v>608</v>
      </c>
      <c r="Z3" s="300" t="s">
        <v>609</v>
      </c>
      <c r="AA3" s="300" t="s">
        <v>352</v>
      </c>
      <c r="AB3" s="300" t="s">
        <v>610</v>
      </c>
      <c r="AC3" s="300" t="s">
        <v>611</v>
      </c>
      <c r="AD3" s="300" t="s">
        <v>612</v>
      </c>
      <c r="AE3" s="300" t="s">
        <v>613</v>
      </c>
      <c r="AF3" s="300" t="s">
        <v>614</v>
      </c>
      <c r="AG3" s="300" t="s">
        <v>615</v>
      </c>
      <c r="AH3" s="300" t="s">
        <v>616</v>
      </c>
      <c r="AI3" s="300" t="s">
        <v>617</v>
      </c>
      <c r="AK3" s="301"/>
      <c r="AL3" s="301"/>
    </row>
    <row r="4" spans="1:38" ht="58" x14ac:dyDescent="0.35">
      <c r="A4" s="1142" t="s">
        <v>618</v>
      </c>
      <c r="B4" s="1142" t="str">
        <f>$B$2&amp;" "&amp;IF(I4="Actual- handheld showerhead", "handheld","")&amp;"- "&amp;F4&amp;", "&amp;K4&amp;", Flow = "&amp;L4&amp;", "&amp;E4&amp;", "&amp;M4</f>
        <v>Low Flow Showerheads - DI, Natural Gas, Flow = 1.5, IU, Single-Family</v>
      </c>
      <c r="C4" s="1132" t="s">
        <v>240</v>
      </c>
      <c r="D4" s="1133" t="s">
        <v>619</v>
      </c>
      <c r="E4" s="135" t="s">
        <v>620</v>
      </c>
      <c r="F4" s="135" t="s">
        <v>403</v>
      </c>
      <c r="G4" s="1151">
        <f>+$B$63</f>
        <v>10</v>
      </c>
      <c r="H4" s="1204"/>
      <c r="I4" s="1153"/>
      <c r="J4" s="1148" t="s">
        <v>621</v>
      </c>
      <c r="K4" s="135" t="s">
        <v>397</v>
      </c>
      <c r="L4" s="1149">
        <v>1.5</v>
      </c>
      <c r="M4" s="1148" t="s">
        <v>355</v>
      </c>
      <c r="N4" s="1154"/>
      <c r="O4" s="1155"/>
      <c r="P4" s="1895">
        <f t="shared" ref="P4:P7" si="0">AH4*((W4*X4-Y4*Z4)*AA4*AB4*365.25/AC4)*AI4*AE4</f>
        <v>8.8821587968572082</v>
      </c>
      <c r="Q4" s="1895">
        <f t="shared" ref="Q4:Q7" si="1">((W4*X4-Y4*Z4)*AA4*AB4*365.25/AC4)*AE4</f>
        <v>1772.8859873966485</v>
      </c>
      <c r="R4" s="1154"/>
      <c r="S4" s="1154"/>
      <c r="T4" s="1895">
        <f t="shared" ref="T4:T7" si="2">P4*G4</f>
        <v>88.821587968572089</v>
      </c>
      <c r="U4" s="1921">
        <f t="shared" ref="U4:U7" si="3">Q4*G4</f>
        <v>17728.859873966485</v>
      </c>
      <c r="V4" s="62">
        <f>VLOOKUP(K4,$B$72:$C$75,2,FALSE)</f>
        <v>0</v>
      </c>
      <c r="W4" s="62">
        <f>VLOOKUP(F4,$B$94:$C$98,2,FALSE)</f>
        <v>2.2400000000000002</v>
      </c>
      <c r="X4" s="62">
        <f>+$B$23</f>
        <v>7.8</v>
      </c>
      <c r="Y4" s="62">
        <f>L4</f>
        <v>1.5</v>
      </c>
      <c r="Z4" s="62">
        <f>+$B$27</f>
        <v>7.8</v>
      </c>
      <c r="AA4" s="62">
        <f>VLOOKUP(M4,$I$72:$J$75,2,FALSE)</f>
        <v>2.56</v>
      </c>
      <c r="AB4" s="62">
        <f>+$B$31</f>
        <v>0.6</v>
      </c>
      <c r="AC4" s="62">
        <f>VLOOKUP(M4,$I$72:$K$75,3,FALSE)</f>
        <v>1.79</v>
      </c>
      <c r="AD4" s="62">
        <f>+$B$35</f>
        <v>0.11700000000000001</v>
      </c>
      <c r="AE4" s="62">
        <f>VLOOKUP(M4,$I$72:$L$73,4,FALSE)</f>
        <v>0.98</v>
      </c>
      <c r="AF4" s="62">
        <f>VLOOKUP(F4,$B$94:$E$98,IF(M4=$I$72,3,4),FALSE)</f>
        <v>255</v>
      </c>
      <c r="AG4" s="302">
        <f>+$B$51</f>
        <v>2.7799999999999998E-2</v>
      </c>
      <c r="AH4" s="62">
        <f>VLOOKUP(K4,$B$72:$D$75,3,FALSE)</f>
        <v>1</v>
      </c>
      <c r="AI4" s="62">
        <f>+VLOOKUP(M4,$B$79:$C$80,2,FALSE)</f>
        <v>5.0099999999999997E-3</v>
      </c>
      <c r="AK4" s="184"/>
      <c r="AL4" s="184"/>
    </row>
    <row r="5" spans="1:38" ht="58" x14ac:dyDescent="0.35">
      <c r="A5" s="1142" t="s">
        <v>622</v>
      </c>
      <c r="B5" s="1142" t="str">
        <f>$B$2&amp;" "&amp;IF(I5="Actual- handheld showerhead", "handheld","")&amp;"- "&amp;F5&amp;", "&amp;K5&amp;", Flow = "&amp;L5&amp;", "&amp;E5&amp;", "&amp;M5</f>
        <v>Low Flow Showerheads - DI, Natural Gas, Flow = 1.5, IU, Single-Family</v>
      </c>
      <c r="C5" s="1132" t="s">
        <v>241</v>
      </c>
      <c r="D5" s="1133" t="s">
        <v>619</v>
      </c>
      <c r="E5" s="135" t="s">
        <v>620</v>
      </c>
      <c r="F5" s="135" t="s">
        <v>403</v>
      </c>
      <c r="G5" s="1151">
        <f>+$B$63</f>
        <v>10</v>
      </c>
      <c r="H5" s="1204"/>
      <c r="I5" s="1153"/>
      <c r="J5" s="1148" t="s">
        <v>621</v>
      </c>
      <c r="K5" s="135" t="s">
        <v>397</v>
      </c>
      <c r="L5" s="1149">
        <v>1.5</v>
      </c>
      <c r="M5" s="1148" t="s">
        <v>355</v>
      </c>
      <c r="N5" s="1154"/>
      <c r="O5" s="1155"/>
      <c r="P5" s="1895">
        <f t="shared" si="0"/>
        <v>8.8821587968572082</v>
      </c>
      <c r="Q5" s="1895">
        <f t="shared" si="1"/>
        <v>1772.8859873966485</v>
      </c>
      <c r="R5" s="1154"/>
      <c r="S5" s="1154"/>
      <c r="T5" s="1895">
        <f t="shared" si="2"/>
        <v>88.821587968572089</v>
      </c>
      <c r="U5" s="1921">
        <f t="shared" si="3"/>
        <v>17728.859873966485</v>
      </c>
      <c r="V5" s="62">
        <f>VLOOKUP(K5,$B$72:$C$75,2,FALSE)</f>
        <v>0</v>
      </c>
      <c r="W5" s="62">
        <f>VLOOKUP(F5,$B$94:$C$98,2,FALSE)</f>
        <v>2.2400000000000002</v>
      </c>
      <c r="X5" s="62">
        <f>+$B$23</f>
        <v>7.8</v>
      </c>
      <c r="Y5" s="62">
        <f>L5</f>
        <v>1.5</v>
      </c>
      <c r="Z5" s="62">
        <v>7.8</v>
      </c>
      <c r="AA5" s="62">
        <f>VLOOKUP(M5,$I$72:$J$75,2,FALSE)</f>
        <v>2.56</v>
      </c>
      <c r="AB5" s="62">
        <f>+$B$31</f>
        <v>0.6</v>
      </c>
      <c r="AC5" s="62">
        <f>VLOOKUP(M5,$I$72:$K$75,3,FALSE)</f>
        <v>1.79</v>
      </c>
      <c r="AD5" s="62">
        <f>+$B$35</f>
        <v>0.11700000000000001</v>
      </c>
      <c r="AE5" s="62">
        <f>VLOOKUP(M5,$I$72:$L$73,4,FALSE)</f>
        <v>0.98</v>
      </c>
      <c r="AF5" s="62">
        <f>VLOOKUP(F5,$B$94:$E$98,IF(M5=$I$72,3,4),FALSE)</f>
        <v>255</v>
      </c>
      <c r="AG5" s="302">
        <f>+$B$51</f>
        <v>2.7799999999999998E-2</v>
      </c>
      <c r="AH5" s="62">
        <f>VLOOKUP(K5,$B$72:$D$75,3,FALSE)</f>
        <v>1</v>
      </c>
      <c r="AI5" s="62">
        <f>+VLOOKUP(M5,$B$79:$C$80,2,FALSE)</f>
        <v>5.0099999999999997E-3</v>
      </c>
      <c r="AK5" s="24"/>
      <c r="AL5" s="262"/>
    </row>
    <row r="6" spans="1:38" ht="58" x14ac:dyDescent="0.35">
      <c r="A6" s="1142" t="s">
        <v>623</v>
      </c>
      <c r="B6" s="1142" t="str">
        <f>$B$2&amp;" "&amp;IF(I6="Actual- handheld showerhead", "handheld","")&amp;"- "&amp;F6&amp;", "&amp;K6&amp;", Flow = "&amp;L6&amp;", "&amp;E6&amp;", "&amp;M6</f>
        <v>Low Flow Showerheads - DI Custom, Natural Gas, Flow = 1.5, CA, Multi-Family</v>
      </c>
      <c r="C6" s="1132" t="s">
        <v>243</v>
      </c>
      <c r="D6" s="1133" t="s">
        <v>619</v>
      </c>
      <c r="E6" s="135" t="s">
        <v>624</v>
      </c>
      <c r="F6" s="135" t="s">
        <v>625</v>
      </c>
      <c r="G6" s="1151">
        <f>+$B$63</f>
        <v>10</v>
      </c>
      <c r="H6" s="1204"/>
      <c r="I6" s="1153"/>
      <c r="J6" s="1148" t="s">
        <v>621</v>
      </c>
      <c r="K6" s="135" t="s">
        <v>397</v>
      </c>
      <c r="L6" s="1149">
        <v>1.5</v>
      </c>
      <c r="M6" s="1148" t="s">
        <v>361</v>
      </c>
      <c r="N6" s="1154"/>
      <c r="O6" s="1155"/>
      <c r="P6" s="1895">
        <f t="shared" si="0"/>
        <v>11.317119452100005</v>
      </c>
      <c r="Q6" s="1895">
        <f t="shared" si="1"/>
        <v>1941.1868700000009</v>
      </c>
      <c r="R6" s="1154"/>
      <c r="S6" s="1154"/>
      <c r="T6" s="1895">
        <f t="shared" si="2"/>
        <v>113.17119452100005</v>
      </c>
      <c r="U6" s="1921">
        <f t="shared" si="3"/>
        <v>19411.86870000001</v>
      </c>
      <c r="V6" s="62">
        <f>VLOOKUP(K6,$B$72:$C$75,2,FALSE)</f>
        <v>0</v>
      </c>
      <c r="W6" s="62">
        <f>VLOOKUP(F6,$B$94:$C$98,2,FALSE)</f>
        <v>2.2400000000000002</v>
      </c>
      <c r="X6" s="62">
        <f>+$B$23</f>
        <v>7.8</v>
      </c>
      <c r="Y6" s="62">
        <f>L6</f>
        <v>1.5</v>
      </c>
      <c r="Z6" s="62">
        <v>7.8</v>
      </c>
      <c r="AA6" s="62">
        <f>VLOOKUP(M6,$I$72:$J$75,2,FALSE)</f>
        <v>2.1</v>
      </c>
      <c r="AB6" s="62">
        <f>+$B$31</f>
        <v>0.6</v>
      </c>
      <c r="AC6" s="62">
        <f>VLOOKUP(M6,$I$72:$K$75,3,FALSE)</f>
        <v>1.3</v>
      </c>
      <c r="AD6" s="62">
        <f>+$B$35</f>
        <v>0.11700000000000001</v>
      </c>
      <c r="AE6" s="62">
        <f>VLOOKUP(M6,$I$72:$L$73,4,FALSE)</f>
        <v>0.95</v>
      </c>
      <c r="AF6" s="62">
        <f>VLOOKUP(F6,$B$94:$E$98,IF(M6=$I$72,3,4),FALSE)</f>
        <v>208</v>
      </c>
      <c r="AG6" s="302">
        <f>+$B$51</f>
        <v>2.7799999999999998E-2</v>
      </c>
      <c r="AH6" s="62">
        <f>VLOOKUP(K6,$B$72:$D$75,3,FALSE)</f>
        <v>1</v>
      </c>
      <c r="AI6" s="62">
        <f>+VLOOKUP(M6,$B$79:$C$80,2,FALSE)</f>
        <v>5.8300000000000001E-3</v>
      </c>
      <c r="AL6" s="303"/>
    </row>
    <row r="7" spans="1:38" ht="58" x14ac:dyDescent="0.35">
      <c r="A7" s="1142" t="s">
        <v>626</v>
      </c>
      <c r="B7" s="1142" t="str">
        <f>$B$2&amp;" "&amp;IF(I7="Actual- handheld showerhead", "handheld","")&amp;"- "&amp;F7&amp;", "&amp;K7&amp;", Flow = "&amp;L7&amp;", "&amp;E7&amp;", "&amp;M7</f>
        <v>Low Flow Showerheads - DI Custom, Natural Gas, Flow = 1.5, IU, Multi-Family</v>
      </c>
      <c r="C7" s="1132" t="s">
        <v>242</v>
      </c>
      <c r="D7" s="1133" t="s">
        <v>619</v>
      </c>
      <c r="E7" s="135" t="s">
        <v>620</v>
      </c>
      <c r="F7" s="135" t="s">
        <v>625</v>
      </c>
      <c r="G7" s="1151">
        <f>+$B$63</f>
        <v>10</v>
      </c>
      <c r="H7" s="1204"/>
      <c r="I7" s="1153"/>
      <c r="J7" s="1148" t="s">
        <v>621</v>
      </c>
      <c r="K7" s="135" t="s">
        <v>397</v>
      </c>
      <c r="L7" s="1149">
        <v>1.5</v>
      </c>
      <c r="M7" s="1148" t="s">
        <v>361</v>
      </c>
      <c r="N7" s="1154"/>
      <c r="O7" s="1155"/>
      <c r="P7" s="1895">
        <f t="shared" si="0"/>
        <v>11.317119452100005</v>
      </c>
      <c r="Q7" s="1895">
        <f t="shared" si="1"/>
        <v>1941.1868700000009</v>
      </c>
      <c r="R7" s="1154"/>
      <c r="S7" s="1154"/>
      <c r="T7" s="1895">
        <f t="shared" si="2"/>
        <v>113.17119452100005</v>
      </c>
      <c r="U7" s="1921">
        <f t="shared" si="3"/>
        <v>19411.86870000001</v>
      </c>
      <c r="V7" s="62">
        <f>VLOOKUP(K7,$B$72:$C$75,2,FALSE)</f>
        <v>0</v>
      </c>
      <c r="W7" s="62">
        <f>VLOOKUP(F7,$B$94:$C$98,2,FALSE)</f>
        <v>2.2400000000000002</v>
      </c>
      <c r="X7" s="62">
        <f>+$B$23</f>
        <v>7.8</v>
      </c>
      <c r="Y7" s="62">
        <f>L7</f>
        <v>1.5</v>
      </c>
      <c r="Z7" s="62">
        <v>7.8</v>
      </c>
      <c r="AA7" s="62">
        <f>VLOOKUP(M7,$I$72:$J$75,2,FALSE)</f>
        <v>2.1</v>
      </c>
      <c r="AB7" s="62">
        <f>+$B$31</f>
        <v>0.6</v>
      </c>
      <c r="AC7" s="62">
        <f>VLOOKUP(M7,$I$72:$K$75,3,FALSE)</f>
        <v>1.3</v>
      </c>
      <c r="AD7" s="62">
        <f>+$B$35</f>
        <v>0.11700000000000001</v>
      </c>
      <c r="AE7" s="62">
        <f>VLOOKUP(M7,$I$72:$L$73,4,FALSE)</f>
        <v>0.95</v>
      </c>
      <c r="AF7" s="62">
        <f>VLOOKUP(F7,$B$94:$E$98,IF(M7=$I$72,3,4),FALSE)</f>
        <v>208</v>
      </c>
      <c r="AG7" s="302">
        <f>+$B$51</f>
        <v>2.7799999999999998E-2</v>
      </c>
      <c r="AH7" s="62">
        <f>VLOOKUP(K7,$B$72:$D$75,3,FALSE)</f>
        <v>1</v>
      </c>
      <c r="AI7" s="62">
        <f>+VLOOKUP(M7,$B$79:$C$80,2,FALSE)</f>
        <v>5.8300000000000001E-3</v>
      </c>
      <c r="AL7" s="303"/>
    </row>
    <row r="8" spans="1:38" x14ac:dyDescent="0.35">
      <c r="A8" s="1137"/>
      <c r="B8" s="1137"/>
      <c r="C8" s="1137"/>
      <c r="D8" s="1137"/>
      <c r="E8" s="1137"/>
      <c r="F8" s="1137"/>
      <c r="G8" s="1137"/>
      <c r="H8" s="1137"/>
      <c r="I8" s="1137"/>
      <c r="J8" s="1137"/>
      <c r="K8" s="1137"/>
      <c r="L8" s="1137"/>
      <c r="M8" s="1137"/>
      <c r="N8" s="1137"/>
      <c r="O8" s="1137"/>
      <c r="P8" s="1137"/>
      <c r="Q8" s="1137"/>
      <c r="R8" s="1137"/>
      <c r="S8" s="1137"/>
      <c r="T8" s="1137"/>
      <c r="U8" s="1137"/>
    </row>
    <row r="9" spans="1:38" ht="15" thickBot="1" x14ac:dyDescent="0.4"/>
    <row r="10" spans="1:38" ht="15" thickBot="1" x14ac:dyDescent="0.4">
      <c r="A10" s="76" t="s">
        <v>408</v>
      </c>
      <c r="B10" s="77"/>
      <c r="C10" s="78"/>
      <c r="D10" s="78"/>
      <c r="E10" s="78"/>
      <c r="F10" s="78"/>
      <c r="G10" s="78"/>
      <c r="H10" s="78"/>
      <c r="I10" s="78"/>
      <c r="J10" s="79"/>
      <c r="X10" s="304"/>
    </row>
    <row r="11" spans="1:38" x14ac:dyDescent="0.35">
      <c r="A11" s="81" t="s">
        <v>627</v>
      </c>
      <c r="B11" s="82"/>
      <c r="C11" s="83"/>
      <c r="D11" s="83"/>
      <c r="E11" s="83"/>
      <c r="F11" s="83"/>
      <c r="G11" s="83"/>
      <c r="H11" s="83"/>
      <c r="I11" s="83"/>
      <c r="J11" s="84"/>
      <c r="Y11" s="2436"/>
    </row>
    <row r="12" spans="1:38" x14ac:dyDescent="0.35">
      <c r="A12" s="81" t="s">
        <v>628</v>
      </c>
      <c r="B12" s="83"/>
      <c r="C12" s="83"/>
      <c r="D12" s="83"/>
      <c r="E12" s="83"/>
      <c r="F12" s="83"/>
      <c r="G12" s="83"/>
      <c r="H12" s="83"/>
      <c r="I12" s="83"/>
      <c r="J12" s="84"/>
      <c r="Y12" s="2436"/>
    </row>
    <row r="13" spans="1:38" x14ac:dyDescent="0.35">
      <c r="A13" s="81" t="s">
        <v>629</v>
      </c>
      <c r="B13" s="82"/>
      <c r="C13" s="83"/>
      <c r="D13" s="83"/>
      <c r="E13" s="83"/>
      <c r="F13" s="83"/>
      <c r="G13" s="83"/>
      <c r="H13" s="83"/>
      <c r="I13" s="83"/>
      <c r="J13" s="84"/>
      <c r="Y13" s="2436"/>
    </row>
    <row r="14" spans="1:38" ht="15" thickBot="1" x14ac:dyDescent="0.4">
      <c r="A14" s="85" t="s">
        <v>630</v>
      </c>
      <c r="B14" s="86"/>
      <c r="C14" s="305"/>
      <c r="D14" s="86"/>
      <c r="E14" s="86"/>
      <c r="F14" s="86"/>
      <c r="G14" s="86"/>
      <c r="H14" s="86"/>
      <c r="I14" s="86"/>
      <c r="J14" s="87"/>
      <c r="Y14" s="2436"/>
    </row>
    <row r="15" spans="1:38" ht="15" thickBot="1" x14ac:dyDescent="0.4">
      <c r="A15" s="188" t="s">
        <v>2571</v>
      </c>
      <c r="B15" s="1930" t="e">
        <f>+#REF!</f>
        <v>#REF!</v>
      </c>
    </row>
    <row r="16" spans="1:38" ht="15" thickBot="1" x14ac:dyDescent="0.4">
      <c r="A16" s="188" t="s">
        <v>2572</v>
      </c>
      <c r="B16" s="1931" t="s">
        <v>3426</v>
      </c>
    </row>
    <row r="17" spans="1:12" ht="15" thickBot="1" x14ac:dyDescent="0.4"/>
    <row r="18" spans="1:12" ht="15" thickBot="1" x14ac:dyDescent="0.4">
      <c r="A18" s="88" t="s">
        <v>413</v>
      </c>
      <c r="B18" s="89" t="s">
        <v>414</v>
      </c>
      <c r="C18" s="90" t="s">
        <v>415</v>
      </c>
      <c r="D18" s="78"/>
      <c r="E18" s="78"/>
      <c r="F18" s="78"/>
      <c r="G18" s="78"/>
      <c r="H18" s="78"/>
      <c r="I18" s="78"/>
      <c r="J18" s="78"/>
      <c r="K18" s="78"/>
      <c r="L18" s="79"/>
    </row>
    <row r="19" spans="1:12" x14ac:dyDescent="0.35">
      <c r="A19" s="306" t="s">
        <v>605</v>
      </c>
      <c r="B19" s="94"/>
      <c r="C19" s="93" t="s">
        <v>631</v>
      </c>
      <c r="D19" s="94"/>
      <c r="E19" s="94"/>
      <c r="F19" s="94"/>
      <c r="G19" s="94"/>
      <c r="H19" s="94"/>
      <c r="I19" s="94"/>
      <c r="J19" s="94"/>
      <c r="K19" s="94"/>
      <c r="L19" s="95"/>
    </row>
    <row r="20" spans="1:12" ht="15" thickBot="1" x14ac:dyDescent="0.4">
      <c r="A20" s="307"/>
      <c r="B20" s="99"/>
      <c r="C20" s="98" t="s">
        <v>632</v>
      </c>
      <c r="D20" s="99"/>
      <c r="E20" s="99"/>
      <c r="F20" s="99"/>
      <c r="G20" s="99"/>
      <c r="H20" s="99"/>
      <c r="I20" s="99"/>
      <c r="J20" s="99"/>
      <c r="K20" s="99"/>
      <c r="L20" s="100"/>
    </row>
    <row r="21" spans="1:12" x14ac:dyDescent="0.35">
      <c r="A21" s="308" t="s">
        <v>606</v>
      </c>
      <c r="B21" s="67"/>
      <c r="C21" s="309" t="s">
        <v>633</v>
      </c>
      <c r="D21" s="67"/>
      <c r="E21" s="67"/>
      <c r="F21" s="67"/>
      <c r="G21" s="67"/>
      <c r="H21" s="67"/>
      <c r="I21" s="67"/>
      <c r="J21" s="67"/>
      <c r="K21" s="67"/>
      <c r="L21" s="310"/>
    </row>
    <row r="22" spans="1:12" ht="15" thickBot="1" x14ac:dyDescent="0.4">
      <c r="A22" s="307"/>
      <c r="B22" s="99"/>
      <c r="C22" s="98" t="s">
        <v>634</v>
      </c>
      <c r="D22" s="99"/>
      <c r="E22" s="99"/>
      <c r="F22" s="99"/>
      <c r="G22" s="99"/>
      <c r="H22" s="99"/>
      <c r="I22" s="99"/>
      <c r="J22" s="99"/>
      <c r="K22" s="99"/>
      <c r="L22" s="100"/>
    </row>
    <row r="23" spans="1:12" x14ac:dyDescent="0.35">
      <c r="A23" s="306" t="s">
        <v>607</v>
      </c>
      <c r="B23" s="94">
        <v>7.8</v>
      </c>
      <c r="C23" s="93" t="s">
        <v>635</v>
      </c>
      <c r="D23" s="94"/>
      <c r="E23" s="94"/>
      <c r="F23" s="94"/>
      <c r="G23" s="94"/>
      <c r="H23" s="94"/>
      <c r="I23" s="94"/>
      <c r="J23" s="67"/>
      <c r="K23" s="67"/>
      <c r="L23" s="310"/>
    </row>
    <row r="24" spans="1:12" ht="15" thickBot="1" x14ac:dyDescent="0.4">
      <c r="A24" s="307"/>
      <c r="B24" s="99"/>
      <c r="C24" s="98" t="s">
        <v>636</v>
      </c>
      <c r="D24" s="99"/>
      <c r="E24" s="99"/>
      <c r="F24" s="99"/>
      <c r="G24" s="99"/>
      <c r="H24" s="99"/>
      <c r="I24" s="99"/>
      <c r="J24" s="99"/>
      <c r="K24" s="99"/>
      <c r="L24" s="100"/>
    </row>
    <row r="25" spans="1:12" x14ac:dyDescent="0.35">
      <c r="A25" s="306" t="s">
        <v>608</v>
      </c>
      <c r="B25" s="94"/>
      <c r="C25" s="93" t="s">
        <v>637</v>
      </c>
      <c r="D25" s="94"/>
      <c r="E25" s="94"/>
      <c r="F25" s="94"/>
      <c r="G25" s="94"/>
      <c r="H25" s="94"/>
      <c r="I25" s="94"/>
      <c r="J25" s="67"/>
      <c r="K25" s="67"/>
      <c r="L25" s="310"/>
    </row>
    <row r="26" spans="1:12" ht="15" thickBot="1" x14ac:dyDescent="0.4">
      <c r="A26" s="307"/>
      <c r="B26" s="99"/>
      <c r="C26" s="98" t="s">
        <v>638</v>
      </c>
      <c r="D26" s="99"/>
      <c r="E26" s="99"/>
      <c r="F26" s="99"/>
      <c r="G26" s="99"/>
      <c r="H26" s="99"/>
      <c r="I26" s="99"/>
      <c r="J26" s="99"/>
      <c r="K26" s="99"/>
      <c r="L26" s="100"/>
    </row>
    <row r="27" spans="1:12" x14ac:dyDescent="0.35">
      <c r="A27" s="306" t="s">
        <v>609</v>
      </c>
      <c r="B27" s="94">
        <v>7.8</v>
      </c>
      <c r="C27" s="93" t="s">
        <v>639</v>
      </c>
      <c r="D27" s="94"/>
      <c r="E27" s="94"/>
      <c r="F27" s="94"/>
      <c r="G27" s="94"/>
      <c r="H27" s="94"/>
      <c r="I27" s="94"/>
      <c r="J27" s="67"/>
      <c r="K27" s="67"/>
      <c r="L27" s="310"/>
    </row>
    <row r="28" spans="1:12" ht="15" thickBot="1" x14ac:dyDescent="0.4">
      <c r="A28" s="307"/>
      <c r="B28" s="99"/>
      <c r="C28" s="98" t="s">
        <v>636</v>
      </c>
      <c r="D28" s="99"/>
      <c r="E28" s="99"/>
      <c r="F28" s="99"/>
      <c r="G28" s="99"/>
      <c r="H28" s="99"/>
      <c r="I28" s="99"/>
      <c r="J28" s="99"/>
      <c r="K28" s="99"/>
      <c r="L28" s="100"/>
    </row>
    <row r="29" spans="1:12" x14ac:dyDescent="0.35">
      <c r="A29" s="306" t="s">
        <v>352</v>
      </c>
      <c r="B29" s="94"/>
      <c r="C29" s="93" t="s">
        <v>640</v>
      </c>
      <c r="D29" s="94"/>
      <c r="E29" s="94"/>
      <c r="F29" s="94"/>
      <c r="G29" s="94"/>
      <c r="H29" s="94"/>
      <c r="I29" s="94"/>
      <c r="J29" s="67"/>
      <c r="K29" s="67"/>
      <c r="L29" s="310"/>
    </row>
    <row r="30" spans="1:12" ht="15" thickBot="1" x14ac:dyDescent="0.4">
      <c r="A30" s="307"/>
      <c r="B30" s="99"/>
      <c r="C30" s="98" t="s">
        <v>641</v>
      </c>
      <c r="D30" s="99"/>
      <c r="E30" s="99"/>
      <c r="F30" s="99"/>
      <c r="G30" s="99"/>
      <c r="H30" s="99"/>
      <c r="I30" s="99"/>
      <c r="J30" s="99"/>
      <c r="K30" s="99"/>
      <c r="L30" s="100"/>
    </row>
    <row r="31" spans="1:12" x14ac:dyDescent="0.35">
      <c r="A31" s="306" t="s">
        <v>610</v>
      </c>
      <c r="B31" s="94">
        <v>0.6</v>
      </c>
      <c r="C31" s="93" t="s">
        <v>642</v>
      </c>
      <c r="D31" s="94"/>
      <c r="E31" s="94"/>
      <c r="F31" s="94"/>
      <c r="G31" s="94"/>
      <c r="H31" s="94"/>
      <c r="I31" s="94"/>
      <c r="J31" s="67"/>
      <c r="K31" s="67"/>
      <c r="L31" s="310"/>
    </row>
    <row r="32" spans="1:12" ht="15" thickBot="1" x14ac:dyDescent="0.4">
      <c r="A32" s="307"/>
      <c r="B32" s="99"/>
      <c r="C32" s="98" t="s">
        <v>636</v>
      </c>
      <c r="D32" s="99"/>
      <c r="E32" s="99"/>
      <c r="F32" s="99"/>
      <c r="G32" s="99"/>
      <c r="H32" s="99"/>
      <c r="I32" s="99"/>
      <c r="J32" s="99"/>
      <c r="K32" s="99"/>
      <c r="L32" s="100"/>
    </row>
    <row r="33" spans="1:12" x14ac:dyDescent="0.35">
      <c r="A33" s="306" t="s">
        <v>611</v>
      </c>
      <c r="B33" s="94"/>
      <c r="C33" s="93" t="s">
        <v>643</v>
      </c>
      <c r="D33" s="94"/>
      <c r="E33" s="94"/>
      <c r="F33" s="94"/>
      <c r="G33" s="94"/>
      <c r="H33" s="94"/>
      <c r="I33" s="94"/>
      <c r="J33" s="67"/>
      <c r="K33" s="67"/>
      <c r="L33" s="310"/>
    </row>
    <row r="34" spans="1:12" ht="15" thickBot="1" x14ac:dyDescent="0.4">
      <c r="A34" s="307"/>
      <c r="B34" s="99"/>
      <c r="C34" s="98" t="s">
        <v>641</v>
      </c>
      <c r="D34" s="99"/>
      <c r="E34" s="99"/>
      <c r="F34" s="99"/>
      <c r="G34" s="99"/>
      <c r="H34" s="99"/>
      <c r="I34" s="99"/>
      <c r="J34" s="99"/>
      <c r="K34" s="99"/>
      <c r="L34" s="100"/>
    </row>
    <row r="35" spans="1:12" x14ac:dyDescent="0.35">
      <c r="A35" s="306" t="s">
        <v>612</v>
      </c>
      <c r="B35" s="94">
        <v>0.11700000000000001</v>
      </c>
      <c r="C35" s="93" t="s">
        <v>644</v>
      </c>
      <c r="D35" s="94"/>
      <c r="E35" s="94"/>
      <c r="F35" s="94"/>
      <c r="G35" s="94"/>
      <c r="H35" s="94"/>
      <c r="I35" s="94"/>
      <c r="J35" s="67"/>
      <c r="K35" s="67"/>
      <c r="L35" s="310"/>
    </row>
    <row r="36" spans="1:12" x14ac:dyDescent="0.35">
      <c r="A36" s="308"/>
      <c r="B36" s="67"/>
      <c r="C36" s="309" t="s">
        <v>645</v>
      </c>
      <c r="D36" s="67"/>
      <c r="E36" s="67"/>
      <c r="F36" s="67"/>
      <c r="G36" s="67"/>
      <c r="H36" s="67"/>
      <c r="I36" s="67"/>
      <c r="J36" s="67"/>
      <c r="K36" s="67"/>
      <c r="L36" s="310"/>
    </row>
    <row r="37" spans="1:12" x14ac:dyDescent="0.35">
      <c r="A37" s="308"/>
      <c r="B37" s="67"/>
      <c r="C37" s="309" t="s">
        <v>646</v>
      </c>
      <c r="D37" s="67"/>
      <c r="E37" s="67"/>
      <c r="F37" s="67"/>
      <c r="G37" s="67"/>
      <c r="H37" s="67"/>
      <c r="I37" s="67"/>
      <c r="J37" s="67"/>
      <c r="K37" s="67"/>
      <c r="L37" s="310"/>
    </row>
    <row r="38" spans="1:12" x14ac:dyDescent="0.35">
      <c r="A38" s="308"/>
      <c r="B38" s="67"/>
      <c r="C38" s="309" t="s">
        <v>647</v>
      </c>
      <c r="D38" s="67"/>
      <c r="E38" s="67"/>
      <c r="F38" s="67"/>
      <c r="G38" s="67"/>
      <c r="H38" s="67"/>
      <c r="I38" s="67"/>
      <c r="J38" s="67"/>
      <c r="K38" s="67"/>
      <c r="L38" s="310"/>
    </row>
    <row r="39" spans="1:12" x14ac:dyDescent="0.35">
      <c r="A39" s="308"/>
      <c r="B39" s="67"/>
      <c r="C39" s="67" t="s">
        <v>648</v>
      </c>
      <c r="D39" s="67"/>
      <c r="E39" s="67"/>
      <c r="F39" s="67"/>
      <c r="G39" s="67"/>
      <c r="H39" s="67"/>
      <c r="I39" s="67"/>
      <c r="J39" s="67"/>
      <c r="K39" s="67"/>
      <c r="L39" s="310"/>
    </row>
    <row r="40" spans="1:12" x14ac:dyDescent="0.35">
      <c r="A40" s="308"/>
      <c r="B40" s="67"/>
      <c r="C40" s="67" t="s">
        <v>649</v>
      </c>
      <c r="D40" s="67"/>
      <c r="E40" s="67"/>
      <c r="F40" s="67"/>
      <c r="G40" s="67"/>
      <c r="H40" s="67"/>
      <c r="I40" s="67"/>
      <c r="J40" s="67"/>
      <c r="K40" s="67"/>
      <c r="L40" s="310"/>
    </row>
    <row r="41" spans="1:12" x14ac:dyDescent="0.35">
      <c r="A41" s="308"/>
      <c r="B41" s="67"/>
      <c r="C41" s="309" t="s">
        <v>650</v>
      </c>
      <c r="D41" s="67"/>
      <c r="E41" s="67"/>
      <c r="F41" s="67"/>
      <c r="G41" s="67"/>
      <c r="H41" s="67"/>
      <c r="I41" s="67"/>
      <c r="J41" s="67"/>
      <c r="K41" s="67"/>
      <c r="L41" s="310"/>
    </row>
    <row r="42" spans="1:12" x14ac:dyDescent="0.35">
      <c r="A42" s="311"/>
      <c r="B42" s="67"/>
      <c r="C42" s="67" t="s">
        <v>651</v>
      </c>
      <c r="D42" s="67"/>
      <c r="E42" s="67"/>
      <c r="F42" s="67"/>
      <c r="G42" s="67"/>
      <c r="H42" s="67"/>
      <c r="I42" s="67"/>
      <c r="J42" s="67"/>
      <c r="K42" s="67"/>
      <c r="L42" s="310"/>
    </row>
    <row r="43" spans="1:12" x14ac:dyDescent="0.35">
      <c r="A43" s="311"/>
      <c r="B43" s="67"/>
      <c r="C43" s="67" t="s">
        <v>652</v>
      </c>
      <c r="D43" s="67"/>
      <c r="E43" s="67"/>
      <c r="F43" s="67"/>
      <c r="G43" s="67"/>
      <c r="H43" s="67"/>
      <c r="I43" s="67"/>
      <c r="J43" s="67"/>
      <c r="K43" s="67"/>
      <c r="L43" s="310"/>
    </row>
    <row r="44" spans="1:12" ht="15" thickBot="1" x14ac:dyDescent="0.4">
      <c r="A44" s="111"/>
      <c r="B44" s="99"/>
      <c r="C44" s="99" t="s">
        <v>653</v>
      </c>
      <c r="D44" s="99"/>
      <c r="E44" s="99"/>
      <c r="F44" s="99"/>
      <c r="G44" s="99"/>
      <c r="H44" s="99"/>
      <c r="I44" s="99"/>
      <c r="J44" s="99"/>
      <c r="K44" s="99"/>
      <c r="L44" s="100"/>
    </row>
    <row r="45" spans="1:12" x14ac:dyDescent="0.35">
      <c r="A45" s="306" t="s">
        <v>613</v>
      </c>
      <c r="B45" s="94"/>
      <c r="C45" s="93" t="s">
        <v>654</v>
      </c>
      <c r="D45" s="94"/>
      <c r="E45" s="94"/>
      <c r="F45" s="94"/>
      <c r="G45" s="94"/>
      <c r="H45" s="94"/>
      <c r="I45" s="94"/>
      <c r="J45" s="67"/>
      <c r="K45" s="67"/>
      <c r="L45" s="310"/>
    </row>
    <row r="46" spans="1:12" ht="15" thickBot="1" x14ac:dyDescent="0.4">
      <c r="A46" s="111"/>
      <c r="B46" s="99"/>
      <c r="C46" s="109" t="s">
        <v>655</v>
      </c>
      <c r="D46" s="99"/>
      <c r="E46" s="99"/>
      <c r="F46" s="99"/>
      <c r="G46" s="99"/>
      <c r="H46" s="99"/>
      <c r="I46" s="99"/>
      <c r="J46" s="99"/>
      <c r="K46" s="99"/>
      <c r="L46" s="100"/>
    </row>
    <row r="47" spans="1:12" x14ac:dyDescent="0.35">
      <c r="A47" s="312" t="s">
        <v>614</v>
      </c>
      <c r="B47" s="94"/>
      <c r="C47" s="93" t="s">
        <v>656</v>
      </c>
      <c r="D47" s="94"/>
      <c r="E47" s="94"/>
      <c r="F47" s="94"/>
      <c r="G47" s="94"/>
      <c r="H47" s="94"/>
      <c r="I47" s="94"/>
      <c r="J47" s="67"/>
      <c r="K47" s="67"/>
      <c r="L47" s="310"/>
    </row>
    <row r="48" spans="1:12" x14ac:dyDescent="0.35">
      <c r="A48" s="311"/>
      <c r="B48" s="67"/>
      <c r="C48" s="309" t="s">
        <v>657</v>
      </c>
      <c r="D48" s="67"/>
      <c r="E48" s="67"/>
      <c r="F48" s="67"/>
      <c r="G48" s="67"/>
      <c r="H48" s="67"/>
      <c r="I48" s="67"/>
      <c r="J48" s="67"/>
      <c r="K48" s="67"/>
      <c r="L48" s="310"/>
    </row>
    <row r="49" spans="1:12" x14ac:dyDescent="0.35">
      <c r="A49" s="311"/>
      <c r="B49" s="67"/>
      <c r="C49" s="1932" t="s">
        <v>3427</v>
      </c>
      <c r="D49" s="1933"/>
      <c r="E49" s="1933"/>
      <c r="F49" s="1933"/>
      <c r="G49" s="1933"/>
      <c r="H49" s="1933"/>
      <c r="I49" s="1933"/>
      <c r="J49" s="1933"/>
      <c r="K49" s="1933"/>
      <c r="L49" s="1934"/>
    </row>
    <row r="50" spans="1:12" ht="15" thickBot="1" x14ac:dyDescent="0.4">
      <c r="A50" s="311"/>
      <c r="B50" s="67"/>
      <c r="C50" s="1932" t="s">
        <v>3428</v>
      </c>
      <c r="D50" s="1933"/>
      <c r="E50" s="1933"/>
      <c r="F50" s="1933"/>
      <c r="G50" s="1933"/>
      <c r="H50" s="1933"/>
      <c r="I50" s="1933"/>
      <c r="J50" s="1935"/>
      <c r="K50" s="1935"/>
      <c r="L50" s="1936"/>
    </row>
    <row r="51" spans="1:12" x14ac:dyDescent="0.35">
      <c r="A51" s="312" t="s">
        <v>615</v>
      </c>
      <c r="B51" s="112">
        <v>2.7799999999999998E-2</v>
      </c>
      <c r="C51" s="93" t="s">
        <v>658</v>
      </c>
      <c r="D51" s="94"/>
      <c r="E51" s="94"/>
      <c r="F51" s="94"/>
      <c r="G51" s="94"/>
      <c r="H51" s="94"/>
      <c r="I51" s="94"/>
      <c r="J51" s="67"/>
      <c r="K51" s="67"/>
      <c r="L51" s="310"/>
    </row>
    <row r="52" spans="1:12" ht="15" thickBot="1" x14ac:dyDescent="0.4">
      <c r="A52" s="111"/>
      <c r="B52" s="99"/>
      <c r="C52" s="108" t="s">
        <v>659</v>
      </c>
      <c r="D52" s="99"/>
      <c r="E52" s="99"/>
      <c r="F52" s="99"/>
      <c r="G52" s="99"/>
      <c r="H52" s="99"/>
      <c r="I52" s="99"/>
      <c r="J52" s="99"/>
      <c r="K52" s="99"/>
      <c r="L52" s="100"/>
    </row>
    <row r="53" spans="1:12" x14ac:dyDescent="0.35">
      <c r="A53" s="312" t="s">
        <v>616</v>
      </c>
      <c r="B53" s="94"/>
      <c r="C53" s="93" t="s">
        <v>660</v>
      </c>
      <c r="D53" s="94"/>
      <c r="E53" s="94"/>
      <c r="F53" s="94"/>
      <c r="G53" s="94"/>
      <c r="H53" s="94"/>
      <c r="I53" s="94"/>
      <c r="J53" s="67"/>
      <c r="K53" s="67"/>
      <c r="L53" s="310"/>
    </row>
    <row r="54" spans="1:12" ht="15" thickBot="1" x14ac:dyDescent="0.4">
      <c r="A54" s="111"/>
      <c r="B54" s="99"/>
      <c r="C54" s="98" t="s">
        <v>661</v>
      </c>
      <c r="D54" s="99"/>
      <c r="E54" s="99"/>
      <c r="F54" s="99"/>
      <c r="G54" s="99"/>
      <c r="H54" s="99"/>
      <c r="I54" s="99"/>
      <c r="J54" s="99"/>
      <c r="K54" s="99"/>
      <c r="L54" s="100"/>
    </row>
    <row r="55" spans="1:12" x14ac:dyDescent="0.35">
      <c r="A55" s="312" t="s">
        <v>617</v>
      </c>
      <c r="B55" s="94">
        <f>IF(M4=I72,0.0054,0.0063)</f>
        <v>5.4000000000000003E-3</v>
      </c>
      <c r="C55" s="93" t="s">
        <v>662</v>
      </c>
      <c r="D55" s="94"/>
      <c r="E55" s="94"/>
      <c r="F55" s="94"/>
      <c r="G55" s="94"/>
      <c r="H55" s="94"/>
      <c r="I55" s="94"/>
      <c r="J55" s="67"/>
      <c r="K55" s="67"/>
      <c r="L55" s="310"/>
    </row>
    <row r="56" spans="1:12" x14ac:dyDescent="0.35">
      <c r="A56" s="313"/>
      <c r="B56" s="67"/>
      <c r="C56" s="67" t="s">
        <v>663</v>
      </c>
      <c r="D56" s="67"/>
      <c r="E56" s="67"/>
      <c r="F56" s="67"/>
      <c r="G56" s="67"/>
      <c r="H56" s="67"/>
      <c r="I56" s="67"/>
      <c r="J56" s="67"/>
      <c r="K56" s="67"/>
      <c r="L56" s="310"/>
    </row>
    <row r="57" spans="1:12" x14ac:dyDescent="0.35">
      <c r="A57" s="313"/>
      <c r="B57" s="67"/>
      <c r="C57" s="67" t="s">
        <v>664</v>
      </c>
      <c r="D57" s="67"/>
      <c r="E57" s="67"/>
      <c r="F57" s="67"/>
      <c r="G57" s="67"/>
      <c r="H57" s="67"/>
      <c r="I57" s="67"/>
      <c r="J57" s="67"/>
      <c r="K57" s="67"/>
      <c r="L57" s="310"/>
    </row>
    <row r="58" spans="1:12" x14ac:dyDescent="0.35">
      <c r="A58" s="313"/>
      <c r="B58" s="67"/>
      <c r="C58" s="67" t="s">
        <v>665</v>
      </c>
      <c r="D58" s="67"/>
      <c r="E58" s="67"/>
      <c r="F58" s="67"/>
      <c r="G58" s="67"/>
      <c r="H58" s="67"/>
      <c r="I58" s="67"/>
      <c r="J58" s="67"/>
      <c r="K58" s="67"/>
      <c r="L58" s="310"/>
    </row>
    <row r="59" spans="1:12" x14ac:dyDescent="0.35">
      <c r="A59" s="313"/>
      <c r="B59" s="67"/>
      <c r="C59" s="67" t="s">
        <v>666</v>
      </c>
      <c r="D59" s="67"/>
      <c r="E59" s="67"/>
      <c r="F59" s="67"/>
      <c r="G59" s="67"/>
      <c r="H59" s="67"/>
      <c r="I59" s="67"/>
      <c r="J59" s="67"/>
      <c r="K59" s="67"/>
      <c r="L59" s="310"/>
    </row>
    <row r="60" spans="1:12" x14ac:dyDescent="0.35">
      <c r="A60" s="313"/>
      <c r="B60" s="67"/>
      <c r="C60" s="67" t="s">
        <v>667</v>
      </c>
      <c r="D60" s="67"/>
      <c r="E60" s="67"/>
      <c r="F60" s="67"/>
      <c r="G60" s="67"/>
      <c r="H60" s="67"/>
      <c r="I60" s="67"/>
      <c r="J60" s="67"/>
      <c r="K60" s="67"/>
      <c r="L60" s="310"/>
    </row>
    <row r="61" spans="1:12" x14ac:dyDescent="0.35">
      <c r="A61" s="313"/>
      <c r="B61" s="67"/>
      <c r="C61" s="309" t="s">
        <v>668</v>
      </c>
      <c r="D61" s="67"/>
      <c r="E61" s="67"/>
      <c r="F61" s="67"/>
      <c r="G61" s="67"/>
      <c r="H61" s="67"/>
      <c r="I61" s="67"/>
      <c r="J61" s="67"/>
      <c r="K61" s="67"/>
      <c r="L61" s="310"/>
    </row>
    <row r="62" spans="1:12" ht="15" thickBot="1" x14ac:dyDescent="0.4">
      <c r="A62" s="314"/>
      <c r="B62" s="99"/>
      <c r="C62" s="99" t="s">
        <v>669</v>
      </c>
      <c r="D62" s="99"/>
      <c r="E62" s="99"/>
      <c r="F62" s="99"/>
      <c r="G62" s="99"/>
      <c r="H62" s="99"/>
      <c r="I62" s="99"/>
      <c r="J62" s="99"/>
      <c r="K62" s="99"/>
      <c r="L62" s="100"/>
    </row>
    <row r="63" spans="1:12" x14ac:dyDescent="0.35">
      <c r="A63" s="118" t="s">
        <v>443</v>
      </c>
      <c r="B63" s="94">
        <v>10</v>
      </c>
      <c r="C63" s="94" t="s">
        <v>670</v>
      </c>
      <c r="D63" s="94"/>
      <c r="E63" s="94"/>
      <c r="F63" s="94"/>
      <c r="G63" s="94"/>
      <c r="H63" s="94"/>
      <c r="I63" s="94"/>
      <c r="J63" s="94"/>
      <c r="K63" s="94"/>
      <c r="L63" s="95"/>
    </row>
    <row r="64" spans="1:12" ht="15" thickBot="1" x14ac:dyDescent="0.4">
      <c r="A64" s="111"/>
      <c r="B64" s="99"/>
      <c r="C64" s="99" t="s">
        <v>659</v>
      </c>
      <c r="D64" s="99"/>
      <c r="E64" s="99"/>
      <c r="F64" s="99"/>
      <c r="G64" s="99"/>
      <c r="H64" s="99"/>
      <c r="I64" s="99"/>
      <c r="J64" s="99"/>
      <c r="K64" s="99"/>
      <c r="L64" s="100"/>
    </row>
    <row r="65" spans="1:13" x14ac:dyDescent="0.35">
      <c r="A65" s="118" t="s">
        <v>344</v>
      </c>
      <c r="B65" s="94"/>
      <c r="C65" s="94"/>
      <c r="D65" s="94"/>
      <c r="E65" s="94"/>
      <c r="F65" s="94"/>
      <c r="G65" s="94"/>
      <c r="H65" s="94"/>
      <c r="I65" s="94"/>
      <c r="J65" s="94"/>
      <c r="K65" s="94"/>
      <c r="L65" s="95"/>
    </row>
    <row r="66" spans="1:13" x14ac:dyDescent="0.35">
      <c r="A66" s="311"/>
      <c r="B66" s="67"/>
      <c r="C66" s="67"/>
      <c r="D66" s="67"/>
      <c r="E66" s="67"/>
      <c r="F66" s="67"/>
      <c r="G66" s="67"/>
      <c r="H66" s="67"/>
      <c r="I66" s="67"/>
      <c r="J66" s="67"/>
      <c r="K66" s="67"/>
      <c r="L66" s="310"/>
    </row>
    <row r="67" spans="1:13" ht="15" thickBot="1" x14ac:dyDescent="0.4">
      <c r="A67" s="111"/>
      <c r="B67" s="99"/>
      <c r="C67" s="99"/>
      <c r="D67" s="99"/>
      <c r="E67" s="99"/>
      <c r="F67" s="99"/>
      <c r="G67" s="99"/>
      <c r="H67" s="99"/>
      <c r="I67" s="99"/>
      <c r="J67" s="99"/>
      <c r="K67" s="99"/>
      <c r="L67" s="100"/>
    </row>
    <row r="68" spans="1:13" ht="15" thickBot="1" x14ac:dyDescent="0.4"/>
    <row r="69" spans="1:13" ht="15" thickBot="1" x14ac:dyDescent="0.4">
      <c r="A69" s="122" t="s">
        <v>446</v>
      </c>
      <c r="B69" s="123"/>
      <c r="C69" s="78"/>
      <c r="D69" s="78"/>
      <c r="E69" s="78"/>
      <c r="F69" s="78"/>
      <c r="G69" s="78"/>
      <c r="H69" s="78"/>
      <c r="I69" s="78"/>
      <c r="J69" s="78"/>
      <c r="K69" s="78"/>
      <c r="L69" s="78"/>
      <c r="M69" s="79"/>
    </row>
    <row r="70" spans="1:13" x14ac:dyDescent="0.35">
      <c r="A70" s="124"/>
      <c r="B70" s="83"/>
      <c r="C70" s="83"/>
      <c r="D70" s="83"/>
      <c r="E70" s="83"/>
      <c r="F70" s="138" t="s">
        <v>671</v>
      </c>
      <c r="G70" s="83"/>
      <c r="H70" s="83"/>
      <c r="I70" s="83"/>
      <c r="J70" s="83"/>
      <c r="K70" s="83"/>
      <c r="L70" s="83"/>
      <c r="M70" s="125"/>
    </row>
    <row r="71" spans="1:13" ht="26" x14ac:dyDescent="0.35">
      <c r="A71" s="124"/>
      <c r="B71" s="70" t="s">
        <v>672</v>
      </c>
      <c r="C71" s="70" t="s">
        <v>673</v>
      </c>
      <c r="D71" s="70" t="s">
        <v>674</v>
      </c>
      <c r="E71" s="83"/>
      <c r="F71" s="70" t="s">
        <v>675</v>
      </c>
      <c r="G71" s="83"/>
      <c r="H71" s="83"/>
      <c r="I71" s="70" t="s">
        <v>341</v>
      </c>
      <c r="J71" s="70" t="s">
        <v>352</v>
      </c>
      <c r="K71" s="70" t="s">
        <v>611</v>
      </c>
      <c r="L71" s="70" t="s">
        <v>613</v>
      </c>
      <c r="M71" s="125"/>
    </row>
    <row r="72" spans="1:13" x14ac:dyDescent="0.35">
      <c r="A72" s="124"/>
      <c r="B72" s="126" t="s">
        <v>451</v>
      </c>
      <c r="C72" s="127">
        <v>1</v>
      </c>
      <c r="D72" s="127">
        <v>0</v>
      </c>
      <c r="E72" s="83"/>
      <c r="F72" s="315">
        <v>2</v>
      </c>
      <c r="G72" s="83"/>
      <c r="H72" s="83"/>
      <c r="I72" s="126" t="s">
        <v>355</v>
      </c>
      <c r="J72" s="62">
        <v>2.56</v>
      </c>
      <c r="K72" s="62">
        <v>1.79</v>
      </c>
      <c r="L72" s="62">
        <v>0.98</v>
      </c>
      <c r="M72" s="125"/>
    </row>
    <row r="73" spans="1:13" x14ac:dyDescent="0.35">
      <c r="A73" s="124"/>
      <c r="B73" s="126" t="s">
        <v>397</v>
      </c>
      <c r="C73" s="127">
        <v>0</v>
      </c>
      <c r="D73" s="127">
        <v>1</v>
      </c>
      <c r="E73" s="83"/>
      <c r="F73" s="315">
        <v>1.75</v>
      </c>
      <c r="G73" s="83"/>
      <c r="H73" s="83"/>
      <c r="I73" s="126" t="s">
        <v>361</v>
      </c>
      <c r="J73" s="62">
        <v>2.1</v>
      </c>
      <c r="K73" s="62">
        <v>1.3</v>
      </c>
      <c r="L73" s="62">
        <v>0.95</v>
      </c>
      <c r="M73" s="125"/>
    </row>
    <row r="74" spans="1:13" ht="39" x14ac:dyDescent="0.35">
      <c r="A74" s="124"/>
      <c r="B74" s="126" t="s">
        <v>399</v>
      </c>
      <c r="C74" s="127">
        <v>0.16</v>
      </c>
      <c r="D74" s="127">
        <v>0.84</v>
      </c>
      <c r="E74" s="83"/>
      <c r="F74" s="315">
        <v>1.5</v>
      </c>
      <c r="G74" s="83"/>
      <c r="H74" s="83"/>
      <c r="I74" s="1928" t="s">
        <v>3416</v>
      </c>
      <c r="J74" s="1920">
        <v>2.42</v>
      </c>
      <c r="K74" s="1920">
        <v>1.64</v>
      </c>
      <c r="L74" s="1920">
        <v>0.96</v>
      </c>
      <c r="M74" s="125"/>
    </row>
    <row r="75" spans="1:13" ht="52" x14ac:dyDescent="0.35">
      <c r="A75" s="124"/>
      <c r="B75" s="406"/>
      <c r="C75" s="1939"/>
      <c r="D75" s="1939"/>
      <c r="E75" s="83"/>
      <c r="F75" s="756"/>
      <c r="G75" s="83"/>
      <c r="H75" s="83"/>
      <c r="I75" s="126" t="s">
        <v>295</v>
      </c>
      <c r="J75" s="126" t="s">
        <v>2435</v>
      </c>
      <c r="K75" s="62" t="s">
        <v>468</v>
      </c>
      <c r="L75" s="62"/>
      <c r="M75" s="125"/>
    </row>
    <row r="76" spans="1:13" ht="52" x14ac:dyDescent="0.35">
      <c r="A76" s="124"/>
      <c r="B76" s="83"/>
      <c r="C76" s="83"/>
      <c r="D76" s="83"/>
      <c r="E76" s="83"/>
      <c r="F76" s="83"/>
      <c r="G76" s="83"/>
      <c r="H76" s="83"/>
      <c r="I76" s="126" t="s">
        <v>2436</v>
      </c>
      <c r="J76" s="126"/>
      <c r="K76" s="62"/>
      <c r="L76" s="1920">
        <v>0.62</v>
      </c>
      <c r="M76" s="125"/>
    </row>
    <row r="77" spans="1:13" ht="52" x14ac:dyDescent="0.35">
      <c r="A77" s="124"/>
      <c r="B77" s="83"/>
      <c r="C77" s="83"/>
      <c r="D77" s="83"/>
      <c r="E77" s="83"/>
      <c r="F77" s="83"/>
      <c r="G77" s="83"/>
      <c r="H77" s="83"/>
      <c r="I77" s="126" t="s">
        <v>676</v>
      </c>
      <c r="J77" s="126"/>
      <c r="K77" s="62"/>
      <c r="L77" s="62">
        <v>0.67</v>
      </c>
      <c r="M77" s="125"/>
    </row>
    <row r="78" spans="1:13" ht="52" x14ac:dyDescent="0.35">
      <c r="A78" s="124"/>
      <c r="B78" s="70" t="s">
        <v>617</v>
      </c>
      <c r="C78" s="70"/>
      <c r="D78" s="83"/>
      <c r="E78" s="83"/>
      <c r="F78" s="83"/>
      <c r="G78" s="83"/>
      <c r="H78" s="316"/>
      <c r="I78" s="126" t="s">
        <v>677</v>
      </c>
      <c r="J78" s="126"/>
      <c r="K78" s="62"/>
      <c r="L78" s="1940">
        <v>0.28000000000000003</v>
      </c>
      <c r="M78" s="125"/>
    </row>
    <row r="79" spans="1:13" x14ac:dyDescent="0.35">
      <c r="A79" s="124"/>
      <c r="B79" s="62" t="s">
        <v>355</v>
      </c>
      <c r="C79" s="62">
        <v>5.0099999999999997E-3</v>
      </c>
      <c r="D79" s="83"/>
      <c r="E79" s="83"/>
      <c r="F79" s="83"/>
      <c r="G79" s="83"/>
      <c r="H79" s="316"/>
      <c r="I79" s="83"/>
      <c r="J79" s="83"/>
      <c r="K79" s="83"/>
      <c r="L79" s="83"/>
      <c r="M79" s="125"/>
    </row>
    <row r="80" spans="1:13" x14ac:dyDescent="0.35">
      <c r="A80" s="124"/>
      <c r="B80" s="62" t="s">
        <v>361</v>
      </c>
      <c r="C80" s="62">
        <v>5.8300000000000001E-3</v>
      </c>
      <c r="D80" s="83"/>
      <c r="E80" s="83"/>
      <c r="F80" s="83"/>
      <c r="G80" s="83"/>
      <c r="H80" s="316"/>
      <c r="I80" s="83"/>
      <c r="J80" s="83"/>
      <c r="K80" s="83"/>
      <c r="L80" s="83"/>
      <c r="M80" s="125"/>
    </row>
    <row r="81" spans="1:13" x14ac:dyDescent="0.35">
      <c r="A81" s="124"/>
      <c r="B81" s="83"/>
      <c r="C81" s="83"/>
      <c r="D81" s="83"/>
      <c r="E81" s="83"/>
      <c r="F81" s="83"/>
      <c r="G81" s="83"/>
      <c r="H81" s="83"/>
      <c r="I81" s="83"/>
      <c r="J81" s="83"/>
      <c r="K81" s="83"/>
      <c r="L81" s="83"/>
      <c r="M81" s="125"/>
    </row>
    <row r="82" spans="1:13" x14ac:dyDescent="0.35">
      <c r="A82" s="124"/>
      <c r="B82" s="83"/>
      <c r="C82" s="83"/>
      <c r="D82" s="83"/>
      <c r="E82" s="83"/>
      <c r="F82" s="83"/>
      <c r="G82" s="83"/>
      <c r="H82" s="83"/>
      <c r="I82" s="83"/>
      <c r="J82" s="83"/>
      <c r="K82" s="83"/>
      <c r="L82" s="83"/>
      <c r="M82" s="125"/>
    </row>
    <row r="83" spans="1:13" x14ac:dyDescent="0.35">
      <c r="A83" s="124"/>
      <c r="B83" s="83"/>
      <c r="C83" s="83"/>
      <c r="D83" s="83"/>
      <c r="E83" s="83"/>
      <c r="F83" s="83"/>
      <c r="G83" s="83"/>
      <c r="H83" s="83"/>
      <c r="I83" s="83"/>
      <c r="J83" s="83"/>
      <c r="K83" s="83"/>
      <c r="L83" s="83"/>
      <c r="M83" s="125"/>
    </row>
    <row r="84" spans="1:13" x14ac:dyDescent="0.35">
      <c r="A84" s="124"/>
      <c r="B84" s="70" t="s">
        <v>679</v>
      </c>
      <c r="C84" s="70"/>
      <c r="D84" s="83"/>
      <c r="E84" s="83"/>
      <c r="F84" s="83"/>
      <c r="G84" s="83"/>
      <c r="H84" s="83"/>
      <c r="I84" s="83"/>
      <c r="J84" s="83"/>
      <c r="K84" s="83"/>
      <c r="L84" s="83"/>
      <c r="M84" s="125"/>
    </row>
    <row r="85" spans="1:13" x14ac:dyDescent="0.35">
      <c r="A85" s="124"/>
      <c r="B85" s="62"/>
      <c r="C85" s="62"/>
      <c r="D85" s="83"/>
      <c r="E85" s="83"/>
      <c r="F85" s="83"/>
      <c r="G85" s="83"/>
      <c r="H85" s="83"/>
      <c r="I85" s="83"/>
      <c r="J85" s="83"/>
      <c r="K85" s="83"/>
      <c r="L85" s="83"/>
      <c r="M85" s="125"/>
    </row>
    <row r="86" spans="1:13" x14ac:dyDescent="0.35">
      <c r="A86" s="124"/>
      <c r="B86" s="317"/>
      <c r="C86" s="62"/>
      <c r="D86" s="83"/>
      <c r="E86" s="83"/>
      <c r="F86" s="83"/>
      <c r="G86" s="83"/>
      <c r="H86" s="83"/>
      <c r="I86" s="83"/>
      <c r="J86" s="83"/>
      <c r="K86" s="83"/>
      <c r="L86" s="83"/>
      <c r="M86" s="125"/>
    </row>
    <row r="87" spans="1:13" x14ac:dyDescent="0.35">
      <c r="A87" s="124"/>
      <c r="B87" s="317"/>
      <c r="C87" s="62"/>
      <c r="D87" s="83"/>
      <c r="E87" s="83"/>
      <c r="F87" s="83"/>
      <c r="G87" s="83"/>
      <c r="H87" s="83"/>
      <c r="I87" s="83"/>
      <c r="J87" s="83"/>
      <c r="K87" s="83"/>
      <c r="L87" s="83"/>
      <c r="M87" s="125"/>
    </row>
    <row r="88" spans="1:13" x14ac:dyDescent="0.35">
      <c r="A88" s="124"/>
      <c r="B88" s="62"/>
      <c r="C88" s="62"/>
      <c r="D88" s="318"/>
      <c r="E88" s="83"/>
      <c r="F88" s="83"/>
      <c r="G88" s="83"/>
      <c r="H88" s="83"/>
      <c r="I88" s="83"/>
      <c r="J88" s="83"/>
      <c r="K88" s="83"/>
      <c r="L88" s="83"/>
      <c r="M88" s="125"/>
    </row>
    <row r="89" spans="1:13" x14ac:dyDescent="0.35">
      <c r="A89" s="124"/>
      <c r="B89" s="62"/>
      <c r="C89" s="62"/>
      <c r="D89" s="318"/>
      <c r="E89" s="83"/>
      <c r="F89" s="83"/>
      <c r="G89" s="83"/>
      <c r="H89" s="83"/>
      <c r="I89" s="83"/>
      <c r="J89" s="83"/>
      <c r="K89" s="83"/>
      <c r="L89" s="83"/>
      <c r="M89" s="125"/>
    </row>
    <row r="90" spans="1:13" x14ac:dyDescent="0.35">
      <c r="A90" s="124"/>
      <c r="B90" s="83"/>
      <c r="C90" s="83"/>
      <c r="D90" s="83"/>
      <c r="E90" s="83"/>
      <c r="F90" s="83"/>
      <c r="G90" s="83"/>
      <c r="H90" s="83"/>
      <c r="I90" s="83"/>
      <c r="J90" s="83"/>
      <c r="K90" s="83"/>
      <c r="L90" s="83"/>
      <c r="M90" s="125"/>
    </row>
    <row r="91" spans="1:13" x14ac:dyDescent="0.35">
      <c r="A91" s="124"/>
      <c r="B91" s="83"/>
      <c r="C91" s="83"/>
      <c r="D91" s="83"/>
      <c r="E91" s="83"/>
      <c r="F91" s="83"/>
      <c r="G91" s="83"/>
      <c r="H91" s="83"/>
      <c r="I91" s="83"/>
      <c r="J91" s="83"/>
      <c r="K91" s="83"/>
      <c r="L91" s="83"/>
      <c r="M91" s="125"/>
    </row>
    <row r="92" spans="1:13" x14ac:dyDescent="0.35">
      <c r="A92" s="124"/>
      <c r="B92" s="83"/>
      <c r="C92" s="83"/>
      <c r="D92" s="2311" t="s">
        <v>614</v>
      </c>
      <c r="E92" s="2311"/>
      <c r="F92" s="83"/>
      <c r="G92" s="83"/>
      <c r="H92" s="83"/>
      <c r="I92" s="83"/>
      <c r="J92" s="83"/>
      <c r="K92" s="83"/>
      <c r="L92" s="83"/>
      <c r="M92" s="125"/>
    </row>
    <row r="93" spans="1:13" x14ac:dyDescent="0.35">
      <c r="A93" s="124"/>
      <c r="B93" s="70" t="s">
        <v>0</v>
      </c>
      <c r="C93" s="70" t="s">
        <v>606</v>
      </c>
      <c r="D93" s="70" t="s">
        <v>680</v>
      </c>
      <c r="E93" s="70" t="s">
        <v>681</v>
      </c>
      <c r="F93" s="319" t="s">
        <v>415</v>
      </c>
      <c r="G93" s="83"/>
      <c r="H93" s="83"/>
      <c r="I93" s="83"/>
      <c r="J93" s="83"/>
      <c r="K93" s="83"/>
      <c r="L93" s="83"/>
      <c r="M93" s="125"/>
    </row>
    <row r="94" spans="1:13" x14ac:dyDescent="0.35">
      <c r="A94" s="124"/>
      <c r="B94" s="62" t="s">
        <v>356</v>
      </c>
      <c r="C94" s="62">
        <v>2.35</v>
      </c>
      <c r="D94" s="1920">
        <v>267</v>
      </c>
      <c r="E94" s="1920">
        <v>219</v>
      </c>
      <c r="F94" s="62"/>
      <c r="G94" s="83"/>
      <c r="H94" s="83"/>
      <c r="I94" s="83"/>
      <c r="J94" s="83"/>
      <c r="K94" s="83"/>
      <c r="L94" s="83"/>
      <c r="M94" s="125"/>
    </row>
    <row r="95" spans="1:13" x14ac:dyDescent="0.35">
      <c r="A95" s="124"/>
      <c r="B95" s="62" t="s">
        <v>495</v>
      </c>
      <c r="C95" s="62">
        <v>2.35</v>
      </c>
      <c r="D95" s="1920">
        <v>267</v>
      </c>
      <c r="E95" s="1920">
        <v>219</v>
      </c>
      <c r="F95" s="62"/>
      <c r="G95" s="83"/>
      <c r="H95" s="83"/>
      <c r="I95" s="83"/>
      <c r="J95" s="83"/>
      <c r="K95" s="83"/>
      <c r="L95" s="83"/>
      <c r="M95" s="125"/>
    </row>
    <row r="96" spans="1:13" x14ac:dyDescent="0.35">
      <c r="A96" s="124"/>
      <c r="B96" s="62" t="s">
        <v>494</v>
      </c>
      <c r="C96" s="1941">
        <v>2.35</v>
      </c>
      <c r="D96" s="1920">
        <v>267</v>
      </c>
      <c r="E96" s="1920">
        <v>219</v>
      </c>
      <c r="F96" s="62"/>
      <c r="G96" s="83"/>
      <c r="H96" s="83"/>
      <c r="I96" s="83"/>
      <c r="J96" s="83"/>
      <c r="K96" s="83"/>
      <c r="L96" s="83"/>
      <c r="M96" s="125"/>
    </row>
    <row r="97" spans="1:13" x14ac:dyDescent="0.35">
      <c r="A97" s="124"/>
      <c r="B97" s="62" t="s">
        <v>403</v>
      </c>
      <c r="C97" s="1920">
        <v>2.2400000000000002</v>
      </c>
      <c r="D97" s="1920">
        <v>255</v>
      </c>
      <c r="E97" s="1920">
        <v>208</v>
      </c>
      <c r="F97" s="62"/>
      <c r="G97" s="83"/>
      <c r="H97" s="83"/>
      <c r="I97" s="83"/>
      <c r="J97" s="83"/>
      <c r="K97" s="83"/>
      <c r="L97" s="83"/>
      <c r="M97" s="125"/>
    </row>
    <row r="98" spans="1:13" ht="116" x14ac:dyDescent="0.35">
      <c r="A98" s="124"/>
      <c r="B98" s="62" t="s">
        <v>625</v>
      </c>
      <c r="C98" s="1920">
        <v>2.2400000000000002</v>
      </c>
      <c r="D98" s="1920">
        <v>255</v>
      </c>
      <c r="E98" s="1920">
        <v>208</v>
      </c>
      <c r="F98" s="317" t="s">
        <v>682</v>
      </c>
      <c r="G98" s="83"/>
      <c r="H98" s="83"/>
      <c r="I98" s="83"/>
      <c r="J98" s="83"/>
      <c r="K98" s="83"/>
      <c r="L98" s="83"/>
      <c r="M98" s="125"/>
    </row>
    <row r="99" spans="1:13" ht="15" thickBot="1" x14ac:dyDescent="0.4">
      <c r="A99" s="321"/>
      <c r="B99" s="201"/>
      <c r="C99" s="201"/>
      <c r="D99" s="201"/>
      <c r="E99" s="201"/>
      <c r="F99" s="201"/>
      <c r="G99" s="201"/>
      <c r="H99" s="201"/>
      <c r="I99" s="201"/>
      <c r="J99" s="201"/>
      <c r="K99" s="201"/>
      <c r="L99" s="201"/>
      <c r="M99" s="203"/>
    </row>
  </sheetData>
  <customSheetViews>
    <customSheetView guid="{11DE45F5-F478-4ED6-8DFF-12002C22A637}" scale="85" showPageBreaks="1" fitToPage="1" view="pageBreakPreview">
      <pageMargins left="0.7" right="0.7" top="0.75" bottom="0.75" header="0.3" footer="0.3"/>
      <pageSetup scale="25" orientation="landscape" r:id="rId1"/>
    </customSheetView>
    <customSheetView guid="{ECD6FE6A-9548-414E-B8AA-6998703C57E0}" scale="85" showPageBreaks="1" fitToPage="1" view="pageBreakPreview">
      <pageMargins left="0.7" right="0.7" top="0.75" bottom="0.75" header="0.3" footer="0.3"/>
      <pageSetup scale="25" orientation="landscape" r:id="rId2"/>
    </customSheetView>
  </customSheetViews>
  <mergeCells count="6">
    <mergeCell ref="D92:E92"/>
    <mergeCell ref="N2:Q2"/>
    <mergeCell ref="R2:U2"/>
    <mergeCell ref="V2:AI2"/>
    <mergeCell ref="Y11:Y12"/>
    <mergeCell ref="Y13:Y14"/>
  </mergeCells>
  <dataValidations count="7">
    <dataValidation type="list" allowBlank="1" showInputMessage="1" showErrorMessage="1" sqref="F4:F7" xr:uid="{00000000-0002-0000-2900-000000000000}">
      <formula1>$N$11:$N$18</formula1>
    </dataValidation>
    <dataValidation type="list" allowBlank="1" showInputMessage="1" showErrorMessage="1" sqref="L4:L7" xr:uid="{00000000-0002-0000-2900-000001000000}">
      <formula1>LFSh1</formula1>
    </dataValidation>
    <dataValidation type="list" allowBlank="1" showInputMessage="1" showErrorMessage="1" sqref="M4:M7" xr:uid="{00000000-0002-0000-2900-000002000000}">
      <formula1>LFSh2</formula1>
    </dataValidation>
    <dataValidation type="list" allowBlank="1" showInputMessage="1" showErrorMessage="1" sqref="E4:E7" xr:uid="{00000000-0002-0000-2900-000003000000}">
      <formula1>$L$11:$L$12</formula1>
    </dataValidation>
    <dataValidation type="list" allowBlank="1" showInputMessage="1" showErrorMessage="1" sqref="K4:K7" xr:uid="{00000000-0002-0000-2900-000004000000}">
      <formula1>$B$72:$B$75</formula1>
    </dataValidation>
    <dataValidation type="list" allowBlank="1" showInputMessage="1" showErrorMessage="1" sqref="D4:D7" xr:uid="{00000000-0002-0000-2900-000005000000}">
      <formula1>MeasureType</formula1>
    </dataValidation>
    <dataValidation type="list" allowBlank="1" showInputMessage="1" showErrorMessage="1" sqref="I4:I7" xr:uid="{00000000-0002-0000-2900-000006000000}">
      <formula1>$B$85:$B$89</formula1>
    </dataValidation>
  </dataValidations>
  <pageMargins left="0.7" right="0.7" top="0.75" bottom="0.75" header="0.3" footer="0.3"/>
  <pageSetup scale="25" orientation="landscape"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59999389629810485"/>
    <pageSetUpPr fitToPage="1"/>
  </sheetPr>
  <dimension ref="A1:Y73"/>
  <sheetViews>
    <sheetView view="pageBreakPreview" zoomScale="85" zoomScaleNormal="100" zoomScaleSheetLayoutView="85" workbookViewId="0">
      <selection activeCell="B14" sqref="B14"/>
    </sheetView>
  </sheetViews>
  <sheetFormatPr defaultRowHeight="14.5" x14ac:dyDescent="0.35"/>
  <cols>
    <col min="1" max="1" width="22.1796875" customWidth="1"/>
    <col min="2" max="2" width="45.54296875" bestFit="1" customWidth="1"/>
    <col min="3" max="3" width="17" customWidth="1"/>
    <col min="4" max="4" width="16.26953125" customWidth="1"/>
    <col min="6" max="6" width="10.453125" customWidth="1"/>
    <col min="9" max="9" width="18.26953125" customWidth="1"/>
    <col min="17" max="17" width="11.1796875" bestFit="1" customWidth="1"/>
  </cols>
  <sheetData>
    <row r="1" spans="1:25" x14ac:dyDescent="0.35">
      <c r="A1" s="1721" t="s">
        <v>327</v>
      </c>
      <c r="B1" s="1228" t="s">
        <v>2437</v>
      </c>
      <c r="C1" s="1176"/>
      <c r="D1" s="1176"/>
      <c r="E1" s="1177"/>
      <c r="F1" s="1177"/>
      <c r="G1" s="1177"/>
      <c r="H1" s="1177"/>
      <c r="I1" s="1177"/>
      <c r="J1" s="1177"/>
      <c r="K1" s="1177"/>
      <c r="L1" s="1177"/>
      <c r="M1" s="2219" t="s">
        <v>335</v>
      </c>
      <c r="N1" s="2220"/>
      <c r="O1" s="2274"/>
      <c r="P1" s="2219" t="s">
        <v>336</v>
      </c>
      <c r="Q1" s="2220"/>
      <c r="R1" s="2220"/>
      <c r="S1" s="2199" t="s">
        <v>337</v>
      </c>
      <c r="T1" s="2199"/>
      <c r="U1" s="2199"/>
      <c r="V1" s="2199"/>
      <c r="W1" s="2199"/>
      <c r="X1" s="2199"/>
      <c r="Y1" s="2199"/>
    </row>
    <row r="2" spans="1:25" ht="29" x14ac:dyDescent="0.35">
      <c r="A2" s="1145" t="s">
        <v>338</v>
      </c>
      <c r="B2" s="1129" t="s">
        <v>1</v>
      </c>
      <c r="C2" s="1129" t="s">
        <v>339</v>
      </c>
      <c r="D2" s="1129" t="s">
        <v>688</v>
      </c>
      <c r="E2" s="1177" t="s">
        <v>342</v>
      </c>
      <c r="F2" s="1177" t="s">
        <v>343</v>
      </c>
      <c r="G2" s="1177" t="s">
        <v>344</v>
      </c>
      <c r="H2" s="1177" t="s">
        <v>367</v>
      </c>
      <c r="I2" s="1177" t="s">
        <v>345</v>
      </c>
      <c r="J2" s="1177" t="s">
        <v>2438</v>
      </c>
      <c r="K2" s="1177" t="s">
        <v>2439</v>
      </c>
      <c r="L2" s="1177" t="s">
        <v>602</v>
      </c>
      <c r="M2" s="1166" t="s">
        <v>347</v>
      </c>
      <c r="N2" s="1166" t="s">
        <v>348</v>
      </c>
      <c r="O2" s="1166" t="s">
        <v>349</v>
      </c>
      <c r="P2" s="1166" t="s">
        <v>347</v>
      </c>
      <c r="Q2" s="1166" t="s">
        <v>348</v>
      </c>
      <c r="R2" s="1165" t="s">
        <v>349</v>
      </c>
      <c r="S2" s="1275" t="s">
        <v>1234</v>
      </c>
      <c r="T2" s="1275" t="s">
        <v>1235</v>
      </c>
      <c r="U2" s="1275" t="s">
        <v>614</v>
      </c>
      <c r="V2" s="1275" t="s">
        <v>615</v>
      </c>
      <c r="W2" s="1275" t="s">
        <v>2440</v>
      </c>
      <c r="X2" s="1275" t="s">
        <v>1231</v>
      </c>
      <c r="Y2" s="1275" t="s">
        <v>1056</v>
      </c>
    </row>
    <row r="3" spans="1:25" ht="26.5" x14ac:dyDescent="0.35">
      <c r="A3" s="1131" t="s">
        <v>2442</v>
      </c>
      <c r="B3" s="1131" t="str">
        <f>$B$1&amp;" "&amp;" "&amp;J3</f>
        <v>Water Heater Temperature Setback  Single Family</v>
      </c>
      <c r="C3" s="135" t="s">
        <v>245</v>
      </c>
      <c r="D3" s="1133" t="s">
        <v>354</v>
      </c>
      <c r="E3" s="135" t="s">
        <v>403</v>
      </c>
      <c r="F3" s="1179">
        <f>+$B$30</f>
        <v>2</v>
      </c>
      <c r="G3" s="1279"/>
      <c r="H3" s="1279"/>
      <c r="I3" s="1280" t="s">
        <v>2441</v>
      </c>
      <c r="J3" s="1281" t="s">
        <v>400</v>
      </c>
      <c r="K3" s="1282">
        <v>50</v>
      </c>
      <c r="L3" s="135" t="s">
        <v>397</v>
      </c>
      <c r="M3" s="1283"/>
      <c r="N3" s="1284"/>
      <c r="O3" s="1285">
        <f>((X3*Y3)*(S3-T3)*U3)/(100000*W3)</f>
        <v>3.4965719653846157</v>
      </c>
      <c r="P3" s="1283"/>
      <c r="Q3" s="1284"/>
      <c r="R3" s="1286">
        <f>O3*F3</f>
        <v>6.9931439307692314</v>
      </c>
      <c r="S3" s="1223">
        <f>+$B$48</f>
        <v>135</v>
      </c>
      <c r="T3" s="1223">
        <f>+$B$49</f>
        <v>120</v>
      </c>
      <c r="U3" s="1223">
        <f>+$B$20</f>
        <v>8766</v>
      </c>
      <c r="V3" s="1223">
        <f>+$B$28</f>
        <v>1</v>
      </c>
      <c r="W3" s="1223">
        <f>+VLOOKUP(J3,$A$58:$B$59,2,FALSE)</f>
        <v>0.78</v>
      </c>
      <c r="X3" s="1223">
        <f>+$B$24</f>
        <v>8.3000000000000004E-2</v>
      </c>
      <c r="Y3" s="1223">
        <f>VLOOKUP(K3,$A$63:$B$66,2,FALSE)</f>
        <v>24.99</v>
      </c>
    </row>
    <row r="4" spans="1:25" ht="26.5" x14ac:dyDescent="0.35">
      <c r="A4" s="1131" t="s">
        <v>2443</v>
      </c>
      <c r="B4" s="1131" t="str">
        <f>$B$1&amp;" "&amp;" "&amp;J4</f>
        <v>Water Heater Temperature Setback  Multi Family</v>
      </c>
      <c r="C4" s="135" t="s">
        <v>246</v>
      </c>
      <c r="D4" s="1133" t="s">
        <v>354</v>
      </c>
      <c r="E4" s="135" t="s">
        <v>403</v>
      </c>
      <c r="F4" s="1179">
        <f>+$B$30</f>
        <v>2</v>
      </c>
      <c r="G4" s="1279"/>
      <c r="H4" s="1279"/>
      <c r="I4" s="1280" t="s">
        <v>2441</v>
      </c>
      <c r="J4" s="1281" t="s">
        <v>819</v>
      </c>
      <c r="K4" s="1282">
        <v>50</v>
      </c>
      <c r="L4" s="135" t="s">
        <v>397</v>
      </c>
      <c r="M4" s="1283"/>
      <c r="N4" s="1284"/>
      <c r="O4" s="1285">
        <f>((X4*Y4)*(S4-T4)*U4)/(100000*W4)</f>
        <v>4.0706360194029854</v>
      </c>
      <c r="P4" s="1283"/>
      <c r="Q4" s="1284"/>
      <c r="R4" s="1286">
        <f>O4*F4</f>
        <v>8.1412720388059707</v>
      </c>
      <c r="S4" s="1223">
        <f>+$B$48</f>
        <v>135</v>
      </c>
      <c r="T4" s="1223">
        <f>+$B$49</f>
        <v>120</v>
      </c>
      <c r="U4" s="1223">
        <f>+$B$20</f>
        <v>8766</v>
      </c>
      <c r="V4" s="1223">
        <f>+$B$28</f>
        <v>1</v>
      </c>
      <c r="W4" s="1223">
        <f>+VLOOKUP(J4,$A$58:$B$59,2,FALSE)</f>
        <v>0.67</v>
      </c>
      <c r="X4" s="1223">
        <f>+$B$24</f>
        <v>8.3000000000000004E-2</v>
      </c>
      <c r="Y4" s="1223">
        <f>VLOOKUP(K4,$A$63:$B$66,2,FALSE)</f>
        <v>24.99</v>
      </c>
    </row>
    <row r="5" spans="1:25" ht="15" thickBot="1" x14ac:dyDescent="0.4"/>
    <row r="6" spans="1:25" ht="15" thickBot="1" x14ac:dyDescent="0.4">
      <c r="A6" s="76" t="s">
        <v>408</v>
      </c>
      <c r="B6" s="78"/>
      <c r="C6" s="78"/>
      <c r="D6" s="79"/>
    </row>
    <row r="7" spans="1:25" x14ac:dyDescent="0.35">
      <c r="A7" s="335" t="s">
        <v>2444</v>
      </c>
      <c r="B7" s="83"/>
      <c r="C7" s="83"/>
      <c r="D7" s="84"/>
    </row>
    <row r="8" spans="1:25" x14ac:dyDescent="0.35">
      <c r="A8" s="81" t="s">
        <v>2445</v>
      </c>
      <c r="B8" s="83"/>
      <c r="C8" s="83"/>
      <c r="D8" s="84"/>
    </row>
    <row r="9" spans="1:25" x14ac:dyDescent="0.35">
      <c r="A9" s="81" t="s">
        <v>2446</v>
      </c>
      <c r="B9" s="83"/>
      <c r="C9" s="83"/>
      <c r="D9" s="84"/>
      <c r="M9" s="304"/>
    </row>
    <row r="10" spans="1:25" x14ac:dyDescent="0.35">
      <c r="A10" s="335" t="s">
        <v>2447</v>
      </c>
      <c r="B10" s="83"/>
      <c r="C10" s="83"/>
      <c r="D10" s="84"/>
    </row>
    <row r="11" spans="1:25" ht="15" thickBot="1" x14ac:dyDescent="0.4">
      <c r="A11" s="85" t="s">
        <v>2448</v>
      </c>
      <c r="B11" s="86"/>
      <c r="C11" s="86"/>
      <c r="D11" s="87" t="s">
        <v>344</v>
      </c>
    </row>
    <row r="12" spans="1:25" ht="15" thickBot="1" x14ac:dyDescent="0.4">
      <c r="A12" s="188" t="s">
        <v>2571</v>
      </c>
      <c r="B12" s="1384" t="e">
        <f>+#REF!</f>
        <v>#REF!</v>
      </c>
    </row>
    <row r="13" spans="1:25" ht="15" thickBot="1" x14ac:dyDescent="0.4">
      <c r="A13" s="188" t="s">
        <v>2572</v>
      </c>
      <c r="B13" s="701" t="s">
        <v>3441</v>
      </c>
    </row>
    <row r="14" spans="1:25" ht="15" thickBot="1" x14ac:dyDescent="0.4"/>
    <row r="15" spans="1:25" ht="15" thickBot="1" x14ac:dyDescent="0.4">
      <c r="A15" s="88" t="s">
        <v>413</v>
      </c>
      <c r="B15" s="579" t="s">
        <v>414</v>
      </c>
      <c r="C15" s="90" t="s">
        <v>415</v>
      </c>
      <c r="D15" s="78"/>
      <c r="E15" s="78"/>
      <c r="F15" s="78"/>
      <c r="G15" s="78"/>
      <c r="H15" s="78"/>
      <c r="I15" s="78"/>
      <c r="J15" s="78"/>
      <c r="K15" s="78"/>
      <c r="L15" s="78"/>
      <c r="M15" s="78"/>
      <c r="N15" s="78"/>
      <c r="O15" s="79"/>
    </row>
    <row r="16" spans="1:25" x14ac:dyDescent="0.35">
      <c r="A16" s="118" t="s">
        <v>1234</v>
      </c>
      <c r="B16" s="94"/>
      <c r="C16" s="94" t="s">
        <v>2449</v>
      </c>
      <c r="D16" s="94"/>
      <c r="E16" s="94"/>
      <c r="F16" s="94"/>
      <c r="G16" s="94"/>
      <c r="H16" s="94"/>
      <c r="I16" s="94"/>
      <c r="J16" s="94"/>
      <c r="K16" s="94"/>
      <c r="L16" s="94"/>
      <c r="M16" s="94"/>
      <c r="N16" s="94"/>
      <c r="O16" s="95"/>
    </row>
    <row r="17" spans="1:15" ht="15" thickBot="1" x14ac:dyDescent="0.4">
      <c r="A17" s="111"/>
      <c r="B17" s="99"/>
      <c r="C17" s="99" t="s">
        <v>2450</v>
      </c>
      <c r="D17" s="99"/>
      <c r="E17" s="99"/>
      <c r="F17" s="99"/>
      <c r="G17" s="99"/>
      <c r="H17" s="99"/>
      <c r="I17" s="99"/>
      <c r="J17" s="99"/>
      <c r="K17" s="99"/>
      <c r="L17" s="99"/>
      <c r="M17" s="99"/>
      <c r="N17" s="99"/>
      <c r="O17" s="100"/>
    </row>
    <row r="18" spans="1:15" x14ac:dyDescent="0.35">
      <c r="A18" s="118" t="s">
        <v>1235</v>
      </c>
      <c r="B18" s="94"/>
      <c r="C18" s="94" t="s">
        <v>1236</v>
      </c>
      <c r="D18" s="94"/>
      <c r="E18" s="94"/>
      <c r="F18" s="94"/>
      <c r="G18" s="94"/>
      <c r="H18" s="94"/>
      <c r="I18" s="94"/>
      <c r="J18" s="94"/>
      <c r="K18" s="94"/>
      <c r="L18" s="94"/>
      <c r="M18" s="94"/>
      <c r="N18" s="94"/>
      <c r="O18" s="95"/>
    </row>
    <row r="19" spans="1:15" ht="15" thickBot="1" x14ac:dyDescent="0.4">
      <c r="A19" s="111"/>
      <c r="B19" s="99"/>
      <c r="C19" s="99" t="s">
        <v>2451</v>
      </c>
      <c r="D19" s="99"/>
      <c r="E19" s="99"/>
      <c r="F19" s="99"/>
      <c r="G19" s="99"/>
      <c r="H19" s="99"/>
      <c r="I19" s="99"/>
      <c r="J19" s="99"/>
      <c r="K19" s="99"/>
      <c r="L19" s="99"/>
      <c r="M19" s="99"/>
      <c r="N19" s="99"/>
      <c r="O19" s="100"/>
    </row>
    <row r="20" spans="1:15" x14ac:dyDescent="0.35">
      <c r="A20" s="118" t="s">
        <v>614</v>
      </c>
      <c r="B20" s="94">
        <v>8766</v>
      </c>
      <c r="C20" s="94" t="s">
        <v>2452</v>
      </c>
      <c r="D20" s="94"/>
      <c r="E20" s="94"/>
      <c r="F20" s="94"/>
      <c r="G20" s="94"/>
      <c r="H20" s="94"/>
      <c r="I20" s="94"/>
      <c r="J20" s="94"/>
      <c r="K20" s="94"/>
      <c r="L20" s="94"/>
      <c r="M20" s="94"/>
      <c r="N20" s="94"/>
      <c r="O20" s="95"/>
    </row>
    <row r="21" spans="1:15" ht="15" thickBot="1" x14ac:dyDescent="0.4">
      <c r="A21" s="111"/>
      <c r="B21" s="99"/>
      <c r="C21" s="99" t="s">
        <v>787</v>
      </c>
      <c r="D21" s="99"/>
      <c r="E21" s="99"/>
      <c r="F21" s="99"/>
      <c r="G21" s="99"/>
      <c r="H21" s="99"/>
      <c r="I21" s="99"/>
      <c r="J21" s="99"/>
      <c r="K21" s="99"/>
      <c r="L21" s="99"/>
      <c r="M21" s="99"/>
      <c r="N21" s="99"/>
      <c r="O21" s="100"/>
    </row>
    <row r="22" spans="1:15" x14ac:dyDescent="0.35">
      <c r="A22" s="118" t="s">
        <v>2440</v>
      </c>
      <c r="B22" s="94"/>
      <c r="C22" s="94" t="s">
        <v>1202</v>
      </c>
      <c r="D22" s="94"/>
      <c r="E22" s="94"/>
      <c r="F22" s="94"/>
      <c r="G22" s="94"/>
      <c r="H22" s="94"/>
      <c r="I22" s="94"/>
      <c r="J22" s="94"/>
      <c r="K22" s="94"/>
      <c r="L22" s="94"/>
      <c r="M22" s="94"/>
      <c r="N22" s="94"/>
      <c r="O22" s="95"/>
    </row>
    <row r="23" spans="1:15" ht="15" thickBot="1" x14ac:dyDescent="0.4">
      <c r="A23" s="111"/>
      <c r="B23" s="99"/>
      <c r="C23" s="99" t="s">
        <v>2453</v>
      </c>
      <c r="D23" s="99"/>
      <c r="E23" s="99"/>
      <c r="F23" s="99"/>
      <c r="G23" s="99"/>
      <c r="H23" s="99"/>
      <c r="I23" s="99"/>
      <c r="J23" s="99"/>
      <c r="K23" s="99"/>
      <c r="L23" s="99"/>
      <c r="M23" s="99"/>
      <c r="N23" s="99"/>
      <c r="O23" s="100"/>
    </row>
    <row r="24" spans="1:15" x14ac:dyDescent="0.35">
      <c r="A24" s="118" t="s">
        <v>1231</v>
      </c>
      <c r="B24" s="94">
        <v>8.3000000000000004E-2</v>
      </c>
      <c r="C24" s="94" t="s">
        <v>2454</v>
      </c>
      <c r="D24" s="94"/>
      <c r="E24" s="94"/>
      <c r="F24" s="94"/>
      <c r="G24" s="94"/>
      <c r="H24" s="94"/>
      <c r="I24" s="94"/>
      <c r="J24" s="94"/>
      <c r="K24" s="94"/>
      <c r="L24" s="94"/>
      <c r="M24" s="94"/>
      <c r="N24" s="94"/>
      <c r="O24" s="95"/>
    </row>
    <row r="25" spans="1:15" ht="15" thickBot="1" x14ac:dyDescent="0.4">
      <c r="A25" s="111"/>
      <c r="B25" s="99"/>
      <c r="C25" s="99" t="s">
        <v>2455</v>
      </c>
      <c r="D25" s="99"/>
      <c r="E25" s="99"/>
      <c r="F25" s="99"/>
      <c r="G25" s="99"/>
      <c r="H25" s="99"/>
      <c r="I25" s="99"/>
      <c r="J25" s="99"/>
      <c r="K25" s="99"/>
      <c r="L25" s="99"/>
      <c r="M25" s="99"/>
      <c r="N25" s="99"/>
      <c r="O25" s="100"/>
    </row>
    <row r="26" spans="1:15" x14ac:dyDescent="0.35">
      <c r="A26" s="118" t="s">
        <v>1056</v>
      </c>
      <c r="B26" s="94"/>
      <c r="C26" s="94" t="s">
        <v>2456</v>
      </c>
      <c r="D26" s="94"/>
      <c r="E26" s="94"/>
      <c r="F26" s="94"/>
      <c r="G26" s="94"/>
      <c r="H26" s="94"/>
      <c r="I26" s="94"/>
      <c r="J26" s="94"/>
      <c r="K26" s="94"/>
      <c r="L26" s="94"/>
      <c r="M26" s="94"/>
      <c r="N26" s="94"/>
      <c r="O26" s="95"/>
    </row>
    <row r="27" spans="1:15" ht="15" thickBot="1" x14ac:dyDescent="0.4">
      <c r="A27" s="111"/>
      <c r="B27" s="99"/>
      <c r="C27" s="99" t="s">
        <v>2457</v>
      </c>
      <c r="D27" s="99"/>
      <c r="E27" s="99"/>
      <c r="F27" s="99"/>
      <c r="G27" s="99"/>
      <c r="H27" s="99"/>
      <c r="I27" s="99"/>
      <c r="J27" s="99"/>
      <c r="K27" s="99"/>
      <c r="L27" s="99"/>
      <c r="M27" s="99"/>
      <c r="N27" s="99"/>
      <c r="O27" s="100"/>
    </row>
    <row r="28" spans="1:15" x14ac:dyDescent="0.35">
      <c r="A28" s="118" t="s">
        <v>615</v>
      </c>
      <c r="B28" s="94">
        <v>1</v>
      </c>
      <c r="C28" s="94" t="s">
        <v>2458</v>
      </c>
      <c r="D28" s="94"/>
      <c r="E28" s="94"/>
      <c r="F28" s="94"/>
      <c r="G28" s="94"/>
      <c r="H28" s="94"/>
      <c r="I28" s="94"/>
      <c r="J28" s="94"/>
      <c r="K28" s="94"/>
      <c r="L28" s="94"/>
      <c r="M28" s="94"/>
      <c r="N28" s="94"/>
      <c r="O28" s="95"/>
    </row>
    <row r="29" spans="1:15" ht="15" thickBot="1" x14ac:dyDescent="0.4">
      <c r="A29" s="111"/>
      <c r="B29" s="99"/>
      <c r="C29" s="99" t="s">
        <v>2173</v>
      </c>
      <c r="D29" s="99"/>
      <c r="E29" s="99"/>
      <c r="F29" s="99"/>
      <c r="G29" s="99"/>
      <c r="H29" s="99"/>
      <c r="I29" s="99"/>
      <c r="J29" s="99"/>
      <c r="K29" s="99"/>
      <c r="L29" s="99"/>
      <c r="M29" s="99"/>
      <c r="N29" s="99"/>
      <c r="O29" s="100"/>
    </row>
    <row r="30" spans="1:15" x14ac:dyDescent="0.35">
      <c r="A30" s="118" t="s">
        <v>443</v>
      </c>
      <c r="B30" s="94">
        <v>2</v>
      </c>
      <c r="C30" s="94" t="s">
        <v>2459</v>
      </c>
      <c r="D30" s="94"/>
      <c r="E30" s="94"/>
      <c r="F30" s="94"/>
      <c r="G30" s="94"/>
      <c r="H30" s="94"/>
      <c r="I30" s="94"/>
      <c r="J30" s="94"/>
      <c r="K30" s="94"/>
      <c r="L30" s="94"/>
      <c r="M30" s="94"/>
      <c r="N30" s="94"/>
      <c r="O30" s="95"/>
    </row>
    <row r="31" spans="1:15" ht="15" thickBot="1" x14ac:dyDescent="0.4">
      <c r="A31" s="111"/>
      <c r="B31" s="99"/>
      <c r="C31" s="99" t="s">
        <v>787</v>
      </c>
      <c r="D31" s="99"/>
      <c r="E31" s="99"/>
      <c r="F31" s="99"/>
      <c r="G31" s="99"/>
      <c r="H31" s="99"/>
      <c r="I31" s="99"/>
      <c r="J31" s="99"/>
      <c r="K31" s="99"/>
      <c r="L31" s="99"/>
      <c r="M31" s="99"/>
      <c r="N31" s="99"/>
      <c r="O31" s="100"/>
    </row>
    <row r="32" spans="1:15" x14ac:dyDescent="0.35">
      <c r="A32" s="118" t="s">
        <v>344</v>
      </c>
      <c r="B32" s="94"/>
      <c r="C32" s="94"/>
      <c r="D32" s="94"/>
      <c r="E32" s="94"/>
      <c r="F32" s="94"/>
      <c r="G32" s="94"/>
      <c r="H32" s="94"/>
      <c r="I32" s="94"/>
      <c r="J32" s="94"/>
      <c r="K32" s="94"/>
      <c r="L32" s="94"/>
      <c r="M32" s="94"/>
      <c r="N32" s="94"/>
      <c r="O32" s="95"/>
    </row>
    <row r="33" spans="1:15" ht="15" thickBot="1" x14ac:dyDescent="0.4">
      <c r="A33" s="111"/>
      <c r="B33" s="99"/>
      <c r="C33" s="99"/>
      <c r="D33" s="99"/>
      <c r="E33" s="99"/>
      <c r="F33" s="99"/>
      <c r="G33" s="99"/>
      <c r="H33" s="99"/>
      <c r="I33" s="99"/>
      <c r="J33" s="99"/>
      <c r="K33" s="99"/>
      <c r="L33" s="99"/>
      <c r="M33" s="99"/>
      <c r="N33" s="99"/>
      <c r="O33" s="100"/>
    </row>
    <row r="37" spans="1:15" ht="15" thickBot="1" x14ac:dyDescent="0.4"/>
    <row r="38" spans="1:15" ht="15" thickBot="1" x14ac:dyDescent="0.4">
      <c r="A38" s="122" t="s">
        <v>446</v>
      </c>
      <c r="B38" s="123"/>
      <c r="C38" s="78"/>
      <c r="D38" s="78"/>
      <c r="E38" s="78"/>
      <c r="F38" s="79"/>
    </row>
    <row r="39" spans="1:15" x14ac:dyDescent="0.35">
      <c r="A39" s="124"/>
      <c r="B39" s="83"/>
      <c r="C39" s="83"/>
      <c r="D39" s="83"/>
      <c r="E39" s="83"/>
      <c r="F39" s="125"/>
    </row>
    <row r="40" spans="1:15" ht="15" thickBot="1" x14ac:dyDescent="0.4">
      <c r="A40" s="124"/>
      <c r="B40" s="83"/>
      <c r="C40" s="83"/>
      <c r="D40" s="83"/>
      <c r="E40" s="83"/>
      <c r="F40" s="125"/>
    </row>
    <row r="41" spans="1:15" ht="15" thickBot="1" x14ac:dyDescent="0.4">
      <c r="A41" s="2323" t="s">
        <v>344</v>
      </c>
      <c r="B41" s="2437"/>
      <c r="C41" s="83"/>
      <c r="D41" s="83"/>
      <c r="E41" s="83"/>
      <c r="F41" s="125"/>
    </row>
    <row r="42" spans="1:15" x14ac:dyDescent="0.35">
      <c r="A42" s="942"/>
      <c r="B42" s="840"/>
      <c r="C42" s="83"/>
      <c r="D42" s="83"/>
      <c r="E42" s="83"/>
      <c r="F42" s="125"/>
    </row>
    <row r="43" spans="1:15" x14ac:dyDescent="0.35">
      <c r="A43" s="360"/>
      <c r="B43" s="921"/>
      <c r="C43" s="83"/>
      <c r="D43" s="83"/>
      <c r="E43" s="83"/>
      <c r="F43" s="125"/>
    </row>
    <row r="44" spans="1:15" x14ac:dyDescent="0.35">
      <c r="A44" s="124"/>
      <c r="B44" s="83"/>
      <c r="C44" s="83"/>
      <c r="D44" s="83"/>
      <c r="E44" s="83"/>
      <c r="F44" s="125"/>
    </row>
    <row r="45" spans="1:15" x14ac:dyDescent="0.35">
      <c r="A45" s="124"/>
      <c r="B45" s="83"/>
      <c r="C45" s="83"/>
      <c r="D45" s="83"/>
      <c r="E45" s="83"/>
      <c r="F45" s="125"/>
    </row>
    <row r="46" spans="1:15" x14ac:dyDescent="0.35">
      <c r="A46" s="124"/>
      <c r="B46" s="83"/>
      <c r="C46" s="83"/>
      <c r="D46" s="83"/>
      <c r="E46" s="83"/>
      <c r="F46" s="125"/>
    </row>
    <row r="47" spans="1:15" ht="26.25" customHeight="1" x14ac:dyDescent="0.35">
      <c r="A47" s="2307" t="s">
        <v>2460</v>
      </c>
      <c r="B47" s="2311"/>
      <c r="C47" s="83"/>
      <c r="D47" s="83"/>
      <c r="E47" s="83"/>
      <c r="F47" s="125"/>
    </row>
    <row r="48" spans="1:15" x14ac:dyDescent="0.35">
      <c r="A48" s="360" t="s">
        <v>1234</v>
      </c>
      <c r="B48" s="62">
        <v>135</v>
      </c>
      <c r="C48" s="83"/>
      <c r="D48" s="83"/>
      <c r="E48" s="83"/>
      <c r="F48" s="125"/>
    </row>
    <row r="49" spans="1:6" x14ac:dyDescent="0.35">
      <c r="A49" s="360" t="s">
        <v>1235</v>
      </c>
      <c r="B49" s="62">
        <v>120</v>
      </c>
      <c r="C49" s="83"/>
      <c r="D49" s="83"/>
      <c r="E49" s="83"/>
      <c r="F49" s="125"/>
    </row>
    <row r="50" spans="1:6" x14ac:dyDescent="0.35">
      <c r="A50" s="124"/>
      <c r="B50" s="83"/>
      <c r="C50" s="83"/>
      <c r="D50" s="83"/>
      <c r="E50" s="83"/>
      <c r="F50" s="125"/>
    </row>
    <row r="51" spans="1:6" x14ac:dyDescent="0.35">
      <c r="A51" s="1276" t="s">
        <v>814</v>
      </c>
      <c r="B51" s="1277"/>
      <c r="C51" s="83"/>
      <c r="D51" s="83"/>
      <c r="E51" s="83"/>
      <c r="F51" s="125"/>
    </row>
    <row r="52" spans="1:6" x14ac:dyDescent="0.35">
      <c r="A52" s="360" t="s">
        <v>451</v>
      </c>
      <c r="B52" s="62"/>
      <c r="C52" s="83"/>
      <c r="D52" s="83"/>
      <c r="E52" s="83"/>
      <c r="F52" s="125"/>
    </row>
    <row r="53" spans="1:6" x14ac:dyDescent="0.35">
      <c r="A53" s="360" t="s">
        <v>397</v>
      </c>
      <c r="B53" s="62"/>
      <c r="C53" s="83"/>
      <c r="D53" s="1121" t="s">
        <v>2807</v>
      </c>
      <c r="E53" s="1121" t="s">
        <v>613</v>
      </c>
      <c r="F53" s="125"/>
    </row>
    <row r="54" spans="1:6" ht="87" x14ac:dyDescent="0.35">
      <c r="A54" s="124"/>
      <c r="B54" s="83"/>
      <c r="C54" s="83"/>
      <c r="D54" s="371" t="s">
        <v>2808</v>
      </c>
      <c r="E54" s="371" t="s">
        <v>2809</v>
      </c>
      <c r="F54" s="125"/>
    </row>
    <row r="55" spans="1:6" x14ac:dyDescent="0.35">
      <c r="A55" s="124"/>
      <c r="B55" s="83"/>
      <c r="C55" s="83"/>
      <c r="D55" s="1508" t="s">
        <v>2810</v>
      </c>
      <c r="E55" s="1508">
        <v>1</v>
      </c>
      <c r="F55" s="125"/>
    </row>
    <row r="56" spans="1:6" x14ac:dyDescent="0.35">
      <c r="A56" s="124"/>
      <c r="B56" s="83"/>
      <c r="C56" s="83"/>
      <c r="D56" s="83"/>
      <c r="E56" s="83"/>
      <c r="F56" s="125"/>
    </row>
    <row r="57" spans="1:6" x14ac:dyDescent="0.35">
      <c r="A57" s="2307" t="s">
        <v>2461</v>
      </c>
      <c r="B57" s="2311"/>
      <c r="C57" s="83"/>
      <c r="D57" s="83"/>
      <c r="E57" s="83"/>
      <c r="F57" s="125"/>
    </row>
    <row r="58" spans="1:6" x14ac:dyDescent="0.35">
      <c r="A58" s="360" t="s">
        <v>400</v>
      </c>
      <c r="B58" s="361">
        <v>0.78</v>
      </c>
      <c r="C58" s="83"/>
      <c r="D58" s="83"/>
      <c r="E58" s="83"/>
      <c r="F58" s="125"/>
    </row>
    <row r="59" spans="1:6" x14ac:dyDescent="0.35">
      <c r="A59" s="360" t="s">
        <v>819</v>
      </c>
      <c r="B59" s="361">
        <v>0.67</v>
      </c>
      <c r="C59" s="83"/>
      <c r="D59" s="83"/>
      <c r="E59" s="83"/>
      <c r="F59" s="125"/>
    </row>
    <row r="60" spans="1:6" ht="15" thickBot="1" x14ac:dyDescent="0.4">
      <c r="A60" s="124"/>
      <c r="B60" s="83"/>
      <c r="C60" s="83"/>
      <c r="D60" s="83"/>
      <c r="E60" s="83"/>
      <c r="F60" s="125"/>
    </row>
    <row r="61" spans="1:6" ht="15" thickBot="1" x14ac:dyDescent="0.4">
      <c r="A61" s="2323" t="s">
        <v>2462</v>
      </c>
      <c r="B61" s="2437"/>
      <c r="C61" s="83"/>
      <c r="D61" s="83"/>
      <c r="E61" s="83"/>
      <c r="F61" s="125"/>
    </row>
    <row r="62" spans="1:6" ht="15" thickBot="1" x14ac:dyDescent="0.4">
      <c r="A62" s="455" t="s">
        <v>1279</v>
      </c>
      <c r="B62" s="1278" t="s">
        <v>2463</v>
      </c>
      <c r="C62" s="83"/>
      <c r="D62" s="83"/>
      <c r="E62" s="83"/>
      <c r="F62" s="125"/>
    </row>
    <row r="63" spans="1:6" ht="15" thickBot="1" x14ac:dyDescent="0.4">
      <c r="A63" s="460">
        <v>30</v>
      </c>
      <c r="B63" s="458">
        <v>19.16</v>
      </c>
      <c r="C63" s="83"/>
      <c r="D63" s="83"/>
      <c r="E63" s="83"/>
      <c r="F63" s="125"/>
    </row>
    <row r="64" spans="1:6" ht="15" thickBot="1" x14ac:dyDescent="0.4">
      <c r="A64" s="460">
        <v>40</v>
      </c>
      <c r="B64" s="458">
        <v>23.18</v>
      </c>
      <c r="C64" s="83"/>
      <c r="D64" s="83"/>
      <c r="E64" s="83"/>
      <c r="F64" s="125"/>
    </row>
    <row r="65" spans="1:6" ht="15" thickBot="1" x14ac:dyDescent="0.4">
      <c r="A65" s="460">
        <v>50</v>
      </c>
      <c r="B65" s="458">
        <v>24.99</v>
      </c>
      <c r="C65" s="83"/>
      <c r="D65" s="83"/>
      <c r="E65" s="83"/>
      <c r="F65" s="125"/>
    </row>
    <row r="66" spans="1:6" ht="15" thickBot="1" x14ac:dyDescent="0.4">
      <c r="A66" s="460">
        <v>80</v>
      </c>
      <c r="B66" s="458">
        <v>31.84</v>
      </c>
      <c r="C66" s="83"/>
      <c r="D66" s="83"/>
      <c r="E66" s="83"/>
      <c r="F66" s="125"/>
    </row>
    <row r="67" spans="1:6" x14ac:dyDescent="0.35">
      <c r="A67" s="124"/>
      <c r="B67" s="83"/>
      <c r="C67" s="83"/>
      <c r="D67" s="83"/>
      <c r="E67" s="83"/>
      <c r="F67" s="125"/>
    </row>
    <row r="68" spans="1:6" x14ac:dyDescent="0.35">
      <c r="A68" s="2307" t="s">
        <v>342</v>
      </c>
      <c r="B68" s="2311"/>
      <c r="C68" s="83"/>
      <c r="D68" s="83"/>
      <c r="E68" s="83"/>
      <c r="F68" s="125"/>
    </row>
    <row r="69" spans="1:6" x14ac:dyDescent="0.35">
      <c r="A69" s="360" t="s">
        <v>494</v>
      </c>
      <c r="B69" s="62" t="s">
        <v>543</v>
      </c>
      <c r="C69" s="83"/>
      <c r="D69" s="83"/>
      <c r="E69" s="83"/>
      <c r="F69" s="125"/>
    </row>
    <row r="70" spans="1:6" x14ac:dyDescent="0.35">
      <c r="A70" s="360" t="s">
        <v>495</v>
      </c>
      <c r="B70" s="62" t="s">
        <v>546</v>
      </c>
      <c r="C70" s="83"/>
      <c r="D70" s="83"/>
      <c r="E70" s="83"/>
      <c r="F70" s="125"/>
    </row>
    <row r="71" spans="1:6" x14ac:dyDescent="0.35">
      <c r="A71" s="360" t="s">
        <v>403</v>
      </c>
      <c r="B71" s="62" t="s">
        <v>2464</v>
      </c>
      <c r="C71" s="83"/>
      <c r="D71" s="83"/>
      <c r="E71" s="83"/>
      <c r="F71" s="125"/>
    </row>
    <row r="72" spans="1:6" x14ac:dyDescent="0.35">
      <c r="A72" s="124"/>
      <c r="B72" s="83"/>
      <c r="C72" s="83"/>
      <c r="D72" s="83"/>
      <c r="E72" s="83"/>
      <c r="F72" s="125"/>
    </row>
    <row r="73" spans="1:6" ht="15" thickBot="1" x14ac:dyDescent="0.4">
      <c r="A73" s="321"/>
      <c r="B73" s="201"/>
      <c r="C73" s="201"/>
      <c r="D73" s="201"/>
      <c r="E73" s="201"/>
      <c r="F73" s="203"/>
    </row>
  </sheetData>
  <customSheetViews>
    <customSheetView guid="{11DE45F5-F478-4ED6-8DFF-12002C22A637}" scale="85" showPageBreaks="1" fitToPage="1" view="pageBreakPreview">
      <selection activeCell="B14" sqref="B14"/>
      <pageMargins left="0.7" right="0.7" top="0.75" bottom="0.75" header="0.3" footer="0.3"/>
      <pageSetup scale="40" orientation="landscape" r:id="rId1"/>
    </customSheetView>
    <customSheetView guid="{ECD6FE6A-9548-414E-B8AA-6998703C57E0}" scale="85" showPageBreaks="1" fitToPage="1" view="pageBreakPreview">
      <selection activeCell="B14" sqref="B14"/>
      <pageMargins left="0.7" right="0.7" top="0.75" bottom="0.75" header="0.3" footer="0.3"/>
      <pageSetup scale="40" orientation="landscape" r:id="rId2"/>
    </customSheetView>
  </customSheetViews>
  <mergeCells count="8">
    <mergeCell ref="A68:B68"/>
    <mergeCell ref="M1:O1"/>
    <mergeCell ref="P1:R1"/>
    <mergeCell ref="S1:Y1"/>
    <mergeCell ref="A41:B41"/>
    <mergeCell ref="A47:B47"/>
    <mergeCell ref="A57:B57"/>
    <mergeCell ref="A61:B61"/>
  </mergeCells>
  <dataValidations count="6">
    <dataValidation type="list" allowBlank="1" showInputMessage="1" showErrorMessage="1" sqref="E3:E4" xr:uid="{00000000-0002-0000-2A00-000000000000}">
      <formula1>$A$69:$A$71</formula1>
    </dataValidation>
    <dataValidation type="list" allowBlank="1" showInputMessage="1" showErrorMessage="1" sqref="H3:H4" xr:uid="{00000000-0002-0000-2A00-000001000000}">
      <formula1>$A$42:$A$43</formula1>
    </dataValidation>
    <dataValidation type="list" allowBlank="1" showInputMessage="1" showErrorMessage="1" sqref="D3:D4" xr:uid="{00000000-0002-0000-2A00-000002000000}">
      <formula1>MeasureType</formula1>
    </dataValidation>
    <dataValidation type="list" allowBlank="1" showInputMessage="1" showErrorMessage="1" sqref="K3:K4" xr:uid="{00000000-0002-0000-2A00-000003000000}">
      <formula1>$A$63:$A$66</formula1>
    </dataValidation>
    <dataValidation type="list" allowBlank="1" showInputMessage="1" showErrorMessage="1" sqref="J3:J4" xr:uid="{00000000-0002-0000-2A00-000004000000}">
      <formula1>$A$58:$A$59</formula1>
    </dataValidation>
    <dataValidation type="list" allowBlank="1" showInputMessage="1" showErrorMessage="1" sqref="L3:L4" xr:uid="{00000000-0002-0000-2A00-000005000000}">
      <formula1>Fuel2</formula1>
    </dataValidation>
  </dataValidations>
  <pageMargins left="0.7" right="0.7" top="0.75" bottom="0.75" header="0.3" footer="0.3"/>
  <pageSetup scale="41" orientation="landscape" r:id="rId3"/>
  <legacy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59999389629810485"/>
    <pageSetUpPr fitToPage="1"/>
  </sheetPr>
  <dimension ref="A2:AP166"/>
  <sheetViews>
    <sheetView view="pageBreakPreview" zoomScale="85" zoomScaleNormal="70" zoomScaleSheetLayoutView="85" workbookViewId="0"/>
  </sheetViews>
  <sheetFormatPr defaultRowHeight="14.5" x14ac:dyDescent="0.35"/>
  <cols>
    <col min="1" max="1" width="27" customWidth="1"/>
    <col min="2" max="2" width="34" customWidth="1"/>
    <col min="3" max="3" width="20" customWidth="1"/>
    <col min="4" max="4" width="14" customWidth="1"/>
    <col min="5" max="5" width="15.26953125" bestFit="1" customWidth="1"/>
    <col min="6" max="6" width="16.1796875" customWidth="1"/>
    <col min="7" max="7" width="12.453125" bestFit="1" customWidth="1"/>
    <col min="8" max="8" width="13.453125" bestFit="1" customWidth="1"/>
    <col min="9" max="9" width="11.81640625" bestFit="1" customWidth="1"/>
    <col min="10" max="10" width="10.7265625" bestFit="1" customWidth="1"/>
    <col min="11" max="11" width="10.7265625" customWidth="1"/>
    <col min="12" max="12" width="13.26953125" customWidth="1"/>
    <col min="13" max="13" width="33.7265625" customWidth="1"/>
    <col min="14" max="14" width="24.81640625" customWidth="1"/>
    <col min="15" max="15" width="9.81640625" bestFit="1" customWidth="1"/>
    <col min="16" max="16" width="11.7265625" customWidth="1"/>
    <col min="18" max="18" width="14.453125" customWidth="1"/>
    <col min="19" max="19" width="16.1796875" customWidth="1"/>
    <col min="22" max="22" width="11" customWidth="1"/>
    <col min="23" max="23" width="11.54296875" customWidth="1"/>
    <col min="25" max="25" width="12" bestFit="1" customWidth="1"/>
    <col min="26" max="26" width="10" customWidth="1"/>
    <col min="41" max="41" width="15.81640625" bestFit="1" customWidth="1"/>
    <col min="42" max="42" width="15.81640625" customWidth="1"/>
  </cols>
  <sheetData>
    <row r="2" spans="1:42" x14ac:dyDescent="0.35">
      <c r="A2" s="1143" t="s">
        <v>298</v>
      </c>
      <c r="B2" s="1144" t="s">
        <v>829</v>
      </c>
      <c r="C2" s="1144"/>
      <c r="D2" s="1144"/>
      <c r="E2" s="1143"/>
      <c r="F2" s="1143"/>
      <c r="G2" s="1143"/>
      <c r="H2" s="1143"/>
      <c r="I2" s="1143"/>
      <c r="J2" s="1143"/>
      <c r="K2" s="1143"/>
      <c r="L2" s="1143"/>
      <c r="M2" s="1143"/>
      <c r="N2" s="1143"/>
      <c r="O2" s="1143"/>
      <c r="P2" s="1143"/>
      <c r="Q2" s="1143"/>
      <c r="R2" s="1143"/>
      <c r="S2" s="1143"/>
      <c r="T2" s="2248" t="s">
        <v>335</v>
      </c>
      <c r="U2" s="2248"/>
      <c r="V2" s="2248"/>
      <c r="W2" s="2248" t="s">
        <v>336</v>
      </c>
      <c r="X2" s="2248"/>
      <c r="Y2" s="2216"/>
      <c r="Z2" s="2199" t="s">
        <v>830</v>
      </c>
      <c r="AA2" s="2199"/>
      <c r="AB2" s="2199"/>
      <c r="AC2" s="2199"/>
      <c r="AD2" s="2199"/>
      <c r="AE2" s="2199"/>
      <c r="AF2" s="2199"/>
      <c r="AG2" s="2199"/>
      <c r="AH2" s="2199"/>
      <c r="AI2" s="2199"/>
      <c r="AJ2" s="2199"/>
      <c r="AK2" s="2199"/>
      <c r="AL2" s="2199"/>
      <c r="AM2" s="2199"/>
      <c r="AN2" s="2199"/>
      <c r="AO2" s="2199"/>
      <c r="AP2" s="1924"/>
    </row>
    <row r="3" spans="1:42" ht="43.5" x14ac:dyDescent="0.35">
      <c r="A3" s="1145" t="s">
        <v>338</v>
      </c>
      <c r="B3" s="1145" t="s">
        <v>1</v>
      </c>
      <c r="C3" s="1129" t="s">
        <v>339</v>
      </c>
      <c r="D3" s="1129" t="s">
        <v>340</v>
      </c>
      <c r="E3" s="1128" t="s">
        <v>342</v>
      </c>
      <c r="F3" s="1128" t="s">
        <v>831</v>
      </c>
      <c r="G3" s="1128" t="s">
        <v>832</v>
      </c>
      <c r="H3" s="1128" t="s">
        <v>370</v>
      </c>
      <c r="I3" s="1128" t="s">
        <v>369</v>
      </c>
      <c r="J3" s="1128" t="s">
        <v>833</v>
      </c>
      <c r="K3" s="1128" t="s">
        <v>834</v>
      </c>
      <c r="L3" s="1128" t="s">
        <v>835</v>
      </c>
      <c r="M3" s="1128" t="s">
        <v>836</v>
      </c>
      <c r="N3" s="1167" t="s">
        <v>837</v>
      </c>
      <c r="O3" s="1128" t="s">
        <v>838</v>
      </c>
      <c r="P3" s="1128" t="s">
        <v>839</v>
      </c>
      <c r="Q3" s="1128" t="s">
        <v>343</v>
      </c>
      <c r="R3" s="1145" t="s">
        <v>345</v>
      </c>
      <c r="S3" s="1128" t="s">
        <v>3455</v>
      </c>
      <c r="T3" s="1146" t="s">
        <v>347</v>
      </c>
      <c r="U3" s="1146" t="s">
        <v>348</v>
      </c>
      <c r="V3" s="1146" t="s">
        <v>349</v>
      </c>
      <c r="W3" s="1146" t="s">
        <v>347</v>
      </c>
      <c r="X3" s="1146" t="s">
        <v>348</v>
      </c>
      <c r="Y3" s="1147" t="s">
        <v>349</v>
      </c>
      <c r="Z3" s="369" t="s">
        <v>840</v>
      </c>
      <c r="AA3" s="369" t="s">
        <v>841</v>
      </c>
      <c r="AB3" s="370" t="s">
        <v>842</v>
      </c>
      <c r="AC3" s="315" t="s">
        <v>843</v>
      </c>
      <c r="AD3" s="371" t="s">
        <v>844</v>
      </c>
      <c r="AE3" s="371" t="s">
        <v>845</v>
      </c>
      <c r="AF3" s="371" t="s">
        <v>846</v>
      </c>
      <c r="AG3" s="315" t="s">
        <v>713</v>
      </c>
      <c r="AH3" s="371" t="s">
        <v>847</v>
      </c>
      <c r="AI3" s="371" t="s">
        <v>848</v>
      </c>
      <c r="AJ3" s="371" t="s">
        <v>849</v>
      </c>
      <c r="AK3" s="315" t="s">
        <v>850</v>
      </c>
      <c r="AL3" s="315" t="s">
        <v>851</v>
      </c>
      <c r="AM3" s="371" t="s">
        <v>615</v>
      </c>
      <c r="AN3" s="315" t="s">
        <v>850</v>
      </c>
      <c r="AO3" s="315" t="s">
        <v>380</v>
      </c>
      <c r="AP3" s="1854" t="s">
        <v>3433</v>
      </c>
    </row>
    <row r="4" spans="1:42" ht="36.5" x14ac:dyDescent="0.35">
      <c r="A4" s="1287" t="s">
        <v>861</v>
      </c>
      <c r="B4" s="1287" t="str">
        <f>$B$2&amp;" " &amp;FIXED(F4-G4,0)&amp;" cfm Reduction"&amp;", "&amp;O4&amp;" - "&amp;N4&amp;" story building - Joint"</f>
        <v>Air Sealing 784 cfm Reduction, Single Family - 3 story building - Joint</v>
      </c>
      <c r="C4" s="1288" t="s">
        <v>260</v>
      </c>
      <c r="D4" s="1289" t="s">
        <v>862</v>
      </c>
      <c r="E4" s="1290" t="s">
        <v>495</v>
      </c>
      <c r="F4" s="1291">
        <f>$B$34</f>
        <v>2800</v>
      </c>
      <c r="G4" s="1291">
        <f>$B$36</f>
        <v>2016</v>
      </c>
      <c r="H4" s="1261" t="s">
        <v>738</v>
      </c>
      <c r="I4" s="1292" t="s">
        <v>397</v>
      </c>
      <c r="J4" s="1292" t="s">
        <v>737</v>
      </c>
      <c r="K4" s="1292" t="s">
        <v>863</v>
      </c>
      <c r="L4" s="1293" t="s">
        <v>803</v>
      </c>
      <c r="M4" s="1293" t="s">
        <v>737</v>
      </c>
      <c r="N4" s="1294">
        <v>3</v>
      </c>
      <c r="O4" s="1292" t="s">
        <v>400</v>
      </c>
      <c r="P4" s="1295"/>
      <c r="Q4" s="1296">
        <f>+$B$63</f>
        <v>20</v>
      </c>
      <c r="R4" s="1297" t="s">
        <v>864</v>
      </c>
      <c r="S4" s="1987" t="s">
        <v>3456</v>
      </c>
      <c r="T4" s="1298"/>
      <c r="U4" s="1299"/>
      <c r="V4" s="1300">
        <f>IF(I4=$A$120,(((AB4-AC4)/AI4)*60*24*AJ4*0.018)/(AN4*100000)*AP4,0)</f>
        <v>83.921658638743438</v>
      </c>
      <c r="W4" s="1298"/>
      <c r="X4" s="1299"/>
      <c r="Y4" s="1301">
        <f>V4*Q4</f>
        <v>1678.4331727748688</v>
      </c>
      <c r="Z4" s="62"/>
      <c r="AA4" s="62"/>
      <c r="AB4" s="373">
        <f>$F$4</f>
        <v>2800</v>
      </c>
      <c r="AC4" s="373">
        <f>G4</f>
        <v>2016</v>
      </c>
      <c r="AD4" s="62">
        <f>+IF($N4=$F$119,VLOOKUP($H4,$E$120:$I$125,2),IF($N4=$G$119,VLOOKUP($H4,$E$120:$I$125,3),IF($N4=$H$119,VLOOKUP($H4,$E$120:$I$125,4),IF($N4=$I$119,VLOOKUP($H4,$E$120:$I$125,5),0))))</f>
        <v>28.28</v>
      </c>
      <c r="AE4" s="62">
        <f>VLOOKUP(H4,$E$110:$F$115,2,FALSE)</f>
        <v>862</v>
      </c>
      <c r="AF4" s="62">
        <f>+$B$43</f>
        <v>0.75</v>
      </c>
      <c r="AG4" s="62">
        <f>IF(J4=$A$123,VLOOKUP(K4,B$134:$C$136,2,FALSE),IF(J4=$A$124,VLOOKUP(K4,$B$137:$C$139,2,FALSE)))</f>
        <v>14</v>
      </c>
      <c r="AH4" s="62">
        <f>VLOOKUP(H4,$E$110:$G$115,3,FALSE)</f>
        <v>3.28</v>
      </c>
      <c r="AI4" s="62">
        <f>+IF($N4=$F$128,VLOOKUP($H4,$E$129:$I$134,2),IF($N4=$G$128,VLOOKUP($H4,$E$129:$I$134,3),IF($N4=$H$128,VLOOKUP($H4,$E$129:$I$134,4),IF($N4=$I$128,VLOOKUP($H4,$E$129:$I$134,5),0))))</f>
        <v>17.189999999999998</v>
      </c>
      <c r="AJ4" s="62">
        <f>VLOOKUP(H4,$E$110:$H$115,4,FALSE)</f>
        <v>5111.2999999999993</v>
      </c>
      <c r="AK4" s="62">
        <f>IF(M4=$M$113,$P$113,VLOOKUP(L4,$N$110:$P$112,3,FALSE))</f>
        <v>1.7</v>
      </c>
      <c r="AL4" s="62">
        <f>VLOOKUP(H4,$E$109:$J$115,IF(O4=$I$109,5,6),FALSE)</f>
        <v>568.6</v>
      </c>
      <c r="AM4" s="302">
        <v>0.91500000000000004</v>
      </c>
      <c r="AN4" s="361">
        <f>+$B$59</f>
        <v>0.72</v>
      </c>
      <c r="AO4" s="302">
        <f>+$B$61</f>
        <v>3.1399999999999997E-2</v>
      </c>
      <c r="AP4" s="1947">
        <v>1</v>
      </c>
    </row>
    <row r="5" spans="1:42" ht="36.5" x14ac:dyDescent="0.35">
      <c r="A5" s="1287" t="s">
        <v>3014</v>
      </c>
      <c r="B5" s="1287" t="str">
        <f>$B$2&amp;" " &amp;FIXED(F5-G5,0)&amp;" cfm Reduction"&amp;", "&amp;O5&amp;" - "&amp;N5&amp;" story building "</f>
        <v xml:space="preserve">Air Sealing 784 cfm Reduction, Single Family - 3 story building </v>
      </c>
      <c r="C5" s="1288" t="s">
        <v>260</v>
      </c>
      <c r="D5" s="1289" t="s">
        <v>862</v>
      </c>
      <c r="E5" s="1290" t="s">
        <v>495</v>
      </c>
      <c r="F5" s="1291">
        <f>$B$34</f>
        <v>2800</v>
      </c>
      <c r="G5" s="1291">
        <f>$B$36</f>
        <v>2016</v>
      </c>
      <c r="H5" s="1261" t="s">
        <v>738</v>
      </c>
      <c r="I5" s="1292" t="s">
        <v>397</v>
      </c>
      <c r="J5" s="1292" t="s">
        <v>940</v>
      </c>
      <c r="K5" s="1292" t="s">
        <v>863</v>
      </c>
      <c r="L5" s="1293" t="s">
        <v>803</v>
      </c>
      <c r="M5" s="1293" t="s">
        <v>737</v>
      </c>
      <c r="N5" s="1294">
        <v>3</v>
      </c>
      <c r="O5" s="1292" t="s">
        <v>400</v>
      </c>
      <c r="P5" s="1295"/>
      <c r="Q5" s="1296">
        <f>+$B$63</f>
        <v>20</v>
      </c>
      <c r="R5" s="1297" t="s">
        <v>864</v>
      </c>
      <c r="S5" s="1987" t="s">
        <v>3456</v>
      </c>
      <c r="T5" s="1298"/>
      <c r="U5" s="1299"/>
      <c r="V5" s="1300">
        <f>IF(I5=$A$120,(((AB5-AC5)/AI5)*60*24*AJ5*0.018)/(AN5*100000)*AP5,0)</f>
        <v>83.921658638743438</v>
      </c>
      <c r="W5" s="1298"/>
      <c r="X5" s="1299"/>
      <c r="Y5" s="1301">
        <f>V5*Q5</f>
        <v>1678.4331727748688</v>
      </c>
      <c r="Z5" s="62"/>
      <c r="AA5" s="62"/>
      <c r="AB5" s="373">
        <f>$F$4</f>
        <v>2800</v>
      </c>
      <c r="AC5" s="373">
        <f>G5</f>
        <v>2016</v>
      </c>
      <c r="AD5" s="62">
        <f>+IF($N5=$F$119,VLOOKUP($H5,$E$120:$I$125,2),IF($N5=$G$119,VLOOKUP($H5,$E$120:$I$125,3),IF($N5=$H$119,VLOOKUP($H5,$E$120:$I$125,4),IF($N5=$I$119,VLOOKUP($H5,$E$120:$I$125,5),0))))</f>
        <v>28.28</v>
      </c>
      <c r="AE5" s="62">
        <f>VLOOKUP(H5,$E$110:$F$115,2,FALSE)</f>
        <v>862</v>
      </c>
      <c r="AF5" s="62">
        <f>+$B$43</f>
        <v>0.75</v>
      </c>
      <c r="AG5" s="62">
        <f>IF(J5=$A$123,VLOOKUP(K5,B$134:$C$136,2,FALSE),IF(J5=$A$124,VLOOKUP(K5,$B$137:$C$139,2,FALSE)))</f>
        <v>13</v>
      </c>
      <c r="AH5" s="62">
        <f>VLOOKUP(H5,$E$110:$G$115,3,FALSE)</f>
        <v>3.28</v>
      </c>
      <c r="AI5" s="62">
        <f>+IF($N5=$F$128,VLOOKUP($H5,$E$129:$I$134,2),IF($N5=$G$128,VLOOKUP($H5,$E$129:$I$134,3),IF($N5=$H$128,VLOOKUP($H5,$E$129:$I$134,4),IF($N5=$I$128,VLOOKUP($H5,$E$129:$I$134,5),0))))</f>
        <v>17.189999999999998</v>
      </c>
      <c r="AJ5" s="62">
        <f>VLOOKUP(H5,$E$110:$H$115,4,FALSE)</f>
        <v>5111.2999999999993</v>
      </c>
      <c r="AK5" s="62">
        <f>IF(M5=$M$113,$P$113,VLOOKUP(L5,$N$110:$P$112,3,FALSE))</f>
        <v>1.7</v>
      </c>
      <c r="AL5" s="62">
        <f>VLOOKUP(H5,$E$109:$J$115,IF(O5=$I$109,5,6),FALSE)</f>
        <v>568.6</v>
      </c>
      <c r="AM5" s="302">
        <v>0.91500000000000004</v>
      </c>
      <c r="AN5" s="361">
        <f>+$B$59</f>
        <v>0.72</v>
      </c>
      <c r="AO5" s="302">
        <f>+$B$61</f>
        <v>3.1399999999999997E-2</v>
      </c>
      <c r="AP5" s="1947">
        <v>1</v>
      </c>
    </row>
    <row r="6" spans="1:42" ht="36.5" x14ac:dyDescent="0.35">
      <c r="A6" s="1989" t="s">
        <v>3447</v>
      </c>
      <c r="B6" s="1989" t="str">
        <f>$B$2&amp;" " &amp;FIXED(F6-G6,0)&amp;" cfm Reduction"&amp;", "&amp;O6&amp;" - "&amp;N6&amp;" story building "</f>
        <v xml:space="preserve">Air Sealing 784 cfm Reduction, Single Family - 3 story building </v>
      </c>
      <c r="C6" s="1990" t="s">
        <v>260</v>
      </c>
      <c r="D6" s="1991" t="s">
        <v>862</v>
      </c>
      <c r="E6" s="1992" t="s">
        <v>495</v>
      </c>
      <c r="F6" s="1993">
        <f>$B$34</f>
        <v>2800</v>
      </c>
      <c r="G6" s="1993">
        <f>$B$36</f>
        <v>2016</v>
      </c>
      <c r="H6" s="1994" t="s">
        <v>738</v>
      </c>
      <c r="I6" s="1995" t="s">
        <v>397</v>
      </c>
      <c r="J6" s="1995" t="s">
        <v>940</v>
      </c>
      <c r="K6" s="1995" t="s">
        <v>863</v>
      </c>
      <c r="L6" s="1996" t="s">
        <v>803</v>
      </c>
      <c r="M6" s="1996" t="s">
        <v>737</v>
      </c>
      <c r="N6" s="1997">
        <v>3</v>
      </c>
      <c r="O6" s="1995" t="s">
        <v>400</v>
      </c>
      <c r="P6" s="1998"/>
      <c r="Q6" s="1999">
        <f>+$B$63</f>
        <v>20</v>
      </c>
      <c r="R6" s="1987" t="s">
        <v>864</v>
      </c>
      <c r="S6" s="1987" t="s">
        <v>3454</v>
      </c>
      <c r="T6" s="2000"/>
      <c r="U6" s="2001"/>
      <c r="V6" s="2002">
        <f>IF(I6=$A$120,(((AB6-AC6)/AI6)*60*24*AJ6*0.018)/(AN6*100000)*AP6,0)</f>
        <v>60.423594219895271</v>
      </c>
      <c r="W6" s="2000"/>
      <c r="X6" s="2001"/>
      <c r="Y6" s="2003">
        <f>V6*Q6</f>
        <v>1208.4718843979053</v>
      </c>
      <c r="Z6" s="1920"/>
      <c r="AA6" s="1920"/>
      <c r="AB6" s="2004">
        <f>$F$4</f>
        <v>2800</v>
      </c>
      <c r="AC6" s="2004">
        <f>G6</f>
        <v>2016</v>
      </c>
      <c r="AD6" s="1920">
        <f>+IF($N6=$F$119,VLOOKUP($H6,$E$120:$I$125,2),IF($N6=$G$119,VLOOKUP($H6,$E$120:$I$125,3),IF($N6=$H$119,VLOOKUP($H6,$E$120:$I$125,4),IF($N6=$I$119,VLOOKUP($H6,$E$120:$I$125,5),0))))</f>
        <v>28.28</v>
      </c>
      <c r="AE6" s="1920">
        <f>VLOOKUP(H6,$E$110:$F$115,2,FALSE)</f>
        <v>862</v>
      </c>
      <c r="AF6" s="1920">
        <f>+$B$43</f>
        <v>0.75</v>
      </c>
      <c r="AG6" s="1920">
        <f>IF(J6=$A$123,VLOOKUP(K6,B$134:$C$136,2,FALSE),IF(J6=$A$124,VLOOKUP(K6,$B$137:$C$139,2,FALSE)))</f>
        <v>13</v>
      </c>
      <c r="AH6" s="1920">
        <f>VLOOKUP(H6,$E$110:$G$115,3,FALSE)</f>
        <v>3.28</v>
      </c>
      <c r="AI6" s="1920">
        <f>+IF($N6=$F$128,VLOOKUP($H6,$E$129:$I$134,2),IF($N6=$G$128,VLOOKUP($H6,$E$129:$I$134,3),IF($N6=$H$128,VLOOKUP($H6,$E$129:$I$134,4),IF($N6=$I$128,VLOOKUP($H6,$E$129:$I$134,5),0))))</f>
        <v>17.189999999999998</v>
      </c>
      <c r="AJ6" s="1920">
        <f>VLOOKUP(H6,$E$110:$H$115,4,FALSE)</f>
        <v>5111.2999999999993</v>
      </c>
      <c r="AK6" s="1920">
        <f>IF(M6=$M$113,$P$113,VLOOKUP(L6,$N$110:$P$112,3,FALSE))</f>
        <v>1.7</v>
      </c>
      <c r="AL6" s="1920">
        <f>VLOOKUP(H6,$E$109:$J$115,IF(O6=$I$109,5,6),FALSE)</f>
        <v>568.6</v>
      </c>
      <c r="AM6" s="1947">
        <v>0.91500000000000004</v>
      </c>
      <c r="AN6" s="2005">
        <f>+$B$59</f>
        <v>0.72</v>
      </c>
      <c r="AO6" s="1947">
        <f>+$B$61</f>
        <v>3.1399999999999997E-2</v>
      </c>
      <c r="AP6" s="1947">
        <v>0.72</v>
      </c>
    </row>
    <row r="7" spans="1:42" ht="15" thickBot="1" x14ac:dyDescent="0.4"/>
    <row r="8" spans="1:42" ht="15" thickBot="1" x14ac:dyDescent="0.4">
      <c r="A8" s="76" t="s">
        <v>408</v>
      </c>
      <c r="B8" s="77"/>
      <c r="C8" s="78"/>
      <c r="D8" s="78"/>
      <c r="E8" s="78"/>
      <c r="F8" s="78"/>
      <c r="G8" s="78"/>
      <c r="H8" s="78"/>
      <c r="I8" s="79"/>
    </row>
    <row r="9" spans="1:42" x14ac:dyDescent="0.35">
      <c r="A9" s="375" t="s">
        <v>865</v>
      </c>
      <c r="B9" s="82"/>
      <c r="C9" s="83"/>
      <c r="D9" s="83"/>
      <c r="E9" s="83"/>
      <c r="F9" s="83"/>
      <c r="G9" s="83"/>
      <c r="H9" s="83"/>
      <c r="I9" s="125"/>
    </row>
    <row r="10" spans="1:42" x14ac:dyDescent="0.35">
      <c r="A10" s="375" t="s">
        <v>866</v>
      </c>
      <c r="B10" s="83"/>
      <c r="C10" s="83"/>
      <c r="D10" s="83"/>
      <c r="E10" s="83"/>
      <c r="F10" s="83"/>
      <c r="G10" s="83"/>
      <c r="H10" s="83"/>
      <c r="I10" s="125"/>
    </row>
    <row r="11" spans="1:42" x14ac:dyDescent="0.35">
      <c r="A11" s="376" t="s">
        <v>867</v>
      </c>
      <c r="B11" s="83"/>
      <c r="C11" s="83"/>
      <c r="D11" s="83"/>
      <c r="E11" s="83"/>
      <c r="F11" s="83"/>
      <c r="G11" s="83"/>
      <c r="H11" s="83"/>
      <c r="I11" s="125"/>
    </row>
    <row r="12" spans="1:42" x14ac:dyDescent="0.35">
      <c r="A12" s="375" t="s">
        <v>868</v>
      </c>
      <c r="B12" s="83"/>
      <c r="C12" s="83"/>
      <c r="D12" s="83"/>
      <c r="E12" s="83"/>
      <c r="F12" s="83"/>
      <c r="G12" s="83"/>
      <c r="H12" s="83"/>
      <c r="I12" s="125"/>
    </row>
    <row r="13" spans="1:42" x14ac:dyDescent="0.35">
      <c r="A13" s="375" t="s">
        <v>869</v>
      </c>
      <c r="B13" s="83"/>
      <c r="C13" s="83"/>
      <c r="D13" s="83"/>
      <c r="E13" s="83"/>
      <c r="F13" s="83"/>
      <c r="G13" s="83"/>
      <c r="H13" s="83"/>
      <c r="I13" s="125"/>
    </row>
    <row r="14" spans="1:42" x14ac:dyDescent="0.35">
      <c r="A14" s="377" t="s">
        <v>870</v>
      </c>
      <c r="B14" s="83"/>
      <c r="C14" s="83"/>
      <c r="D14" s="83"/>
      <c r="E14" s="83"/>
      <c r="F14" s="83"/>
      <c r="G14" s="83"/>
      <c r="H14" s="83"/>
      <c r="I14" s="125"/>
    </row>
    <row r="15" spans="1:42" x14ac:dyDescent="0.35">
      <c r="A15" s="375"/>
      <c r="B15" s="83"/>
      <c r="C15" s="83"/>
      <c r="D15" s="83"/>
      <c r="E15" s="83"/>
      <c r="F15" s="83"/>
      <c r="G15" s="83"/>
      <c r="H15" s="83"/>
      <c r="I15" s="125"/>
    </row>
    <row r="16" spans="1:42" x14ac:dyDescent="0.35">
      <c r="A16" s="376" t="s">
        <v>871</v>
      </c>
      <c r="B16" s="83"/>
      <c r="C16" s="83"/>
      <c r="D16" s="83"/>
      <c r="E16" s="83"/>
      <c r="F16" s="83"/>
      <c r="G16" s="83"/>
      <c r="H16" s="83"/>
      <c r="I16" s="125"/>
    </row>
    <row r="17" spans="1:19" x14ac:dyDescent="0.35">
      <c r="A17" s="375" t="s">
        <v>872</v>
      </c>
      <c r="B17" s="82"/>
      <c r="C17" s="83"/>
      <c r="D17" s="83"/>
      <c r="E17" s="83"/>
      <c r="F17" s="83"/>
      <c r="G17" s="83"/>
      <c r="H17" s="83"/>
      <c r="I17" s="125"/>
    </row>
    <row r="18" spans="1:19" x14ac:dyDescent="0.35">
      <c r="A18" s="375" t="s">
        <v>873</v>
      </c>
      <c r="B18" s="82"/>
      <c r="C18" s="83"/>
      <c r="D18" s="83"/>
      <c r="E18" s="83"/>
      <c r="F18" s="83"/>
      <c r="G18" s="83"/>
      <c r="H18" s="83"/>
      <c r="I18" s="125"/>
      <c r="R18" s="378"/>
      <c r="S18" s="378"/>
    </row>
    <row r="19" spans="1:19" x14ac:dyDescent="0.35">
      <c r="A19" s="376" t="s">
        <v>874</v>
      </c>
      <c r="B19" s="82"/>
      <c r="C19" s="83"/>
      <c r="D19" s="83"/>
      <c r="E19" s="83"/>
      <c r="F19" s="83"/>
      <c r="G19" s="83"/>
      <c r="H19" s="83"/>
      <c r="I19" s="125"/>
    </row>
    <row r="20" spans="1:19" x14ac:dyDescent="0.35">
      <c r="A20" s="376" t="s">
        <v>875</v>
      </c>
      <c r="B20" s="82"/>
      <c r="C20" s="83"/>
      <c r="D20" s="83"/>
      <c r="E20" s="83"/>
      <c r="F20" s="83"/>
      <c r="G20" s="83"/>
      <c r="H20" s="83"/>
      <c r="I20" s="125"/>
    </row>
    <row r="21" spans="1:19" x14ac:dyDescent="0.35">
      <c r="A21" s="1948" t="s">
        <v>3434</v>
      </c>
      <c r="B21" s="1944"/>
      <c r="C21" s="1933"/>
      <c r="D21" s="1933"/>
      <c r="E21" s="1933"/>
      <c r="F21" s="1933"/>
      <c r="G21" s="1933"/>
      <c r="H21" s="1933"/>
      <c r="I21" s="1934"/>
    </row>
    <row r="22" spans="1:19" x14ac:dyDescent="0.35">
      <c r="A22" s="376" t="s">
        <v>876</v>
      </c>
      <c r="B22" s="82"/>
      <c r="C22" s="83"/>
      <c r="D22" s="379"/>
      <c r="E22" s="82"/>
      <c r="F22" s="83"/>
      <c r="G22" s="83"/>
      <c r="H22" s="83"/>
      <c r="I22" s="125"/>
      <c r="J22" s="67"/>
    </row>
    <row r="23" spans="1:19" ht="15" thickBot="1" x14ac:dyDescent="0.4">
      <c r="A23" s="380" t="s">
        <v>877</v>
      </c>
      <c r="B23" s="381"/>
      <c r="C23" s="201"/>
      <c r="D23" s="201"/>
      <c r="E23" s="201"/>
      <c r="F23" s="201"/>
      <c r="G23" s="201"/>
      <c r="H23" s="201"/>
      <c r="I23" s="203"/>
      <c r="J23" s="67"/>
    </row>
    <row r="24" spans="1:19" ht="15" thickBot="1" x14ac:dyDescent="0.4">
      <c r="A24" s="188" t="s">
        <v>2571</v>
      </c>
      <c r="B24" s="1384" t="e">
        <f>+#REF!</f>
        <v>#REF!</v>
      </c>
      <c r="J24" s="67"/>
    </row>
    <row r="25" spans="1:19" ht="15" thickBot="1" x14ac:dyDescent="0.4">
      <c r="A25" s="188" t="s">
        <v>2572</v>
      </c>
      <c r="B25" s="701" t="s">
        <v>2804</v>
      </c>
    </row>
    <row r="28" spans="1:19" ht="15" thickBot="1" x14ac:dyDescent="0.4">
      <c r="A28" s="69"/>
      <c r="B28" s="337"/>
    </row>
    <row r="29" spans="1:19" ht="15" thickBot="1" x14ac:dyDescent="0.4">
      <c r="A29" s="88" t="s">
        <v>413</v>
      </c>
      <c r="B29" s="89" t="s">
        <v>414</v>
      </c>
      <c r="C29" s="90" t="s">
        <v>415</v>
      </c>
      <c r="D29" s="78"/>
      <c r="E29" s="78"/>
      <c r="F29" s="78"/>
      <c r="G29" s="78"/>
      <c r="H29" s="78"/>
      <c r="I29" s="78"/>
      <c r="J29" s="78"/>
      <c r="K29" s="78"/>
      <c r="L29" s="78"/>
      <c r="M29" s="79"/>
    </row>
    <row r="30" spans="1:19" x14ac:dyDescent="0.35">
      <c r="A30" s="382" t="s">
        <v>840</v>
      </c>
      <c r="B30" s="186"/>
      <c r="C30" s="383" t="s">
        <v>878</v>
      </c>
      <c r="D30" s="186"/>
      <c r="E30" s="186"/>
      <c r="F30" s="186"/>
      <c r="G30" s="186"/>
      <c r="H30" s="186"/>
      <c r="I30" s="186"/>
      <c r="J30" s="186"/>
      <c r="K30" s="186"/>
      <c r="L30" s="186"/>
      <c r="M30" s="187"/>
    </row>
    <row r="31" spans="1:19" ht="15" thickBot="1" x14ac:dyDescent="0.4">
      <c r="A31" s="384"/>
      <c r="B31" s="190"/>
      <c r="C31" s="205" t="s">
        <v>879</v>
      </c>
      <c r="D31" s="190"/>
      <c r="E31" s="190"/>
      <c r="F31" s="190"/>
      <c r="G31" s="190"/>
      <c r="H31" s="190"/>
      <c r="I31" s="190"/>
      <c r="J31" s="190"/>
      <c r="K31" s="190"/>
      <c r="L31" s="190"/>
      <c r="M31" s="191"/>
    </row>
    <row r="32" spans="1:19" x14ac:dyDescent="0.35">
      <c r="A32" s="382" t="s">
        <v>841</v>
      </c>
      <c r="B32" s="186"/>
      <c r="C32" s="383" t="s">
        <v>880</v>
      </c>
      <c r="D32" s="186"/>
      <c r="E32" s="186"/>
      <c r="F32" s="186"/>
      <c r="G32" s="186"/>
      <c r="H32" s="186"/>
      <c r="I32" s="186"/>
      <c r="J32" s="186"/>
      <c r="K32" s="186"/>
      <c r="L32" s="186"/>
      <c r="M32" s="187"/>
    </row>
    <row r="33" spans="1:13" ht="15" thickBot="1" x14ac:dyDescent="0.4">
      <c r="A33" s="384"/>
      <c r="B33" s="190"/>
      <c r="C33" s="205" t="s">
        <v>881</v>
      </c>
      <c r="D33" s="190"/>
      <c r="E33" s="190"/>
      <c r="F33" s="190"/>
      <c r="G33" s="190"/>
      <c r="H33" s="190"/>
      <c r="I33" s="190"/>
      <c r="J33" s="190"/>
      <c r="K33" s="190"/>
      <c r="L33" s="190"/>
      <c r="M33" s="191"/>
    </row>
    <row r="34" spans="1:13" x14ac:dyDescent="0.35">
      <c r="A34" s="385" t="s">
        <v>842</v>
      </c>
      <c r="B34" s="186">
        <v>2800</v>
      </c>
      <c r="C34" s="383" t="s">
        <v>882</v>
      </c>
      <c r="D34" s="186"/>
      <c r="E34" s="186"/>
      <c r="F34" s="186"/>
      <c r="G34" s="186"/>
      <c r="H34" s="186"/>
      <c r="I34" s="186"/>
      <c r="J34" s="186"/>
      <c r="K34" s="186"/>
      <c r="L34" s="186"/>
      <c r="M34" s="187"/>
    </row>
    <row r="35" spans="1:13" ht="15" thickBot="1" x14ac:dyDescent="0.4">
      <c r="A35" s="384"/>
      <c r="B35" s="190"/>
      <c r="C35" s="205" t="s">
        <v>883</v>
      </c>
      <c r="D35" s="190"/>
      <c r="E35" s="190"/>
      <c r="F35" s="190"/>
      <c r="G35" s="190"/>
      <c r="H35" s="190"/>
      <c r="I35" s="190"/>
      <c r="J35" s="190"/>
      <c r="K35" s="190"/>
      <c r="L35" s="190"/>
      <c r="M35" s="191"/>
    </row>
    <row r="36" spans="1:13" x14ac:dyDescent="0.35">
      <c r="A36" s="386" t="s">
        <v>843</v>
      </c>
      <c r="B36" s="387">
        <v>2016</v>
      </c>
      <c r="C36" s="383" t="s">
        <v>884</v>
      </c>
      <c r="D36" s="186"/>
      <c r="E36" s="186"/>
      <c r="F36" s="186"/>
      <c r="G36" s="186"/>
      <c r="H36" s="186"/>
      <c r="I36" s="186"/>
      <c r="J36" s="186"/>
      <c r="K36" s="186"/>
      <c r="L36" s="186"/>
      <c r="M36" s="187"/>
    </row>
    <row r="37" spans="1:13" ht="15" thickBot="1" x14ac:dyDescent="0.4">
      <c r="A37" s="384"/>
      <c r="B37" s="190"/>
      <c r="C37" s="205" t="s">
        <v>883</v>
      </c>
      <c r="D37" s="190"/>
      <c r="E37" s="190"/>
      <c r="F37" s="190"/>
      <c r="G37" s="190"/>
      <c r="H37" s="190"/>
      <c r="I37" s="190"/>
      <c r="J37" s="190"/>
      <c r="K37" s="190"/>
      <c r="L37" s="190"/>
      <c r="M37" s="191"/>
    </row>
    <row r="38" spans="1:13" ht="29" x14ac:dyDescent="0.35">
      <c r="A38" s="185" t="s">
        <v>844</v>
      </c>
      <c r="B38" s="388" t="s">
        <v>885</v>
      </c>
      <c r="C38" s="383" t="s">
        <v>886</v>
      </c>
      <c r="D38" s="186"/>
      <c r="E38" s="186"/>
      <c r="F38" s="186"/>
      <c r="G38" s="186"/>
      <c r="H38" s="186"/>
      <c r="I38" s="186"/>
      <c r="J38" s="186"/>
      <c r="K38" s="186"/>
      <c r="L38" s="186"/>
      <c r="M38" s="187"/>
    </row>
    <row r="39" spans="1:13" x14ac:dyDescent="0.35">
      <c r="A39" s="389"/>
      <c r="B39" s="207"/>
      <c r="C39" s="390" t="s">
        <v>887</v>
      </c>
      <c r="D39" s="207"/>
      <c r="E39" s="207"/>
      <c r="F39" s="207"/>
      <c r="G39" s="207"/>
      <c r="H39" s="207"/>
      <c r="I39" s="207"/>
      <c r="J39" s="207"/>
      <c r="K39" s="207"/>
      <c r="L39" s="207"/>
      <c r="M39" s="208"/>
    </row>
    <row r="40" spans="1:13" ht="15" thickBot="1" x14ac:dyDescent="0.4">
      <c r="A40" s="384"/>
      <c r="B40" s="190"/>
      <c r="C40" s="390" t="s">
        <v>888</v>
      </c>
      <c r="D40" s="207"/>
      <c r="E40" s="207"/>
      <c r="F40" s="207"/>
      <c r="G40" s="207"/>
      <c r="H40" s="207"/>
      <c r="I40" s="207"/>
      <c r="J40" s="207"/>
      <c r="K40" s="207"/>
      <c r="L40" s="207"/>
      <c r="M40" s="208"/>
    </row>
    <row r="41" spans="1:13" x14ac:dyDescent="0.35">
      <c r="A41" s="185" t="s">
        <v>845</v>
      </c>
      <c r="B41" s="388" t="s">
        <v>889</v>
      </c>
      <c r="C41" s="383" t="s">
        <v>890</v>
      </c>
      <c r="D41" s="186"/>
      <c r="E41" s="186"/>
      <c r="F41" s="186"/>
      <c r="G41" s="186"/>
      <c r="H41" s="186"/>
      <c r="I41" s="186"/>
      <c r="J41" s="186"/>
      <c r="K41" s="186"/>
      <c r="L41" s="186"/>
      <c r="M41" s="187"/>
    </row>
    <row r="42" spans="1:13" ht="15" thickBot="1" x14ac:dyDescent="0.4">
      <c r="A42" s="189"/>
      <c r="B42" s="190"/>
      <c r="C42" s="391" t="s">
        <v>891</v>
      </c>
      <c r="D42" s="190"/>
      <c r="E42" s="190"/>
      <c r="F42" s="190"/>
      <c r="G42" s="190"/>
      <c r="H42" s="190"/>
      <c r="I42" s="190"/>
      <c r="J42" s="190"/>
      <c r="K42" s="190"/>
      <c r="L42" s="190"/>
      <c r="M42" s="191"/>
    </row>
    <row r="43" spans="1:13" x14ac:dyDescent="0.35">
      <c r="A43" s="185" t="s">
        <v>846</v>
      </c>
      <c r="B43" s="186">
        <v>0.75</v>
      </c>
      <c r="C43" s="383" t="s">
        <v>892</v>
      </c>
      <c r="D43" s="186"/>
      <c r="E43" s="186"/>
      <c r="F43" s="186"/>
      <c r="G43" s="186"/>
      <c r="H43" s="186"/>
      <c r="I43" s="186"/>
      <c r="J43" s="186"/>
      <c r="K43" s="186"/>
      <c r="L43" s="186"/>
      <c r="M43" s="187"/>
    </row>
    <row r="44" spans="1:13" ht="15" thickBot="1" x14ac:dyDescent="0.4">
      <c r="A44" s="189"/>
      <c r="B44" s="190"/>
      <c r="C44" s="391" t="s">
        <v>787</v>
      </c>
      <c r="D44" s="190"/>
      <c r="E44" s="190"/>
      <c r="F44" s="190"/>
      <c r="G44" s="190"/>
      <c r="H44" s="190"/>
      <c r="I44" s="190"/>
      <c r="J44" s="190"/>
      <c r="K44" s="190"/>
      <c r="L44" s="190"/>
      <c r="M44" s="191"/>
    </row>
    <row r="45" spans="1:13" ht="29" x14ac:dyDescent="0.35">
      <c r="A45" s="392" t="s">
        <v>713</v>
      </c>
      <c r="B45" s="388" t="s">
        <v>893</v>
      </c>
      <c r="C45" s="383" t="s">
        <v>894</v>
      </c>
      <c r="D45" s="186"/>
      <c r="E45" s="186"/>
      <c r="F45" s="186"/>
      <c r="G45" s="186"/>
      <c r="H45" s="186"/>
      <c r="I45" s="186"/>
      <c r="J45" s="186"/>
      <c r="K45" s="186"/>
      <c r="L45" s="186"/>
      <c r="M45" s="187"/>
    </row>
    <row r="46" spans="1:13" ht="15" thickBot="1" x14ac:dyDescent="0.4">
      <c r="A46" s="189"/>
      <c r="B46" s="190"/>
      <c r="C46" s="190" t="s">
        <v>895</v>
      </c>
      <c r="D46" s="190"/>
      <c r="E46" s="190"/>
      <c r="F46" s="190"/>
      <c r="G46" s="190"/>
      <c r="H46" s="190"/>
      <c r="I46" s="190"/>
      <c r="J46" s="190"/>
      <c r="K46" s="190"/>
      <c r="L46" s="190"/>
      <c r="M46" s="191"/>
    </row>
    <row r="47" spans="1:13" ht="29" x14ac:dyDescent="0.35">
      <c r="A47" s="185" t="s">
        <v>847</v>
      </c>
      <c r="B47" s="388" t="s">
        <v>896</v>
      </c>
      <c r="C47" s="383" t="s">
        <v>897</v>
      </c>
      <c r="D47" s="186"/>
      <c r="E47" s="186"/>
      <c r="F47" s="186"/>
      <c r="G47" s="186"/>
      <c r="H47" s="186"/>
      <c r="I47" s="186"/>
      <c r="J47" s="186"/>
      <c r="K47" s="186"/>
      <c r="L47" s="186"/>
      <c r="M47" s="187"/>
    </row>
    <row r="48" spans="1:13" ht="15" thickBot="1" x14ac:dyDescent="0.4">
      <c r="A48" s="189"/>
      <c r="B48" s="190"/>
      <c r="C48" s="391" t="s">
        <v>891</v>
      </c>
      <c r="D48" s="190"/>
      <c r="E48" s="190"/>
      <c r="F48" s="190"/>
      <c r="G48" s="190"/>
      <c r="H48" s="190"/>
      <c r="I48" s="190"/>
      <c r="J48" s="190"/>
      <c r="K48" s="190"/>
      <c r="L48" s="190"/>
      <c r="M48" s="191"/>
    </row>
    <row r="49" spans="1:13" ht="29" x14ac:dyDescent="0.35">
      <c r="A49" s="185" t="s">
        <v>848</v>
      </c>
      <c r="B49" s="388" t="s">
        <v>898</v>
      </c>
      <c r="C49" s="383" t="s">
        <v>886</v>
      </c>
      <c r="D49" s="186"/>
      <c r="E49" s="186"/>
      <c r="F49" s="186"/>
      <c r="G49" s="186"/>
      <c r="H49" s="186"/>
      <c r="I49" s="186"/>
      <c r="J49" s="186"/>
      <c r="K49" s="186"/>
      <c r="L49" s="186"/>
      <c r="M49" s="187"/>
    </row>
    <row r="50" spans="1:13" ht="15" thickBot="1" x14ac:dyDescent="0.4">
      <c r="A50" s="189"/>
      <c r="B50" s="190"/>
      <c r="C50" s="190" t="s">
        <v>899</v>
      </c>
      <c r="D50" s="190"/>
      <c r="E50" s="190"/>
      <c r="F50" s="190"/>
      <c r="G50" s="190"/>
      <c r="H50" s="190"/>
      <c r="I50" s="190"/>
      <c r="J50" s="190"/>
      <c r="K50" s="190"/>
      <c r="L50" s="190"/>
      <c r="M50" s="191"/>
    </row>
    <row r="51" spans="1:13" ht="29" x14ac:dyDescent="0.35">
      <c r="A51" s="185" t="s">
        <v>849</v>
      </c>
      <c r="B51" s="393" t="s">
        <v>896</v>
      </c>
      <c r="C51" s="383" t="s">
        <v>900</v>
      </c>
      <c r="D51" s="186"/>
      <c r="E51" s="186"/>
      <c r="F51" s="186"/>
      <c r="G51" s="186"/>
      <c r="H51" s="186"/>
      <c r="I51" s="186"/>
      <c r="J51" s="186"/>
      <c r="K51" s="186"/>
      <c r="L51" s="186"/>
      <c r="M51" s="187"/>
    </row>
    <row r="52" spans="1:13" ht="15" thickBot="1" x14ac:dyDescent="0.4">
      <c r="A52" s="189"/>
      <c r="B52" s="394"/>
      <c r="C52" s="391" t="s">
        <v>891</v>
      </c>
      <c r="D52" s="190"/>
      <c r="E52" s="190"/>
      <c r="F52" s="190"/>
      <c r="G52" s="190"/>
      <c r="H52" s="190"/>
      <c r="I52" s="190"/>
      <c r="J52" s="190"/>
      <c r="K52" s="190"/>
      <c r="L52" s="190"/>
      <c r="M52" s="191"/>
    </row>
    <row r="53" spans="1:13" ht="43.5" x14ac:dyDescent="0.35">
      <c r="A53" s="392" t="s">
        <v>850</v>
      </c>
      <c r="B53" s="388" t="s">
        <v>901</v>
      </c>
      <c r="C53" s="383" t="s">
        <v>902</v>
      </c>
      <c r="D53" s="186"/>
      <c r="E53" s="186"/>
      <c r="F53" s="186"/>
      <c r="G53" s="186"/>
      <c r="H53" s="186"/>
      <c r="I53" s="186"/>
      <c r="J53" s="186"/>
      <c r="K53" s="186"/>
      <c r="L53" s="186"/>
      <c r="M53" s="187"/>
    </row>
    <row r="54" spans="1:13" ht="15" thickBot="1" x14ac:dyDescent="0.4">
      <c r="A54" s="189"/>
      <c r="B54" s="394"/>
      <c r="C54" s="205" t="s">
        <v>903</v>
      </c>
      <c r="D54" s="190"/>
      <c r="E54" s="190"/>
      <c r="F54" s="190"/>
      <c r="G54" s="190"/>
      <c r="H54" s="190"/>
      <c r="I54" s="190"/>
      <c r="J54" s="190"/>
      <c r="K54" s="190"/>
      <c r="L54" s="190"/>
      <c r="M54" s="191"/>
    </row>
    <row r="55" spans="1:13" x14ac:dyDescent="0.35">
      <c r="A55" s="392" t="s">
        <v>851</v>
      </c>
      <c r="B55" s="186"/>
      <c r="C55" s="383" t="s">
        <v>904</v>
      </c>
      <c r="D55" s="186"/>
      <c r="E55" s="186"/>
      <c r="F55" s="186"/>
      <c r="G55" s="186"/>
      <c r="H55" s="186"/>
      <c r="I55" s="186"/>
      <c r="J55" s="186"/>
      <c r="K55" s="186"/>
      <c r="L55" s="186"/>
      <c r="M55" s="187"/>
    </row>
    <row r="56" spans="1:13" ht="15" thickBot="1" x14ac:dyDescent="0.4">
      <c r="A56" s="189"/>
      <c r="B56" s="394"/>
      <c r="C56" s="391" t="s">
        <v>891</v>
      </c>
      <c r="D56" s="190"/>
      <c r="E56" s="190"/>
      <c r="F56" s="190"/>
      <c r="G56" s="190"/>
      <c r="H56" s="190"/>
      <c r="I56" s="190"/>
      <c r="J56" s="190"/>
      <c r="K56" s="190"/>
      <c r="L56" s="190"/>
      <c r="M56" s="191"/>
    </row>
    <row r="57" spans="1:13" x14ac:dyDescent="0.35">
      <c r="A57" s="193" t="s">
        <v>615</v>
      </c>
      <c r="B57" s="395">
        <v>0.91500000000000004</v>
      </c>
      <c r="C57" s="396" t="s">
        <v>786</v>
      </c>
      <c r="D57" s="186"/>
      <c r="E57" s="186"/>
      <c r="F57" s="186"/>
      <c r="G57" s="186"/>
      <c r="H57" s="186"/>
      <c r="I57" s="186"/>
      <c r="J57" s="186"/>
      <c r="K57" s="186"/>
      <c r="L57" s="186"/>
      <c r="M57" s="187"/>
    </row>
    <row r="58" spans="1:13" ht="15" thickBot="1" x14ac:dyDescent="0.4">
      <c r="A58" s="189"/>
      <c r="B58" s="190"/>
      <c r="C58" s="391" t="s">
        <v>787</v>
      </c>
      <c r="D58" s="190"/>
      <c r="E58" s="190"/>
      <c r="F58" s="190"/>
      <c r="G58" s="190"/>
      <c r="H58" s="190"/>
      <c r="I58" s="190"/>
      <c r="J58" s="190"/>
      <c r="K58" s="190"/>
      <c r="L58" s="190"/>
      <c r="M58" s="191"/>
    </row>
    <row r="59" spans="1:13" x14ac:dyDescent="0.35">
      <c r="A59" s="392" t="s">
        <v>850</v>
      </c>
      <c r="B59" s="395">
        <v>0.72</v>
      </c>
      <c r="C59" s="396" t="s">
        <v>905</v>
      </c>
      <c r="D59" s="186"/>
      <c r="E59" s="186"/>
      <c r="F59" s="186"/>
      <c r="G59" s="186"/>
      <c r="H59" s="186"/>
      <c r="I59" s="186"/>
      <c r="J59" s="186"/>
      <c r="K59" s="186"/>
      <c r="L59" s="186"/>
      <c r="M59" s="187"/>
    </row>
    <row r="60" spans="1:13" ht="15" thickBot="1" x14ac:dyDescent="0.4">
      <c r="A60" s="189"/>
      <c r="B60" s="190"/>
      <c r="C60" s="391" t="s">
        <v>906</v>
      </c>
      <c r="D60" s="190"/>
      <c r="E60" s="190"/>
      <c r="F60" s="190"/>
      <c r="G60" s="190"/>
      <c r="H60" s="190"/>
      <c r="I60" s="190"/>
      <c r="J60" s="190"/>
      <c r="K60" s="190"/>
      <c r="L60" s="190"/>
      <c r="M60" s="191"/>
    </row>
    <row r="61" spans="1:13" x14ac:dyDescent="0.35">
      <c r="A61" s="392" t="s">
        <v>380</v>
      </c>
      <c r="B61" s="397">
        <v>3.1399999999999997E-2</v>
      </c>
      <c r="C61" s="396" t="s">
        <v>426</v>
      </c>
      <c r="D61" s="186"/>
      <c r="E61" s="186"/>
      <c r="F61" s="186"/>
      <c r="G61" s="186"/>
      <c r="H61" s="186"/>
      <c r="I61" s="186"/>
      <c r="J61" s="186"/>
      <c r="K61" s="186"/>
      <c r="L61" s="186"/>
      <c r="M61" s="187"/>
    </row>
    <row r="62" spans="1:13" ht="15" thickBot="1" x14ac:dyDescent="0.4">
      <c r="A62" s="189"/>
      <c r="B62" s="190"/>
      <c r="C62" s="391" t="s">
        <v>787</v>
      </c>
      <c r="D62" s="190"/>
      <c r="E62" s="190"/>
      <c r="F62" s="190"/>
      <c r="G62" s="190"/>
      <c r="H62" s="190"/>
      <c r="I62" s="190"/>
      <c r="J62" s="190"/>
      <c r="K62" s="190"/>
      <c r="L62" s="190"/>
      <c r="M62" s="191"/>
    </row>
    <row r="63" spans="1:13" x14ac:dyDescent="0.35">
      <c r="A63" s="193" t="s">
        <v>443</v>
      </c>
      <c r="B63" s="2006">
        <v>20</v>
      </c>
      <c r="C63" s="396" t="s">
        <v>907</v>
      </c>
      <c r="D63" s="186"/>
      <c r="E63" s="186"/>
      <c r="F63" s="186"/>
      <c r="G63" s="186"/>
      <c r="H63" s="186"/>
      <c r="I63" s="186"/>
      <c r="J63" s="186"/>
      <c r="K63" s="186"/>
      <c r="L63" s="186"/>
      <c r="M63" s="187"/>
    </row>
    <row r="64" spans="1:13" ht="15" thickBot="1" x14ac:dyDescent="0.4">
      <c r="A64" s="197"/>
      <c r="B64" s="398"/>
      <c r="C64" s="391" t="s">
        <v>787</v>
      </c>
      <c r="D64" s="190"/>
      <c r="E64" s="190"/>
      <c r="F64" s="190"/>
      <c r="G64" s="190"/>
      <c r="H64" s="190"/>
      <c r="I64" s="190"/>
      <c r="J64" s="190"/>
      <c r="K64" s="190"/>
      <c r="L64" s="190"/>
      <c r="M64" s="191"/>
    </row>
    <row r="65" spans="1:13" ht="43.5" customHeight="1" x14ac:dyDescent="0.35">
      <c r="A65" s="193" t="s">
        <v>344</v>
      </c>
      <c r="B65" s="395"/>
      <c r="C65" s="396"/>
      <c r="D65" s="186"/>
      <c r="E65" s="186"/>
      <c r="F65" s="186"/>
      <c r="G65" s="186"/>
      <c r="H65" s="186"/>
      <c r="I65" s="186"/>
      <c r="J65" s="186"/>
      <c r="K65" s="186"/>
      <c r="L65" s="186"/>
      <c r="M65" s="187"/>
    </row>
    <row r="66" spans="1:13" ht="16.5" customHeight="1" thickBot="1" x14ac:dyDescent="0.4">
      <c r="A66" s="197"/>
      <c r="B66" s="398"/>
      <c r="C66" s="391"/>
      <c r="D66" s="190"/>
      <c r="E66" s="190"/>
      <c r="F66" s="190"/>
      <c r="G66" s="190"/>
      <c r="H66" s="190"/>
      <c r="I66" s="190"/>
      <c r="J66" s="190"/>
      <c r="K66" s="190"/>
      <c r="L66" s="190"/>
      <c r="M66" s="191"/>
    </row>
    <row r="67" spans="1:13" ht="40.5" customHeight="1" x14ac:dyDescent="0.35">
      <c r="A67" s="193" t="s">
        <v>908</v>
      </c>
      <c r="B67" s="399" t="s">
        <v>909</v>
      </c>
      <c r="C67" s="396" t="s">
        <v>910</v>
      </c>
      <c r="D67" s="186"/>
      <c r="E67" s="186"/>
      <c r="F67" s="186"/>
      <c r="G67" s="186"/>
      <c r="H67" s="186"/>
      <c r="I67" s="186"/>
      <c r="J67" s="186"/>
      <c r="K67" s="186"/>
      <c r="L67" s="186"/>
      <c r="M67" s="187"/>
    </row>
    <row r="68" spans="1:13" ht="16.5" customHeight="1" x14ac:dyDescent="0.35">
      <c r="A68" s="341"/>
      <c r="B68" s="400"/>
      <c r="C68" s="401" t="s">
        <v>911</v>
      </c>
      <c r="D68" s="207"/>
      <c r="E68" s="207"/>
      <c r="F68" s="207"/>
      <c r="G68" s="207"/>
      <c r="H68" s="207"/>
      <c r="I68" s="207"/>
      <c r="J68" s="207"/>
      <c r="K68" s="207"/>
      <c r="L68" s="207"/>
      <c r="M68" s="208"/>
    </row>
    <row r="69" spans="1:13" ht="16.5" customHeight="1" thickBot="1" x14ac:dyDescent="0.4">
      <c r="A69" s="197"/>
      <c r="B69" s="398"/>
      <c r="C69" s="391" t="s">
        <v>912</v>
      </c>
      <c r="D69" s="190"/>
      <c r="E69" s="190"/>
      <c r="F69" s="190"/>
      <c r="G69" s="190"/>
      <c r="H69" s="190"/>
      <c r="I69" s="190"/>
      <c r="J69" s="190"/>
      <c r="K69" s="190"/>
      <c r="L69" s="190"/>
      <c r="M69" s="191"/>
    </row>
    <row r="70" spans="1:13" ht="16.5" customHeight="1" x14ac:dyDescent="0.35">
      <c r="A70" s="193" t="s">
        <v>856</v>
      </c>
      <c r="B70" s="395"/>
      <c r="C70" s="396" t="s">
        <v>913</v>
      </c>
      <c r="D70" s="186"/>
      <c r="E70" s="186"/>
      <c r="F70" s="186"/>
      <c r="G70" s="186"/>
      <c r="H70" s="186"/>
      <c r="I70" s="186"/>
      <c r="J70" s="186"/>
      <c r="K70" s="186"/>
      <c r="L70" s="186"/>
      <c r="M70" s="187"/>
    </row>
    <row r="71" spans="1:13" ht="16.5" customHeight="1" thickBot="1" x14ac:dyDescent="0.4">
      <c r="A71" s="197"/>
      <c r="B71" s="398"/>
      <c r="C71" s="391" t="s">
        <v>912</v>
      </c>
      <c r="D71" s="190"/>
      <c r="E71" s="190"/>
      <c r="F71" s="190"/>
      <c r="G71" s="190"/>
      <c r="H71" s="190"/>
      <c r="I71" s="190"/>
      <c r="J71" s="190"/>
      <c r="K71" s="190"/>
      <c r="L71" s="190"/>
      <c r="M71" s="191"/>
    </row>
    <row r="72" spans="1:13" ht="29.25" customHeight="1" x14ac:dyDescent="0.35">
      <c r="A72" s="193" t="s">
        <v>914</v>
      </c>
      <c r="B72" s="399" t="s">
        <v>909</v>
      </c>
      <c r="C72" s="396" t="s">
        <v>915</v>
      </c>
      <c r="D72" s="186"/>
      <c r="E72" s="186"/>
      <c r="F72" s="186"/>
      <c r="G72" s="186"/>
      <c r="H72" s="186"/>
      <c r="I72" s="186"/>
      <c r="J72" s="186"/>
      <c r="K72" s="186"/>
      <c r="L72" s="186"/>
      <c r="M72" s="187"/>
    </row>
    <row r="73" spans="1:13" ht="16.5" customHeight="1" x14ac:dyDescent="0.35">
      <c r="A73" s="341"/>
      <c r="B73" s="400"/>
      <c r="C73" s="401" t="s">
        <v>911</v>
      </c>
      <c r="D73" s="207"/>
      <c r="E73" s="207"/>
      <c r="F73" s="207"/>
      <c r="G73" s="207"/>
      <c r="H73" s="207"/>
      <c r="I73" s="207"/>
      <c r="J73" s="207"/>
      <c r="K73" s="207"/>
      <c r="L73" s="207"/>
      <c r="M73" s="208"/>
    </row>
    <row r="74" spans="1:13" ht="16.5" customHeight="1" thickBot="1" x14ac:dyDescent="0.4">
      <c r="A74" s="197"/>
      <c r="B74" s="398"/>
      <c r="C74" s="391" t="s">
        <v>912</v>
      </c>
      <c r="D74" s="190"/>
      <c r="E74" s="190"/>
      <c r="F74" s="190"/>
      <c r="G74" s="190"/>
      <c r="H74" s="190"/>
      <c r="I74" s="190"/>
      <c r="J74" s="190"/>
      <c r="K74" s="190"/>
      <c r="L74" s="190"/>
      <c r="M74" s="191"/>
    </row>
    <row r="75" spans="1:13" ht="16.5" customHeight="1" x14ac:dyDescent="0.35">
      <c r="A75" s="193" t="s">
        <v>857</v>
      </c>
      <c r="B75" s="395"/>
      <c r="C75" s="396" t="s">
        <v>916</v>
      </c>
      <c r="D75" s="186"/>
      <c r="E75" s="186"/>
      <c r="F75" s="186"/>
      <c r="G75" s="186"/>
      <c r="H75" s="186"/>
      <c r="I75" s="186"/>
      <c r="J75" s="186"/>
      <c r="K75" s="186"/>
      <c r="L75" s="186"/>
      <c r="M75" s="187"/>
    </row>
    <row r="76" spans="1:13" ht="16.5" customHeight="1" thickBot="1" x14ac:dyDescent="0.4">
      <c r="A76" s="197"/>
      <c r="B76" s="398"/>
      <c r="C76" s="391" t="s">
        <v>912</v>
      </c>
      <c r="D76" s="190"/>
      <c r="E76" s="190"/>
      <c r="F76" s="190"/>
      <c r="G76" s="190"/>
      <c r="H76" s="190"/>
      <c r="I76" s="190"/>
      <c r="J76" s="190"/>
      <c r="K76" s="190"/>
      <c r="L76" s="190"/>
      <c r="M76" s="191"/>
    </row>
    <row r="77" spans="1:13" ht="33.75" customHeight="1" x14ac:dyDescent="0.35">
      <c r="A77" s="193" t="s">
        <v>917</v>
      </c>
      <c r="B77" s="399" t="s">
        <v>909</v>
      </c>
      <c r="C77" s="396" t="s">
        <v>918</v>
      </c>
      <c r="D77" s="186"/>
      <c r="E77" s="186"/>
      <c r="F77" s="186"/>
      <c r="G77" s="186"/>
      <c r="H77" s="186"/>
      <c r="I77" s="186"/>
      <c r="J77" s="186"/>
      <c r="K77" s="186"/>
      <c r="L77" s="186"/>
      <c r="M77" s="187"/>
    </row>
    <row r="78" spans="1:13" ht="16.5" customHeight="1" x14ac:dyDescent="0.35">
      <c r="A78" s="341"/>
      <c r="B78" s="400"/>
      <c r="C78" s="401" t="s">
        <v>911</v>
      </c>
      <c r="D78" s="207"/>
      <c r="E78" s="207"/>
      <c r="F78" s="207"/>
      <c r="G78" s="207"/>
      <c r="H78" s="207"/>
      <c r="I78" s="207"/>
      <c r="J78" s="207"/>
      <c r="K78" s="207"/>
      <c r="L78" s="207"/>
      <c r="M78" s="208"/>
    </row>
    <row r="79" spans="1:13" ht="16.5" customHeight="1" thickBot="1" x14ac:dyDescent="0.4">
      <c r="A79" s="197"/>
      <c r="B79" s="398"/>
      <c r="C79" s="391" t="s">
        <v>912</v>
      </c>
      <c r="D79" s="190"/>
      <c r="E79" s="190"/>
      <c r="F79" s="190"/>
      <c r="G79" s="190"/>
      <c r="H79" s="190"/>
      <c r="I79" s="190"/>
      <c r="J79" s="190"/>
      <c r="K79" s="190"/>
      <c r="L79" s="190"/>
      <c r="M79" s="191"/>
    </row>
    <row r="80" spans="1:13" ht="16.5" customHeight="1" x14ac:dyDescent="0.35">
      <c r="A80" s="193" t="s">
        <v>858</v>
      </c>
      <c r="B80" s="395"/>
      <c r="C80" s="396" t="s">
        <v>919</v>
      </c>
      <c r="D80" s="186"/>
      <c r="E80" s="186"/>
      <c r="F80" s="186"/>
      <c r="G80" s="186"/>
      <c r="H80" s="186"/>
      <c r="I80" s="186"/>
      <c r="J80" s="186"/>
      <c r="K80" s="186"/>
      <c r="L80" s="186"/>
      <c r="M80" s="187"/>
    </row>
    <row r="81" spans="1:13" ht="16.5" customHeight="1" thickBot="1" x14ac:dyDescent="0.4">
      <c r="A81" s="197"/>
      <c r="B81" s="398"/>
      <c r="C81" s="391" t="s">
        <v>912</v>
      </c>
      <c r="D81" s="190"/>
      <c r="E81" s="190"/>
      <c r="F81" s="190"/>
      <c r="G81" s="190"/>
      <c r="H81" s="190"/>
      <c r="I81" s="190"/>
      <c r="J81" s="190"/>
      <c r="K81" s="190"/>
      <c r="L81" s="190"/>
      <c r="M81" s="191"/>
    </row>
    <row r="82" spans="1:13" ht="33.75" customHeight="1" x14ac:dyDescent="0.35">
      <c r="A82" s="193" t="s">
        <v>920</v>
      </c>
      <c r="B82" s="399" t="s">
        <v>909</v>
      </c>
      <c r="C82" s="396" t="s">
        <v>921</v>
      </c>
      <c r="D82" s="186"/>
      <c r="E82" s="186"/>
      <c r="F82" s="186"/>
      <c r="G82" s="186"/>
      <c r="H82" s="186"/>
      <c r="I82" s="186"/>
      <c r="J82" s="186"/>
      <c r="K82" s="186"/>
      <c r="L82" s="186"/>
      <c r="M82" s="187"/>
    </row>
    <row r="83" spans="1:13" ht="16.5" customHeight="1" x14ac:dyDescent="0.35">
      <c r="A83" s="341"/>
      <c r="B83" s="400"/>
      <c r="C83" s="401" t="s">
        <v>911</v>
      </c>
      <c r="D83" s="207"/>
      <c r="E83" s="207"/>
      <c r="F83" s="207"/>
      <c r="G83" s="207"/>
      <c r="H83" s="207"/>
      <c r="I83" s="207"/>
      <c r="J83" s="207"/>
      <c r="K83" s="207"/>
      <c r="L83" s="207"/>
      <c r="M83" s="208"/>
    </row>
    <row r="84" spans="1:13" ht="16.5" customHeight="1" thickBot="1" x14ac:dyDescent="0.4">
      <c r="A84" s="197"/>
      <c r="B84" s="398"/>
      <c r="C84" s="391" t="s">
        <v>912</v>
      </c>
      <c r="D84" s="190"/>
      <c r="E84" s="190"/>
      <c r="F84" s="190"/>
      <c r="G84" s="190"/>
      <c r="H84" s="190"/>
      <c r="I84" s="190"/>
      <c r="J84" s="190"/>
      <c r="K84" s="190"/>
      <c r="L84" s="190"/>
      <c r="M84" s="191"/>
    </row>
    <row r="85" spans="1:13" ht="16.5" customHeight="1" x14ac:dyDescent="0.35">
      <c r="A85" s="193" t="s">
        <v>859</v>
      </c>
      <c r="B85" s="395"/>
      <c r="C85" s="396" t="s">
        <v>922</v>
      </c>
      <c r="D85" s="186"/>
      <c r="E85" s="186"/>
      <c r="F85" s="186"/>
      <c r="G85" s="186"/>
      <c r="H85" s="186"/>
      <c r="I85" s="186"/>
      <c r="J85" s="186"/>
      <c r="K85" s="186"/>
      <c r="L85" s="186"/>
      <c r="M85" s="187"/>
    </row>
    <row r="86" spans="1:13" ht="16.5" customHeight="1" thickBot="1" x14ac:dyDescent="0.4">
      <c r="A86" s="197"/>
      <c r="B86" s="398"/>
      <c r="C86" s="391" t="s">
        <v>912</v>
      </c>
      <c r="D86" s="190"/>
      <c r="E86" s="190"/>
      <c r="F86" s="190"/>
      <c r="G86" s="190"/>
      <c r="H86" s="190"/>
      <c r="I86" s="190"/>
      <c r="J86" s="190"/>
      <c r="K86" s="190"/>
      <c r="L86" s="190"/>
      <c r="M86" s="191"/>
    </row>
    <row r="87" spans="1:13" ht="16.5" customHeight="1" x14ac:dyDescent="0.35">
      <c r="A87" s="193" t="s">
        <v>860</v>
      </c>
      <c r="B87" s="395">
        <v>0.8</v>
      </c>
      <c r="C87" s="396" t="s">
        <v>923</v>
      </c>
      <c r="D87" s="186"/>
      <c r="E87" s="186"/>
      <c r="F87" s="186"/>
      <c r="G87" s="186"/>
      <c r="H87" s="186"/>
      <c r="I87" s="186"/>
      <c r="J87" s="186"/>
      <c r="K87" s="186"/>
      <c r="L87" s="186"/>
      <c r="M87" s="187"/>
    </row>
    <row r="88" spans="1:13" ht="16.5" customHeight="1" x14ac:dyDescent="0.35">
      <c r="A88" s="341"/>
      <c r="B88" s="400"/>
      <c r="C88" s="401" t="s">
        <v>924</v>
      </c>
      <c r="D88" s="207"/>
      <c r="E88" s="207"/>
      <c r="F88" s="207"/>
      <c r="G88" s="207"/>
      <c r="H88" s="207"/>
      <c r="I88" s="207"/>
      <c r="J88" s="207"/>
      <c r="K88" s="207"/>
      <c r="L88" s="207"/>
      <c r="M88" s="208"/>
    </row>
    <row r="89" spans="1:13" ht="16.5" customHeight="1" thickBot="1" x14ac:dyDescent="0.4">
      <c r="A89" s="197"/>
      <c r="B89" s="398"/>
      <c r="C89" s="391" t="s">
        <v>912</v>
      </c>
      <c r="D89" s="190"/>
      <c r="E89" s="190"/>
      <c r="F89" s="190"/>
      <c r="G89" s="190"/>
      <c r="H89" s="190"/>
      <c r="I89" s="190"/>
      <c r="J89" s="190"/>
      <c r="K89" s="190"/>
      <c r="L89" s="190"/>
      <c r="M89" s="191"/>
    </row>
    <row r="90" spans="1:13" ht="16.5" customHeight="1" x14ac:dyDescent="0.35">
      <c r="A90" s="193" t="s">
        <v>852</v>
      </c>
      <c r="B90" s="395"/>
      <c r="C90" s="396" t="s">
        <v>925</v>
      </c>
      <c r="D90" s="186"/>
      <c r="E90" s="186"/>
      <c r="F90" s="186"/>
      <c r="G90" s="186"/>
      <c r="H90" s="186"/>
      <c r="I90" s="186"/>
      <c r="J90" s="186"/>
      <c r="K90" s="186"/>
      <c r="L90" s="186"/>
      <c r="M90" s="187"/>
    </row>
    <row r="91" spans="1:13" ht="16.5" customHeight="1" x14ac:dyDescent="0.35">
      <c r="A91" s="341"/>
      <c r="B91" s="400"/>
      <c r="C91" s="401" t="s">
        <v>926</v>
      </c>
      <c r="D91" s="207"/>
      <c r="E91" s="207"/>
      <c r="F91" s="207"/>
      <c r="G91" s="207"/>
      <c r="H91" s="207"/>
      <c r="I91" s="207"/>
      <c r="J91" s="207"/>
      <c r="K91" s="207"/>
      <c r="L91" s="207"/>
      <c r="M91" s="208"/>
    </row>
    <row r="92" spans="1:13" ht="16.5" customHeight="1" thickBot="1" x14ac:dyDescent="0.4">
      <c r="A92" s="197"/>
      <c r="B92" s="398"/>
      <c r="C92" s="391" t="s">
        <v>912</v>
      </c>
      <c r="D92" s="190"/>
      <c r="E92" s="190"/>
      <c r="F92" s="190"/>
      <c r="G92" s="190"/>
      <c r="H92" s="190"/>
      <c r="I92" s="190"/>
      <c r="J92" s="190"/>
      <c r="K92" s="190"/>
      <c r="L92" s="190"/>
      <c r="M92" s="191"/>
    </row>
    <row r="93" spans="1:13" ht="28.5" customHeight="1" x14ac:dyDescent="0.35">
      <c r="A93" s="193" t="s">
        <v>853</v>
      </c>
      <c r="B93" s="399" t="s">
        <v>896</v>
      </c>
      <c r="C93" s="396" t="s">
        <v>927</v>
      </c>
      <c r="D93" s="186"/>
      <c r="E93" s="186"/>
      <c r="F93" s="186"/>
      <c r="G93" s="186"/>
      <c r="H93" s="186"/>
      <c r="I93" s="186"/>
      <c r="J93" s="186"/>
      <c r="K93" s="186"/>
      <c r="L93" s="186"/>
      <c r="M93" s="187"/>
    </row>
    <row r="94" spans="1:13" ht="16.5" customHeight="1" x14ac:dyDescent="0.35">
      <c r="A94" s="341"/>
      <c r="B94" s="400"/>
      <c r="C94" s="401" t="s">
        <v>926</v>
      </c>
      <c r="D94" s="207"/>
      <c r="E94" s="207"/>
      <c r="F94" s="207"/>
      <c r="G94" s="207"/>
      <c r="H94" s="207"/>
      <c r="I94" s="207"/>
      <c r="J94" s="207"/>
      <c r="K94" s="207"/>
      <c r="L94" s="207"/>
      <c r="M94" s="208"/>
    </row>
    <row r="95" spans="1:13" ht="16.5" customHeight="1" thickBot="1" x14ac:dyDescent="0.4">
      <c r="A95" s="197"/>
      <c r="B95" s="398"/>
      <c r="C95" s="391" t="s">
        <v>912</v>
      </c>
      <c r="D95" s="190"/>
      <c r="E95" s="190"/>
      <c r="F95" s="190"/>
      <c r="G95" s="190"/>
      <c r="H95" s="190"/>
      <c r="I95" s="190"/>
      <c r="J95" s="190"/>
      <c r="K95" s="190"/>
      <c r="L95" s="190"/>
      <c r="M95" s="191"/>
    </row>
    <row r="96" spans="1:13" ht="37.5" customHeight="1" x14ac:dyDescent="0.35">
      <c r="A96" s="193" t="s">
        <v>854</v>
      </c>
      <c r="B96" s="399" t="s">
        <v>896</v>
      </c>
      <c r="C96" s="396" t="s">
        <v>928</v>
      </c>
      <c r="D96" s="186"/>
      <c r="E96" s="186"/>
      <c r="F96" s="186"/>
      <c r="G96" s="186"/>
      <c r="H96" s="186"/>
      <c r="I96" s="186"/>
      <c r="J96" s="186"/>
      <c r="K96" s="186"/>
      <c r="L96" s="186"/>
      <c r="M96" s="187"/>
    </row>
    <row r="97" spans="1:17" ht="16.5" customHeight="1" x14ac:dyDescent="0.35">
      <c r="A97" s="341"/>
      <c r="B97" s="400"/>
      <c r="C97" s="401" t="s">
        <v>926</v>
      </c>
      <c r="D97" s="207"/>
      <c r="E97" s="207"/>
      <c r="F97" s="207"/>
      <c r="G97" s="207"/>
      <c r="H97" s="207"/>
      <c r="I97" s="207"/>
      <c r="J97" s="207"/>
      <c r="K97" s="207"/>
      <c r="L97" s="207"/>
      <c r="M97" s="208"/>
    </row>
    <row r="98" spans="1:17" ht="16.5" customHeight="1" thickBot="1" x14ac:dyDescent="0.4">
      <c r="A98" s="197"/>
      <c r="B98" s="398"/>
      <c r="C98" s="391" t="s">
        <v>912</v>
      </c>
      <c r="D98" s="190"/>
      <c r="E98" s="190"/>
      <c r="F98" s="190"/>
      <c r="G98" s="190"/>
      <c r="H98" s="190"/>
      <c r="I98" s="190"/>
      <c r="J98" s="190"/>
      <c r="K98" s="190"/>
      <c r="L98" s="190"/>
      <c r="M98" s="191"/>
    </row>
    <row r="99" spans="1:17" ht="29.25" customHeight="1" x14ac:dyDescent="0.35">
      <c r="A99" s="193" t="s">
        <v>855</v>
      </c>
      <c r="B99" s="399" t="s">
        <v>896</v>
      </c>
      <c r="C99" s="396" t="s">
        <v>929</v>
      </c>
      <c r="D99" s="186"/>
      <c r="E99" s="186"/>
      <c r="F99" s="186"/>
      <c r="G99" s="186"/>
      <c r="H99" s="186"/>
      <c r="I99" s="186"/>
      <c r="J99" s="186"/>
      <c r="K99" s="186"/>
      <c r="L99" s="186"/>
      <c r="M99" s="187"/>
    </row>
    <row r="100" spans="1:17" ht="16.5" customHeight="1" x14ac:dyDescent="0.35">
      <c r="A100" s="341"/>
      <c r="B100" s="400"/>
      <c r="C100" s="401" t="s">
        <v>926</v>
      </c>
      <c r="D100" s="207"/>
      <c r="E100" s="207"/>
      <c r="F100" s="207"/>
      <c r="G100" s="207"/>
      <c r="H100" s="207"/>
      <c r="I100" s="207"/>
      <c r="J100" s="207"/>
      <c r="K100" s="207"/>
      <c r="L100" s="207"/>
      <c r="M100" s="208"/>
    </row>
    <row r="101" spans="1:17" ht="16.5" customHeight="1" thickBot="1" x14ac:dyDescent="0.4">
      <c r="A101" s="197"/>
      <c r="B101" s="398"/>
      <c r="C101" s="391" t="s">
        <v>912</v>
      </c>
      <c r="D101" s="190"/>
      <c r="E101" s="190"/>
      <c r="F101" s="190"/>
      <c r="G101" s="190"/>
      <c r="H101" s="190"/>
      <c r="I101" s="190"/>
      <c r="J101" s="190"/>
      <c r="K101" s="190"/>
      <c r="L101" s="190"/>
      <c r="M101" s="191"/>
    </row>
    <row r="102" spans="1:17" ht="16.5" customHeight="1" x14ac:dyDescent="0.35">
      <c r="A102" s="2007" t="s">
        <v>3433</v>
      </c>
      <c r="B102" s="2008">
        <v>1</v>
      </c>
      <c r="C102" s="2009" t="s">
        <v>3448</v>
      </c>
      <c r="D102" s="1926"/>
      <c r="E102" s="1926"/>
      <c r="F102" s="1926"/>
      <c r="G102" s="1926"/>
      <c r="H102" s="1926"/>
      <c r="I102" s="1926"/>
      <c r="J102" s="1926"/>
      <c r="K102" s="1926"/>
      <c r="L102" s="1926"/>
      <c r="M102" s="1926"/>
    </row>
    <row r="103" spans="1:17" ht="16.5" customHeight="1" x14ac:dyDescent="0.35">
      <c r="A103" s="2010"/>
      <c r="B103" s="2011"/>
      <c r="C103" s="1932" t="s">
        <v>3449</v>
      </c>
      <c r="D103" s="1933"/>
      <c r="E103" s="1933"/>
      <c r="F103" s="1933"/>
      <c r="G103" s="1933"/>
      <c r="H103" s="1933"/>
      <c r="I103" s="1933"/>
      <c r="J103" s="1933"/>
      <c r="K103" s="1933"/>
      <c r="L103" s="1933"/>
      <c r="M103" s="1933"/>
    </row>
    <row r="104" spans="1:17" ht="16.5" customHeight="1" x14ac:dyDescent="0.35">
      <c r="A104" s="2010"/>
      <c r="B104" s="2011"/>
      <c r="C104" s="1932" t="s">
        <v>3450</v>
      </c>
      <c r="D104" s="1933"/>
      <c r="E104" s="1933"/>
      <c r="F104" s="1933"/>
      <c r="G104" s="1933"/>
      <c r="H104" s="1933"/>
      <c r="I104" s="1933"/>
      <c r="J104" s="1933"/>
      <c r="K104" s="1933"/>
      <c r="L104" s="1933"/>
      <c r="M104" s="1933"/>
    </row>
    <row r="105" spans="1:17" ht="16.5" customHeight="1" thickBot="1" x14ac:dyDescent="0.4">
      <c r="A105" s="2012"/>
      <c r="B105" s="2013"/>
      <c r="C105" s="1950" t="s">
        <v>3451</v>
      </c>
      <c r="D105" s="1935"/>
      <c r="E105" s="1935"/>
      <c r="F105" s="1935"/>
      <c r="G105" s="1935"/>
      <c r="H105" s="1935"/>
      <c r="I105" s="1935"/>
      <c r="J105" s="1935"/>
      <c r="K105" s="1935"/>
      <c r="L105" s="1935"/>
      <c r="M105" s="1935"/>
    </row>
    <row r="106" spans="1:17" ht="16.5" customHeight="1" thickBot="1" x14ac:dyDescent="0.4">
      <c r="A106" s="184"/>
      <c r="B106" s="325"/>
      <c r="C106" s="349"/>
      <c r="D106" s="67"/>
      <c r="E106" s="67"/>
    </row>
    <row r="107" spans="1:17" ht="15" thickBot="1" x14ac:dyDescent="0.4">
      <c r="A107" s="122" t="s">
        <v>446</v>
      </c>
      <c r="B107" s="123"/>
      <c r="C107" s="78"/>
      <c r="D107" s="78"/>
      <c r="E107" s="78"/>
      <c r="F107" s="78"/>
      <c r="G107" s="78"/>
      <c r="H107" s="78"/>
      <c r="I107" s="78"/>
      <c r="J107" s="78"/>
      <c r="K107" s="78"/>
      <c r="L107" s="78"/>
      <c r="M107" s="78"/>
      <c r="N107" s="78"/>
      <c r="O107" s="78"/>
      <c r="P107" s="78"/>
      <c r="Q107" s="79"/>
    </row>
    <row r="108" spans="1:17" ht="38.25" customHeight="1" x14ac:dyDescent="0.35">
      <c r="A108" s="124"/>
      <c r="B108" s="83"/>
      <c r="C108" s="83"/>
      <c r="D108" s="83"/>
      <c r="E108" s="83">
        <v>1</v>
      </c>
      <c r="F108" s="83">
        <v>2</v>
      </c>
      <c r="G108" s="83">
        <v>3</v>
      </c>
      <c r="H108" s="83">
        <v>4</v>
      </c>
      <c r="I108" s="83">
        <v>5</v>
      </c>
      <c r="J108" s="83">
        <v>6</v>
      </c>
      <c r="K108" s="83"/>
      <c r="L108" s="83"/>
      <c r="M108" s="83"/>
      <c r="N108" s="83"/>
      <c r="O108" s="83"/>
      <c r="P108" s="83"/>
      <c r="Q108" s="125"/>
    </row>
    <row r="109" spans="1:17" ht="65" x14ac:dyDescent="0.35">
      <c r="A109" s="124"/>
      <c r="B109" s="83"/>
      <c r="C109" s="83"/>
      <c r="D109" s="83"/>
      <c r="E109" s="70" t="s">
        <v>370</v>
      </c>
      <c r="F109" s="402" t="s">
        <v>930</v>
      </c>
      <c r="G109" s="403" t="s">
        <v>847</v>
      </c>
      <c r="H109" s="363" t="s">
        <v>931</v>
      </c>
      <c r="I109" s="363" t="s">
        <v>400</v>
      </c>
      <c r="J109" s="70" t="s">
        <v>466</v>
      </c>
      <c r="K109" s="83"/>
      <c r="L109" s="83"/>
      <c r="M109" s="70" t="s">
        <v>693</v>
      </c>
      <c r="N109" s="70" t="s">
        <v>835</v>
      </c>
      <c r="O109" s="70" t="s">
        <v>801</v>
      </c>
      <c r="P109" s="70" t="s">
        <v>932</v>
      </c>
      <c r="Q109" s="125"/>
    </row>
    <row r="110" spans="1:17" x14ac:dyDescent="0.35">
      <c r="A110" s="124"/>
      <c r="B110" s="83"/>
      <c r="C110" s="83"/>
      <c r="D110" s="83"/>
      <c r="E110" s="131" t="s">
        <v>457</v>
      </c>
      <c r="F110" s="134">
        <v>820</v>
      </c>
      <c r="G110" s="404">
        <v>3.3</v>
      </c>
      <c r="H110" s="132">
        <v>5352</v>
      </c>
      <c r="I110" s="126">
        <v>512</v>
      </c>
      <c r="J110" s="126">
        <v>467</v>
      </c>
      <c r="K110" s="83"/>
      <c r="L110" s="83"/>
      <c r="M110" s="2446" t="s">
        <v>737</v>
      </c>
      <c r="N110" s="405" t="s">
        <v>803</v>
      </c>
      <c r="O110" s="126">
        <v>6.8</v>
      </c>
      <c r="P110" s="126">
        <v>1.7</v>
      </c>
      <c r="Q110" s="125"/>
    </row>
    <row r="111" spans="1:17" x14ac:dyDescent="0.35">
      <c r="A111" s="124"/>
      <c r="B111" s="83"/>
      <c r="C111" s="83"/>
      <c r="D111" s="83"/>
      <c r="E111" s="131" t="s">
        <v>459</v>
      </c>
      <c r="F111" s="134">
        <v>842</v>
      </c>
      <c r="G111" s="404">
        <v>3.2</v>
      </c>
      <c r="H111" s="132">
        <v>5113</v>
      </c>
      <c r="I111" s="126">
        <v>570</v>
      </c>
      <c r="J111" s="126">
        <v>506</v>
      </c>
      <c r="K111" s="406"/>
      <c r="L111" s="83"/>
      <c r="M111" s="2446"/>
      <c r="N111" s="405" t="s">
        <v>933</v>
      </c>
      <c r="O111" s="126">
        <v>7.7</v>
      </c>
      <c r="P111" s="126">
        <v>1.92</v>
      </c>
      <c r="Q111" s="125"/>
    </row>
    <row r="112" spans="1:17" ht="25.5" customHeight="1" x14ac:dyDescent="0.35">
      <c r="A112" s="2445" t="s">
        <v>825</v>
      </c>
      <c r="B112" s="2297"/>
      <c r="C112" s="2250"/>
      <c r="D112" s="83"/>
      <c r="E112" s="131" t="s">
        <v>461</v>
      </c>
      <c r="F112" s="132">
        <v>1108</v>
      </c>
      <c r="G112" s="404">
        <v>3.7</v>
      </c>
      <c r="H112" s="132">
        <v>4379</v>
      </c>
      <c r="I112" s="126">
        <v>730</v>
      </c>
      <c r="J112" s="126">
        <v>663</v>
      </c>
      <c r="K112" s="406"/>
      <c r="L112" s="83"/>
      <c r="M112" s="2446"/>
      <c r="N112" s="405" t="s">
        <v>863</v>
      </c>
      <c r="O112" s="126">
        <v>8.1999999999999993</v>
      </c>
      <c r="P112" s="126">
        <v>2.4</v>
      </c>
      <c r="Q112" s="125"/>
    </row>
    <row r="113" spans="1:17" x14ac:dyDescent="0.35">
      <c r="A113" s="360" t="s">
        <v>458</v>
      </c>
      <c r="B113" s="62" t="s">
        <v>826</v>
      </c>
      <c r="C113" s="62">
        <v>0.3</v>
      </c>
      <c r="D113" s="83"/>
      <c r="E113" s="131" t="s">
        <v>934</v>
      </c>
      <c r="F113" s="132">
        <v>1570</v>
      </c>
      <c r="G113" s="404">
        <v>3.6</v>
      </c>
      <c r="H113" s="132">
        <v>3378</v>
      </c>
      <c r="I113" s="133">
        <v>1035</v>
      </c>
      <c r="J113" s="126">
        <v>940</v>
      </c>
      <c r="K113" s="83"/>
      <c r="L113" s="83"/>
      <c r="M113" s="405" t="s">
        <v>806</v>
      </c>
      <c r="N113" s="405" t="s">
        <v>357</v>
      </c>
      <c r="O113" s="126" t="s">
        <v>357</v>
      </c>
      <c r="P113" s="126">
        <v>1</v>
      </c>
      <c r="Q113" s="125"/>
    </row>
    <row r="114" spans="1:17" x14ac:dyDescent="0.35">
      <c r="A114" s="360" t="s">
        <v>460</v>
      </c>
      <c r="B114" s="62" t="s">
        <v>827</v>
      </c>
      <c r="C114" s="62">
        <v>0.6</v>
      </c>
      <c r="D114" s="83"/>
      <c r="E114" s="131" t="s">
        <v>935</v>
      </c>
      <c r="F114" s="133">
        <v>1370</v>
      </c>
      <c r="G114" s="367">
        <v>3.7</v>
      </c>
      <c r="H114" s="133">
        <v>3438</v>
      </c>
      <c r="I114" s="126">
        <v>903</v>
      </c>
      <c r="J114" s="126">
        <v>820</v>
      </c>
      <c r="K114" s="83"/>
      <c r="L114" s="83"/>
      <c r="M114" s="83"/>
      <c r="N114" s="83"/>
      <c r="O114" s="83"/>
      <c r="P114" s="83"/>
      <c r="Q114" s="125"/>
    </row>
    <row r="115" spans="1:17" x14ac:dyDescent="0.35">
      <c r="A115" s="360" t="s">
        <v>462</v>
      </c>
      <c r="B115" s="62" t="s">
        <v>828</v>
      </c>
      <c r="C115" s="62">
        <v>0.1</v>
      </c>
      <c r="D115" s="83"/>
      <c r="E115" s="131" t="s">
        <v>738</v>
      </c>
      <c r="F115" s="133">
        <f>F110*$C$113+F111*$C$114+F112*$C$115</f>
        <v>862</v>
      </c>
      <c r="G115" s="367">
        <f>G110*$C$113+G111*$C$114+G112*$C$115</f>
        <v>3.28</v>
      </c>
      <c r="H115" s="133">
        <f>H110*$C$113+H111*$C$114+H112*$C$115</f>
        <v>5111.2999999999993</v>
      </c>
      <c r="I115" s="126">
        <f>I110*$C$113+I111*$C$114+I112*$C$115</f>
        <v>568.6</v>
      </c>
      <c r="J115" s="126">
        <f>J110*$C$113+J111*$C$114+J112*$C$115</f>
        <v>509.99999999999994</v>
      </c>
      <c r="K115" s="83"/>
      <c r="L115" s="83"/>
      <c r="M115" s="83"/>
      <c r="N115" s="83"/>
      <c r="O115" s="83"/>
      <c r="P115" s="83"/>
      <c r="Q115" s="125"/>
    </row>
    <row r="116" spans="1:17" x14ac:dyDescent="0.35">
      <c r="A116" s="124"/>
      <c r="B116" s="83"/>
      <c r="C116" s="83"/>
      <c r="D116" s="83"/>
      <c r="E116" s="83"/>
      <c r="F116" s="83"/>
      <c r="G116" s="83"/>
      <c r="H116" s="83"/>
      <c r="I116" s="83"/>
      <c r="J116" s="83"/>
      <c r="K116" s="83"/>
      <c r="L116" s="83"/>
      <c r="M116" s="83"/>
      <c r="N116" s="83"/>
      <c r="O116" s="83"/>
      <c r="P116" s="83"/>
      <c r="Q116" s="125"/>
    </row>
    <row r="117" spans="1:17" x14ac:dyDescent="0.35">
      <c r="A117" s="124"/>
      <c r="B117" s="83"/>
      <c r="C117" s="83"/>
      <c r="D117" s="83"/>
      <c r="E117" s="83"/>
      <c r="F117" s="83"/>
      <c r="G117" s="83"/>
      <c r="H117" s="83"/>
      <c r="I117" s="83"/>
      <c r="J117" s="83"/>
      <c r="K117" s="83"/>
      <c r="L117" s="83"/>
      <c r="M117" s="83"/>
      <c r="N117" s="83"/>
      <c r="O117" s="83"/>
      <c r="P117" s="83"/>
      <c r="Q117" s="125"/>
    </row>
    <row r="118" spans="1:17" x14ac:dyDescent="0.35">
      <c r="A118" s="407" t="s">
        <v>936</v>
      </c>
      <c r="B118" s="83"/>
      <c r="C118" s="83"/>
      <c r="D118" s="83"/>
      <c r="E118" s="363" t="s">
        <v>937</v>
      </c>
      <c r="F118" s="2339" t="s">
        <v>938</v>
      </c>
      <c r="G118" s="2441"/>
      <c r="H118" s="2441"/>
      <c r="I118" s="2340"/>
      <c r="J118" s="83"/>
      <c r="K118" s="83"/>
      <c r="L118" s="83"/>
      <c r="M118" s="1986" t="s">
        <v>1</v>
      </c>
      <c r="N118" s="1986" t="s">
        <v>3433</v>
      </c>
      <c r="O118" s="83"/>
      <c r="P118" s="83"/>
      <c r="Q118" s="125"/>
    </row>
    <row r="119" spans="1:17" x14ac:dyDescent="0.35">
      <c r="A119" s="360" t="s">
        <v>451</v>
      </c>
      <c r="B119" s="83"/>
      <c r="C119" s="83"/>
      <c r="D119" s="83"/>
      <c r="E119" s="363"/>
      <c r="F119" s="363">
        <v>1</v>
      </c>
      <c r="G119" s="363">
        <v>1.5</v>
      </c>
      <c r="H119" s="363">
        <v>2</v>
      </c>
      <c r="I119" s="363">
        <v>3</v>
      </c>
      <c r="J119" s="83"/>
      <c r="K119" s="83"/>
      <c r="L119" s="83"/>
      <c r="M119" s="2014" t="s">
        <v>3452</v>
      </c>
      <c r="N119" s="2015">
        <v>0.72</v>
      </c>
      <c r="O119" s="83"/>
      <c r="P119" s="83"/>
      <c r="Q119" s="125"/>
    </row>
    <row r="120" spans="1:17" x14ac:dyDescent="0.35">
      <c r="A120" s="360" t="s">
        <v>397</v>
      </c>
      <c r="B120" s="408"/>
      <c r="C120" s="83"/>
      <c r="D120" s="83"/>
      <c r="E120" s="62" t="s">
        <v>457</v>
      </c>
      <c r="F120" s="62">
        <v>39.5</v>
      </c>
      <c r="G120" s="62">
        <v>35</v>
      </c>
      <c r="H120" s="62">
        <v>32.1</v>
      </c>
      <c r="I120" s="62">
        <v>28.4</v>
      </c>
      <c r="J120" s="83"/>
      <c r="K120" s="83"/>
      <c r="L120" s="83"/>
      <c r="M120" s="2014" t="s">
        <v>3453</v>
      </c>
      <c r="N120" s="2015">
        <v>1</v>
      </c>
      <c r="O120" s="83"/>
      <c r="P120" s="83"/>
      <c r="Q120" s="125"/>
    </row>
    <row r="121" spans="1:17" x14ac:dyDescent="0.35">
      <c r="A121" s="124"/>
      <c r="B121" s="83"/>
      <c r="C121" s="83"/>
      <c r="D121" s="83"/>
      <c r="E121" s="62" t="s">
        <v>459</v>
      </c>
      <c r="F121" s="62">
        <v>38.9</v>
      </c>
      <c r="G121" s="62">
        <v>34.4</v>
      </c>
      <c r="H121" s="62">
        <v>31.6</v>
      </c>
      <c r="I121" s="62">
        <v>28</v>
      </c>
      <c r="J121" s="83"/>
      <c r="K121" s="83"/>
      <c r="L121" s="83"/>
      <c r="M121" s="83"/>
      <c r="N121" s="83"/>
      <c r="O121" s="83"/>
      <c r="P121" s="83"/>
      <c r="Q121" s="125"/>
    </row>
    <row r="122" spans="1:17" x14ac:dyDescent="0.35">
      <c r="A122" s="407" t="s">
        <v>939</v>
      </c>
      <c r="B122" s="83"/>
      <c r="C122" s="83"/>
      <c r="D122" s="83"/>
      <c r="E122" s="62" t="s">
        <v>461</v>
      </c>
      <c r="F122" s="62">
        <v>41.2</v>
      </c>
      <c r="G122" s="62">
        <v>36.5</v>
      </c>
      <c r="H122" s="62">
        <v>33.4</v>
      </c>
      <c r="I122" s="62">
        <v>29.6</v>
      </c>
      <c r="J122" s="83"/>
      <c r="K122" s="83"/>
      <c r="L122" s="83"/>
      <c r="M122" s="83"/>
      <c r="N122" s="83"/>
      <c r="O122" s="83"/>
      <c r="P122" s="83"/>
      <c r="Q122" s="125"/>
    </row>
    <row r="123" spans="1:17" x14ac:dyDescent="0.35">
      <c r="A123" s="360" t="s">
        <v>940</v>
      </c>
      <c r="B123" s="83"/>
      <c r="C123" s="83"/>
      <c r="D123" s="83"/>
      <c r="E123" s="62" t="s">
        <v>934</v>
      </c>
      <c r="F123" s="62">
        <v>40.4</v>
      </c>
      <c r="G123" s="62">
        <v>35.799999999999997</v>
      </c>
      <c r="H123" s="62">
        <v>32.9</v>
      </c>
      <c r="I123" s="62">
        <v>29.1</v>
      </c>
      <c r="J123" s="83"/>
      <c r="K123" s="83"/>
      <c r="L123" s="83"/>
      <c r="M123" s="83"/>
      <c r="N123" s="83"/>
      <c r="O123" s="83"/>
      <c r="P123" s="83"/>
      <c r="Q123" s="125"/>
    </row>
    <row r="124" spans="1:17" x14ac:dyDescent="0.35">
      <c r="A124" s="360" t="s">
        <v>737</v>
      </c>
      <c r="B124" s="83"/>
      <c r="C124" s="83"/>
      <c r="D124" s="83"/>
      <c r="E124" s="62" t="s">
        <v>935</v>
      </c>
      <c r="F124" s="62">
        <v>43.6</v>
      </c>
      <c r="G124" s="62">
        <v>38.6</v>
      </c>
      <c r="H124" s="62">
        <v>35.4</v>
      </c>
      <c r="I124" s="62">
        <v>31.3</v>
      </c>
      <c r="J124" s="83"/>
      <c r="K124" s="83"/>
      <c r="L124" s="83"/>
      <c r="M124" s="83"/>
      <c r="N124" s="83"/>
      <c r="O124" s="83"/>
      <c r="P124" s="83"/>
      <c r="Q124" s="125"/>
    </row>
    <row r="125" spans="1:17" x14ac:dyDescent="0.35">
      <c r="A125" s="124"/>
      <c r="B125" s="83"/>
      <c r="C125" s="83"/>
      <c r="D125" s="83"/>
      <c r="E125" s="62" t="s">
        <v>738</v>
      </c>
      <c r="F125" s="62">
        <f>F120*$C$113+F121*$C$114+F122*$C$115</f>
        <v>39.309999999999995</v>
      </c>
      <c r="G125" s="62">
        <f t="shared" ref="G125:I125" si="0">G120*$C$113+G121*$C$114+G122*$C$115</f>
        <v>34.79</v>
      </c>
      <c r="H125" s="62">
        <f t="shared" si="0"/>
        <v>31.930000000000003</v>
      </c>
      <c r="I125" s="62">
        <f t="shared" si="0"/>
        <v>28.28</v>
      </c>
      <c r="J125" s="83"/>
      <c r="K125" s="83"/>
      <c r="L125" s="83"/>
      <c r="M125" s="83"/>
      <c r="N125" s="83"/>
      <c r="O125" s="83"/>
      <c r="P125" s="83"/>
      <c r="Q125" s="125"/>
    </row>
    <row r="126" spans="1:17" x14ac:dyDescent="0.35">
      <c r="A126" s="124"/>
      <c r="B126" s="83"/>
      <c r="C126" s="83"/>
      <c r="D126" s="83"/>
      <c r="E126" s="83"/>
      <c r="F126" s="83"/>
      <c r="G126" s="83"/>
      <c r="H126" s="83"/>
      <c r="I126" s="83"/>
      <c r="J126" s="83"/>
      <c r="K126" s="83"/>
      <c r="L126" s="83"/>
      <c r="M126" s="83"/>
      <c r="N126" s="83"/>
      <c r="O126" s="83"/>
      <c r="P126" s="83"/>
      <c r="Q126" s="125"/>
    </row>
    <row r="127" spans="1:17" x14ac:dyDescent="0.35">
      <c r="A127" s="407" t="s">
        <v>820</v>
      </c>
      <c r="B127" s="83"/>
      <c r="C127" s="83"/>
      <c r="D127" s="83"/>
      <c r="E127" s="2440" t="s">
        <v>937</v>
      </c>
      <c r="F127" s="2339" t="s">
        <v>941</v>
      </c>
      <c r="G127" s="2441"/>
      <c r="H127" s="2441"/>
      <c r="I127" s="2340"/>
      <c r="J127" s="83"/>
      <c r="K127" s="83"/>
      <c r="L127" s="83"/>
      <c r="M127" s="83"/>
      <c r="N127" s="83"/>
      <c r="O127" s="83"/>
      <c r="P127" s="83"/>
      <c r="Q127" s="125"/>
    </row>
    <row r="128" spans="1:17" x14ac:dyDescent="0.35">
      <c r="A128" s="409" t="s">
        <v>733</v>
      </c>
      <c r="B128" s="83"/>
      <c r="C128" s="83"/>
      <c r="D128" s="83"/>
      <c r="E128" s="2265"/>
      <c r="F128" s="363">
        <v>1</v>
      </c>
      <c r="G128" s="363">
        <v>1.5</v>
      </c>
      <c r="H128" s="363">
        <v>2</v>
      </c>
      <c r="I128" s="363">
        <v>3</v>
      </c>
      <c r="J128" s="83"/>
      <c r="K128" s="83"/>
      <c r="L128" s="83"/>
      <c r="M128" s="83"/>
      <c r="N128" s="83"/>
      <c r="O128" s="83"/>
      <c r="P128" s="83"/>
      <c r="Q128" s="125"/>
    </row>
    <row r="129" spans="1:17" x14ac:dyDescent="0.35">
      <c r="A129" s="409" t="s">
        <v>821</v>
      </c>
      <c r="B129" s="83"/>
      <c r="C129" s="83"/>
      <c r="D129" s="83"/>
      <c r="E129" s="62" t="s">
        <v>457</v>
      </c>
      <c r="F129" s="62">
        <v>23.8</v>
      </c>
      <c r="G129" s="62">
        <v>21.1</v>
      </c>
      <c r="H129" s="62">
        <v>19.3</v>
      </c>
      <c r="I129" s="62">
        <v>17.100000000000001</v>
      </c>
      <c r="J129" s="83"/>
      <c r="K129" s="83"/>
      <c r="L129" s="83"/>
      <c r="M129" s="83"/>
      <c r="N129" s="83"/>
      <c r="O129" s="83"/>
      <c r="P129" s="83"/>
      <c r="Q129" s="125"/>
    </row>
    <row r="130" spans="1:17" x14ac:dyDescent="0.35">
      <c r="A130" s="409" t="s">
        <v>864</v>
      </c>
      <c r="B130" s="83"/>
      <c r="C130" s="83"/>
      <c r="D130" s="83"/>
      <c r="E130" s="62" t="s">
        <v>459</v>
      </c>
      <c r="F130" s="62">
        <v>23.9</v>
      </c>
      <c r="G130" s="62">
        <v>21.1</v>
      </c>
      <c r="H130" s="62">
        <v>19.399999999999999</v>
      </c>
      <c r="I130" s="62">
        <v>17.2</v>
      </c>
      <c r="J130" s="83"/>
      <c r="K130" s="83"/>
      <c r="L130" s="83"/>
      <c r="M130" s="83"/>
      <c r="N130" s="83"/>
      <c r="O130" s="83"/>
      <c r="P130" s="83"/>
      <c r="Q130" s="125"/>
    </row>
    <row r="131" spans="1:17" ht="15" customHeight="1" x14ac:dyDescent="0.35">
      <c r="A131" s="124"/>
      <c r="B131" s="83"/>
      <c r="C131" s="83"/>
      <c r="D131" s="83"/>
      <c r="E131" s="62" t="s">
        <v>461</v>
      </c>
      <c r="F131" s="62">
        <v>24.2</v>
      </c>
      <c r="G131" s="62">
        <v>21.5</v>
      </c>
      <c r="H131" s="62">
        <v>19.7</v>
      </c>
      <c r="I131" s="62">
        <v>17.399999999999999</v>
      </c>
      <c r="J131" s="83"/>
      <c r="K131" s="83"/>
      <c r="L131" s="83"/>
      <c r="M131" s="83"/>
      <c r="N131" s="83"/>
      <c r="O131" s="83"/>
      <c r="P131" s="83"/>
      <c r="Q131" s="125"/>
    </row>
    <row r="132" spans="1:17" x14ac:dyDescent="0.35">
      <c r="A132" s="124"/>
      <c r="B132" s="83"/>
      <c r="C132" s="83"/>
      <c r="D132" s="83"/>
      <c r="E132" s="62" t="s">
        <v>934</v>
      </c>
      <c r="F132" s="62">
        <v>25.4</v>
      </c>
      <c r="G132" s="62">
        <v>22.5</v>
      </c>
      <c r="H132" s="62">
        <v>20.7</v>
      </c>
      <c r="I132" s="62">
        <v>18.3</v>
      </c>
      <c r="J132" s="83"/>
      <c r="K132" s="83"/>
      <c r="L132" s="83"/>
      <c r="M132" s="83"/>
      <c r="N132" s="83"/>
      <c r="O132" s="83"/>
      <c r="P132" s="83"/>
      <c r="Q132" s="125"/>
    </row>
    <row r="133" spans="1:17" x14ac:dyDescent="0.35">
      <c r="A133" s="363"/>
      <c r="B133" s="70" t="s">
        <v>834</v>
      </c>
      <c r="C133" s="70" t="s">
        <v>942</v>
      </c>
      <c r="D133" s="83"/>
      <c r="E133" s="62" t="s">
        <v>935</v>
      </c>
      <c r="F133" s="62">
        <v>27.8</v>
      </c>
      <c r="G133" s="62">
        <v>24.6</v>
      </c>
      <c r="H133" s="62">
        <v>22.6</v>
      </c>
      <c r="I133" s="62">
        <v>20</v>
      </c>
      <c r="J133" s="83"/>
      <c r="K133" s="83"/>
      <c r="L133" s="83"/>
      <c r="M133" s="83"/>
      <c r="N133" s="83"/>
      <c r="O133" s="83"/>
      <c r="P133" s="83"/>
      <c r="Q133" s="125"/>
    </row>
    <row r="134" spans="1:17" x14ac:dyDescent="0.35">
      <c r="A134" s="2442" t="s">
        <v>500</v>
      </c>
      <c r="B134" s="405" t="s">
        <v>803</v>
      </c>
      <c r="C134" s="126">
        <v>10</v>
      </c>
      <c r="D134" s="83"/>
      <c r="E134" s="62" t="s">
        <v>738</v>
      </c>
      <c r="F134" s="62">
        <f t="shared" ref="F134:I134" si="1">F129*$C$113+F130*$C$114+F131*$C$115</f>
        <v>23.9</v>
      </c>
      <c r="G134" s="62">
        <f t="shared" si="1"/>
        <v>21.14</v>
      </c>
      <c r="H134" s="62">
        <f t="shared" si="1"/>
        <v>19.399999999999999</v>
      </c>
      <c r="I134" s="62">
        <f t="shared" si="1"/>
        <v>17.189999999999998</v>
      </c>
      <c r="J134" s="83"/>
      <c r="K134" s="83"/>
      <c r="L134" s="83"/>
      <c r="M134" s="83"/>
      <c r="N134" s="83"/>
      <c r="O134" s="83"/>
      <c r="P134" s="83"/>
      <c r="Q134" s="125"/>
    </row>
    <row r="135" spans="1:17" x14ac:dyDescent="0.35">
      <c r="A135" s="2443"/>
      <c r="B135" s="405" t="s">
        <v>933</v>
      </c>
      <c r="C135" s="126">
        <v>13</v>
      </c>
      <c r="D135" s="83"/>
      <c r="E135" s="83"/>
      <c r="F135" s="83"/>
      <c r="G135" s="83"/>
      <c r="H135" s="83"/>
      <c r="I135" s="83"/>
      <c r="J135" s="83"/>
      <c r="K135" s="83"/>
      <c r="L135" s="83"/>
      <c r="M135" s="83"/>
      <c r="N135" s="83"/>
      <c r="O135" s="83"/>
      <c r="P135" s="83"/>
      <c r="Q135" s="125"/>
    </row>
    <row r="136" spans="1:17" x14ac:dyDescent="0.35">
      <c r="A136" s="2444"/>
      <c r="B136" s="405" t="s">
        <v>863</v>
      </c>
      <c r="C136" s="126">
        <v>13</v>
      </c>
      <c r="D136" s="83"/>
      <c r="E136" s="83"/>
      <c r="F136" s="83"/>
      <c r="G136" s="83"/>
      <c r="H136" s="83"/>
      <c r="I136" s="83"/>
      <c r="J136" s="83"/>
      <c r="K136" s="83"/>
      <c r="L136" s="83"/>
      <c r="M136" s="83"/>
      <c r="N136" s="83"/>
      <c r="O136" s="83"/>
      <c r="P136" s="83"/>
      <c r="Q136" s="125"/>
    </row>
    <row r="137" spans="1:17" x14ac:dyDescent="0.35">
      <c r="A137" s="2442" t="s">
        <v>737</v>
      </c>
      <c r="B137" s="405" t="s">
        <v>803</v>
      </c>
      <c r="C137" s="126">
        <v>10</v>
      </c>
      <c r="D137" s="83"/>
      <c r="E137" s="83"/>
      <c r="F137" s="83"/>
      <c r="G137" s="83"/>
      <c r="H137" s="83"/>
      <c r="I137" s="83"/>
      <c r="J137" s="83"/>
      <c r="K137" s="83"/>
      <c r="L137" s="83"/>
      <c r="M137" s="83"/>
      <c r="N137" s="83"/>
      <c r="O137" s="83"/>
      <c r="P137" s="83"/>
      <c r="Q137" s="125"/>
    </row>
    <row r="138" spans="1:17" x14ac:dyDescent="0.35">
      <c r="A138" s="2443"/>
      <c r="B138" s="405" t="s">
        <v>933</v>
      </c>
      <c r="C138" s="126">
        <v>13</v>
      </c>
      <c r="D138" s="83"/>
      <c r="E138" s="83"/>
      <c r="F138" s="83"/>
      <c r="G138" s="83"/>
      <c r="H138" s="83"/>
      <c r="I138" s="83"/>
      <c r="J138" s="83"/>
      <c r="K138" s="83"/>
      <c r="L138" s="83"/>
      <c r="M138" s="83"/>
      <c r="N138" s="83"/>
      <c r="O138" s="83"/>
      <c r="P138" s="83"/>
      <c r="Q138" s="125"/>
    </row>
    <row r="139" spans="1:17" x14ac:dyDescent="0.35">
      <c r="A139" s="2444"/>
      <c r="B139" s="405" t="s">
        <v>863</v>
      </c>
      <c r="C139" s="126">
        <v>14</v>
      </c>
      <c r="D139" s="83"/>
      <c r="E139" s="83"/>
      <c r="F139" s="83"/>
      <c r="G139" s="83"/>
      <c r="H139" s="83"/>
      <c r="I139" s="83"/>
      <c r="J139" s="83"/>
      <c r="K139" s="83"/>
      <c r="L139" s="83"/>
      <c r="M139" s="83"/>
      <c r="N139" s="83"/>
      <c r="O139" s="83"/>
      <c r="P139" s="83"/>
      <c r="Q139" s="125"/>
    </row>
    <row r="140" spans="1:17" x14ac:dyDescent="0.35">
      <c r="A140" s="124"/>
      <c r="B140" s="83"/>
      <c r="C140" s="83"/>
      <c r="D140" s="83"/>
      <c r="E140" s="83"/>
      <c r="F140" s="83"/>
      <c r="G140" s="83"/>
      <c r="H140" s="83"/>
      <c r="I140" s="83"/>
      <c r="J140" s="83"/>
      <c r="K140" s="83"/>
      <c r="L140" s="83"/>
      <c r="M140" s="83"/>
      <c r="N140" s="83"/>
      <c r="O140" s="83"/>
      <c r="P140" s="83"/>
      <c r="Q140" s="125"/>
    </row>
    <row r="141" spans="1:17" x14ac:dyDescent="0.35">
      <c r="A141" s="124"/>
      <c r="B141" s="83"/>
      <c r="C141" s="83"/>
      <c r="D141" s="83"/>
      <c r="E141" s="83"/>
      <c r="F141" s="83"/>
      <c r="G141" s="83"/>
      <c r="H141" s="83"/>
      <c r="I141" s="83"/>
      <c r="J141" s="83"/>
      <c r="K141" s="83"/>
      <c r="L141" s="83"/>
      <c r="M141" s="83"/>
      <c r="N141" s="83"/>
      <c r="O141" s="83"/>
      <c r="P141" s="83"/>
      <c r="Q141" s="125"/>
    </row>
    <row r="142" spans="1:17" x14ac:dyDescent="0.35">
      <c r="A142" s="124"/>
      <c r="B142" s="83"/>
      <c r="C142" s="83"/>
      <c r="D142" s="83"/>
      <c r="E142" s="83"/>
      <c r="F142" s="83"/>
      <c r="G142" s="83"/>
      <c r="H142" s="83"/>
      <c r="I142" s="83"/>
      <c r="J142" s="83"/>
      <c r="K142" s="83"/>
      <c r="L142" s="83"/>
      <c r="M142" s="83"/>
      <c r="N142" s="83"/>
      <c r="O142" s="83"/>
      <c r="P142" s="83"/>
      <c r="Q142" s="125"/>
    </row>
    <row r="143" spans="1:17" ht="15" thickBot="1" x14ac:dyDescent="0.4">
      <c r="A143" s="321"/>
      <c r="B143" s="201"/>
      <c r="C143" s="201"/>
      <c r="D143" s="201"/>
      <c r="E143" s="201"/>
      <c r="F143" s="83"/>
      <c r="G143" s="83"/>
      <c r="H143" s="83"/>
      <c r="I143" s="83"/>
      <c r="J143" s="83"/>
      <c r="K143" s="201"/>
      <c r="L143" s="201"/>
      <c r="M143" s="201"/>
      <c r="N143" s="201"/>
      <c r="O143" s="201"/>
      <c r="P143" s="201"/>
      <c r="Q143" s="203"/>
    </row>
    <row r="144" spans="1:17" ht="15" thickBot="1" x14ac:dyDescent="0.4">
      <c r="A144" s="76" t="s">
        <v>943</v>
      </c>
      <c r="B144" s="77"/>
      <c r="C144" s="77"/>
      <c r="D144" s="77"/>
      <c r="E144" s="77"/>
      <c r="F144" s="77"/>
      <c r="G144" s="77"/>
      <c r="H144" s="77"/>
      <c r="I144" s="77"/>
      <c r="J144" s="77"/>
      <c r="K144" s="77"/>
      <c r="L144" s="77"/>
      <c r="M144" s="77"/>
      <c r="N144" s="77"/>
      <c r="O144" s="77"/>
      <c r="P144" s="77"/>
      <c r="Q144" s="410"/>
    </row>
    <row r="145" spans="1:17" ht="15" thickBot="1" x14ac:dyDescent="0.4">
      <c r="A145" s="124"/>
      <c r="B145" s="83"/>
      <c r="C145" s="83"/>
      <c r="D145" s="83"/>
      <c r="E145" s="83"/>
      <c r="F145" s="83"/>
      <c r="G145" s="83"/>
      <c r="H145" s="83"/>
      <c r="I145" s="83"/>
      <c r="J145" s="83"/>
      <c r="K145" s="83"/>
      <c r="L145" s="83"/>
      <c r="M145" s="83"/>
      <c r="N145" s="83"/>
      <c r="O145" s="83"/>
      <c r="P145" s="83"/>
      <c r="Q145" s="125"/>
    </row>
    <row r="146" spans="1:17" ht="37.5" customHeight="1" thickBot="1" x14ac:dyDescent="0.4">
      <c r="A146" s="124"/>
      <c r="B146" s="411" t="s">
        <v>944</v>
      </c>
      <c r="C146" s="412" t="s">
        <v>945</v>
      </c>
      <c r="D146" s="412" t="s">
        <v>946</v>
      </c>
      <c r="E146" s="412" t="s">
        <v>947</v>
      </c>
      <c r="F146" s="412" t="s">
        <v>948</v>
      </c>
      <c r="G146" s="83"/>
      <c r="H146" s="83"/>
      <c r="I146" s="83"/>
      <c r="J146" s="83"/>
      <c r="K146" s="2438" t="s">
        <v>944</v>
      </c>
      <c r="L146" s="413" t="s">
        <v>949</v>
      </c>
      <c r="M146" s="414" t="s">
        <v>950</v>
      </c>
      <c r="N146" s="414" t="s">
        <v>950</v>
      </c>
      <c r="O146" s="414" t="s">
        <v>951</v>
      </c>
      <c r="P146" s="414" t="s">
        <v>952</v>
      </c>
      <c r="Q146" s="125"/>
    </row>
    <row r="147" spans="1:17" ht="26.5" thickBot="1" x14ac:dyDescent="0.4">
      <c r="A147" s="124"/>
      <c r="B147" s="415"/>
      <c r="C147" s="416" t="s">
        <v>469</v>
      </c>
      <c r="D147" s="416" t="s">
        <v>469</v>
      </c>
      <c r="E147" s="416" t="s">
        <v>469</v>
      </c>
      <c r="F147" s="416" t="s">
        <v>469</v>
      </c>
      <c r="G147" s="83"/>
      <c r="H147" s="83"/>
      <c r="I147" s="83"/>
      <c r="J147" s="83"/>
      <c r="K147" s="2439"/>
      <c r="L147" s="416" t="s">
        <v>953</v>
      </c>
      <c r="M147" s="416" t="s">
        <v>953</v>
      </c>
      <c r="N147" s="416" t="s">
        <v>953</v>
      </c>
      <c r="O147" s="416" t="s">
        <v>953</v>
      </c>
      <c r="P147" s="416" t="s">
        <v>953</v>
      </c>
      <c r="Q147" s="125"/>
    </row>
    <row r="148" spans="1:17" ht="15" thickBot="1" x14ac:dyDescent="0.4">
      <c r="A148" s="415" t="s">
        <v>469</v>
      </c>
      <c r="B148" s="417" t="s">
        <v>457</v>
      </c>
      <c r="C148" s="418">
        <v>10.5</v>
      </c>
      <c r="D148" s="418">
        <v>202.4</v>
      </c>
      <c r="E148" s="418">
        <v>11.6</v>
      </c>
      <c r="F148" s="418">
        <v>13.5</v>
      </c>
      <c r="G148" s="83"/>
      <c r="H148" s="83"/>
      <c r="I148" s="83"/>
      <c r="J148" s="83"/>
      <c r="K148" s="417" t="s">
        <v>457</v>
      </c>
      <c r="L148" s="418">
        <v>0.49</v>
      </c>
      <c r="M148" s="418">
        <v>9.4600000000000009</v>
      </c>
      <c r="N148" s="418">
        <v>9.4600000000000009</v>
      </c>
      <c r="O148" s="418">
        <v>0.54</v>
      </c>
      <c r="P148" s="418">
        <v>0.63</v>
      </c>
      <c r="Q148" s="125"/>
    </row>
    <row r="149" spans="1:17" ht="15" thickBot="1" x14ac:dyDescent="0.4">
      <c r="A149" s="415" t="s">
        <v>469</v>
      </c>
      <c r="B149" s="417" t="s">
        <v>459</v>
      </c>
      <c r="C149" s="418">
        <v>10.199999999999999</v>
      </c>
      <c r="D149" s="418">
        <v>195.3</v>
      </c>
      <c r="E149" s="418">
        <v>11.2</v>
      </c>
      <c r="F149" s="418">
        <v>13</v>
      </c>
      <c r="G149" s="83"/>
      <c r="H149" s="83"/>
      <c r="I149" s="83"/>
      <c r="J149" s="83"/>
      <c r="K149" s="417" t="s">
        <v>459</v>
      </c>
      <c r="L149" s="418">
        <v>0.47</v>
      </c>
      <c r="M149" s="418">
        <v>9.1300000000000008</v>
      </c>
      <c r="N149" s="418">
        <v>9.1300000000000008</v>
      </c>
      <c r="O149" s="418">
        <v>0.52</v>
      </c>
      <c r="P149" s="418">
        <v>0.61</v>
      </c>
      <c r="Q149" s="125"/>
    </row>
    <row r="150" spans="1:17" ht="26.5" thickBot="1" x14ac:dyDescent="0.4">
      <c r="A150" s="415" t="s">
        <v>469</v>
      </c>
      <c r="B150" s="417" t="s">
        <v>461</v>
      </c>
      <c r="C150" s="418">
        <v>8.8000000000000007</v>
      </c>
      <c r="D150" s="418">
        <v>169.3</v>
      </c>
      <c r="E150" s="418">
        <v>9.6999999999999993</v>
      </c>
      <c r="F150" s="418">
        <v>11.3</v>
      </c>
      <c r="G150" s="83"/>
      <c r="H150" s="83"/>
      <c r="I150" s="83"/>
      <c r="J150" s="83"/>
      <c r="K150" s="417" t="s">
        <v>461</v>
      </c>
      <c r="L150" s="418">
        <v>0.41</v>
      </c>
      <c r="M150" s="418">
        <v>7.92</v>
      </c>
      <c r="N150" s="418">
        <v>7.92</v>
      </c>
      <c r="O150" s="418">
        <v>0.45</v>
      </c>
      <c r="P150" s="418">
        <v>0.53</v>
      </c>
      <c r="Q150" s="125"/>
    </row>
    <row r="151" spans="1:17" ht="15" thickBot="1" x14ac:dyDescent="0.4">
      <c r="A151" s="415" t="s">
        <v>469</v>
      </c>
      <c r="B151" s="417" t="s">
        <v>463</v>
      </c>
      <c r="C151" s="418">
        <v>7</v>
      </c>
      <c r="D151" s="418">
        <v>134.9</v>
      </c>
      <c r="E151" s="418">
        <v>7.7</v>
      </c>
      <c r="F151" s="418">
        <v>9</v>
      </c>
      <c r="G151" s="83"/>
      <c r="H151" s="83"/>
      <c r="I151" s="83"/>
      <c r="J151" s="83"/>
      <c r="K151" s="417" t="s">
        <v>463</v>
      </c>
      <c r="L151" s="418">
        <v>0.33</v>
      </c>
      <c r="M151" s="418">
        <v>6.31</v>
      </c>
      <c r="N151" s="418">
        <v>6.31</v>
      </c>
      <c r="O151" s="418">
        <v>0.36</v>
      </c>
      <c r="P151" s="418">
        <v>0.42</v>
      </c>
      <c r="Q151" s="125"/>
    </row>
    <row r="152" spans="1:17" ht="15" thickBot="1" x14ac:dyDescent="0.4">
      <c r="A152" s="415" t="s">
        <v>469</v>
      </c>
      <c r="B152" s="417" t="s">
        <v>464</v>
      </c>
      <c r="C152" s="418">
        <v>7.2</v>
      </c>
      <c r="D152" s="418">
        <v>137.9</v>
      </c>
      <c r="E152" s="418">
        <v>7.9</v>
      </c>
      <c r="F152" s="418">
        <v>9.1999999999999993</v>
      </c>
      <c r="G152" s="83"/>
      <c r="H152" s="83"/>
      <c r="I152" s="83"/>
      <c r="J152" s="83"/>
      <c r="K152" s="417" t="s">
        <v>464</v>
      </c>
      <c r="L152" s="418">
        <v>0.33</v>
      </c>
      <c r="M152" s="418">
        <v>6.45</v>
      </c>
      <c r="N152" s="418">
        <v>6.45</v>
      </c>
      <c r="O152" s="418">
        <v>0.37</v>
      </c>
      <c r="P152" s="418">
        <v>0.43</v>
      </c>
      <c r="Q152" s="125"/>
    </row>
    <row r="153" spans="1:17" ht="26.5" thickBot="1" x14ac:dyDescent="0.4">
      <c r="A153" s="415" t="s">
        <v>469</v>
      </c>
      <c r="B153" s="417" t="s">
        <v>738</v>
      </c>
      <c r="C153" s="418">
        <f>C148*$C$113+C149*$C$114+C150*$C$115</f>
        <v>10.15</v>
      </c>
      <c r="D153" s="418">
        <f t="shared" ref="D153:F153" si="2">D148*$C$113+D149*$C$114+D150*$C$115</f>
        <v>194.83</v>
      </c>
      <c r="E153" s="418">
        <f t="shared" si="2"/>
        <v>11.17</v>
      </c>
      <c r="F153" s="418">
        <f t="shared" si="2"/>
        <v>12.98</v>
      </c>
      <c r="G153" s="83"/>
      <c r="H153" s="83"/>
      <c r="I153" s="83"/>
      <c r="J153" s="83"/>
      <c r="K153" s="417" t="s">
        <v>738</v>
      </c>
      <c r="L153" s="418">
        <f>L148*$C$113+L149*$C$114+L150*$C$115</f>
        <v>0.46999999999999992</v>
      </c>
      <c r="M153" s="418">
        <f t="shared" ref="M153:P153" si="3">M148*$C$113+M149*$C$114+M150*$C$115</f>
        <v>9.1080000000000005</v>
      </c>
      <c r="N153" s="418">
        <f t="shared" si="3"/>
        <v>9.1080000000000005</v>
      </c>
      <c r="O153" s="418">
        <f t="shared" si="3"/>
        <v>0.51900000000000002</v>
      </c>
      <c r="P153" s="418">
        <f t="shared" si="3"/>
        <v>0.60799999999999998</v>
      </c>
      <c r="Q153" s="125"/>
    </row>
    <row r="154" spans="1:17" ht="15" thickBot="1" x14ac:dyDescent="0.4">
      <c r="A154" s="419"/>
      <c r="B154" s="420"/>
      <c r="C154" s="421"/>
      <c r="D154" s="421"/>
      <c r="E154" s="421"/>
      <c r="F154" s="421"/>
      <c r="G154" s="83"/>
      <c r="H154" s="83"/>
      <c r="I154" s="83"/>
      <c r="J154" s="83"/>
      <c r="K154" s="422"/>
      <c r="L154" s="423"/>
      <c r="M154" s="423"/>
      <c r="N154" s="423"/>
      <c r="O154" s="423"/>
      <c r="P154" s="423"/>
      <c r="Q154" s="125"/>
    </row>
    <row r="155" spans="1:17" ht="28.5" thickBot="1" x14ac:dyDescent="0.4">
      <c r="A155" s="124"/>
      <c r="B155" s="411" t="s">
        <v>944</v>
      </c>
      <c r="C155" s="412" t="s">
        <v>945</v>
      </c>
      <c r="D155" s="412" t="s">
        <v>946</v>
      </c>
      <c r="E155" s="412" t="s">
        <v>947</v>
      </c>
      <c r="F155" s="412" t="s">
        <v>948</v>
      </c>
      <c r="G155" s="83"/>
      <c r="H155" s="83"/>
      <c r="I155" s="83"/>
      <c r="J155" s="83"/>
      <c r="K155" s="83"/>
      <c r="L155" s="83"/>
      <c r="M155" s="83"/>
      <c r="N155" s="83"/>
      <c r="O155" s="83"/>
      <c r="P155" s="83"/>
      <c r="Q155" s="125"/>
    </row>
    <row r="156" spans="1:17" ht="22.5" customHeight="1" thickBot="1" x14ac:dyDescent="0.4">
      <c r="A156" s="415" t="s">
        <v>737</v>
      </c>
      <c r="B156" s="415"/>
      <c r="C156" s="416" t="s">
        <v>737</v>
      </c>
      <c r="D156" s="416" t="s">
        <v>737</v>
      </c>
      <c r="E156" s="416" t="s">
        <v>737</v>
      </c>
      <c r="F156" s="416" t="s">
        <v>737</v>
      </c>
      <c r="G156" s="83"/>
      <c r="H156" s="83"/>
      <c r="I156" s="83"/>
      <c r="J156" s="83"/>
      <c r="K156" s="83"/>
      <c r="L156" s="83"/>
      <c r="M156" s="83"/>
      <c r="N156" s="83"/>
      <c r="O156" s="83"/>
      <c r="P156" s="83"/>
      <c r="Q156" s="125"/>
    </row>
    <row r="157" spans="1:17" ht="15" thickBot="1" x14ac:dyDescent="0.4">
      <c r="A157" s="415" t="s">
        <v>737</v>
      </c>
      <c r="B157" s="417" t="s">
        <v>457</v>
      </c>
      <c r="C157" s="418">
        <v>5.3</v>
      </c>
      <c r="D157" s="418">
        <v>101.2</v>
      </c>
      <c r="E157" s="418">
        <v>5.8</v>
      </c>
      <c r="F157" s="418">
        <v>6.7</v>
      </c>
      <c r="G157" s="83"/>
      <c r="H157" s="83"/>
      <c r="I157" s="83"/>
      <c r="J157" s="83"/>
      <c r="K157" s="83"/>
      <c r="L157" s="83"/>
      <c r="M157" s="83"/>
      <c r="N157" s="83"/>
      <c r="O157" s="83"/>
      <c r="P157" s="83"/>
      <c r="Q157" s="125"/>
    </row>
    <row r="158" spans="1:17" ht="15" thickBot="1" x14ac:dyDescent="0.4">
      <c r="A158" s="415" t="s">
        <v>737</v>
      </c>
      <c r="B158" s="417" t="s">
        <v>459</v>
      </c>
      <c r="C158" s="418">
        <v>5.0999999999999996</v>
      </c>
      <c r="D158" s="418">
        <v>97.6</v>
      </c>
      <c r="E158" s="418">
        <v>5.6</v>
      </c>
      <c r="F158" s="418">
        <v>6.5</v>
      </c>
      <c r="G158" s="83"/>
      <c r="H158" s="83"/>
      <c r="I158" s="83"/>
      <c r="J158" s="83"/>
      <c r="K158" s="83"/>
      <c r="L158" s="83"/>
      <c r="M158" s="83"/>
      <c r="N158" s="83"/>
      <c r="O158" s="83"/>
      <c r="P158" s="83"/>
      <c r="Q158" s="125"/>
    </row>
    <row r="159" spans="1:17" ht="15" thickBot="1" x14ac:dyDescent="0.4">
      <c r="A159" s="415" t="s">
        <v>737</v>
      </c>
      <c r="B159" s="417" t="s">
        <v>461</v>
      </c>
      <c r="C159" s="418">
        <v>4.4000000000000004</v>
      </c>
      <c r="D159" s="418">
        <v>84.7</v>
      </c>
      <c r="E159" s="418">
        <v>4.8</v>
      </c>
      <c r="F159" s="418">
        <v>5.6</v>
      </c>
      <c r="G159" s="83"/>
      <c r="H159" s="83"/>
      <c r="I159" s="83"/>
      <c r="J159" s="83"/>
      <c r="K159" s="83"/>
      <c r="L159" s="83"/>
      <c r="M159" s="83"/>
      <c r="N159" s="83"/>
      <c r="O159" s="83"/>
      <c r="P159" s="83"/>
      <c r="Q159" s="125"/>
    </row>
    <row r="160" spans="1:17" ht="15" thickBot="1" x14ac:dyDescent="0.4">
      <c r="A160" s="415" t="s">
        <v>737</v>
      </c>
      <c r="B160" s="417" t="s">
        <v>463</v>
      </c>
      <c r="C160" s="418">
        <v>3.5</v>
      </c>
      <c r="D160" s="418">
        <v>67.5</v>
      </c>
      <c r="E160" s="418">
        <v>3.9</v>
      </c>
      <c r="F160" s="418">
        <v>4.5</v>
      </c>
      <c r="G160" s="83"/>
      <c r="H160" s="83"/>
      <c r="I160" s="83"/>
      <c r="J160" s="83"/>
      <c r="K160" s="83"/>
      <c r="L160" s="83"/>
      <c r="M160" s="83"/>
      <c r="N160" s="83"/>
      <c r="O160" s="83"/>
      <c r="P160" s="83"/>
      <c r="Q160" s="125"/>
    </row>
    <row r="161" spans="1:17" ht="15" thickBot="1" x14ac:dyDescent="0.4">
      <c r="A161" s="415" t="s">
        <v>737</v>
      </c>
      <c r="B161" s="417" t="s">
        <v>464</v>
      </c>
      <c r="C161" s="418">
        <v>3.6</v>
      </c>
      <c r="D161" s="418">
        <v>68.900000000000006</v>
      </c>
      <c r="E161" s="418">
        <v>3.9</v>
      </c>
      <c r="F161" s="418">
        <v>4.5999999999999996</v>
      </c>
      <c r="G161" s="83"/>
      <c r="H161" s="83"/>
      <c r="I161" s="83"/>
      <c r="J161" s="83"/>
      <c r="K161" s="83"/>
      <c r="L161" s="83"/>
      <c r="M161" s="83"/>
      <c r="N161" s="83"/>
      <c r="O161" s="83"/>
      <c r="P161" s="83"/>
      <c r="Q161" s="125"/>
    </row>
    <row r="162" spans="1:17" ht="15" thickBot="1" x14ac:dyDescent="0.4">
      <c r="A162" s="415" t="s">
        <v>737</v>
      </c>
      <c r="B162" s="417" t="s">
        <v>738</v>
      </c>
      <c r="C162" s="418">
        <f>C157*$C$113+C158*$C$114+C159*$C$115</f>
        <v>5.09</v>
      </c>
      <c r="D162" s="418">
        <f t="shared" ref="D162:F162" si="4">D157*$C$113+D158*$C$114+D159*$C$115</f>
        <v>97.389999999999986</v>
      </c>
      <c r="E162" s="418">
        <f t="shared" si="4"/>
        <v>5.58</v>
      </c>
      <c r="F162" s="418">
        <f t="shared" si="4"/>
        <v>6.47</v>
      </c>
      <c r="G162" s="83"/>
      <c r="H162" s="83"/>
      <c r="I162" s="83"/>
      <c r="J162" s="83"/>
      <c r="K162" s="83"/>
      <c r="L162" s="83"/>
      <c r="M162" s="83"/>
      <c r="N162" s="83"/>
      <c r="O162" s="83"/>
      <c r="P162" s="83"/>
      <c r="Q162" s="125"/>
    </row>
    <row r="163" spans="1:17" x14ac:dyDescent="0.35">
      <c r="A163" s="124"/>
      <c r="B163" s="83"/>
      <c r="C163" s="83"/>
      <c r="D163" s="83"/>
      <c r="E163" s="83"/>
      <c r="F163" s="83"/>
      <c r="G163" s="83"/>
      <c r="H163" s="83"/>
      <c r="I163" s="83"/>
      <c r="J163" s="83"/>
      <c r="K163" s="83"/>
      <c r="L163" s="83"/>
      <c r="M163" s="83"/>
      <c r="N163" s="83"/>
      <c r="O163" s="83"/>
      <c r="P163" s="83"/>
      <c r="Q163" s="125"/>
    </row>
    <row r="164" spans="1:17" x14ac:dyDescent="0.35">
      <c r="A164" s="124"/>
      <c r="B164" s="83"/>
      <c r="C164" s="83"/>
      <c r="D164" s="83"/>
      <c r="E164" s="83"/>
      <c r="F164" s="83"/>
      <c r="G164" s="83"/>
      <c r="H164" s="83"/>
      <c r="I164" s="83"/>
      <c r="J164" s="83"/>
      <c r="K164" s="83"/>
      <c r="L164" s="83"/>
      <c r="M164" s="83"/>
      <c r="N164" s="83"/>
      <c r="O164" s="83"/>
      <c r="P164" s="83"/>
      <c r="Q164" s="125"/>
    </row>
    <row r="165" spans="1:17" x14ac:dyDescent="0.35">
      <c r="A165" s="124"/>
      <c r="B165" s="83"/>
      <c r="C165" s="83"/>
      <c r="D165" s="83"/>
      <c r="E165" s="83"/>
      <c r="F165" s="83"/>
      <c r="G165" s="83"/>
      <c r="H165" s="83"/>
      <c r="I165" s="83"/>
      <c r="J165" s="83"/>
      <c r="K165" s="83"/>
      <c r="L165" s="83"/>
      <c r="M165" s="83"/>
      <c r="N165" s="83"/>
      <c r="O165" s="83"/>
      <c r="P165" s="83"/>
      <c r="Q165" s="125"/>
    </row>
    <row r="166" spans="1:17" ht="15" thickBot="1" x14ac:dyDescent="0.4">
      <c r="A166" s="321"/>
      <c r="B166" s="201"/>
      <c r="C166" s="201"/>
      <c r="D166" s="201"/>
      <c r="E166" s="201"/>
      <c r="F166" s="201"/>
      <c r="G166" s="201"/>
      <c r="H166" s="201"/>
      <c r="I166" s="201"/>
      <c r="J166" s="201"/>
      <c r="K166" s="201"/>
      <c r="L166" s="201"/>
      <c r="M166" s="201"/>
      <c r="N166" s="201"/>
      <c r="O166" s="201"/>
      <c r="P166" s="201"/>
      <c r="Q166" s="203"/>
    </row>
  </sheetData>
  <customSheetViews>
    <customSheetView guid="{11DE45F5-F478-4ED6-8DFF-12002C22A637}" scale="85" showPageBreaks="1" fitToPage="1" view="pageBreakPreview">
      <selection activeCell="N20" sqref="N20"/>
      <pageMargins left="0.7" right="0.7" top="0.75" bottom="0.75" header="0.3" footer="0.3"/>
      <pageSetup scale="17" orientation="portrait" r:id="rId1"/>
    </customSheetView>
    <customSheetView guid="{ECD6FE6A-9548-414E-B8AA-6998703C57E0}" scale="85" showPageBreaks="1" fitToPage="1" view="pageBreakPreview">
      <selection activeCell="N20" sqref="N20"/>
      <pageMargins left="0.7" right="0.7" top="0.75" bottom="0.75" header="0.3" footer="0.3"/>
      <pageSetup scale="17" orientation="portrait" r:id="rId2"/>
    </customSheetView>
  </customSheetViews>
  <mergeCells count="11">
    <mergeCell ref="F118:I118"/>
    <mergeCell ref="A112:C112"/>
    <mergeCell ref="T2:V2"/>
    <mergeCell ref="W2:Y2"/>
    <mergeCell ref="Z2:AO2"/>
    <mergeCell ref="M110:M112"/>
    <mergeCell ref="K146:K147"/>
    <mergeCell ref="E127:E128"/>
    <mergeCell ref="F127:I127"/>
    <mergeCell ref="A134:A136"/>
    <mergeCell ref="A137:A139"/>
  </mergeCells>
  <dataValidations count="9">
    <dataValidation type="list" allowBlank="1" showInputMessage="1" showErrorMessage="1" sqref="L4:L6" xr:uid="{00000000-0002-0000-2D00-000000000000}">
      <formula1>IF($M$4=$M$110,$N$110:$N$112,$N$113)</formula1>
    </dataValidation>
    <dataValidation type="list" allowBlank="1" showInputMessage="1" showErrorMessage="1" sqref="I4:I6" xr:uid="{00000000-0002-0000-2D00-000001000000}">
      <formula1>Fuel1</formula1>
    </dataValidation>
    <dataValidation type="list" allowBlank="1" showInputMessage="1" showErrorMessage="1" sqref="J4:J6" xr:uid="{00000000-0002-0000-2D00-000002000000}">
      <formula1>ArSl4</formula1>
    </dataValidation>
    <dataValidation type="list" allowBlank="1" showInputMessage="1" showErrorMessage="1" sqref="M4:M6" xr:uid="{00000000-0002-0000-2D00-000003000000}">
      <formula1>HPWH4</formula1>
    </dataValidation>
    <dataValidation type="list" allowBlank="1" showInputMessage="1" showErrorMessage="1" sqref="N4:N6" xr:uid="{00000000-0002-0000-2D00-000004000000}">
      <formula1>ArSl3</formula1>
    </dataValidation>
    <dataValidation type="list" allowBlank="1" showInputMessage="1" showErrorMessage="1" sqref="O4:O6" xr:uid="{00000000-0002-0000-2D00-000005000000}">
      <formula1>Unit1</formula1>
    </dataValidation>
    <dataValidation type="list" allowBlank="1" showInputMessage="1" showErrorMessage="1" sqref="R4:R6" xr:uid="{00000000-0002-0000-2D00-000006000000}">
      <formula1>ArSl1</formula1>
    </dataValidation>
    <dataValidation type="list" allowBlank="1" showInputMessage="1" showErrorMessage="1" sqref="D4:D6" xr:uid="{00000000-0002-0000-2D00-000007000000}">
      <formula1>MeasureType</formula1>
    </dataValidation>
    <dataValidation type="list" allowBlank="1" showInputMessage="1" showErrorMessage="1" sqref="K4:K6" xr:uid="{00000000-0002-0000-2D00-000008000000}">
      <formula1>$B$134:$B$136</formula1>
    </dataValidation>
  </dataValidations>
  <pageMargins left="0.7" right="0.7" top="0.75" bottom="0.75" header="0.3" footer="0.3"/>
  <pageSetup scale="16" orientation="portrait"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9000000}">
          <x14:formula1>
            <xm:f>'T:\EEP Planning Models\Planning Tools\Measure_Data\Custom TRM EEP 3\[HIM_Res_TRMv5.xlsx]List'!#REF!</xm:f>
          </x14:formula1>
          <xm:sqref>H4:H6</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Z143"/>
  <sheetViews>
    <sheetView view="pageBreakPreview" zoomScale="60" zoomScaleNormal="100" workbookViewId="0"/>
  </sheetViews>
  <sheetFormatPr defaultRowHeight="14.5" x14ac:dyDescent="0.35"/>
  <cols>
    <col min="1" max="1" width="22.81640625" customWidth="1"/>
    <col min="2" max="2" width="62.1796875" customWidth="1"/>
    <col min="3" max="4" width="27.453125" customWidth="1"/>
    <col min="5" max="5" width="10.26953125" customWidth="1"/>
    <col min="6" max="7" width="11.7265625" customWidth="1"/>
    <col min="8" max="8" width="13.26953125" customWidth="1"/>
    <col min="9" max="9" width="14.453125" customWidth="1"/>
    <col min="10" max="10" width="11.7265625" customWidth="1"/>
    <col min="13" max="13" width="9.54296875" customWidth="1"/>
    <col min="14" max="14" width="11.453125" customWidth="1"/>
    <col min="16" max="16" width="12" customWidth="1"/>
    <col min="17" max="17" width="11.453125" bestFit="1" customWidth="1"/>
    <col min="18" max="18" width="11.1796875" bestFit="1" customWidth="1"/>
    <col min="19" max="19" width="12" customWidth="1"/>
    <col min="20" max="21" width="11.26953125" bestFit="1" customWidth="1"/>
    <col min="22" max="22" width="10.81640625" customWidth="1"/>
    <col min="23" max="23" width="11.1796875" bestFit="1" customWidth="1"/>
    <col min="24" max="24" width="11.1796875" customWidth="1"/>
    <col min="25" max="25" width="12.26953125" customWidth="1"/>
    <col min="26" max="26" width="11.26953125" bestFit="1" customWidth="1"/>
    <col min="27" max="27" width="12.7265625" customWidth="1"/>
    <col min="28" max="28" width="10.1796875" bestFit="1" customWidth="1"/>
    <col min="30" max="30" width="10.54296875" bestFit="1" customWidth="1"/>
  </cols>
  <sheetData>
    <row r="1" spans="1:52" x14ac:dyDescent="0.35">
      <c r="A1" s="1145" t="s">
        <v>334</v>
      </c>
      <c r="B1" s="1144" t="s">
        <v>2465</v>
      </c>
      <c r="C1" s="1144"/>
      <c r="D1" s="1144"/>
      <c r="E1" s="1144"/>
      <c r="F1" s="1143"/>
      <c r="G1" s="1143"/>
      <c r="H1" s="1143"/>
      <c r="I1" s="1143"/>
      <c r="J1" s="1143"/>
      <c r="K1" s="1143"/>
      <c r="L1" s="1143"/>
      <c r="M1" s="1143"/>
      <c r="N1" s="1143"/>
      <c r="O1" s="1143"/>
      <c r="P1" s="1143"/>
      <c r="Q1" s="1143"/>
      <c r="R1" s="1143"/>
      <c r="S1" s="1143"/>
      <c r="T1" s="1143"/>
      <c r="U1" s="1143"/>
      <c r="V1" s="1143"/>
      <c r="W1" s="1143"/>
      <c r="X1" s="1143"/>
      <c r="Y1" s="2248" t="s">
        <v>335</v>
      </c>
      <c r="Z1" s="2248"/>
      <c r="AA1" s="2248"/>
      <c r="AB1" s="2248" t="s">
        <v>336</v>
      </c>
      <c r="AC1" s="2248"/>
      <c r="AD1" s="2216"/>
      <c r="AE1" s="2199" t="s">
        <v>337</v>
      </c>
      <c r="AF1" s="2199"/>
      <c r="AG1" s="2199"/>
      <c r="AH1" s="2199"/>
      <c r="AI1" s="2199"/>
      <c r="AJ1" s="2199"/>
      <c r="AK1" s="2199"/>
      <c r="AL1" s="2199"/>
      <c r="AM1" s="2199"/>
      <c r="AN1" s="2199"/>
      <c r="AO1" s="2199"/>
      <c r="AP1" s="2199"/>
      <c r="AQ1" s="2199"/>
      <c r="AR1" s="2199"/>
      <c r="AS1" s="2199"/>
      <c r="AT1" s="2199"/>
      <c r="AU1" s="2199"/>
      <c r="AV1" s="2199"/>
      <c r="AW1" s="2199"/>
    </row>
    <row r="2" spans="1:52" ht="78.5" x14ac:dyDescent="0.35">
      <c r="A2" s="1145" t="s">
        <v>338</v>
      </c>
      <c r="B2" s="1145" t="s">
        <v>1</v>
      </c>
      <c r="C2" s="1129" t="s">
        <v>339</v>
      </c>
      <c r="D2" s="1129" t="s">
        <v>340</v>
      </c>
      <c r="E2" s="1177" t="s">
        <v>2466</v>
      </c>
      <c r="F2" s="1128" t="s">
        <v>342</v>
      </c>
      <c r="G2" s="1128" t="s">
        <v>2467</v>
      </c>
      <c r="H2" s="1128" t="s">
        <v>2468</v>
      </c>
      <c r="I2" s="1229" t="s">
        <v>2469</v>
      </c>
      <c r="J2" s="1229" t="s">
        <v>2470</v>
      </c>
      <c r="K2" s="1229" t="s">
        <v>2471</v>
      </c>
      <c r="L2" s="1229" t="s">
        <v>2472</v>
      </c>
      <c r="M2" s="1128" t="s">
        <v>370</v>
      </c>
      <c r="N2" s="1128" t="s">
        <v>369</v>
      </c>
      <c r="O2" s="1128" t="s">
        <v>833</v>
      </c>
      <c r="P2" s="1128" t="s">
        <v>834</v>
      </c>
      <c r="Q2" s="1128" t="s">
        <v>835</v>
      </c>
      <c r="R2" s="1128" t="s">
        <v>836</v>
      </c>
      <c r="S2" s="1128" t="s">
        <v>2473</v>
      </c>
      <c r="T2" s="1128" t="s">
        <v>838</v>
      </c>
      <c r="U2" s="1128" t="s">
        <v>839</v>
      </c>
      <c r="V2" s="1128" t="s">
        <v>2474</v>
      </c>
      <c r="W2" s="1128" t="s">
        <v>343</v>
      </c>
      <c r="X2" s="1145" t="s">
        <v>345</v>
      </c>
      <c r="Y2" s="1146" t="s">
        <v>347</v>
      </c>
      <c r="Z2" s="1146" t="s">
        <v>348</v>
      </c>
      <c r="AA2" s="1146" t="s">
        <v>349</v>
      </c>
      <c r="AB2" s="1146" t="s">
        <v>347</v>
      </c>
      <c r="AC2" s="1146" t="s">
        <v>348</v>
      </c>
      <c r="AD2" s="1147" t="s">
        <v>349</v>
      </c>
      <c r="AE2" s="372" t="s">
        <v>960</v>
      </c>
      <c r="AF2" s="372" t="s">
        <v>2475</v>
      </c>
      <c r="AG2" s="372" t="s">
        <v>2476</v>
      </c>
      <c r="AH2" s="372" t="s">
        <v>2477</v>
      </c>
      <c r="AI2" s="372" t="s">
        <v>2478</v>
      </c>
      <c r="AJ2" s="372" t="s">
        <v>2479</v>
      </c>
      <c r="AK2" s="372" t="s">
        <v>2480</v>
      </c>
      <c r="AL2" s="372" t="s">
        <v>2481</v>
      </c>
      <c r="AM2" s="372" t="s">
        <v>1004</v>
      </c>
      <c r="AN2" s="424" t="s">
        <v>845</v>
      </c>
      <c r="AO2" s="424" t="s">
        <v>846</v>
      </c>
      <c r="AP2" s="424" t="s">
        <v>713</v>
      </c>
      <c r="AQ2" s="424" t="s">
        <v>2482</v>
      </c>
      <c r="AR2" s="372" t="s">
        <v>2483</v>
      </c>
      <c r="AS2" s="424" t="s">
        <v>849</v>
      </c>
      <c r="AT2" s="372" t="s">
        <v>2484</v>
      </c>
      <c r="AU2" s="424" t="s">
        <v>851</v>
      </c>
      <c r="AV2" s="424" t="s">
        <v>615</v>
      </c>
      <c r="AW2" s="372" t="s">
        <v>2485</v>
      </c>
      <c r="AY2" s="349"/>
      <c r="AZ2" s="184"/>
    </row>
    <row r="3" spans="1:52" ht="36.5" x14ac:dyDescent="0.35">
      <c r="A3" s="1142" t="s">
        <v>2488</v>
      </c>
      <c r="B3" s="1142" t="str">
        <f>$B$1&amp;", R-value = "&amp;H3&amp;", "&amp;E3&amp;" sq ft of insulation, "&amp;T3</f>
        <v>Basement Sidewall Insulation, R-value = 13, 720 sq ft of insulation, Single Family</v>
      </c>
      <c r="C3" s="1132" t="s">
        <v>261</v>
      </c>
      <c r="D3" s="1133" t="s">
        <v>862</v>
      </c>
      <c r="E3" s="1322">
        <f>I3*(J3+K3)</f>
        <v>720</v>
      </c>
      <c r="F3" s="1137" t="s">
        <v>495</v>
      </c>
      <c r="G3" s="135" t="s">
        <v>2486</v>
      </c>
      <c r="H3" s="1323">
        <v>13</v>
      </c>
      <c r="I3" s="1323">
        <v>90</v>
      </c>
      <c r="J3" s="1323">
        <v>2</v>
      </c>
      <c r="K3" s="1323">
        <v>6</v>
      </c>
      <c r="L3" s="135" t="b">
        <v>0</v>
      </c>
      <c r="M3" s="1150" t="s">
        <v>738</v>
      </c>
      <c r="N3" s="1148" t="s">
        <v>397</v>
      </c>
      <c r="O3" s="1148" t="s">
        <v>737</v>
      </c>
      <c r="P3" s="1148" t="s">
        <v>863</v>
      </c>
      <c r="Q3" s="1150" t="s">
        <v>803</v>
      </c>
      <c r="R3" s="1150" t="s">
        <v>806</v>
      </c>
      <c r="S3" s="1150" t="s">
        <v>2487</v>
      </c>
      <c r="T3" s="1148" t="s">
        <v>400</v>
      </c>
      <c r="U3" s="1279"/>
      <c r="V3" s="1279" t="s">
        <v>974</v>
      </c>
      <c r="W3" s="1324">
        <f>+$B$56</f>
        <v>20</v>
      </c>
      <c r="X3" s="1232" t="s">
        <v>733</v>
      </c>
      <c r="Y3" s="1325"/>
      <c r="Z3" s="1251"/>
      <c r="AA3" s="1326">
        <f>IF(N3=$B$86,(((1/AJ3-1/(AI3+AJ3))*AK3*AL3*(1-AM3)+(1/AQ3-1/(AI3+AQ3))*AK3*(AR3-AL3)*(1-AM3))*24*AS3/(AW3*100067))*AG3,0)</f>
        <v>123.99008162266374</v>
      </c>
      <c r="AB3" s="1154"/>
      <c r="AC3" s="1251"/>
      <c r="AD3" s="1327">
        <f>AA3*W3</f>
        <v>2479.8016324532746</v>
      </c>
      <c r="AE3" s="747"/>
      <c r="AF3" s="747"/>
      <c r="AG3" s="463">
        <f>+$B$21</f>
        <v>0.6</v>
      </c>
      <c r="AH3" s="463">
        <f>+$B$23</f>
        <v>0.8</v>
      </c>
      <c r="AI3" s="373">
        <f>H3</f>
        <v>13</v>
      </c>
      <c r="AJ3" s="62">
        <f>+$B$27</f>
        <v>1</v>
      </c>
      <c r="AK3" s="373">
        <f>I3</f>
        <v>90</v>
      </c>
      <c r="AL3" s="373">
        <f>J3</f>
        <v>2</v>
      </c>
      <c r="AM3" s="62">
        <f>+VLOOKUP(G3,$B$82:$C$83,2)</f>
        <v>0</v>
      </c>
      <c r="AN3" s="62">
        <f>VLOOKUP(M3,$B$67:$D$73,IF(L3=$B$102,2,3),FALSE)</f>
        <v>291.10000000000002</v>
      </c>
      <c r="AO3" s="62">
        <f>+$B$37</f>
        <v>0.75</v>
      </c>
      <c r="AP3" s="62">
        <f>IF(O3=$A$96,VLOOKUP(P3,C$120:$D$122,2,FALSE),IF(O3=$A$97,VLOOKUP(P3,$C$123:$D$125,2,FALSE)))</f>
        <v>14</v>
      </c>
      <c r="AQ3" s="62">
        <f>HLOOKUP(INT(K3),$C$108:$K$111,4,FALSE)</f>
        <v>9.4600000000000009</v>
      </c>
      <c r="AR3" s="373">
        <f>J3+K3</f>
        <v>8</v>
      </c>
      <c r="AS3" s="62">
        <f>VLOOKUP(M3,$B$67:$F$73,IF(L3=$B$102,4,5),FALSE)</f>
        <v>3099</v>
      </c>
      <c r="AT3" s="62">
        <f>IF(R3=$B$117,1,VLOOKUP(Q3,$C$114:$E$116,3,FALSE))</f>
        <v>1</v>
      </c>
      <c r="AU3" s="62">
        <f>VLOOKUP(M3,$B$67:$H$73,IF(T3=$B$90,6,7),FALSE)</f>
        <v>568.6</v>
      </c>
      <c r="AV3" s="302">
        <f>IF(V3=$B$96, IF(O3=$A$96, $C$96,$C$97),$C$98)</f>
        <v>0.72</v>
      </c>
      <c r="AW3" s="361">
        <f>+$B$54</f>
        <v>0.72</v>
      </c>
      <c r="AY3" s="184"/>
      <c r="AZ3" s="184"/>
    </row>
    <row r="4" spans="1:52" x14ac:dyDescent="0.35">
      <c r="A4" s="1137"/>
      <c r="B4" s="1137"/>
      <c r="C4" s="1137"/>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35"/>
      <c r="AD4" s="135"/>
    </row>
    <row r="5" spans="1:52" ht="15.75" customHeight="1" thickBot="1" x14ac:dyDescent="0.4"/>
    <row r="6" spans="1:52" ht="15" thickBot="1" x14ac:dyDescent="0.4">
      <c r="A6" s="76" t="s">
        <v>408</v>
      </c>
      <c r="B6" s="78"/>
      <c r="C6" s="78"/>
      <c r="D6" s="78"/>
      <c r="E6" s="78"/>
      <c r="F6" s="78"/>
      <c r="G6" s="78"/>
      <c r="H6" s="1302"/>
      <c r="I6" s="78"/>
      <c r="J6" s="78"/>
      <c r="K6" s="78"/>
      <c r="L6" s="78"/>
      <c r="M6" s="79"/>
    </row>
    <row r="7" spans="1:52" x14ac:dyDescent="0.35">
      <c r="A7" s="81" t="s">
        <v>987</v>
      </c>
      <c r="B7" s="82"/>
      <c r="C7" s="83"/>
      <c r="D7" s="83"/>
      <c r="E7" s="83"/>
      <c r="F7" s="83"/>
      <c r="G7" s="83"/>
      <c r="H7" s="83"/>
      <c r="I7" s="83"/>
      <c r="J7" s="83"/>
      <c r="K7" s="83"/>
      <c r="L7" s="83"/>
      <c r="M7" s="84"/>
      <c r="U7" s="66"/>
    </row>
    <row r="8" spans="1:52" x14ac:dyDescent="0.35">
      <c r="A8" s="81" t="s">
        <v>2489</v>
      </c>
      <c r="B8" s="83"/>
      <c r="C8" s="83"/>
      <c r="D8" s="83"/>
      <c r="E8" s="83"/>
      <c r="F8" s="83"/>
      <c r="G8" s="83"/>
      <c r="H8" s="83"/>
      <c r="I8" s="83"/>
      <c r="J8" s="83"/>
      <c r="K8" s="83"/>
      <c r="L8" s="83"/>
      <c r="M8" s="84"/>
    </row>
    <row r="9" spans="1:52" ht="27" customHeight="1" x14ac:dyDescent="0.35">
      <c r="A9" s="2229" t="s">
        <v>2490</v>
      </c>
      <c r="B9" s="2223"/>
      <c r="C9" s="2223"/>
      <c r="D9" s="2223"/>
      <c r="E9" s="2223"/>
      <c r="F9" s="2223"/>
      <c r="G9" s="2223"/>
      <c r="H9" s="2223"/>
      <c r="I9" s="2223"/>
      <c r="J9" s="2223"/>
      <c r="K9" s="2223"/>
      <c r="L9" s="2223"/>
      <c r="M9" s="2230"/>
    </row>
    <row r="10" spans="1:52" x14ac:dyDescent="0.35">
      <c r="A10" s="81" t="s">
        <v>873</v>
      </c>
      <c r="B10" s="82"/>
      <c r="C10" s="83"/>
      <c r="D10" s="83"/>
      <c r="E10" s="83"/>
      <c r="F10" s="83"/>
      <c r="G10" s="83"/>
      <c r="H10" s="83"/>
      <c r="I10" s="83"/>
      <c r="J10" s="83"/>
      <c r="K10" s="83"/>
      <c r="L10" s="83"/>
      <c r="M10" s="84"/>
    </row>
    <row r="11" spans="1:52" ht="23.25" customHeight="1" x14ac:dyDescent="0.35">
      <c r="A11" s="2229" t="s">
        <v>2491</v>
      </c>
      <c r="B11" s="2223"/>
      <c r="C11" s="2223"/>
      <c r="D11" s="2223"/>
      <c r="E11" s="2223"/>
      <c r="F11" s="2223"/>
      <c r="G11" s="2223"/>
      <c r="H11" s="2223"/>
      <c r="I11" s="2223"/>
      <c r="J11" s="2223"/>
      <c r="K11" s="2223"/>
      <c r="L11" s="2223"/>
      <c r="M11" s="2230"/>
    </row>
    <row r="12" spans="1:52" ht="15" thickBot="1" x14ac:dyDescent="0.4">
      <c r="A12" s="2447"/>
      <c r="B12" s="2448"/>
      <c r="C12" s="2448"/>
      <c r="D12" s="2448"/>
      <c r="E12" s="2448"/>
      <c r="F12" s="2448"/>
      <c r="G12" s="2448"/>
      <c r="H12" s="2448"/>
      <c r="I12" s="2448"/>
      <c r="J12" s="2448"/>
      <c r="K12" s="2448"/>
      <c r="L12" s="2448"/>
      <c r="M12" s="2449"/>
    </row>
    <row r="13" spans="1:52" ht="15" thickBot="1" x14ac:dyDescent="0.4">
      <c r="A13" s="188" t="s">
        <v>2571</v>
      </c>
      <c r="B13" s="1384" t="e">
        <f>+#REF!</f>
        <v>#REF!</v>
      </c>
    </row>
    <row r="14" spans="1:52" ht="15" thickBot="1" x14ac:dyDescent="0.4">
      <c r="A14" s="188" t="s">
        <v>2572</v>
      </c>
      <c r="B14" s="701" t="s">
        <v>2805</v>
      </c>
    </row>
    <row r="15" spans="1:52" ht="15" thickBot="1" x14ac:dyDescent="0.4"/>
    <row r="16" spans="1:52" ht="15" thickBot="1" x14ac:dyDescent="0.4">
      <c r="A16" s="88" t="s">
        <v>413</v>
      </c>
      <c r="B16" s="579" t="s">
        <v>414</v>
      </c>
      <c r="C16" s="90" t="s">
        <v>415</v>
      </c>
      <c r="D16" s="78"/>
      <c r="E16" s="78"/>
      <c r="F16" s="78"/>
      <c r="G16" s="78"/>
      <c r="H16" s="78"/>
      <c r="I16" s="78"/>
      <c r="J16" s="78"/>
      <c r="K16" s="78"/>
      <c r="L16" s="78"/>
      <c r="M16" s="78"/>
      <c r="N16" s="78"/>
      <c r="O16" s="78"/>
      <c r="P16" s="79"/>
    </row>
    <row r="17" spans="1:16" x14ac:dyDescent="0.35">
      <c r="A17" s="386" t="s">
        <v>960</v>
      </c>
      <c r="B17" s="1303"/>
      <c r="C17" s="383" t="s">
        <v>994</v>
      </c>
      <c r="D17" s="186"/>
      <c r="E17" s="186"/>
      <c r="F17" s="186"/>
      <c r="G17" s="186"/>
      <c r="H17" s="186"/>
      <c r="I17" s="186"/>
      <c r="J17" s="186"/>
      <c r="K17" s="186"/>
      <c r="L17" s="186"/>
      <c r="M17" s="186"/>
      <c r="N17" s="186"/>
      <c r="O17" s="186"/>
      <c r="P17" s="187"/>
    </row>
    <row r="18" spans="1:16" ht="15" thickBot="1" x14ac:dyDescent="0.4">
      <c r="A18" s="1304"/>
      <c r="B18" s="190"/>
      <c r="C18" s="205" t="s">
        <v>2516</v>
      </c>
      <c r="D18" s="190"/>
      <c r="E18" s="190"/>
      <c r="F18" s="190"/>
      <c r="G18" s="190"/>
      <c r="H18" s="190"/>
      <c r="I18" s="190"/>
      <c r="J18" s="190"/>
      <c r="K18" s="190"/>
      <c r="L18" s="190"/>
      <c r="M18" s="190"/>
      <c r="N18" s="190"/>
      <c r="O18" s="190"/>
      <c r="P18" s="191"/>
    </row>
    <row r="19" spans="1:16" x14ac:dyDescent="0.35">
      <c r="A19" s="386" t="s">
        <v>2475</v>
      </c>
      <c r="B19" s="1305"/>
      <c r="C19" s="383" t="s">
        <v>996</v>
      </c>
      <c r="D19" s="186"/>
      <c r="E19" s="186"/>
      <c r="F19" s="186"/>
      <c r="G19" s="186"/>
      <c r="H19" s="186"/>
      <c r="I19" s="186"/>
      <c r="J19" s="186"/>
      <c r="K19" s="186"/>
      <c r="L19" s="186"/>
      <c r="M19" s="186"/>
      <c r="N19" s="186"/>
      <c r="O19" s="186"/>
      <c r="P19" s="187"/>
    </row>
    <row r="20" spans="1:16" ht="30.75" customHeight="1" thickBot="1" x14ac:dyDescent="0.4">
      <c r="A20" s="1304"/>
      <c r="B20" s="1306"/>
      <c r="C20" s="2454" t="s">
        <v>2517</v>
      </c>
      <c r="D20" s="2454"/>
      <c r="E20" s="2454"/>
      <c r="F20" s="2454"/>
      <c r="G20" s="2454"/>
      <c r="H20" s="2454"/>
      <c r="I20" s="2454"/>
      <c r="J20" s="2454"/>
      <c r="K20" s="2454"/>
      <c r="L20" s="190"/>
      <c r="M20" s="190"/>
      <c r="N20" s="190"/>
      <c r="O20" s="190"/>
      <c r="P20" s="191"/>
    </row>
    <row r="21" spans="1:16" x14ac:dyDescent="0.35">
      <c r="A21" s="1307" t="s">
        <v>2492</v>
      </c>
      <c r="B21" s="1328">
        <v>0.6</v>
      </c>
      <c r="C21" s="396" t="s">
        <v>1018</v>
      </c>
      <c r="D21" s="194"/>
      <c r="E21" s="194"/>
      <c r="F21" s="194"/>
      <c r="G21" s="194"/>
      <c r="H21" s="194"/>
      <c r="I21" s="194"/>
      <c r="J21" s="194"/>
      <c r="K21" s="194"/>
      <c r="L21" s="194"/>
      <c r="M21" s="194"/>
      <c r="N21" s="194"/>
      <c r="O21" s="194"/>
      <c r="P21" s="195"/>
    </row>
    <row r="22" spans="1:16" ht="15" thickBot="1" x14ac:dyDescent="0.4">
      <c r="A22" s="1308"/>
      <c r="B22" s="1309"/>
      <c r="C22" s="391" t="s">
        <v>2493</v>
      </c>
      <c r="D22" s="198"/>
      <c r="E22" s="198"/>
      <c r="F22" s="198"/>
      <c r="G22" s="198"/>
      <c r="H22" s="198"/>
      <c r="I22" s="198"/>
      <c r="J22" s="198"/>
      <c r="K22" s="198"/>
      <c r="L22" s="198"/>
      <c r="M22" s="198"/>
      <c r="N22" s="198"/>
      <c r="O22" s="198"/>
      <c r="P22" s="199"/>
    </row>
    <row r="23" spans="1:16" x14ac:dyDescent="0.35">
      <c r="A23" s="1310" t="s">
        <v>2477</v>
      </c>
      <c r="B23" s="1311">
        <v>0.8</v>
      </c>
      <c r="C23" s="401" t="s">
        <v>1015</v>
      </c>
      <c r="D23" s="343"/>
      <c r="E23" s="343"/>
      <c r="F23" s="343"/>
      <c r="G23" s="343"/>
      <c r="H23" s="343"/>
      <c r="I23" s="343"/>
      <c r="J23" s="343"/>
      <c r="K23" s="343"/>
      <c r="L23" s="343"/>
      <c r="M23" s="343"/>
      <c r="N23" s="343"/>
      <c r="O23" s="343"/>
      <c r="P23" s="344"/>
    </row>
    <row r="24" spans="1:16" ht="15" thickBot="1" x14ac:dyDescent="0.4">
      <c r="A24" s="1310"/>
      <c r="B24" s="1311"/>
      <c r="C24" s="401" t="s">
        <v>924</v>
      </c>
      <c r="D24" s="343"/>
      <c r="E24" s="343"/>
      <c r="F24" s="343"/>
      <c r="G24" s="343"/>
      <c r="H24" s="343"/>
      <c r="I24" s="343"/>
      <c r="J24" s="343"/>
      <c r="K24" s="343"/>
      <c r="L24" s="343"/>
      <c r="M24" s="343"/>
      <c r="N24" s="343"/>
      <c r="O24" s="343"/>
      <c r="P24" s="344"/>
    </row>
    <row r="25" spans="1:16" x14ac:dyDescent="0.35">
      <c r="A25" s="386" t="s">
        <v>2478</v>
      </c>
      <c r="B25" s="387"/>
      <c r="C25" s="383" t="s">
        <v>2494</v>
      </c>
      <c r="D25" s="186"/>
      <c r="E25" s="186"/>
      <c r="F25" s="186"/>
      <c r="G25" s="186"/>
      <c r="H25" s="186"/>
      <c r="I25" s="186"/>
      <c r="J25" s="186"/>
      <c r="K25" s="186"/>
      <c r="L25" s="186"/>
      <c r="M25" s="186"/>
      <c r="N25" s="186"/>
      <c r="O25" s="186"/>
      <c r="P25" s="187"/>
    </row>
    <row r="26" spans="1:16" ht="15" thickBot="1" x14ac:dyDescent="0.4">
      <c r="A26" s="1304"/>
      <c r="B26" s="1306"/>
      <c r="C26" s="205" t="s">
        <v>762</v>
      </c>
      <c r="D26" s="190"/>
      <c r="E26" s="190"/>
      <c r="F26" s="190"/>
      <c r="G26" s="190"/>
      <c r="H26" s="190"/>
      <c r="I26" s="190"/>
      <c r="J26" s="190"/>
      <c r="K26" s="190"/>
      <c r="L26" s="190"/>
      <c r="M26" s="190"/>
      <c r="N26" s="190"/>
      <c r="O26" s="190"/>
      <c r="P26" s="191"/>
    </row>
    <row r="27" spans="1:16" x14ac:dyDescent="0.35">
      <c r="A27" s="386" t="s">
        <v>2479</v>
      </c>
      <c r="B27" s="186">
        <v>1</v>
      </c>
      <c r="C27" s="383" t="s">
        <v>2495</v>
      </c>
      <c r="D27" s="186"/>
      <c r="E27" s="186"/>
      <c r="F27" s="186"/>
      <c r="G27" s="186"/>
      <c r="H27" s="186"/>
      <c r="I27" s="186"/>
      <c r="J27" s="186"/>
      <c r="K27" s="186"/>
      <c r="L27" s="186"/>
      <c r="M27" s="186"/>
      <c r="N27" s="186"/>
      <c r="O27" s="186"/>
      <c r="P27" s="187"/>
    </row>
    <row r="28" spans="1:16" ht="15" thickBot="1" x14ac:dyDescent="0.4">
      <c r="A28" s="1304"/>
      <c r="B28" s="1306"/>
      <c r="C28" s="205" t="s">
        <v>2496</v>
      </c>
      <c r="D28" s="190"/>
      <c r="E28" s="190"/>
      <c r="F28" s="190"/>
      <c r="G28" s="190"/>
      <c r="H28" s="190"/>
      <c r="I28" s="190"/>
      <c r="J28" s="190"/>
      <c r="K28" s="190"/>
      <c r="L28" s="190"/>
      <c r="M28" s="190"/>
      <c r="N28" s="190"/>
      <c r="O28" s="190"/>
      <c r="P28" s="191"/>
    </row>
    <row r="29" spans="1:16" x14ac:dyDescent="0.35">
      <c r="A29" s="386" t="s">
        <v>2480</v>
      </c>
      <c r="B29" s="387"/>
      <c r="C29" s="383" t="s">
        <v>2469</v>
      </c>
      <c r="D29" s="186"/>
      <c r="E29" s="186"/>
      <c r="F29" s="186"/>
      <c r="G29" s="186"/>
      <c r="H29" s="186"/>
      <c r="I29" s="186"/>
      <c r="J29" s="186"/>
      <c r="K29" s="186"/>
      <c r="L29" s="186"/>
      <c r="M29" s="186"/>
      <c r="N29" s="186"/>
      <c r="O29" s="186"/>
      <c r="P29" s="187"/>
    </row>
    <row r="30" spans="1:16" ht="15" thickBot="1" x14ac:dyDescent="0.4">
      <c r="A30" s="1304"/>
      <c r="B30" s="1306"/>
      <c r="C30" s="205" t="s">
        <v>762</v>
      </c>
      <c r="D30" s="190"/>
      <c r="E30" s="190"/>
      <c r="F30" s="190"/>
      <c r="G30" s="190"/>
      <c r="H30" s="190"/>
      <c r="I30" s="190"/>
      <c r="J30" s="190"/>
      <c r="K30" s="190"/>
      <c r="L30" s="190"/>
      <c r="M30" s="190"/>
      <c r="N30" s="190"/>
      <c r="O30" s="190"/>
      <c r="P30" s="191"/>
    </row>
    <row r="31" spans="1:16" x14ac:dyDescent="0.35">
      <c r="A31" s="386" t="s">
        <v>2481</v>
      </c>
      <c r="B31" s="387"/>
      <c r="C31" s="383" t="s">
        <v>2470</v>
      </c>
      <c r="D31" s="186"/>
      <c r="E31" s="186"/>
      <c r="F31" s="186"/>
      <c r="G31" s="186"/>
      <c r="H31" s="186"/>
      <c r="I31" s="186"/>
      <c r="J31" s="186"/>
      <c r="K31" s="186"/>
      <c r="L31" s="186"/>
      <c r="M31" s="186"/>
      <c r="N31" s="186"/>
      <c r="O31" s="186"/>
      <c r="P31" s="187"/>
    </row>
    <row r="32" spans="1:16" ht="15" thickBot="1" x14ac:dyDescent="0.4">
      <c r="A32" s="1304"/>
      <c r="B32" s="1306"/>
      <c r="C32" s="205" t="s">
        <v>762</v>
      </c>
      <c r="D32" s="190"/>
      <c r="E32" s="190"/>
      <c r="F32" s="190"/>
      <c r="G32" s="190"/>
      <c r="H32" s="190"/>
      <c r="I32" s="190"/>
      <c r="J32" s="190"/>
      <c r="K32" s="190"/>
      <c r="L32" s="190"/>
      <c r="M32" s="190"/>
      <c r="N32" s="190"/>
      <c r="O32" s="190"/>
      <c r="P32" s="191"/>
    </row>
    <row r="33" spans="1:16" x14ac:dyDescent="0.35">
      <c r="A33" s="386" t="s">
        <v>1004</v>
      </c>
      <c r="B33" s="186" t="s">
        <v>2497</v>
      </c>
      <c r="C33" s="383" t="s">
        <v>2498</v>
      </c>
      <c r="D33" s="186"/>
      <c r="E33" s="186"/>
      <c r="F33" s="186"/>
      <c r="G33" s="186"/>
      <c r="H33" s="186"/>
      <c r="I33" s="186"/>
      <c r="J33" s="186"/>
      <c r="K33" s="186"/>
      <c r="L33" s="186"/>
      <c r="M33" s="186"/>
      <c r="N33" s="186"/>
      <c r="O33" s="186"/>
      <c r="P33" s="187"/>
    </row>
    <row r="34" spans="1:16" ht="15" thickBot="1" x14ac:dyDescent="0.4">
      <c r="A34" s="1304"/>
      <c r="B34" s="1306"/>
      <c r="C34" s="205" t="s">
        <v>2518</v>
      </c>
      <c r="D34" s="190"/>
      <c r="E34" s="190"/>
      <c r="F34" s="190"/>
      <c r="G34" s="190"/>
      <c r="H34" s="190"/>
      <c r="I34" s="190"/>
      <c r="J34" s="190"/>
      <c r="K34" s="190"/>
      <c r="L34" s="190"/>
      <c r="M34" s="190"/>
      <c r="N34" s="190"/>
      <c r="O34" s="190"/>
      <c r="P34" s="191"/>
    </row>
    <row r="35" spans="1:16" x14ac:dyDescent="0.35">
      <c r="A35" s="392" t="s">
        <v>845</v>
      </c>
      <c r="B35" s="186"/>
      <c r="C35" s="383" t="s">
        <v>2499</v>
      </c>
      <c r="D35" s="186"/>
      <c r="E35" s="186"/>
      <c r="F35" s="186"/>
      <c r="G35" s="186"/>
      <c r="H35" s="186"/>
      <c r="I35" s="186"/>
      <c r="J35" s="186"/>
      <c r="K35" s="186"/>
      <c r="L35" s="186"/>
      <c r="M35" s="186"/>
      <c r="N35" s="186"/>
      <c r="O35" s="186"/>
      <c r="P35" s="187"/>
    </row>
    <row r="36" spans="1:16" ht="15" thickBot="1" x14ac:dyDescent="0.4">
      <c r="A36" s="1304"/>
      <c r="B36" s="1306"/>
      <c r="C36" s="391" t="s">
        <v>1008</v>
      </c>
      <c r="D36" s="190"/>
      <c r="E36" s="190"/>
      <c r="F36" s="190"/>
      <c r="G36" s="190"/>
      <c r="H36" s="190"/>
      <c r="I36" s="190"/>
      <c r="J36" s="190"/>
      <c r="K36" s="190"/>
      <c r="L36" s="190"/>
      <c r="M36" s="190"/>
      <c r="N36" s="190"/>
      <c r="O36" s="190"/>
      <c r="P36" s="191"/>
    </row>
    <row r="37" spans="1:16" x14ac:dyDescent="0.35">
      <c r="A37" s="392" t="s">
        <v>846</v>
      </c>
      <c r="B37" s="186">
        <v>0.75</v>
      </c>
      <c r="C37" s="383" t="s">
        <v>1009</v>
      </c>
      <c r="D37" s="186"/>
      <c r="E37" s="186"/>
      <c r="F37" s="186"/>
      <c r="G37" s="186"/>
      <c r="H37" s="186"/>
      <c r="I37" s="186"/>
      <c r="J37" s="186"/>
      <c r="K37" s="186"/>
      <c r="L37" s="186"/>
      <c r="M37" s="186"/>
      <c r="N37" s="186"/>
      <c r="O37" s="186"/>
      <c r="P37" s="187"/>
    </row>
    <row r="38" spans="1:16" ht="15" thickBot="1" x14ac:dyDescent="0.4">
      <c r="A38" s="1304"/>
      <c r="B38" s="1306"/>
      <c r="C38" s="391" t="s">
        <v>787</v>
      </c>
      <c r="D38" s="190"/>
      <c r="E38" s="190"/>
      <c r="F38" s="190"/>
      <c r="G38" s="190"/>
      <c r="H38" s="190"/>
      <c r="I38" s="190"/>
      <c r="J38" s="190"/>
      <c r="K38" s="190"/>
      <c r="L38" s="190"/>
      <c r="M38" s="190"/>
      <c r="N38" s="190"/>
      <c r="O38" s="190"/>
      <c r="P38" s="191"/>
    </row>
    <row r="39" spans="1:16" x14ac:dyDescent="0.35">
      <c r="A39" s="392" t="s">
        <v>713</v>
      </c>
      <c r="B39" s="388" t="s">
        <v>893</v>
      </c>
      <c r="C39" s="383" t="s">
        <v>1010</v>
      </c>
      <c r="D39" s="186"/>
      <c r="E39" s="186"/>
      <c r="F39" s="186"/>
      <c r="G39" s="186"/>
      <c r="H39" s="186"/>
      <c r="I39" s="186"/>
      <c r="J39" s="186"/>
      <c r="K39" s="186"/>
      <c r="L39" s="186"/>
      <c r="M39" s="186"/>
      <c r="N39" s="186"/>
      <c r="O39" s="186"/>
      <c r="P39" s="187"/>
    </row>
    <row r="40" spans="1:16" ht="15" thickBot="1" x14ac:dyDescent="0.4">
      <c r="A40" s="1304"/>
      <c r="B40" s="1306"/>
      <c r="C40" s="190" t="s">
        <v>1011</v>
      </c>
      <c r="D40" s="190"/>
      <c r="E40" s="190"/>
      <c r="F40" s="190"/>
      <c r="G40" s="190"/>
      <c r="H40" s="190"/>
      <c r="I40" s="190"/>
      <c r="J40" s="190"/>
      <c r="K40" s="190"/>
      <c r="L40" s="190"/>
      <c r="M40" s="190"/>
      <c r="N40" s="190"/>
      <c r="O40" s="190"/>
      <c r="P40" s="191"/>
    </row>
    <row r="41" spans="1:16" x14ac:dyDescent="0.35">
      <c r="A41" s="392" t="s">
        <v>2482</v>
      </c>
      <c r="B41" s="186" t="s">
        <v>2356</v>
      </c>
      <c r="C41" s="383" t="s">
        <v>2500</v>
      </c>
      <c r="D41" s="186"/>
      <c r="E41" s="186"/>
      <c r="F41" s="186"/>
      <c r="G41" s="186"/>
      <c r="H41" s="186"/>
      <c r="I41" s="186"/>
      <c r="J41" s="186"/>
      <c r="K41" s="186"/>
      <c r="L41" s="186"/>
      <c r="M41" s="186"/>
      <c r="N41" s="186"/>
      <c r="O41" s="186"/>
      <c r="P41" s="187"/>
    </row>
    <row r="42" spans="1:16" x14ac:dyDescent="0.35">
      <c r="A42" s="1312"/>
      <c r="B42" s="1313"/>
      <c r="C42" s="390" t="s">
        <v>2501</v>
      </c>
      <c r="D42" s="207"/>
      <c r="E42" s="207"/>
      <c r="F42" s="207"/>
      <c r="G42" s="207"/>
      <c r="H42" s="207"/>
      <c r="I42" s="207"/>
      <c r="J42" s="207"/>
      <c r="K42" s="207"/>
      <c r="L42" s="207"/>
      <c r="M42" s="207"/>
      <c r="N42" s="207"/>
      <c r="O42" s="207"/>
      <c r="P42" s="208"/>
    </row>
    <row r="43" spans="1:16" ht="15" thickBot="1" x14ac:dyDescent="0.4">
      <c r="A43" s="1304"/>
      <c r="B43" s="1306"/>
      <c r="C43" s="205" t="s">
        <v>2502</v>
      </c>
      <c r="D43" s="190"/>
      <c r="E43" s="190"/>
      <c r="F43" s="190"/>
      <c r="G43" s="190"/>
      <c r="H43" s="190"/>
      <c r="I43" s="190"/>
      <c r="J43" s="190"/>
      <c r="K43" s="190"/>
      <c r="L43" s="190"/>
      <c r="M43" s="190"/>
      <c r="N43" s="190"/>
      <c r="O43" s="190"/>
      <c r="P43" s="191"/>
    </row>
    <row r="44" spans="1:16" x14ac:dyDescent="0.35">
      <c r="A44" s="386" t="s">
        <v>2483</v>
      </c>
      <c r="B44" s="1305" t="s">
        <v>2356</v>
      </c>
      <c r="C44" s="383" t="s">
        <v>2503</v>
      </c>
      <c r="D44" s="186"/>
      <c r="E44" s="186"/>
      <c r="F44" s="186"/>
      <c r="G44" s="186"/>
      <c r="H44" s="186"/>
      <c r="I44" s="186"/>
      <c r="J44" s="186"/>
      <c r="K44" s="186"/>
      <c r="L44" s="1314"/>
      <c r="M44" s="186"/>
      <c r="N44" s="186"/>
      <c r="O44" s="186"/>
      <c r="P44" s="187"/>
    </row>
    <row r="45" spans="1:16" ht="15" thickBot="1" x14ac:dyDescent="0.4">
      <c r="A45" s="189"/>
      <c r="B45" s="190"/>
      <c r="C45" s="391" t="s">
        <v>762</v>
      </c>
      <c r="D45" s="190"/>
      <c r="E45" s="190"/>
      <c r="F45" s="190"/>
      <c r="G45" s="190"/>
      <c r="H45" s="190"/>
      <c r="I45" s="190"/>
      <c r="J45" s="190"/>
      <c r="K45" s="190"/>
      <c r="L45" s="190"/>
      <c r="M45" s="190"/>
      <c r="N45" s="190"/>
      <c r="O45" s="190"/>
      <c r="P45" s="191"/>
    </row>
    <row r="46" spans="1:16" x14ac:dyDescent="0.35">
      <c r="A46" s="392" t="s">
        <v>849</v>
      </c>
      <c r="B46" s="393" t="s">
        <v>896</v>
      </c>
      <c r="C46" s="383" t="s">
        <v>1012</v>
      </c>
      <c r="D46" s="186"/>
      <c r="E46" s="186"/>
      <c r="F46" s="186"/>
      <c r="G46" s="186"/>
      <c r="H46" s="186"/>
      <c r="I46" s="186"/>
      <c r="J46" s="186"/>
      <c r="K46" s="186"/>
      <c r="L46" s="186"/>
      <c r="M46" s="186"/>
      <c r="N46" s="186"/>
      <c r="O46" s="186"/>
      <c r="P46" s="187"/>
    </row>
    <row r="47" spans="1:16" ht="15" thickBot="1" x14ac:dyDescent="0.4">
      <c r="A47" s="189"/>
      <c r="B47" s="190"/>
      <c r="C47" s="391" t="s">
        <v>1008</v>
      </c>
      <c r="D47" s="190"/>
      <c r="E47" s="190"/>
      <c r="F47" s="190"/>
      <c r="G47" s="190"/>
      <c r="H47" s="190"/>
      <c r="I47" s="190"/>
      <c r="J47" s="190"/>
      <c r="K47" s="190"/>
      <c r="L47" s="190"/>
      <c r="M47" s="190"/>
      <c r="N47" s="190"/>
      <c r="O47" s="190"/>
      <c r="P47" s="191"/>
    </row>
    <row r="48" spans="1:16" ht="29" x14ac:dyDescent="0.35">
      <c r="A48" s="392" t="s">
        <v>850</v>
      </c>
      <c r="B48" s="388" t="s">
        <v>901</v>
      </c>
      <c r="C48" s="383" t="s">
        <v>902</v>
      </c>
      <c r="D48" s="186"/>
      <c r="E48" s="186"/>
      <c r="F48" s="186"/>
      <c r="G48" s="186"/>
      <c r="H48" s="186"/>
      <c r="I48" s="186"/>
      <c r="J48" s="186"/>
      <c r="K48" s="186"/>
      <c r="L48" s="186"/>
      <c r="M48" s="186"/>
      <c r="N48" s="186"/>
      <c r="O48" s="186"/>
      <c r="P48" s="187"/>
    </row>
    <row r="49" spans="1:16" ht="15" thickBot="1" x14ac:dyDescent="0.4">
      <c r="A49" s="189"/>
      <c r="B49" s="190"/>
      <c r="C49" s="205" t="s">
        <v>903</v>
      </c>
      <c r="D49" s="190"/>
      <c r="E49" s="190"/>
      <c r="F49" s="190"/>
      <c r="G49" s="190"/>
      <c r="H49" s="190"/>
      <c r="I49" s="190"/>
      <c r="J49" s="190"/>
      <c r="K49" s="190"/>
      <c r="L49" s="190"/>
      <c r="M49" s="190"/>
      <c r="N49" s="190"/>
      <c r="O49" s="190"/>
      <c r="P49" s="191"/>
    </row>
    <row r="50" spans="1:16" x14ac:dyDescent="0.35">
      <c r="A50" s="392" t="s">
        <v>851</v>
      </c>
      <c r="B50" s="1305"/>
      <c r="C50" s="383" t="s">
        <v>904</v>
      </c>
      <c r="D50" s="186"/>
      <c r="E50" s="186"/>
      <c r="F50" s="186"/>
      <c r="G50" s="186"/>
      <c r="H50" s="186"/>
      <c r="I50" s="186"/>
      <c r="J50" s="186"/>
      <c r="K50" s="186"/>
      <c r="L50" s="186"/>
      <c r="M50" s="186"/>
      <c r="N50" s="186"/>
      <c r="O50" s="186"/>
      <c r="P50" s="187"/>
    </row>
    <row r="51" spans="1:16" ht="15" thickBot="1" x14ac:dyDescent="0.4">
      <c r="A51" s="189"/>
      <c r="B51" s="190"/>
      <c r="C51" s="391" t="s">
        <v>891</v>
      </c>
      <c r="D51" s="190"/>
      <c r="E51" s="190"/>
      <c r="F51" s="190"/>
      <c r="G51" s="190"/>
      <c r="H51" s="190"/>
      <c r="I51" s="190"/>
      <c r="J51" s="190"/>
      <c r="K51" s="190"/>
      <c r="L51" s="190"/>
      <c r="M51" s="190"/>
      <c r="N51" s="190"/>
      <c r="O51" s="190"/>
      <c r="P51" s="191"/>
    </row>
    <row r="52" spans="1:16" x14ac:dyDescent="0.35">
      <c r="A52" s="1315" t="s">
        <v>615</v>
      </c>
      <c r="B52" s="395"/>
      <c r="C52" s="396" t="s">
        <v>786</v>
      </c>
      <c r="D52" s="186"/>
      <c r="E52" s="186"/>
      <c r="F52" s="186"/>
      <c r="G52" s="186"/>
      <c r="H52" s="186"/>
      <c r="I52" s="186"/>
      <c r="J52" s="186"/>
      <c r="K52" s="186"/>
      <c r="L52" s="186"/>
      <c r="M52" s="186"/>
      <c r="N52" s="186"/>
      <c r="O52" s="186"/>
      <c r="P52" s="187"/>
    </row>
    <row r="53" spans="1:16" ht="15" thickBot="1" x14ac:dyDescent="0.4">
      <c r="A53" s="189"/>
      <c r="B53" s="190"/>
      <c r="C53" s="391" t="s">
        <v>787</v>
      </c>
      <c r="D53" s="190"/>
      <c r="E53" s="190"/>
      <c r="F53" s="190"/>
      <c r="G53" s="190"/>
      <c r="H53" s="190"/>
      <c r="I53" s="190"/>
      <c r="J53" s="190"/>
      <c r="K53" s="190"/>
      <c r="L53" s="190"/>
      <c r="M53" s="190"/>
      <c r="N53" s="190"/>
      <c r="O53" s="190"/>
      <c r="P53" s="191"/>
    </row>
    <row r="54" spans="1:16" x14ac:dyDescent="0.35">
      <c r="A54" s="1315" t="s">
        <v>850</v>
      </c>
      <c r="B54" s="497">
        <v>0.72</v>
      </c>
      <c r="C54" s="396" t="s">
        <v>905</v>
      </c>
      <c r="D54" s="194"/>
      <c r="E54" s="194"/>
      <c r="F54" s="194"/>
      <c r="G54" s="194"/>
      <c r="H54" s="194"/>
      <c r="I54" s="194"/>
      <c r="J54" s="194"/>
      <c r="K54" s="194"/>
      <c r="L54" s="194"/>
      <c r="M54" s="194"/>
      <c r="N54" s="194"/>
      <c r="O54" s="194"/>
      <c r="P54" s="195"/>
    </row>
    <row r="55" spans="1:16" ht="15" thickBot="1" x14ac:dyDescent="0.4">
      <c r="A55" s="197"/>
      <c r="B55" s="198"/>
      <c r="C55" s="391" t="s">
        <v>906</v>
      </c>
      <c r="D55" s="198"/>
      <c r="E55" s="198"/>
      <c r="F55" s="198"/>
      <c r="G55" s="198"/>
      <c r="H55" s="198"/>
      <c r="I55" s="198"/>
      <c r="J55" s="198"/>
      <c r="K55" s="198"/>
      <c r="L55" s="198"/>
      <c r="M55" s="198"/>
      <c r="N55" s="198"/>
      <c r="O55" s="198"/>
      <c r="P55" s="199"/>
    </row>
    <row r="56" spans="1:16" x14ac:dyDescent="0.35">
      <c r="A56" s="185" t="s">
        <v>1117</v>
      </c>
      <c r="B56" s="1949">
        <v>20</v>
      </c>
      <c r="C56" s="1949" t="s">
        <v>537</v>
      </c>
      <c r="D56" s="1949"/>
      <c r="E56" s="1949"/>
      <c r="F56" s="186"/>
      <c r="G56" s="186"/>
      <c r="H56" s="186"/>
      <c r="I56" s="186"/>
      <c r="J56" s="186"/>
      <c r="K56" s="186"/>
      <c r="L56" s="186"/>
      <c r="M56" s="186"/>
      <c r="N56" s="186"/>
      <c r="O56" s="186"/>
      <c r="P56" s="187"/>
    </row>
    <row r="57" spans="1:16" ht="15" thickBot="1" x14ac:dyDescent="0.4">
      <c r="A57" s="189"/>
      <c r="B57" s="190"/>
      <c r="C57" s="391" t="s">
        <v>787</v>
      </c>
      <c r="D57" s="190"/>
      <c r="E57" s="190"/>
      <c r="F57" s="190"/>
      <c r="G57" s="190"/>
      <c r="H57" s="190"/>
      <c r="I57" s="190"/>
      <c r="J57" s="190"/>
      <c r="K57" s="190"/>
      <c r="L57" s="190"/>
      <c r="M57" s="190"/>
      <c r="N57" s="190"/>
      <c r="O57" s="190"/>
      <c r="P57" s="191"/>
    </row>
    <row r="58" spans="1:16" x14ac:dyDescent="0.35">
      <c r="A58" s="185" t="s">
        <v>1454</v>
      </c>
      <c r="B58" s="186"/>
      <c r="C58" s="396"/>
      <c r="D58" s="186"/>
      <c r="E58" s="186"/>
      <c r="F58" s="186"/>
      <c r="G58" s="186"/>
      <c r="H58" s="186"/>
      <c r="I58" s="186"/>
      <c r="J58" s="186"/>
      <c r="K58" s="186"/>
      <c r="L58" s="186"/>
      <c r="M58" s="186"/>
      <c r="N58" s="186"/>
      <c r="O58" s="186"/>
      <c r="P58" s="187"/>
    </row>
    <row r="59" spans="1:16" ht="15" thickBot="1" x14ac:dyDescent="0.4">
      <c r="A59" s="189"/>
      <c r="B59" s="190"/>
      <c r="C59" s="391"/>
      <c r="D59" s="190"/>
      <c r="E59" s="190"/>
      <c r="F59" s="190"/>
      <c r="G59" s="190"/>
      <c r="H59" s="190"/>
      <c r="I59" s="190"/>
      <c r="J59" s="190"/>
      <c r="K59" s="190"/>
      <c r="L59" s="190"/>
      <c r="M59" s="190"/>
      <c r="N59" s="190"/>
      <c r="O59" s="190"/>
      <c r="P59" s="191"/>
    </row>
    <row r="61" spans="1:16" ht="15" thickBot="1" x14ac:dyDescent="0.4"/>
    <row r="62" spans="1:16" ht="15" thickBot="1" x14ac:dyDescent="0.4">
      <c r="A62" s="122" t="s">
        <v>446</v>
      </c>
      <c r="B62" s="123"/>
      <c r="C62" s="78"/>
      <c r="D62" s="78"/>
      <c r="E62" s="78"/>
      <c r="F62" s="78"/>
      <c r="G62" s="78"/>
      <c r="H62" s="78"/>
      <c r="I62" s="78"/>
      <c r="J62" s="78"/>
      <c r="K62" s="78"/>
      <c r="L62" s="78"/>
      <c r="M62" s="78"/>
      <c r="N62" s="79"/>
    </row>
    <row r="63" spans="1:16" x14ac:dyDescent="0.35">
      <c r="A63" s="124"/>
      <c r="B63" s="83"/>
      <c r="C63" s="83"/>
      <c r="D63" s="83"/>
      <c r="E63" s="83"/>
      <c r="F63" s="83"/>
      <c r="G63" s="83"/>
      <c r="H63" s="83"/>
      <c r="I63" s="83"/>
      <c r="J63" s="83"/>
      <c r="K63" s="83"/>
      <c r="L63" s="83"/>
      <c r="M63" s="83"/>
      <c r="N63" s="125"/>
    </row>
    <row r="64" spans="1:16" x14ac:dyDescent="0.35">
      <c r="A64" s="124"/>
      <c r="B64" s="83"/>
      <c r="C64" s="83"/>
      <c r="D64" s="83"/>
      <c r="E64" s="83"/>
      <c r="F64" s="83"/>
      <c r="G64" s="83"/>
      <c r="H64" s="83"/>
      <c r="I64" s="83"/>
      <c r="J64" s="83"/>
      <c r="K64" s="83"/>
      <c r="L64" s="83"/>
      <c r="M64" s="83"/>
      <c r="N64" s="125"/>
    </row>
    <row r="65" spans="1:17" ht="26" x14ac:dyDescent="0.35">
      <c r="A65" s="124"/>
      <c r="B65" s="2455" t="s">
        <v>370</v>
      </c>
      <c r="C65" s="2455" t="s">
        <v>2504</v>
      </c>
      <c r="D65" s="221" t="s">
        <v>739</v>
      </c>
      <c r="E65" s="363" t="s">
        <v>2505</v>
      </c>
      <c r="F65" s="221" t="s">
        <v>739</v>
      </c>
      <c r="G65" s="83"/>
      <c r="H65" s="83"/>
      <c r="I65" s="83"/>
      <c r="J65" s="83"/>
      <c r="K65" s="83"/>
      <c r="L65" s="83"/>
      <c r="M65" s="83"/>
      <c r="N65" s="125"/>
    </row>
    <row r="66" spans="1:17" x14ac:dyDescent="0.35">
      <c r="A66" s="124"/>
      <c r="B66" s="2456"/>
      <c r="C66" s="2456"/>
      <c r="D66" s="221" t="s">
        <v>930</v>
      </c>
      <c r="E66" s="363" t="s">
        <v>931</v>
      </c>
      <c r="F66" s="221" t="s">
        <v>2506</v>
      </c>
      <c r="G66" s="363" t="s">
        <v>400</v>
      </c>
      <c r="H66" s="221" t="s">
        <v>466</v>
      </c>
      <c r="I66" s="83"/>
      <c r="J66" s="83"/>
      <c r="K66" s="83"/>
      <c r="L66" s="83"/>
      <c r="M66" s="83"/>
      <c r="N66" s="125"/>
    </row>
    <row r="67" spans="1:17" x14ac:dyDescent="0.35">
      <c r="A67" s="124"/>
      <c r="B67" s="131" t="s">
        <v>457</v>
      </c>
      <c r="C67" s="134">
        <v>820</v>
      </c>
      <c r="D67" s="126">
        <v>263</v>
      </c>
      <c r="E67" s="132">
        <v>5352</v>
      </c>
      <c r="F67" s="133">
        <v>3322</v>
      </c>
      <c r="G67" s="126">
        <v>512</v>
      </c>
      <c r="H67" s="126">
        <v>467</v>
      </c>
      <c r="I67" s="83"/>
      <c r="J67" s="83"/>
      <c r="K67" s="83"/>
      <c r="L67" s="83"/>
      <c r="M67" s="83"/>
      <c r="N67" s="125"/>
    </row>
    <row r="68" spans="1:17" ht="15" customHeight="1" x14ac:dyDescent="0.35">
      <c r="A68" s="124"/>
      <c r="B68" s="131" t="s">
        <v>459</v>
      </c>
      <c r="C68" s="134">
        <v>842</v>
      </c>
      <c r="D68" s="126">
        <v>281</v>
      </c>
      <c r="E68" s="132">
        <v>5113</v>
      </c>
      <c r="F68" s="133">
        <v>3079</v>
      </c>
      <c r="G68" s="126">
        <v>570</v>
      </c>
      <c r="H68" s="126">
        <v>506</v>
      </c>
      <c r="I68" s="83"/>
      <c r="J68" s="83"/>
      <c r="K68" s="83"/>
      <c r="L68" s="83"/>
      <c r="M68" s="83"/>
      <c r="N68" s="125"/>
    </row>
    <row r="69" spans="1:17" x14ac:dyDescent="0.35">
      <c r="A69" s="124"/>
      <c r="B69" s="131" t="s">
        <v>461</v>
      </c>
      <c r="C69" s="132">
        <v>1108</v>
      </c>
      <c r="D69" s="126">
        <v>436</v>
      </c>
      <c r="E69" s="132">
        <v>4379</v>
      </c>
      <c r="F69" s="133">
        <v>2550</v>
      </c>
      <c r="G69" s="126">
        <v>730</v>
      </c>
      <c r="H69" s="126">
        <v>663</v>
      </c>
      <c r="I69" s="83"/>
      <c r="J69" s="83"/>
      <c r="K69" s="83"/>
      <c r="L69" s="83"/>
      <c r="M69" s="83"/>
      <c r="N69" s="125"/>
    </row>
    <row r="70" spans="1:17" x14ac:dyDescent="0.35">
      <c r="A70" s="124"/>
      <c r="B70" s="131" t="s">
        <v>463</v>
      </c>
      <c r="C70" s="132">
        <v>1570</v>
      </c>
      <c r="D70" s="126">
        <v>538</v>
      </c>
      <c r="E70" s="132">
        <v>3378</v>
      </c>
      <c r="F70" s="133">
        <v>1789</v>
      </c>
      <c r="G70" s="133">
        <v>1035</v>
      </c>
      <c r="H70" s="126">
        <v>940</v>
      </c>
      <c r="I70" s="83"/>
      <c r="J70" s="83"/>
      <c r="K70" s="83"/>
      <c r="L70" s="83"/>
      <c r="M70" s="83"/>
      <c r="N70" s="1316"/>
      <c r="O70" s="1317"/>
      <c r="P70" s="1317"/>
      <c r="Q70" s="1317"/>
    </row>
    <row r="71" spans="1:17" x14ac:dyDescent="0.35">
      <c r="A71" s="124"/>
      <c r="B71" s="131" t="s">
        <v>464</v>
      </c>
      <c r="C71" s="133">
        <v>1370</v>
      </c>
      <c r="D71" s="126">
        <v>570</v>
      </c>
      <c r="E71" s="133">
        <v>3438</v>
      </c>
      <c r="F71" s="133">
        <v>1796</v>
      </c>
      <c r="G71" s="126">
        <v>903</v>
      </c>
      <c r="H71" s="126">
        <v>820</v>
      </c>
      <c r="I71" s="83"/>
      <c r="J71" s="83"/>
      <c r="K71" s="83"/>
      <c r="L71" s="83"/>
      <c r="M71" s="83"/>
      <c r="N71" s="125"/>
    </row>
    <row r="72" spans="1:17" x14ac:dyDescent="0.35">
      <c r="A72" s="124"/>
      <c r="B72" s="131" t="s">
        <v>399</v>
      </c>
      <c r="C72" s="134">
        <v>947</v>
      </c>
      <c r="D72" s="126">
        <v>325</v>
      </c>
      <c r="E72" s="132">
        <v>4860</v>
      </c>
      <c r="F72" s="133">
        <v>2895</v>
      </c>
      <c r="G72" s="126">
        <v>629</v>
      </c>
      <c r="H72" s="126">
        <v>564</v>
      </c>
      <c r="I72" s="83"/>
      <c r="J72" s="83"/>
      <c r="K72" s="83"/>
      <c r="L72" s="83"/>
      <c r="M72" s="83"/>
      <c r="N72" s="125"/>
    </row>
    <row r="73" spans="1:17" x14ac:dyDescent="0.35">
      <c r="A73" s="124"/>
      <c r="B73" s="131" t="s">
        <v>738</v>
      </c>
      <c r="C73" s="134">
        <f t="shared" ref="C73:H73" si="0">C67*$D$77+C68*$D$78+C69*$D$79</f>
        <v>862</v>
      </c>
      <c r="D73" s="126">
        <f t="shared" si="0"/>
        <v>291.10000000000002</v>
      </c>
      <c r="E73" s="132">
        <f t="shared" si="0"/>
        <v>5111.2999999999993</v>
      </c>
      <c r="F73" s="133">
        <f t="shared" si="0"/>
        <v>3099</v>
      </c>
      <c r="G73" s="126">
        <f t="shared" si="0"/>
        <v>568.6</v>
      </c>
      <c r="H73" s="126">
        <f t="shared" si="0"/>
        <v>509.99999999999994</v>
      </c>
      <c r="I73" s="83"/>
      <c r="J73" s="83"/>
      <c r="K73" s="83"/>
      <c r="L73" s="83"/>
      <c r="M73" s="83"/>
      <c r="N73" s="125"/>
    </row>
    <row r="74" spans="1:17" x14ac:dyDescent="0.35">
      <c r="A74" s="124"/>
      <c r="B74" s="83"/>
      <c r="C74" s="83"/>
      <c r="D74" s="83"/>
      <c r="E74" s="83"/>
      <c r="F74" s="83"/>
      <c r="G74" s="83"/>
      <c r="H74" s="83"/>
      <c r="I74" s="83"/>
      <c r="J74" s="83"/>
      <c r="K74" s="83"/>
      <c r="L74" s="83"/>
      <c r="M74" s="83"/>
      <c r="N74" s="125"/>
    </row>
    <row r="75" spans="1:17" x14ac:dyDescent="0.35">
      <c r="A75" s="124"/>
      <c r="B75" s="316"/>
      <c r="C75" s="83"/>
      <c r="D75" s="83"/>
      <c r="E75" s="83"/>
      <c r="F75" s="83"/>
      <c r="G75" s="83"/>
      <c r="H75" s="83"/>
      <c r="I75" s="83"/>
      <c r="J75" s="83"/>
      <c r="K75" s="83"/>
      <c r="L75" s="83"/>
      <c r="M75" s="83"/>
      <c r="N75" s="125"/>
    </row>
    <row r="76" spans="1:17" x14ac:dyDescent="0.35">
      <c r="A76" s="124"/>
      <c r="B76" s="2445" t="s">
        <v>825</v>
      </c>
      <c r="C76" s="2297"/>
      <c r="D76" s="2250"/>
      <c r="E76" s="83"/>
      <c r="F76" s="83"/>
      <c r="G76" s="83"/>
      <c r="H76" s="83"/>
      <c r="I76" s="83"/>
      <c r="J76" s="83"/>
      <c r="K76" s="83"/>
      <c r="L76" s="83"/>
      <c r="M76" s="83"/>
      <c r="N76" s="125"/>
    </row>
    <row r="77" spans="1:17" x14ac:dyDescent="0.35">
      <c r="A77" s="124"/>
      <c r="B77" s="360" t="s">
        <v>458</v>
      </c>
      <c r="C77" s="62" t="s">
        <v>826</v>
      </c>
      <c r="D77" s="62">
        <v>0.3</v>
      </c>
      <c r="E77" s="83"/>
      <c r="F77" s="83"/>
      <c r="G77" s="83"/>
      <c r="H77" s="83"/>
      <c r="I77" s="83"/>
      <c r="J77" s="83"/>
      <c r="K77" s="83"/>
      <c r="L77" s="83"/>
      <c r="M77" s="83"/>
      <c r="N77" s="125"/>
    </row>
    <row r="78" spans="1:17" x14ac:dyDescent="0.35">
      <c r="A78" s="124"/>
      <c r="B78" s="360" t="s">
        <v>460</v>
      </c>
      <c r="C78" s="62" t="s">
        <v>827</v>
      </c>
      <c r="D78" s="62">
        <v>0.6</v>
      </c>
      <c r="E78" s="83"/>
      <c r="F78" s="83"/>
      <c r="G78" s="83"/>
      <c r="H78" s="83"/>
      <c r="I78" s="83"/>
      <c r="J78" s="83"/>
      <c r="K78" s="83"/>
      <c r="L78" s="83"/>
      <c r="M78" s="83"/>
      <c r="N78" s="125"/>
    </row>
    <row r="79" spans="1:17" x14ac:dyDescent="0.35">
      <c r="A79" s="124"/>
      <c r="B79" s="360" t="s">
        <v>462</v>
      </c>
      <c r="C79" s="62" t="s">
        <v>828</v>
      </c>
      <c r="D79" s="62">
        <v>0.1</v>
      </c>
      <c r="E79" s="83"/>
      <c r="F79" s="83"/>
      <c r="G79" s="83"/>
      <c r="H79" s="83"/>
      <c r="I79" s="83"/>
      <c r="J79" s="83"/>
      <c r="K79" s="83"/>
      <c r="L79" s="83"/>
      <c r="M79" s="83"/>
      <c r="N79" s="125"/>
    </row>
    <row r="80" spans="1:17" x14ac:dyDescent="0.35">
      <c r="A80" s="124"/>
      <c r="B80" s="83"/>
      <c r="C80" s="83"/>
      <c r="D80" s="83"/>
      <c r="E80" s="83"/>
      <c r="F80" s="83"/>
      <c r="G80" s="83"/>
      <c r="H80" s="83"/>
      <c r="I80" s="83"/>
      <c r="J80" s="83"/>
      <c r="K80" s="83"/>
      <c r="L80" s="83"/>
      <c r="M80" s="83"/>
      <c r="N80" s="125"/>
    </row>
    <row r="81" spans="1:14" x14ac:dyDescent="0.35">
      <c r="A81" s="124"/>
      <c r="B81" s="2339" t="s">
        <v>2507</v>
      </c>
      <c r="C81" s="2340"/>
      <c r="D81" s="83"/>
      <c r="E81" s="83"/>
      <c r="F81" s="83"/>
      <c r="G81" s="83"/>
      <c r="H81" s="83"/>
      <c r="I81" s="83"/>
      <c r="J81" s="83"/>
      <c r="K81" s="83"/>
      <c r="L81" s="83"/>
      <c r="M81" s="83"/>
      <c r="N81" s="125"/>
    </row>
    <row r="82" spans="1:14" x14ac:dyDescent="0.35">
      <c r="A82" s="124"/>
      <c r="B82" s="62" t="s">
        <v>2486</v>
      </c>
      <c r="C82" s="62">
        <v>0</v>
      </c>
      <c r="D82" s="83"/>
      <c r="E82" s="83"/>
      <c r="F82" s="83"/>
      <c r="G82" s="83"/>
      <c r="H82" s="83"/>
      <c r="I82" s="83"/>
      <c r="J82" s="83"/>
      <c r="K82" s="83"/>
      <c r="L82" s="83"/>
      <c r="M82" s="83"/>
      <c r="N82" s="125"/>
    </row>
    <row r="83" spans="1:14" x14ac:dyDescent="0.35">
      <c r="A83" s="124"/>
      <c r="B83" s="62" t="s">
        <v>2508</v>
      </c>
      <c r="C83" s="62">
        <v>0.25</v>
      </c>
      <c r="D83" s="83"/>
      <c r="E83" s="83"/>
      <c r="F83" s="83"/>
      <c r="G83" s="83"/>
      <c r="H83" s="83"/>
      <c r="I83" s="83"/>
      <c r="J83" s="83"/>
      <c r="K83" s="83"/>
      <c r="L83" s="83"/>
      <c r="M83" s="83"/>
      <c r="N83" s="125"/>
    </row>
    <row r="84" spans="1:14" x14ac:dyDescent="0.35">
      <c r="A84" s="124"/>
      <c r="B84" s="83"/>
      <c r="C84" s="83"/>
      <c r="D84" s="83"/>
      <c r="E84" s="83"/>
      <c r="F84" s="83"/>
      <c r="G84" s="83"/>
      <c r="H84" s="83"/>
      <c r="I84" s="83"/>
      <c r="J84" s="83"/>
      <c r="K84" s="83"/>
      <c r="L84" s="83"/>
      <c r="M84" s="83"/>
      <c r="N84" s="125"/>
    </row>
    <row r="85" spans="1:14" x14ac:dyDescent="0.35">
      <c r="A85" s="124"/>
      <c r="B85" s="363" t="s">
        <v>936</v>
      </c>
      <c r="C85" s="83"/>
      <c r="D85" s="83"/>
      <c r="E85" s="83"/>
      <c r="F85" s="83"/>
      <c r="G85" s="83"/>
      <c r="H85" s="83"/>
      <c r="I85" s="83"/>
      <c r="J85" s="83"/>
      <c r="K85" s="83"/>
      <c r="L85" s="83"/>
      <c r="M85" s="83"/>
      <c r="N85" s="125"/>
    </row>
    <row r="86" spans="1:14" x14ac:dyDescent="0.35">
      <c r="A86" s="124"/>
      <c r="B86" s="62" t="s">
        <v>397</v>
      </c>
      <c r="C86" s="83"/>
      <c r="D86" s="83"/>
      <c r="E86" s="83"/>
      <c r="F86" s="83"/>
      <c r="G86" s="83"/>
      <c r="H86" s="83"/>
      <c r="I86" s="83"/>
      <c r="J86" s="83"/>
      <c r="K86" s="83"/>
      <c r="L86" s="83"/>
      <c r="M86" s="83"/>
      <c r="N86" s="125"/>
    </row>
    <row r="87" spans="1:14" x14ac:dyDescent="0.35">
      <c r="A87" s="124"/>
      <c r="B87" s="62" t="s">
        <v>451</v>
      </c>
      <c r="C87" s="83"/>
      <c r="D87" s="83"/>
      <c r="E87" s="83"/>
      <c r="F87" s="83"/>
      <c r="G87" s="83"/>
      <c r="H87" s="83"/>
      <c r="I87" s="83"/>
      <c r="J87" s="83"/>
      <c r="K87" s="83"/>
      <c r="L87" s="83"/>
      <c r="M87" s="83"/>
      <c r="N87" s="125"/>
    </row>
    <row r="88" spans="1:14" x14ac:dyDescent="0.35">
      <c r="A88" s="124"/>
      <c r="B88" s="135"/>
      <c r="C88" s="83"/>
      <c r="D88" s="83"/>
      <c r="E88" s="83"/>
      <c r="F88" s="83"/>
      <c r="G88" s="83"/>
      <c r="H88" s="83"/>
      <c r="I88" s="83"/>
      <c r="J88" s="83"/>
      <c r="K88" s="83"/>
      <c r="L88" s="83"/>
      <c r="M88" s="83"/>
      <c r="N88" s="125"/>
    </row>
    <row r="89" spans="1:14" x14ac:dyDescent="0.35">
      <c r="A89" s="124"/>
      <c r="B89" s="363" t="s">
        <v>1025</v>
      </c>
      <c r="C89" s="83"/>
      <c r="D89" s="83"/>
      <c r="E89" s="83"/>
      <c r="F89" s="83"/>
      <c r="G89" s="83"/>
      <c r="H89" s="83"/>
      <c r="I89" s="83"/>
      <c r="J89" s="83"/>
      <c r="K89" s="83"/>
      <c r="L89" s="83"/>
      <c r="M89" s="83"/>
      <c r="N89" s="125"/>
    </row>
    <row r="90" spans="1:14" x14ac:dyDescent="0.35">
      <c r="A90" s="124"/>
      <c r="B90" s="62" t="s">
        <v>735</v>
      </c>
      <c r="C90" s="83"/>
      <c r="D90" s="83"/>
      <c r="E90" s="83"/>
      <c r="F90" s="83"/>
      <c r="G90" s="83"/>
      <c r="H90" s="83"/>
      <c r="I90" s="83"/>
      <c r="J90" s="83"/>
      <c r="K90" s="83"/>
      <c r="L90" s="83"/>
      <c r="M90" s="83"/>
      <c r="N90" s="125"/>
    </row>
    <row r="91" spans="1:14" x14ac:dyDescent="0.35">
      <c r="A91" s="124"/>
      <c r="B91" s="62" t="s">
        <v>466</v>
      </c>
      <c r="C91" s="83"/>
      <c r="D91" s="83"/>
      <c r="E91" s="83"/>
      <c r="F91" s="83"/>
      <c r="G91" s="83"/>
      <c r="H91" s="83"/>
      <c r="I91" s="83"/>
      <c r="J91" s="83"/>
      <c r="K91" s="83"/>
      <c r="L91" s="83"/>
      <c r="M91" s="83"/>
      <c r="N91" s="125"/>
    </row>
    <row r="92" spans="1:14" x14ac:dyDescent="0.35">
      <c r="A92" s="124"/>
      <c r="B92" s="83"/>
      <c r="C92" s="83"/>
      <c r="D92" s="83"/>
      <c r="E92" s="83"/>
      <c r="F92" s="83"/>
      <c r="G92" s="83"/>
      <c r="H92" s="83"/>
      <c r="I92" s="83"/>
      <c r="J92" s="83"/>
      <c r="K92" s="83"/>
      <c r="L92" s="83"/>
      <c r="M92" s="83"/>
      <c r="N92" s="125"/>
    </row>
    <row r="93" spans="1:14" x14ac:dyDescent="0.35">
      <c r="A93" s="124"/>
      <c r="B93" s="83"/>
      <c r="C93" s="83"/>
      <c r="D93" s="83"/>
      <c r="E93" s="83"/>
      <c r="F93" s="83"/>
      <c r="G93" s="83"/>
      <c r="H93" s="83"/>
      <c r="I93" s="83"/>
      <c r="J93" s="83"/>
      <c r="K93" s="83"/>
      <c r="L93" s="83"/>
      <c r="M93" s="83"/>
      <c r="N93" s="125"/>
    </row>
    <row r="94" spans="1:14" x14ac:dyDescent="0.35">
      <c r="A94" s="124"/>
      <c r="B94" s="83"/>
      <c r="C94" s="83"/>
      <c r="D94" s="83"/>
      <c r="E94" s="83"/>
      <c r="F94" s="83"/>
      <c r="G94" s="83"/>
      <c r="H94" s="83"/>
      <c r="I94" s="83"/>
      <c r="J94" s="83"/>
      <c r="K94" s="83"/>
      <c r="L94" s="83"/>
      <c r="M94" s="83"/>
      <c r="N94" s="125"/>
    </row>
    <row r="95" spans="1:14" x14ac:dyDescent="0.35">
      <c r="A95" s="2457" t="s">
        <v>1030</v>
      </c>
      <c r="B95" s="2441"/>
      <c r="C95" s="2340"/>
      <c r="D95" s="83"/>
      <c r="E95" s="83"/>
      <c r="F95" s="83"/>
      <c r="G95" s="83"/>
      <c r="H95" s="83"/>
      <c r="I95" s="83"/>
      <c r="J95" s="83"/>
      <c r="K95" s="83"/>
      <c r="L95" s="83"/>
      <c r="M95" s="83"/>
      <c r="N95" s="125"/>
    </row>
    <row r="96" spans="1:14" x14ac:dyDescent="0.35">
      <c r="A96" s="360" t="s">
        <v>940</v>
      </c>
      <c r="B96" s="62" t="s">
        <v>974</v>
      </c>
      <c r="C96" s="361">
        <v>0.68</v>
      </c>
      <c r="D96" s="83"/>
      <c r="E96" s="83"/>
      <c r="F96" s="83"/>
      <c r="G96" s="83"/>
      <c r="H96" s="83"/>
      <c r="I96" s="83"/>
      <c r="J96" s="83"/>
      <c r="K96" s="83"/>
      <c r="L96" s="83"/>
      <c r="M96" s="83"/>
      <c r="N96" s="125"/>
    </row>
    <row r="97" spans="1:14" x14ac:dyDescent="0.35">
      <c r="A97" s="360" t="s">
        <v>737</v>
      </c>
      <c r="B97" s="62" t="s">
        <v>974</v>
      </c>
      <c r="C97" s="361">
        <v>0.72</v>
      </c>
      <c r="D97" s="83"/>
      <c r="E97" s="83"/>
      <c r="F97" s="83"/>
      <c r="G97" s="83"/>
      <c r="H97" s="83"/>
      <c r="I97" s="83"/>
      <c r="J97" s="83"/>
      <c r="K97" s="83"/>
      <c r="L97" s="83"/>
      <c r="M97" s="83"/>
      <c r="N97" s="125"/>
    </row>
    <row r="98" spans="1:14" x14ac:dyDescent="0.35">
      <c r="A98" s="360"/>
      <c r="B98" s="62" t="s">
        <v>1032</v>
      </c>
      <c r="C98" s="361">
        <v>0.46600000000000003</v>
      </c>
      <c r="D98" s="83"/>
      <c r="E98" s="83"/>
      <c r="F98" s="83"/>
      <c r="G98" s="83"/>
      <c r="H98" s="83"/>
      <c r="I98" s="83"/>
      <c r="J98" s="83"/>
      <c r="K98" s="83"/>
      <c r="L98" s="83"/>
      <c r="M98" s="83"/>
      <c r="N98" s="125"/>
    </row>
    <row r="99" spans="1:14" x14ac:dyDescent="0.35">
      <c r="A99" s="124"/>
      <c r="B99" s="83"/>
      <c r="C99" s="83"/>
      <c r="D99" s="83"/>
      <c r="E99" s="83"/>
      <c r="F99" s="83"/>
      <c r="G99" s="83"/>
      <c r="H99" s="83"/>
      <c r="I99" s="83"/>
      <c r="J99" s="83"/>
      <c r="K99" s="83"/>
      <c r="L99" s="83"/>
      <c r="M99" s="83"/>
      <c r="N99" s="125"/>
    </row>
    <row r="100" spans="1:14" x14ac:dyDescent="0.35">
      <c r="A100" s="124"/>
      <c r="B100" s="83"/>
      <c r="C100" s="83"/>
      <c r="D100" s="83"/>
      <c r="E100" s="83"/>
      <c r="F100" s="83"/>
      <c r="G100" s="83"/>
      <c r="H100" s="83"/>
      <c r="I100" s="83"/>
      <c r="J100" s="83"/>
      <c r="K100" s="83"/>
      <c r="L100" s="83"/>
      <c r="M100" s="83"/>
      <c r="N100" s="125"/>
    </row>
    <row r="101" spans="1:14" x14ac:dyDescent="0.35">
      <c r="A101" s="124"/>
      <c r="B101" s="1318" t="s">
        <v>2509</v>
      </c>
      <c r="C101" s="83"/>
      <c r="D101" s="83"/>
      <c r="E101" s="83"/>
      <c r="F101" s="83"/>
      <c r="G101" s="83"/>
      <c r="H101" s="83"/>
      <c r="I101" s="83"/>
      <c r="J101" s="83"/>
      <c r="K101" s="83"/>
      <c r="L101" s="83"/>
      <c r="M101" s="83"/>
      <c r="N101" s="125"/>
    </row>
    <row r="102" spans="1:14" x14ac:dyDescent="0.35">
      <c r="A102" s="124"/>
      <c r="B102" s="62" t="b">
        <v>1</v>
      </c>
      <c r="C102" s="83"/>
      <c r="D102" s="83"/>
      <c r="E102" s="83"/>
      <c r="F102" s="83"/>
      <c r="G102" s="83"/>
      <c r="H102" s="83"/>
      <c r="I102" s="83"/>
      <c r="J102" s="83"/>
      <c r="K102" s="83"/>
      <c r="L102" s="83"/>
      <c r="M102" s="83"/>
      <c r="N102" s="125"/>
    </row>
    <row r="103" spans="1:14" x14ac:dyDescent="0.35">
      <c r="A103" s="124"/>
      <c r="B103" s="62" t="b">
        <v>0</v>
      </c>
      <c r="C103" s="83"/>
      <c r="D103" s="83"/>
      <c r="E103" s="83"/>
      <c r="F103" s="83"/>
      <c r="G103" s="83"/>
      <c r="H103" s="83"/>
      <c r="I103" s="83"/>
      <c r="J103" s="83"/>
      <c r="K103" s="83"/>
      <c r="L103" s="83"/>
      <c r="M103" s="83"/>
      <c r="N103" s="125"/>
    </row>
    <row r="104" spans="1:14" x14ac:dyDescent="0.35">
      <c r="A104" s="124"/>
      <c r="B104" s="83"/>
      <c r="C104" s="83"/>
      <c r="D104" s="83"/>
      <c r="E104" s="83"/>
      <c r="F104" s="83"/>
      <c r="G104" s="83"/>
      <c r="H104" s="83"/>
      <c r="I104" s="83"/>
      <c r="J104" s="83"/>
      <c r="K104" s="83"/>
      <c r="L104" s="83"/>
      <c r="M104" s="83"/>
      <c r="N104" s="125"/>
    </row>
    <row r="105" spans="1:14" x14ac:dyDescent="0.35">
      <c r="A105" s="124"/>
      <c r="B105" s="83"/>
      <c r="C105" s="83"/>
      <c r="D105" s="83"/>
      <c r="E105" s="83"/>
      <c r="F105" s="83"/>
      <c r="G105" s="83"/>
      <c r="H105" s="83"/>
      <c r="I105" s="83"/>
      <c r="J105" s="83"/>
      <c r="K105" s="83"/>
      <c r="L105" s="83"/>
      <c r="M105" s="83"/>
      <c r="N105" s="125"/>
    </row>
    <row r="106" spans="1:14" x14ac:dyDescent="0.35">
      <c r="A106" s="124"/>
      <c r="B106" s="83"/>
      <c r="C106" s="83"/>
      <c r="D106" s="83"/>
      <c r="E106" s="83"/>
      <c r="F106" s="83"/>
      <c r="G106" s="83"/>
      <c r="H106" s="83"/>
      <c r="I106" s="83"/>
      <c r="J106" s="83"/>
      <c r="K106" s="83"/>
      <c r="L106" s="83"/>
      <c r="M106" s="83"/>
      <c r="N106" s="125"/>
    </row>
    <row r="107" spans="1:14" x14ac:dyDescent="0.35">
      <c r="A107" s="124"/>
      <c r="B107" s="1318" t="s">
        <v>2510</v>
      </c>
      <c r="C107" s="1318"/>
      <c r="D107" s="83"/>
      <c r="E107" s="83"/>
      <c r="F107" s="83"/>
      <c r="G107" s="83"/>
      <c r="H107" s="83"/>
      <c r="I107" s="83"/>
      <c r="J107" s="83"/>
      <c r="K107" s="83"/>
      <c r="L107" s="83"/>
      <c r="M107" s="83"/>
      <c r="N107" s="125"/>
    </row>
    <row r="108" spans="1:14" x14ac:dyDescent="0.35">
      <c r="A108" s="124"/>
      <c r="B108" s="1319" t="s">
        <v>2511</v>
      </c>
      <c r="C108" s="363">
        <v>0</v>
      </c>
      <c r="D108" s="363">
        <v>1</v>
      </c>
      <c r="E108" s="363">
        <v>2</v>
      </c>
      <c r="F108" s="363">
        <v>3</v>
      </c>
      <c r="G108" s="363">
        <v>4</v>
      </c>
      <c r="H108" s="363">
        <v>5</v>
      </c>
      <c r="I108" s="363">
        <v>6</v>
      </c>
      <c r="J108" s="363">
        <v>7</v>
      </c>
      <c r="K108" s="363">
        <v>8</v>
      </c>
      <c r="L108" s="83"/>
      <c r="M108" s="83"/>
      <c r="N108" s="125"/>
    </row>
    <row r="109" spans="1:14" x14ac:dyDescent="0.35">
      <c r="A109" s="124"/>
      <c r="B109" s="134" t="s">
        <v>2512</v>
      </c>
      <c r="C109" s="134">
        <v>2.44</v>
      </c>
      <c r="D109" s="134">
        <v>4.5</v>
      </c>
      <c r="E109" s="134">
        <v>6.3</v>
      </c>
      <c r="F109" s="134">
        <v>8.4</v>
      </c>
      <c r="G109" s="134">
        <v>10.44</v>
      </c>
      <c r="H109" s="134">
        <v>12.66</v>
      </c>
      <c r="I109" s="134">
        <v>14.49</v>
      </c>
      <c r="J109" s="134">
        <v>17</v>
      </c>
      <c r="K109" s="134">
        <v>20</v>
      </c>
      <c r="L109" s="83"/>
      <c r="M109" s="83"/>
      <c r="N109" s="125"/>
    </row>
    <row r="110" spans="1:14" x14ac:dyDescent="0.35">
      <c r="A110" s="124"/>
      <c r="B110" s="134" t="s">
        <v>2513</v>
      </c>
      <c r="C110" s="134">
        <v>2.44</v>
      </c>
      <c r="D110" s="134">
        <v>3.47</v>
      </c>
      <c r="E110" s="134">
        <v>4.41</v>
      </c>
      <c r="F110" s="134">
        <v>5.41</v>
      </c>
      <c r="G110" s="134">
        <v>6.42</v>
      </c>
      <c r="H110" s="134">
        <v>7.46</v>
      </c>
      <c r="I110" s="134">
        <v>8.4600000000000009</v>
      </c>
      <c r="J110" s="134">
        <v>9.5299999999999994</v>
      </c>
      <c r="K110" s="134">
        <v>10.69</v>
      </c>
      <c r="L110" s="83"/>
      <c r="M110" s="83"/>
      <c r="N110" s="125"/>
    </row>
    <row r="111" spans="1:14" x14ac:dyDescent="0.35">
      <c r="A111" s="124"/>
      <c r="B111" s="134" t="s">
        <v>2514</v>
      </c>
      <c r="C111" s="134">
        <v>3.44</v>
      </c>
      <c r="D111" s="134">
        <v>4.47</v>
      </c>
      <c r="E111" s="134">
        <v>5.41</v>
      </c>
      <c r="F111" s="134">
        <v>6.41</v>
      </c>
      <c r="G111" s="134">
        <v>7.42</v>
      </c>
      <c r="H111" s="134">
        <v>8.4600000000000009</v>
      </c>
      <c r="I111" s="134">
        <v>9.4600000000000009</v>
      </c>
      <c r="J111" s="134">
        <v>10.53</v>
      </c>
      <c r="K111" s="134">
        <v>11.69</v>
      </c>
      <c r="L111" s="83"/>
      <c r="M111" s="83"/>
      <c r="N111" s="125"/>
    </row>
    <row r="112" spans="1:14" ht="15" thickBot="1" x14ac:dyDescent="0.4">
      <c r="A112" s="124"/>
      <c r="B112" s="83"/>
      <c r="C112" s="83"/>
      <c r="D112" s="83"/>
      <c r="E112" s="83"/>
      <c r="F112" s="83"/>
      <c r="G112" s="83"/>
      <c r="H112" s="83"/>
      <c r="I112" s="83"/>
      <c r="J112" s="83"/>
      <c r="K112" s="83"/>
      <c r="L112" s="83"/>
      <c r="M112" s="83"/>
      <c r="N112" s="125"/>
    </row>
    <row r="113" spans="1:14" ht="78.5" thickBot="1" x14ac:dyDescent="0.4">
      <c r="A113" s="124"/>
      <c r="B113" s="455" t="s">
        <v>693</v>
      </c>
      <c r="C113" s="456" t="s">
        <v>691</v>
      </c>
      <c r="D113" s="456" t="s">
        <v>801</v>
      </c>
      <c r="E113" s="456" t="s">
        <v>1022</v>
      </c>
      <c r="F113" s="83"/>
      <c r="G113" s="83"/>
      <c r="H113" s="83"/>
      <c r="I113" s="83"/>
      <c r="J113" s="83"/>
      <c r="K113" s="83"/>
      <c r="L113" s="83"/>
      <c r="M113" s="83"/>
      <c r="N113" s="125"/>
    </row>
    <row r="114" spans="1:14" ht="15" thickBot="1" x14ac:dyDescent="0.4">
      <c r="A114" s="124"/>
      <c r="B114" s="2450" t="s">
        <v>737</v>
      </c>
      <c r="C114" s="1320" t="s">
        <v>803</v>
      </c>
      <c r="D114" s="458">
        <v>6.8</v>
      </c>
      <c r="E114" s="458">
        <v>1.7</v>
      </c>
      <c r="F114" s="83"/>
      <c r="G114" s="83"/>
      <c r="H114" s="83"/>
      <c r="I114" s="83"/>
      <c r="J114" s="83"/>
      <c r="K114" s="83"/>
      <c r="L114" s="83"/>
      <c r="M114" s="83"/>
      <c r="N114" s="125"/>
    </row>
    <row r="115" spans="1:14" ht="15" thickBot="1" x14ac:dyDescent="0.4">
      <c r="A115" s="124"/>
      <c r="B115" s="2451"/>
      <c r="C115" s="1320" t="s">
        <v>2515</v>
      </c>
      <c r="D115" s="458">
        <v>7.7</v>
      </c>
      <c r="E115" s="458">
        <v>1.92</v>
      </c>
      <c r="F115" s="83"/>
      <c r="G115" s="83"/>
      <c r="H115" s="83"/>
      <c r="I115" s="83"/>
      <c r="J115" s="83"/>
      <c r="K115" s="83"/>
      <c r="L115" s="83"/>
      <c r="M115" s="83"/>
      <c r="N115" s="125"/>
    </row>
    <row r="116" spans="1:14" ht="15" thickBot="1" x14ac:dyDescent="0.4">
      <c r="A116" s="124"/>
      <c r="B116" s="2452"/>
      <c r="C116" s="1320" t="s">
        <v>863</v>
      </c>
      <c r="D116" s="458">
        <v>8.1999999999999993</v>
      </c>
      <c r="E116" s="458">
        <v>2.4</v>
      </c>
      <c r="F116" s="83"/>
      <c r="G116" s="83"/>
      <c r="H116" s="83"/>
      <c r="I116" s="83"/>
      <c r="J116" s="83"/>
      <c r="K116" s="83"/>
      <c r="L116" s="83"/>
      <c r="M116" s="83"/>
      <c r="N116" s="125"/>
    </row>
    <row r="117" spans="1:14" ht="15" thickBot="1" x14ac:dyDescent="0.4">
      <c r="A117" s="124"/>
      <c r="B117" s="460" t="s">
        <v>806</v>
      </c>
      <c r="C117" s="1320" t="s">
        <v>357</v>
      </c>
      <c r="D117" s="458" t="s">
        <v>357</v>
      </c>
      <c r="E117" s="458">
        <v>1</v>
      </c>
      <c r="F117" s="83"/>
      <c r="G117" s="83"/>
      <c r="H117" s="83"/>
      <c r="I117" s="83"/>
      <c r="J117" s="83"/>
      <c r="K117" s="83"/>
      <c r="L117" s="83"/>
      <c r="M117" s="83"/>
      <c r="N117" s="125"/>
    </row>
    <row r="118" spans="1:14" ht="15" thickBot="1" x14ac:dyDescent="0.4">
      <c r="A118" s="124"/>
      <c r="B118" s="83"/>
      <c r="C118" s="83"/>
      <c r="D118" s="83"/>
      <c r="E118" s="83"/>
      <c r="F118" s="83"/>
      <c r="G118" s="83"/>
      <c r="H118" s="83"/>
      <c r="I118" s="83"/>
      <c r="J118" s="83"/>
      <c r="K118" s="83"/>
      <c r="L118" s="83"/>
      <c r="M118" s="83"/>
      <c r="N118" s="125"/>
    </row>
    <row r="119" spans="1:14" ht="15" thickBot="1" x14ac:dyDescent="0.4">
      <c r="A119" s="124"/>
      <c r="B119" s="455"/>
      <c r="C119" s="243" t="s">
        <v>834</v>
      </c>
      <c r="D119" s="243" t="s">
        <v>942</v>
      </c>
      <c r="E119" s="83"/>
      <c r="F119" s="83"/>
      <c r="G119" s="83"/>
      <c r="H119" s="83"/>
      <c r="I119" s="83"/>
      <c r="J119" s="83"/>
      <c r="K119" s="83"/>
      <c r="L119" s="83"/>
      <c r="M119" s="83"/>
      <c r="N119" s="125"/>
    </row>
    <row r="120" spans="1:14" x14ac:dyDescent="0.35">
      <c r="A120" s="124"/>
      <c r="B120" s="2453" t="s">
        <v>500</v>
      </c>
      <c r="C120" s="405" t="s">
        <v>803</v>
      </c>
      <c r="D120" s="126">
        <v>10</v>
      </c>
      <c r="E120" s="83"/>
      <c r="F120" s="83"/>
      <c r="G120" s="83"/>
      <c r="H120" s="83"/>
      <c r="I120" s="83"/>
      <c r="J120" s="83"/>
      <c r="K120" s="83"/>
      <c r="L120" s="83"/>
      <c r="M120" s="83"/>
      <c r="N120" s="125"/>
    </row>
    <row r="121" spans="1:14" x14ac:dyDescent="0.35">
      <c r="A121" s="124"/>
      <c r="B121" s="2453"/>
      <c r="C121" s="405" t="s">
        <v>933</v>
      </c>
      <c r="D121" s="126">
        <v>13</v>
      </c>
      <c r="E121" s="83"/>
      <c r="F121" s="83"/>
      <c r="G121" s="83"/>
      <c r="H121" s="83"/>
      <c r="I121" s="83"/>
      <c r="J121" s="83"/>
      <c r="K121" s="83"/>
      <c r="L121" s="83"/>
      <c r="M121" s="83"/>
      <c r="N121" s="125"/>
    </row>
    <row r="122" spans="1:14" x14ac:dyDescent="0.35">
      <c r="A122" s="124"/>
      <c r="B122" s="2453"/>
      <c r="C122" s="405" t="s">
        <v>863</v>
      </c>
      <c r="D122" s="126">
        <v>13</v>
      </c>
      <c r="E122" s="83"/>
      <c r="F122" s="83"/>
      <c r="G122" s="83"/>
      <c r="H122" s="83"/>
      <c r="I122" s="83"/>
      <c r="J122" s="83"/>
      <c r="K122" s="83"/>
      <c r="L122" s="83"/>
      <c r="M122" s="83"/>
      <c r="N122" s="125"/>
    </row>
    <row r="123" spans="1:14" x14ac:dyDescent="0.35">
      <c r="A123" s="124"/>
      <c r="B123" s="2453" t="s">
        <v>737</v>
      </c>
      <c r="C123" s="405" t="s">
        <v>803</v>
      </c>
      <c r="D123" s="126">
        <v>10</v>
      </c>
      <c r="E123" s="83"/>
      <c r="F123" s="83"/>
      <c r="G123" s="83"/>
      <c r="H123" s="83"/>
      <c r="I123" s="83"/>
      <c r="J123" s="83"/>
      <c r="K123" s="83"/>
      <c r="L123" s="83"/>
      <c r="M123" s="83"/>
      <c r="N123" s="125"/>
    </row>
    <row r="124" spans="1:14" x14ac:dyDescent="0.35">
      <c r="A124" s="124"/>
      <c r="B124" s="2453"/>
      <c r="C124" s="405" t="s">
        <v>933</v>
      </c>
      <c r="D124" s="126">
        <v>13</v>
      </c>
      <c r="E124" s="83"/>
      <c r="F124" s="83"/>
      <c r="G124" s="83"/>
      <c r="H124" s="83"/>
      <c r="I124" s="83"/>
      <c r="J124" s="83"/>
      <c r="K124" s="83"/>
      <c r="L124" s="83"/>
      <c r="M124" s="83"/>
      <c r="N124" s="125"/>
    </row>
    <row r="125" spans="1:14" x14ac:dyDescent="0.35">
      <c r="A125" s="124"/>
      <c r="B125" s="2453"/>
      <c r="C125" s="405" t="s">
        <v>863</v>
      </c>
      <c r="D125" s="126">
        <v>14</v>
      </c>
      <c r="E125" s="83"/>
      <c r="F125" s="83"/>
      <c r="G125" s="83"/>
      <c r="H125" s="83"/>
      <c r="I125" s="83"/>
      <c r="J125" s="83"/>
      <c r="K125" s="83"/>
      <c r="L125" s="83"/>
      <c r="M125" s="83"/>
      <c r="N125" s="125"/>
    </row>
    <row r="126" spans="1:14" x14ac:dyDescent="0.35">
      <c r="A126" s="124"/>
      <c r="B126" s="83"/>
      <c r="C126" s="83"/>
      <c r="D126" s="83"/>
      <c r="E126" s="83"/>
      <c r="F126" s="83"/>
      <c r="G126" s="83"/>
      <c r="H126" s="83"/>
      <c r="I126" s="83"/>
      <c r="J126" s="83"/>
      <c r="K126" s="83"/>
      <c r="L126" s="83"/>
      <c r="M126" s="83"/>
      <c r="N126" s="125"/>
    </row>
    <row r="127" spans="1:14" x14ac:dyDescent="0.35">
      <c r="A127" s="124"/>
      <c r="B127" s="363" t="s">
        <v>820</v>
      </c>
      <c r="C127" s="83"/>
      <c r="D127" s="83"/>
      <c r="E127" s="83"/>
      <c r="F127" s="83"/>
      <c r="G127" s="83"/>
      <c r="H127" s="83"/>
      <c r="I127" s="83"/>
      <c r="J127" s="83"/>
      <c r="K127" s="83"/>
      <c r="L127" s="83"/>
      <c r="M127" s="83"/>
      <c r="N127" s="125"/>
    </row>
    <row r="128" spans="1:14" x14ac:dyDescent="0.35">
      <c r="A128" s="124"/>
      <c r="B128" s="1321" t="s">
        <v>733</v>
      </c>
      <c r="C128" s="83"/>
      <c r="D128" s="83"/>
      <c r="E128" s="83"/>
      <c r="F128" s="83"/>
      <c r="G128" s="83"/>
      <c r="H128" s="83"/>
      <c r="I128" s="83"/>
      <c r="J128" s="83"/>
      <c r="K128" s="83"/>
      <c r="L128" s="83"/>
      <c r="M128" s="83"/>
      <c r="N128" s="125"/>
    </row>
    <row r="129" spans="1:14" x14ac:dyDescent="0.35">
      <c r="A129" s="124"/>
      <c r="B129" s="1321" t="s">
        <v>821</v>
      </c>
      <c r="C129" s="83"/>
      <c r="D129" s="83"/>
      <c r="E129" s="83"/>
      <c r="F129" s="83"/>
      <c r="G129" s="83"/>
      <c r="H129" s="83"/>
      <c r="I129" s="83"/>
      <c r="J129" s="83"/>
      <c r="K129" s="83"/>
      <c r="L129" s="83"/>
      <c r="M129" s="83"/>
      <c r="N129" s="125"/>
    </row>
    <row r="130" spans="1:14" x14ac:dyDescent="0.35">
      <c r="A130" s="124"/>
      <c r="B130" s="1321" t="s">
        <v>864</v>
      </c>
      <c r="C130" s="83"/>
      <c r="D130" s="83"/>
      <c r="E130" s="83"/>
      <c r="F130" s="83"/>
      <c r="G130" s="83"/>
      <c r="H130" s="83"/>
      <c r="I130" s="83"/>
      <c r="J130" s="83"/>
      <c r="K130" s="83"/>
      <c r="L130" s="83"/>
      <c r="M130" s="83"/>
      <c r="N130" s="125"/>
    </row>
    <row r="131" spans="1:14" x14ac:dyDescent="0.35">
      <c r="A131" s="124"/>
      <c r="B131" s="83"/>
      <c r="C131" s="83"/>
      <c r="D131" s="83"/>
      <c r="E131" s="83"/>
      <c r="F131" s="83"/>
      <c r="G131" s="83"/>
      <c r="H131" s="83"/>
      <c r="I131" s="83"/>
      <c r="J131" s="83"/>
      <c r="K131" s="83"/>
      <c r="L131" s="83"/>
      <c r="M131" s="83"/>
      <c r="N131" s="125"/>
    </row>
    <row r="132" spans="1:14" x14ac:dyDescent="0.35">
      <c r="A132" s="124"/>
      <c r="B132" s="83"/>
      <c r="C132" s="83"/>
      <c r="D132" s="83"/>
      <c r="E132" s="83"/>
      <c r="F132" s="83"/>
      <c r="G132" s="83"/>
      <c r="H132" s="83"/>
      <c r="I132" s="83"/>
      <c r="J132" s="83"/>
      <c r="K132" s="83"/>
      <c r="L132" s="83"/>
      <c r="M132" s="83"/>
      <c r="N132" s="125"/>
    </row>
    <row r="133" spans="1:14" x14ac:dyDescent="0.35">
      <c r="A133" s="124"/>
      <c r="B133" s="83"/>
      <c r="C133" s="83"/>
      <c r="D133" s="83"/>
      <c r="E133" s="83"/>
      <c r="F133" s="83"/>
      <c r="G133" s="83"/>
      <c r="H133" s="83"/>
      <c r="I133" s="83"/>
      <c r="J133" s="83"/>
      <c r="K133" s="83"/>
      <c r="L133" s="83"/>
      <c r="M133" s="83"/>
      <c r="N133" s="125"/>
    </row>
    <row r="134" spans="1:14" x14ac:dyDescent="0.35">
      <c r="A134" s="124"/>
      <c r="B134" s="83"/>
      <c r="C134" s="83"/>
      <c r="D134" s="83"/>
      <c r="E134" s="83"/>
      <c r="F134" s="83"/>
      <c r="G134" s="83"/>
      <c r="H134" s="83"/>
      <c r="I134" s="83"/>
      <c r="J134" s="83"/>
      <c r="K134" s="83"/>
      <c r="L134" s="83"/>
      <c r="M134" s="83"/>
      <c r="N134" s="125"/>
    </row>
    <row r="135" spans="1:14" x14ac:dyDescent="0.35">
      <c r="A135" s="124"/>
      <c r="B135" s="83"/>
      <c r="C135" s="83"/>
      <c r="D135" s="83"/>
      <c r="E135" s="83"/>
      <c r="F135" s="83"/>
      <c r="G135" s="83"/>
      <c r="H135" s="83"/>
      <c r="I135" s="83"/>
      <c r="J135" s="83"/>
      <c r="K135" s="83"/>
      <c r="L135" s="83"/>
      <c r="M135" s="83"/>
      <c r="N135" s="125"/>
    </row>
    <row r="136" spans="1:14" x14ac:dyDescent="0.35">
      <c r="A136" s="124"/>
      <c r="B136" s="83"/>
      <c r="C136" s="83"/>
      <c r="D136" s="83"/>
      <c r="E136" s="83"/>
      <c r="F136" s="83"/>
      <c r="G136" s="83"/>
      <c r="H136" s="83"/>
      <c r="I136" s="83"/>
      <c r="J136" s="83"/>
      <c r="K136" s="83"/>
      <c r="L136" s="83"/>
      <c r="M136" s="83"/>
      <c r="N136" s="125"/>
    </row>
    <row r="137" spans="1:14" x14ac:dyDescent="0.35">
      <c r="A137" s="124"/>
      <c r="B137" s="83"/>
      <c r="C137" s="83"/>
      <c r="D137" s="83"/>
      <c r="E137" s="83"/>
      <c r="F137" s="83"/>
      <c r="G137" s="83"/>
      <c r="H137" s="83"/>
      <c r="I137" s="83"/>
      <c r="J137" s="83"/>
      <c r="K137" s="83"/>
      <c r="L137" s="83"/>
      <c r="M137" s="83"/>
      <c r="N137" s="125"/>
    </row>
    <row r="138" spans="1:14" x14ac:dyDescent="0.35">
      <c r="A138" s="124"/>
      <c r="B138" s="83"/>
      <c r="C138" s="83"/>
      <c r="D138" s="83"/>
      <c r="E138" s="83"/>
      <c r="F138" s="83"/>
      <c r="G138" s="83"/>
      <c r="H138" s="83"/>
      <c r="I138" s="83"/>
      <c r="J138" s="83"/>
      <c r="K138" s="83"/>
      <c r="L138" s="83"/>
      <c r="M138" s="83"/>
      <c r="N138" s="125"/>
    </row>
    <row r="139" spans="1:14" x14ac:dyDescent="0.35">
      <c r="A139" s="124"/>
      <c r="B139" s="83"/>
      <c r="C139" s="83"/>
      <c r="D139" s="83"/>
      <c r="E139" s="83"/>
      <c r="F139" s="83"/>
      <c r="G139" s="83"/>
      <c r="H139" s="83"/>
      <c r="I139" s="83"/>
      <c r="J139" s="83"/>
      <c r="K139" s="83"/>
      <c r="L139" s="83"/>
      <c r="M139" s="83"/>
      <c r="N139" s="125"/>
    </row>
    <row r="140" spans="1:14" x14ac:dyDescent="0.35">
      <c r="A140" s="124"/>
      <c r="B140" s="83"/>
      <c r="C140" s="83"/>
      <c r="D140" s="83"/>
      <c r="E140" s="83"/>
      <c r="F140" s="83"/>
      <c r="G140" s="83"/>
      <c r="H140" s="83"/>
      <c r="I140" s="83"/>
      <c r="J140" s="83"/>
      <c r="K140" s="83"/>
      <c r="L140" s="83"/>
      <c r="M140" s="83"/>
      <c r="N140" s="125"/>
    </row>
    <row r="141" spans="1:14" x14ac:dyDescent="0.35">
      <c r="A141" s="124"/>
      <c r="B141" s="83"/>
      <c r="C141" s="83"/>
      <c r="D141" s="83"/>
      <c r="E141" s="83"/>
      <c r="F141" s="83"/>
      <c r="G141" s="83"/>
      <c r="H141" s="83"/>
      <c r="I141" s="83"/>
      <c r="J141" s="83"/>
      <c r="K141" s="83"/>
      <c r="L141" s="83"/>
      <c r="M141" s="83"/>
      <c r="N141" s="125"/>
    </row>
    <row r="142" spans="1:14" x14ac:dyDescent="0.35">
      <c r="A142" s="124"/>
      <c r="B142" s="83"/>
      <c r="C142" s="83"/>
      <c r="D142" s="83"/>
      <c r="E142" s="83"/>
      <c r="F142" s="83"/>
      <c r="G142" s="83"/>
      <c r="H142" s="83"/>
      <c r="I142" s="83"/>
      <c r="J142" s="83"/>
      <c r="K142" s="83"/>
      <c r="L142" s="83"/>
      <c r="M142" s="83"/>
      <c r="N142" s="125"/>
    </row>
    <row r="143" spans="1:14" ht="15" thickBot="1" x14ac:dyDescent="0.4">
      <c r="A143" s="321"/>
      <c r="B143" s="201"/>
      <c r="C143" s="201"/>
      <c r="D143" s="201"/>
      <c r="E143" s="201"/>
      <c r="F143" s="201"/>
      <c r="G143" s="201"/>
      <c r="H143" s="201"/>
      <c r="I143" s="201"/>
      <c r="J143" s="201"/>
      <c r="K143" s="201"/>
      <c r="L143" s="201"/>
      <c r="M143" s="201"/>
      <c r="N143" s="203"/>
    </row>
  </sheetData>
  <customSheetViews>
    <customSheetView guid="{11DE45F5-F478-4ED6-8DFF-12002C22A637}" scale="60" showPageBreaks="1" fitToPage="1" view="pageBreakPreview">
      <selection activeCell="V48" sqref="V48"/>
      <pageMargins left="0.7" right="0.7" top="0.75" bottom="0.75" header="0.3" footer="0.3"/>
      <pageSetup scale="20" fitToHeight="0" orientation="landscape" horizontalDpi="300" verticalDpi="300" r:id="rId1"/>
    </customSheetView>
    <customSheetView guid="{ECD6FE6A-9548-414E-B8AA-6998703C57E0}" scale="60" showPageBreaks="1" fitToPage="1" view="pageBreakPreview">
      <selection activeCell="V48" sqref="V48"/>
      <pageMargins left="0.7" right="0.7" top="0.75" bottom="0.75" header="0.3" footer="0.3"/>
      <pageSetup scale="20" fitToHeight="0" orientation="landscape" horizontalDpi="300" verticalDpi="300" r:id="rId2"/>
    </customSheetView>
  </customSheetViews>
  <mergeCells count="14">
    <mergeCell ref="B114:B116"/>
    <mergeCell ref="B120:B122"/>
    <mergeCell ref="B123:B125"/>
    <mergeCell ref="C20:K20"/>
    <mergeCell ref="B65:B66"/>
    <mergeCell ref="C65:C66"/>
    <mergeCell ref="B76:D76"/>
    <mergeCell ref="B81:C81"/>
    <mergeCell ref="A95:C95"/>
    <mergeCell ref="Y1:AA1"/>
    <mergeCell ref="AB1:AD1"/>
    <mergeCell ref="AE1:AW1"/>
    <mergeCell ref="A9:M9"/>
    <mergeCell ref="A11:M12"/>
  </mergeCells>
  <dataValidations count="13">
    <dataValidation type="list" allowBlank="1" showInputMessage="1" showErrorMessage="1" sqref="V3" xr:uid="{00000000-0002-0000-2E00-000000000000}">
      <formula1>#REF!</formula1>
    </dataValidation>
    <dataValidation type="list" allowBlank="1" showInputMessage="1" showErrorMessage="1" sqref="P3" xr:uid="{00000000-0002-0000-2E00-000001000000}">
      <formula1>$C$120:$C$122</formula1>
    </dataValidation>
    <dataValidation type="list" allowBlank="1" showInputMessage="1" showErrorMessage="1" sqref="Q3" xr:uid="{00000000-0002-0000-2E00-000002000000}">
      <formula1>IF(R3=F85,$C$117,IF(R3=F86,$C$114:$C$116,FALSE))</formula1>
    </dataValidation>
    <dataValidation type="list" allowBlank="1" showInputMessage="1" showErrorMessage="1" sqref="S3" xr:uid="{00000000-0002-0000-2E00-000003000000}">
      <formula1>$D$85:$D$86</formula1>
    </dataValidation>
    <dataValidation type="list" allowBlank="1" showInputMessage="1" showErrorMessage="1" sqref="R3" xr:uid="{00000000-0002-0000-2E00-000004000000}">
      <formula1>$F$85:$F$86</formula1>
    </dataValidation>
    <dataValidation type="list" allowBlank="1" showInputMessage="1" showErrorMessage="1" sqref="D3" xr:uid="{00000000-0002-0000-2E00-000005000000}">
      <formula1>MeasureType</formula1>
    </dataValidation>
    <dataValidation type="list" allowBlank="1" showInputMessage="1" showErrorMessage="1" sqref="O3" xr:uid="{00000000-0002-0000-2E00-000006000000}">
      <formula1>ArSl4</formula1>
    </dataValidation>
    <dataValidation type="list" allowBlank="1" showInputMessage="1" showErrorMessage="1" sqref="N3" xr:uid="{00000000-0002-0000-2E00-000007000000}">
      <formula1>Fuel1</formula1>
    </dataValidation>
    <dataValidation type="list" allowBlank="1" showInputMessage="1" showErrorMessage="1" sqref="L3" xr:uid="{00000000-0002-0000-2E00-000008000000}">
      <formula1>TrFl</formula1>
    </dataValidation>
    <dataValidation type="list" allowBlank="1" showInputMessage="1" showErrorMessage="1" sqref="T3" xr:uid="{00000000-0002-0000-2E00-000009000000}">
      <formula1>Unit1</formula1>
    </dataValidation>
    <dataValidation type="list" allowBlank="1" showInputMessage="1" showErrorMessage="1" sqref="M3" xr:uid="{00000000-0002-0000-2E00-00000A000000}">
      <formula1>$B$67:$B$73</formula1>
    </dataValidation>
    <dataValidation type="list" allowBlank="1" showInputMessage="1" showErrorMessage="1" sqref="G3" xr:uid="{00000000-0002-0000-2E00-00000B000000}">
      <formula1>BSIn1</formula1>
    </dataValidation>
    <dataValidation type="list" allowBlank="1" showInputMessage="1" showErrorMessage="1" sqref="X3" xr:uid="{00000000-0002-0000-2E00-00000C000000}">
      <formula1>ArSl1</formula1>
    </dataValidation>
  </dataValidations>
  <pageMargins left="0.7" right="0.7" top="0.75" bottom="0.75" header="0.3" footer="0.3"/>
  <pageSetup scale="20" fitToHeight="0" orientation="landscape" horizontalDpi="300" verticalDpi="300" r:id="rId3"/>
  <legacyDrawing r:id="rId4"/>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59999389629810485"/>
    <pageSetUpPr fitToPage="1"/>
  </sheetPr>
  <dimension ref="A1:AP77"/>
  <sheetViews>
    <sheetView view="pageBreakPreview" zoomScale="60" zoomScaleNormal="90" workbookViewId="0"/>
  </sheetViews>
  <sheetFormatPr defaultRowHeight="14.5" x14ac:dyDescent="0.35"/>
  <cols>
    <col min="1" max="1" width="21.26953125" customWidth="1"/>
    <col min="2" max="2" width="42.1796875" bestFit="1" customWidth="1"/>
    <col min="3" max="3" width="12.54296875" customWidth="1"/>
    <col min="4" max="4" width="20" bestFit="1" customWidth="1"/>
    <col min="5" max="5" width="11.453125" customWidth="1"/>
    <col min="6" max="6" width="11" customWidth="1"/>
    <col min="7" max="7" width="12" customWidth="1"/>
    <col min="8" max="8" width="10" customWidth="1"/>
    <col min="9" max="9" width="11.453125" customWidth="1"/>
    <col min="10" max="10" width="13" customWidth="1"/>
    <col min="11" max="12" width="11.453125" customWidth="1"/>
    <col min="13" max="13" width="10.54296875" customWidth="1"/>
    <col min="15" max="15" width="9.453125" customWidth="1"/>
    <col min="16" max="16" width="10.81640625" customWidth="1"/>
    <col min="17" max="17" width="15.26953125" bestFit="1" customWidth="1"/>
    <col min="18" max="18" width="9.7265625" customWidth="1"/>
    <col min="20" max="20" width="10" bestFit="1" customWidth="1"/>
    <col min="22" max="22" width="10.453125" customWidth="1"/>
    <col min="23" max="23" width="9.7265625" bestFit="1" customWidth="1"/>
    <col min="24" max="24" width="13.26953125" customWidth="1"/>
  </cols>
  <sheetData>
    <row r="1" spans="1:42" ht="32.25" customHeight="1" x14ac:dyDescent="0.35">
      <c r="A1" s="1145" t="s">
        <v>3301</v>
      </c>
      <c r="B1" s="1172" t="s">
        <v>3042</v>
      </c>
      <c r="C1" s="1176"/>
      <c r="D1" s="1176"/>
      <c r="E1" s="1177"/>
      <c r="F1" s="1177"/>
      <c r="G1" s="1177"/>
      <c r="H1" s="1177"/>
      <c r="I1" s="1177"/>
      <c r="J1" s="1177"/>
      <c r="K1" s="1177"/>
      <c r="L1" s="1177"/>
      <c r="M1" s="1177"/>
      <c r="N1" s="1177"/>
      <c r="O1" s="1177"/>
      <c r="P1" s="1177"/>
      <c r="Q1" s="1177"/>
      <c r="R1" s="2219" t="s">
        <v>335</v>
      </c>
      <c r="S1" s="2220"/>
      <c r="T1" s="2274"/>
      <c r="U1" s="2219" t="s">
        <v>336</v>
      </c>
      <c r="V1" s="2220"/>
      <c r="W1" s="2274"/>
      <c r="X1" s="2295" t="s">
        <v>337</v>
      </c>
      <c r="Y1" s="2296"/>
      <c r="Z1" s="2296"/>
      <c r="AA1" s="2296"/>
      <c r="AB1" s="2296"/>
      <c r="AC1" s="2296"/>
      <c r="AD1" s="2296"/>
      <c r="AE1" s="2296"/>
      <c r="AF1" s="2296"/>
      <c r="AG1" s="2296"/>
      <c r="AH1" s="2296"/>
      <c r="AI1" s="2296"/>
      <c r="AJ1" s="2296"/>
      <c r="AK1" s="2296"/>
      <c r="AL1" s="2296"/>
      <c r="AM1" s="2296"/>
    </row>
    <row r="2" spans="1:42" ht="58" x14ac:dyDescent="0.35">
      <c r="A2" s="1721" t="s">
        <v>338</v>
      </c>
      <c r="B2" s="1220" t="s">
        <v>1</v>
      </c>
      <c r="C2" s="1220" t="s">
        <v>339</v>
      </c>
      <c r="D2" s="1220" t="s">
        <v>688</v>
      </c>
      <c r="E2" s="1125" t="s">
        <v>342</v>
      </c>
      <c r="F2" s="1125" t="s">
        <v>343</v>
      </c>
      <c r="G2" s="1125" t="s">
        <v>344</v>
      </c>
      <c r="H2" s="1125" t="s">
        <v>345</v>
      </c>
      <c r="I2" s="1125" t="s">
        <v>2438</v>
      </c>
      <c r="J2" s="1125" t="s">
        <v>3302</v>
      </c>
      <c r="K2" s="1176" t="s">
        <v>3303</v>
      </c>
      <c r="L2" s="1176" t="s">
        <v>370</v>
      </c>
      <c r="M2" s="1176" t="s">
        <v>497</v>
      </c>
      <c r="N2" s="1176" t="s">
        <v>3304</v>
      </c>
      <c r="O2" s="1176" t="s">
        <v>369</v>
      </c>
      <c r="P2" s="1176" t="s">
        <v>836</v>
      </c>
      <c r="Q2" s="1176" t="s">
        <v>835</v>
      </c>
      <c r="R2" s="1697" t="s">
        <v>347</v>
      </c>
      <c r="S2" s="1697" t="s">
        <v>348</v>
      </c>
      <c r="T2" s="1697" t="s">
        <v>349</v>
      </c>
      <c r="U2" s="1697" t="s">
        <v>347</v>
      </c>
      <c r="V2" s="1697" t="s">
        <v>348</v>
      </c>
      <c r="W2" s="1697" t="s">
        <v>349</v>
      </c>
      <c r="X2" s="1822" t="s">
        <v>960</v>
      </c>
      <c r="Y2" s="1822" t="s">
        <v>2475</v>
      </c>
      <c r="Z2" s="1822" t="s">
        <v>3305</v>
      </c>
      <c r="AA2" s="1822" t="s">
        <v>3306</v>
      </c>
      <c r="AB2" s="1822" t="s">
        <v>964</v>
      </c>
      <c r="AC2" s="1822" t="s">
        <v>2478</v>
      </c>
      <c r="AD2" s="1822" t="s">
        <v>3307</v>
      </c>
      <c r="AE2" s="1822" t="s">
        <v>1004</v>
      </c>
      <c r="AF2" s="1822" t="s">
        <v>845</v>
      </c>
      <c r="AG2" s="1822" t="s">
        <v>846</v>
      </c>
      <c r="AH2" s="1822" t="s">
        <v>713</v>
      </c>
      <c r="AI2" s="1822" t="s">
        <v>849</v>
      </c>
      <c r="AJ2" s="1822" t="s">
        <v>850</v>
      </c>
      <c r="AK2" s="1822" t="s">
        <v>851</v>
      </c>
      <c r="AL2" s="1822" t="s">
        <v>615</v>
      </c>
      <c r="AM2" s="1822" t="s">
        <v>850</v>
      </c>
      <c r="AO2" s="1373"/>
      <c r="AP2" s="1373"/>
    </row>
    <row r="3" spans="1:42" ht="58" x14ac:dyDescent="0.35">
      <c r="A3" s="1242" t="s">
        <v>3309</v>
      </c>
      <c r="B3" s="1242" t="str">
        <f>$B$1&amp;" - "&amp;I3&amp;", "&amp;", R-value = "&amp;J3&amp;", Area = "&amp;K3&amp;" ft"</f>
        <v>Floor Insulation Above Crawlspace - Single family, , R-value = 30, Area = 500 ft</v>
      </c>
      <c r="C3" s="1242" t="s">
        <v>3042</v>
      </c>
      <c r="D3" s="1242" t="s">
        <v>862</v>
      </c>
      <c r="E3" s="1791" t="s">
        <v>495</v>
      </c>
      <c r="F3" s="1821">
        <f>+$B$46</f>
        <v>25</v>
      </c>
      <c r="G3" s="1186"/>
      <c r="H3" s="1792" t="s">
        <v>733</v>
      </c>
      <c r="I3" s="1693" t="s">
        <v>735</v>
      </c>
      <c r="J3" s="1756">
        <v>30</v>
      </c>
      <c r="K3" s="1756">
        <v>500</v>
      </c>
      <c r="L3" s="1793" t="s">
        <v>459</v>
      </c>
      <c r="M3" s="1793" t="s">
        <v>1031</v>
      </c>
      <c r="N3" s="1693" t="s">
        <v>863</v>
      </c>
      <c r="O3" s="1442" t="s">
        <v>3308</v>
      </c>
      <c r="P3" s="1693" t="s">
        <v>737</v>
      </c>
      <c r="Q3" s="1693" t="s">
        <v>803</v>
      </c>
      <c r="R3" s="1794"/>
      <c r="S3" s="1795"/>
      <c r="T3" s="1796">
        <f>IF(O3=$D$67,(((1/AB3-1/(AC3+AB3))*AD3*(1-AE3))*24*AI3)/(100000*AM3)*AA3,0)</f>
        <v>60.443659206910091</v>
      </c>
      <c r="U3" s="1797"/>
      <c r="V3" s="1795"/>
      <c r="W3" s="1796">
        <f>T3*F3</f>
        <v>1511.0914801727522</v>
      </c>
      <c r="X3" s="1798">
        <f>(((1/AB3-1/(AC3+AB3))*AD3*(1-AE3))*24*AF3*AG3)/(1000*AH3)</f>
        <v>38.18972546887742</v>
      </c>
      <c r="Y3" s="1798">
        <f>IF(O3=$D$67,T3*0.0314*29.3,(((1/AB3-1/(AB3+AC3))*AD3*(1-AE3))*24*AI3)/(3412*AJ3))*Z3</f>
        <v>44.487500274833138</v>
      </c>
      <c r="Z3" s="1798">
        <f>+$B$19</f>
        <v>0.8</v>
      </c>
      <c r="AA3" s="1798">
        <f>+$B$38</f>
        <v>0.6</v>
      </c>
      <c r="AB3" s="1137">
        <f>+$B$21</f>
        <v>3.96</v>
      </c>
      <c r="AC3" s="1137">
        <f>J3</f>
        <v>30</v>
      </c>
      <c r="AD3" s="1137">
        <f>K3</f>
        <v>500</v>
      </c>
      <c r="AE3" s="1799">
        <f>+$B$26</f>
        <v>0.12</v>
      </c>
      <c r="AF3" s="1137">
        <f>VLOOKUP(L3,$B$54:$C$59,2,FALSE)</f>
        <v>281</v>
      </c>
      <c r="AG3" s="1137">
        <f>+$B$30</f>
        <v>0.75</v>
      </c>
      <c r="AH3" s="1137">
        <f>IF(OR(M3=$B$66,M3=$B$68),VLOOKUP(N3,$I$54:$J$56,2,FALSE),IF(M3=$B$67,VLOOKUP(N3,$I$57:$J$59,2,FALSE)))</f>
        <v>13</v>
      </c>
      <c r="AI3" s="1800">
        <f>VLOOKUP(L3,$B$54:$D$59,3,FALSE)</f>
        <v>3079</v>
      </c>
      <c r="AJ3" s="1137">
        <f>IF(P3=$L$57,1,VLOOKUP(Q3,$M$54:$O$56,3,FALSE))</f>
        <v>1.7</v>
      </c>
      <c r="AK3" s="1137">
        <f>VLOOKUP(L3,$B$54:$F$59,IF(I3=$E$53,4,5),FALSE)</f>
        <v>570</v>
      </c>
      <c r="AL3" s="1696">
        <f>VLOOKUP(M3,$Q$54:$R$56,2,FALSE)</f>
        <v>0.46600000000000003</v>
      </c>
      <c r="AM3" s="1696">
        <f>+$B$44</f>
        <v>0.72</v>
      </c>
      <c r="AO3" s="24"/>
      <c r="AP3" s="24"/>
    </row>
    <row r="4" spans="1:42" ht="15" thickBot="1" x14ac:dyDescent="0.4"/>
    <row r="5" spans="1:42" ht="15" thickBot="1" x14ac:dyDescent="0.4">
      <c r="A5" s="76" t="s">
        <v>408</v>
      </c>
      <c r="B5" s="78"/>
      <c r="C5" s="78"/>
      <c r="D5" s="78"/>
      <c r="E5" s="78"/>
      <c r="F5" s="78"/>
      <c r="G5" s="78"/>
      <c r="H5" s="78"/>
      <c r="I5" s="78"/>
      <c r="J5" s="79"/>
    </row>
    <row r="6" spans="1:42" x14ac:dyDescent="0.35">
      <c r="A6" s="81" t="s">
        <v>987</v>
      </c>
      <c r="B6" s="82"/>
      <c r="C6" s="83"/>
      <c r="D6" s="83"/>
      <c r="E6" s="83"/>
      <c r="F6" s="83"/>
      <c r="G6" s="83"/>
      <c r="H6" s="83"/>
      <c r="I6" s="83"/>
      <c r="J6" s="84"/>
    </row>
    <row r="7" spans="1:42" x14ac:dyDescent="0.35">
      <c r="A7" s="81" t="s">
        <v>3310</v>
      </c>
      <c r="B7" s="83"/>
      <c r="C7" s="83"/>
      <c r="D7" s="83"/>
      <c r="E7" s="83"/>
      <c r="F7" s="83"/>
      <c r="G7" s="83"/>
      <c r="H7" s="83"/>
      <c r="I7" s="83"/>
      <c r="J7" s="84"/>
      <c r="Q7" s="1785"/>
    </row>
    <row r="8" spans="1:42" x14ac:dyDescent="0.35">
      <c r="A8" s="81" t="s">
        <v>3311</v>
      </c>
      <c r="B8" s="83"/>
      <c r="C8" s="83"/>
      <c r="D8" s="83"/>
      <c r="E8" s="83"/>
      <c r="F8" s="83"/>
      <c r="G8" s="83"/>
      <c r="H8" s="83"/>
      <c r="I8" s="83"/>
      <c r="J8" s="84"/>
      <c r="Q8" s="1785"/>
    </row>
    <row r="9" spans="1:42" x14ac:dyDescent="0.35">
      <c r="A9" s="81" t="s">
        <v>873</v>
      </c>
      <c r="B9" s="82"/>
      <c r="C9" s="83"/>
      <c r="D9" s="83"/>
      <c r="E9" s="83"/>
      <c r="F9" s="83"/>
      <c r="G9" s="83"/>
      <c r="H9" s="83"/>
      <c r="I9" s="83"/>
      <c r="J9" s="84"/>
    </row>
    <row r="10" spans="1:42" x14ac:dyDescent="0.35">
      <c r="A10" s="81" t="s">
        <v>3313</v>
      </c>
      <c r="B10" s="83"/>
      <c r="C10" s="83"/>
      <c r="D10" s="83"/>
      <c r="E10" s="83"/>
      <c r="F10" s="83"/>
      <c r="G10" s="83"/>
      <c r="H10" s="83"/>
      <c r="I10" s="83"/>
      <c r="J10" s="84"/>
    </row>
    <row r="11" spans="1:42" x14ac:dyDescent="0.35">
      <c r="A11" s="81" t="s">
        <v>868</v>
      </c>
      <c r="B11" s="83"/>
      <c r="C11" s="83"/>
      <c r="D11" s="83"/>
      <c r="E11" s="83"/>
      <c r="F11" s="83"/>
      <c r="G11" s="83"/>
      <c r="H11" s="83"/>
      <c r="I11" s="83"/>
      <c r="J11" s="84"/>
    </row>
    <row r="12" spans="1:42" ht="15" thickBot="1" x14ac:dyDescent="0.4">
      <c r="A12" s="85" t="s">
        <v>3314</v>
      </c>
      <c r="B12" s="305"/>
      <c r="C12" s="86"/>
      <c r="D12" s="86"/>
      <c r="E12" s="86"/>
      <c r="F12" s="86"/>
      <c r="G12" s="86"/>
      <c r="H12" s="86"/>
      <c r="I12" s="86"/>
      <c r="J12" s="87"/>
    </row>
    <row r="13" spans="1:42" ht="15" thickBot="1" x14ac:dyDescent="0.4">
      <c r="A13" s="188" t="s">
        <v>2571</v>
      </c>
      <c r="B13" s="1384" t="e">
        <f>+#REF!</f>
        <v>#REF!</v>
      </c>
    </row>
    <row r="14" spans="1:42" ht="15" thickBot="1" x14ac:dyDescent="0.4">
      <c r="A14" s="188" t="s">
        <v>2572</v>
      </c>
      <c r="B14" s="701" t="s">
        <v>3057</v>
      </c>
    </row>
    <row r="15" spans="1:42" ht="15" thickBot="1" x14ac:dyDescent="0.4"/>
    <row r="16" spans="1:42" ht="15" thickBot="1" x14ac:dyDescent="0.4">
      <c r="A16" s="763" t="s">
        <v>413</v>
      </c>
      <c r="B16" s="1702" t="s">
        <v>414</v>
      </c>
      <c r="C16" s="90" t="s">
        <v>415</v>
      </c>
      <c r="D16" s="78"/>
      <c r="E16" s="78"/>
      <c r="F16" s="78"/>
      <c r="G16" s="78"/>
      <c r="H16" s="78"/>
      <c r="I16" s="78"/>
      <c r="J16" s="78"/>
      <c r="K16" s="79"/>
    </row>
    <row r="17" spans="1:12" x14ac:dyDescent="0.35">
      <c r="A17" s="1790" t="s">
        <v>960</v>
      </c>
      <c r="B17" s="1802" t="s">
        <v>3325</v>
      </c>
      <c r="C17" s="65" t="s">
        <v>3315</v>
      </c>
      <c r="D17" s="83"/>
      <c r="E17" s="83"/>
      <c r="F17" s="83"/>
      <c r="G17" s="83"/>
      <c r="H17" s="83"/>
      <c r="I17" s="83"/>
      <c r="J17" s="83"/>
      <c r="K17" s="125"/>
    </row>
    <row r="18" spans="1:12" ht="26.25" customHeight="1" thickBot="1" x14ac:dyDescent="0.4">
      <c r="A18" s="1803" t="s">
        <v>2475</v>
      </c>
      <c r="B18" s="1804" t="s">
        <v>3325</v>
      </c>
      <c r="C18" s="2223" t="s">
        <v>3316</v>
      </c>
      <c r="D18" s="2223"/>
      <c r="E18" s="2223"/>
      <c r="F18" s="2223"/>
      <c r="G18" s="2223"/>
      <c r="H18" s="2223"/>
      <c r="I18" s="2223"/>
      <c r="J18" s="2223"/>
      <c r="K18" s="2224"/>
      <c r="L18" s="1786"/>
    </row>
    <row r="19" spans="1:12" x14ac:dyDescent="0.35">
      <c r="A19" s="2463" t="s">
        <v>3332</v>
      </c>
      <c r="B19" s="1805">
        <v>0.8</v>
      </c>
      <c r="C19" s="767" t="s">
        <v>3333</v>
      </c>
      <c r="D19" s="468"/>
      <c r="E19" s="468"/>
      <c r="F19" s="468"/>
      <c r="G19" s="468"/>
      <c r="H19" s="468"/>
      <c r="I19" s="468"/>
      <c r="J19" s="468"/>
      <c r="K19" s="469"/>
    </row>
    <row r="20" spans="1:12" ht="15" thickBot="1" x14ac:dyDescent="0.4">
      <c r="A20" s="2464"/>
      <c r="B20" s="1806"/>
      <c r="C20" s="768" t="s">
        <v>3334</v>
      </c>
      <c r="D20" s="201"/>
      <c r="E20" s="201"/>
      <c r="F20" s="201"/>
      <c r="G20" s="201"/>
      <c r="H20" s="201"/>
      <c r="I20" s="201"/>
      <c r="J20" s="201"/>
      <c r="K20" s="203"/>
    </row>
    <row r="21" spans="1:12" x14ac:dyDescent="0.35">
      <c r="A21" s="2463" t="s">
        <v>964</v>
      </c>
      <c r="B21" s="1807">
        <v>3.96</v>
      </c>
      <c r="C21" s="767" t="s">
        <v>3317</v>
      </c>
      <c r="D21" s="468"/>
      <c r="E21" s="468"/>
      <c r="F21" s="468"/>
      <c r="G21" s="468"/>
      <c r="H21" s="468"/>
      <c r="I21" s="468"/>
      <c r="J21" s="468"/>
      <c r="K21" s="469"/>
    </row>
    <row r="22" spans="1:12" ht="15" thickBot="1" x14ac:dyDescent="0.4">
      <c r="A22" s="2464"/>
      <c r="B22" s="1808"/>
      <c r="C22" s="768" t="s">
        <v>3326</v>
      </c>
      <c r="D22" s="201"/>
      <c r="E22" s="201"/>
      <c r="F22" s="201"/>
      <c r="G22" s="201"/>
      <c r="H22" s="201"/>
      <c r="I22" s="201"/>
      <c r="J22" s="201"/>
      <c r="K22" s="203"/>
    </row>
    <row r="23" spans="1:12" ht="15" thickBot="1" x14ac:dyDescent="0.4">
      <c r="A23" s="1809" t="s">
        <v>2478</v>
      </c>
      <c r="B23" s="1810">
        <f>+J3</f>
        <v>30</v>
      </c>
      <c r="C23" s="774" t="s">
        <v>2494</v>
      </c>
      <c r="D23" s="732"/>
      <c r="E23" s="732"/>
      <c r="F23" s="732"/>
      <c r="G23" s="732"/>
      <c r="H23" s="732"/>
      <c r="I23" s="732"/>
      <c r="J23" s="732"/>
      <c r="K23" s="733"/>
    </row>
    <row r="24" spans="1:12" x14ac:dyDescent="0.35">
      <c r="A24" s="2465" t="s">
        <v>3307</v>
      </c>
      <c r="B24" s="1807">
        <f>+J3</f>
        <v>30</v>
      </c>
      <c r="C24" s="767" t="s">
        <v>3318</v>
      </c>
      <c r="D24" s="468"/>
      <c r="E24" s="468"/>
      <c r="F24" s="468"/>
      <c r="G24" s="468"/>
      <c r="H24" s="468"/>
      <c r="I24" s="468"/>
      <c r="J24" s="468"/>
      <c r="K24" s="469"/>
    </row>
    <row r="25" spans="1:12" ht="15" thickBot="1" x14ac:dyDescent="0.4">
      <c r="A25" s="2466"/>
      <c r="B25" s="1808"/>
      <c r="C25" s="768" t="s">
        <v>2356</v>
      </c>
      <c r="D25" s="201"/>
      <c r="E25" s="201"/>
      <c r="F25" s="201"/>
      <c r="G25" s="201"/>
      <c r="H25" s="201"/>
      <c r="I25" s="201"/>
      <c r="J25" s="201"/>
      <c r="K25" s="203"/>
    </row>
    <row r="26" spans="1:12" x14ac:dyDescent="0.35">
      <c r="A26" s="2463" t="s">
        <v>1004</v>
      </c>
      <c r="B26" s="1811">
        <v>0.12</v>
      </c>
      <c r="C26" s="767" t="s">
        <v>1005</v>
      </c>
      <c r="D26" s="468"/>
      <c r="E26" s="468"/>
      <c r="F26" s="468"/>
      <c r="G26" s="468"/>
      <c r="H26" s="468"/>
      <c r="I26" s="468"/>
      <c r="J26" s="468"/>
      <c r="K26" s="469"/>
    </row>
    <row r="27" spans="1:12" ht="15" thickBot="1" x14ac:dyDescent="0.4">
      <c r="A27" s="2464"/>
      <c r="B27" s="1812"/>
      <c r="C27" s="768" t="s">
        <v>3327</v>
      </c>
      <c r="D27" s="201"/>
      <c r="E27" s="201"/>
      <c r="F27" s="201"/>
      <c r="G27" s="201"/>
      <c r="H27" s="201"/>
      <c r="I27" s="201"/>
      <c r="J27" s="201"/>
      <c r="K27" s="203"/>
    </row>
    <row r="28" spans="1:12" x14ac:dyDescent="0.35">
      <c r="A28" s="2463" t="s">
        <v>845</v>
      </c>
      <c r="B28" s="1807" t="s">
        <v>3331</v>
      </c>
      <c r="C28" s="767" t="s">
        <v>890</v>
      </c>
      <c r="D28" s="468"/>
      <c r="E28" s="468"/>
      <c r="F28" s="468"/>
      <c r="G28" s="468"/>
      <c r="H28" s="468"/>
      <c r="I28" s="468"/>
      <c r="J28" s="468"/>
      <c r="K28" s="469"/>
    </row>
    <row r="29" spans="1:12" ht="15" thickBot="1" x14ac:dyDescent="0.4">
      <c r="A29" s="2464"/>
      <c r="B29" s="1808"/>
      <c r="C29" s="768" t="s">
        <v>3328</v>
      </c>
      <c r="D29" s="201"/>
      <c r="E29" s="201"/>
      <c r="F29" s="201"/>
      <c r="G29" s="201"/>
      <c r="H29" s="201"/>
      <c r="I29" s="201"/>
      <c r="J29" s="201"/>
      <c r="K29" s="203"/>
    </row>
    <row r="30" spans="1:12" x14ac:dyDescent="0.35">
      <c r="A30" s="2463" t="s">
        <v>846</v>
      </c>
      <c r="B30" s="1807">
        <v>0.75</v>
      </c>
      <c r="C30" s="767" t="s">
        <v>1009</v>
      </c>
      <c r="D30" s="468"/>
      <c r="E30" s="468"/>
      <c r="F30" s="468"/>
      <c r="G30" s="468"/>
      <c r="H30" s="468"/>
      <c r="I30" s="468"/>
      <c r="J30" s="468"/>
      <c r="K30" s="469"/>
    </row>
    <row r="31" spans="1:12" ht="15" thickBot="1" x14ac:dyDescent="0.4">
      <c r="A31" s="2464"/>
      <c r="B31" s="1808"/>
      <c r="C31" s="768" t="s">
        <v>3329</v>
      </c>
      <c r="D31" s="201"/>
      <c r="E31" s="201"/>
      <c r="F31" s="201"/>
      <c r="G31" s="201"/>
      <c r="H31" s="201"/>
      <c r="I31" s="201"/>
      <c r="J31" s="201"/>
      <c r="K31" s="203"/>
    </row>
    <row r="32" spans="1:12" x14ac:dyDescent="0.35">
      <c r="A32" s="2463" t="s">
        <v>713</v>
      </c>
      <c r="B32" s="2467" t="s">
        <v>3331</v>
      </c>
      <c r="C32" s="767" t="s">
        <v>3319</v>
      </c>
      <c r="D32" s="468"/>
      <c r="E32" s="468"/>
      <c r="F32" s="468"/>
      <c r="G32" s="468"/>
      <c r="H32" s="468"/>
      <c r="I32" s="468"/>
      <c r="J32" s="468"/>
      <c r="K32" s="469"/>
    </row>
    <row r="33" spans="1:11" ht="15" thickBot="1" x14ac:dyDescent="0.4">
      <c r="A33" s="2464"/>
      <c r="B33" s="2468"/>
      <c r="C33" s="768" t="s">
        <v>3330</v>
      </c>
      <c r="D33" s="201"/>
      <c r="E33" s="201"/>
      <c r="F33" s="201"/>
      <c r="G33" s="201"/>
      <c r="H33" s="201"/>
      <c r="I33" s="201"/>
      <c r="J33" s="201"/>
      <c r="K33" s="203"/>
    </row>
    <row r="34" spans="1:11" x14ac:dyDescent="0.35">
      <c r="A34" s="2463" t="s">
        <v>849</v>
      </c>
      <c r="B34" s="1807" t="s">
        <v>3331</v>
      </c>
      <c r="C34" s="767" t="s">
        <v>1012</v>
      </c>
      <c r="D34" s="468"/>
      <c r="E34" s="468"/>
      <c r="F34" s="468"/>
      <c r="G34" s="468"/>
      <c r="H34" s="468"/>
      <c r="I34" s="468"/>
      <c r="J34" s="468"/>
      <c r="K34" s="469"/>
    </row>
    <row r="35" spans="1:11" ht="15" thickBot="1" x14ac:dyDescent="0.4">
      <c r="A35" s="2464"/>
      <c r="B35" s="1813"/>
      <c r="C35" s="768" t="s">
        <v>3328</v>
      </c>
      <c r="D35" s="201"/>
      <c r="E35" s="201"/>
      <c r="F35" s="201"/>
      <c r="G35" s="201"/>
      <c r="H35" s="201"/>
      <c r="I35" s="201"/>
      <c r="J35" s="201"/>
      <c r="K35" s="203"/>
    </row>
    <row r="36" spans="1:11" x14ac:dyDescent="0.35">
      <c r="A36" s="2463" t="s">
        <v>850</v>
      </c>
      <c r="B36" s="1807" t="s">
        <v>3331</v>
      </c>
      <c r="C36" s="767" t="s">
        <v>3320</v>
      </c>
      <c r="D36" s="468"/>
      <c r="E36" s="468"/>
      <c r="F36" s="468"/>
      <c r="G36" s="468"/>
      <c r="H36" s="468"/>
      <c r="I36" s="468"/>
      <c r="J36" s="468"/>
      <c r="K36" s="469"/>
    </row>
    <row r="37" spans="1:11" ht="15" thickBot="1" x14ac:dyDescent="0.4">
      <c r="A37" s="2464"/>
      <c r="B37" s="1808"/>
      <c r="C37" s="768" t="s">
        <v>3335</v>
      </c>
      <c r="D37" s="201"/>
      <c r="E37" s="201"/>
      <c r="F37" s="201"/>
      <c r="G37" s="201"/>
      <c r="H37" s="201"/>
      <c r="I37" s="201"/>
      <c r="J37" s="201"/>
      <c r="K37" s="203"/>
    </row>
    <row r="38" spans="1:11" x14ac:dyDescent="0.35">
      <c r="A38" s="2463" t="s">
        <v>3332</v>
      </c>
      <c r="B38" s="1814">
        <v>0.6</v>
      </c>
      <c r="C38" s="767" t="s">
        <v>3336</v>
      </c>
      <c r="D38" s="468"/>
      <c r="E38" s="468"/>
      <c r="F38" s="468"/>
      <c r="G38" s="468"/>
      <c r="H38" s="468"/>
      <c r="I38" s="468"/>
      <c r="J38" s="468"/>
      <c r="K38" s="469"/>
    </row>
    <row r="39" spans="1:11" ht="15" thickBot="1" x14ac:dyDescent="0.4">
      <c r="A39" s="2464"/>
      <c r="B39" s="1808"/>
      <c r="C39" s="768" t="s">
        <v>3337</v>
      </c>
      <c r="D39" s="201"/>
      <c r="E39" s="201"/>
      <c r="F39" s="201"/>
      <c r="G39" s="201"/>
      <c r="H39" s="201"/>
      <c r="I39" s="201"/>
      <c r="J39" s="201"/>
      <c r="K39" s="203"/>
    </row>
    <row r="40" spans="1:11" x14ac:dyDescent="0.35">
      <c r="A40" s="1815" t="s">
        <v>851</v>
      </c>
      <c r="B40" s="1807" t="s">
        <v>3331</v>
      </c>
      <c r="C40" s="767" t="s">
        <v>904</v>
      </c>
      <c r="D40" s="468"/>
      <c r="E40" s="468"/>
      <c r="F40" s="468"/>
      <c r="G40" s="468"/>
      <c r="H40" s="468"/>
      <c r="I40" s="468"/>
      <c r="J40" s="468"/>
      <c r="K40" s="469"/>
    </row>
    <row r="41" spans="1:11" ht="15" thickBot="1" x14ac:dyDescent="0.4">
      <c r="A41" s="1816"/>
      <c r="B41" s="1808"/>
      <c r="C41" s="768" t="s">
        <v>3338</v>
      </c>
      <c r="D41" s="201"/>
      <c r="E41" s="201"/>
      <c r="F41" s="201"/>
      <c r="G41" s="201"/>
      <c r="H41" s="201"/>
      <c r="I41" s="201"/>
      <c r="J41" s="201"/>
      <c r="K41" s="203"/>
    </row>
    <row r="42" spans="1:11" x14ac:dyDescent="0.35">
      <c r="A42" s="2463" t="s">
        <v>615</v>
      </c>
      <c r="B42" s="1817">
        <v>0.46600000000000003</v>
      </c>
      <c r="C42" s="767" t="s">
        <v>1017</v>
      </c>
      <c r="D42" s="468"/>
      <c r="E42" s="468"/>
      <c r="F42" s="468"/>
      <c r="G42" s="468"/>
      <c r="H42" s="468"/>
      <c r="I42" s="468"/>
      <c r="J42" s="468"/>
      <c r="K42" s="469"/>
    </row>
    <row r="43" spans="1:11" ht="15" thickBot="1" x14ac:dyDescent="0.4">
      <c r="A43" s="2464"/>
      <c r="B43" s="1818"/>
      <c r="C43" s="768" t="s">
        <v>3339</v>
      </c>
      <c r="D43" s="201"/>
      <c r="E43" s="201"/>
      <c r="F43" s="201"/>
      <c r="G43" s="201"/>
      <c r="H43" s="201"/>
      <c r="I43" s="201"/>
      <c r="J43" s="201"/>
      <c r="K43" s="203"/>
    </row>
    <row r="44" spans="1:11" x14ac:dyDescent="0.35">
      <c r="A44" s="2463" t="s">
        <v>850</v>
      </c>
      <c r="B44" s="1817">
        <v>0.72</v>
      </c>
      <c r="C44" s="767" t="s">
        <v>3341</v>
      </c>
      <c r="D44" s="468"/>
      <c r="E44" s="468"/>
      <c r="F44" s="468"/>
      <c r="G44" s="468"/>
      <c r="H44" s="468"/>
      <c r="I44" s="468"/>
      <c r="J44" s="468"/>
      <c r="K44" s="469"/>
    </row>
    <row r="45" spans="1:11" ht="15" thickBot="1" x14ac:dyDescent="0.4">
      <c r="A45" s="2464"/>
      <c r="B45" s="1818"/>
      <c r="C45" s="768" t="s">
        <v>3340</v>
      </c>
      <c r="D45" s="201"/>
      <c r="E45" s="201"/>
      <c r="F45" s="201"/>
      <c r="G45" s="201"/>
      <c r="H45" s="201"/>
      <c r="I45" s="201"/>
      <c r="J45" s="201"/>
      <c r="K45" s="203"/>
    </row>
    <row r="46" spans="1:11" ht="15" thickBot="1" x14ac:dyDescent="0.4">
      <c r="A46" s="1819" t="s">
        <v>443</v>
      </c>
      <c r="B46" s="1820">
        <v>25</v>
      </c>
      <c r="C46" s="774" t="s">
        <v>3324</v>
      </c>
      <c r="D46" s="732"/>
      <c r="E46" s="732"/>
      <c r="F46" s="732"/>
      <c r="G46" s="732"/>
      <c r="H46" s="732"/>
      <c r="I46" s="732"/>
      <c r="J46" s="732"/>
      <c r="K46" s="733"/>
    </row>
    <row r="47" spans="1:11" x14ac:dyDescent="0.35">
      <c r="A47" s="1801"/>
      <c r="B47" s="325"/>
      <c r="C47" s="309"/>
      <c r="D47" s="67"/>
      <c r="E47" s="67"/>
      <c r="F47" s="67"/>
      <c r="G47" s="67"/>
      <c r="H47" s="67"/>
      <c r="I47" s="67"/>
      <c r="J47" s="67"/>
      <c r="K47" s="67"/>
    </row>
    <row r="48" spans="1:11" x14ac:dyDescent="0.35">
      <c r="A48" s="337"/>
      <c r="B48" s="1787"/>
      <c r="C48" s="69"/>
    </row>
    <row r="50" spans="1:26" ht="15" thickBot="1" x14ac:dyDescent="0.4"/>
    <row r="51" spans="1:26" ht="15" thickBot="1" x14ac:dyDescent="0.4">
      <c r="A51" s="122" t="s">
        <v>446</v>
      </c>
      <c r="B51" s="123"/>
      <c r="C51" s="78"/>
      <c r="D51" s="78"/>
      <c r="E51" s="78"/>
      <c r="F51" s="78"/>
      <c r="G51" s="78"/>
      <c r="H51" s="78"/>
      <c r="I51" s="78"/>
      <c r="J51" s="78"/>
      <c r="K51" s="78"/>
      <c r="L51" s="78"/>
      <c r="M51" s="78"/>
      <c r="N51" s="78"/>
      <c r="O51" s="78"/>
      <c r="P51" s="78"/>
      <c r="Q51" s="78"/>
      <c r="R51" s="78"/>
      <c r="S51" s="78"/>
      <c r="T51" s="78"/>
      <c r="U51" s="78"/>
      <c r="V51" s="78"/>
      <c r="W51" s="79"/>
    </row>
    <row r="52" spans="1:26" x14ac:dyDescent="0.35">
      <c r="A52" s="311"/>
      <c r="B52" s="83"/>
      <c r="C52" s="83"/>
      <c r="D52" s="83"/>
      <c r="E52" s="2458" t="s">
        <v>3321</v>
      </c>
      <c r="F52" s="2459"/>
      <c r="G52" s="83"/>
      <c r="H52" s="83"/>
      <c r="I52" s="83"/>
      <c r="J52" s="83"/>
      <c r="K52" s="83"/>
      <c r="L52" s="83"/>
      <c r="M52" s="83"/>
      <c r="N52" s="83"/>
      <c r="O52" s="83"/>
      <c r="P52" s="83"/>
      <c r="Q52" s="83"/>
      <c r="R52" s="83"/>
      <c r="S52" s="83"/>
      <c r="T52" s="83"/>
      <c r="U52" s="83"/>
      <c r="V52" s="83"/>
      <c r="W52" s="125"/>
    </row>
    <row r="53" spans="1:26" ht="78" x14ac:dyDescent="0.35">
      <c r="A53" s="124"/>
      <c r="B53" s="363" t="s">
        <v>370</v>
      </c>
      <c r="C53" s="1698" t="s">
        <v>3322</v>
      </c>
      <c r="D53" s="1699" t="s">
        <v>3323</v>
      </c>
      <c r="E53" s="363" t="s">
        <v>400</v>
      </c>
      <c r="F53" s="1699" t="s">
        <v>466</v>
      </c>
      <c r="G53" s="83"/>
      <c r="H53" s="83"/>
      <c r="I53" s="1699" t="s">
        <v>834</v>
      </c>
      <c r="J53" s="1699" t="s">
        <v>942</v>
      </c>
      <c r="K53" s="83"/>
      <c r="L53" s="1699" t="s">
        <v>693</v>
      </c>
      <c r="M53" s="1699" t="s">
        <v>691</v>
      </c>
      <c r="N53" s="1699" t="s">
        <v>801</v>
      </c>
      <c r="O53" s="1699" t="s">
        <v>1022</v>
      </c>
      <c r="P53" s="67"/>
      <c r="Q53" s="1701" t="s">
        <v>833</v>
      </c>
      <c r="R53" s="1699" t="s">
        <v>2195</v>
      </c>
      <c r="S53" s="83"/>
      <c r="T53" s="83"/>
      <c r="U53" s="83"/>
      <c r="V53" s="83"/>
      <c r="W53" s="125"/>
    </row>
    <row r="54" spans="1:26" ht="25.5" customHeight="1" x14ac:dyDescent="0.35">
      <c r="A54" s="124"/>
      <c r="B54" s="134" t="s">
        <v>457</v>
      </c>
      <c r="C54" s="367">
        <v>263</v>
      </c>
      <c r="D54" s="133">
        <v>3322</v>
      </c>
      <c r="E54" s="126">
        <v>512</v>
      </c>
      <c r="F54" s="126">
        <v>467</v>
      </c>
      <c r="G54" s="83"/>
      <c r="H54" s="2453" t="s">
        <v>500</v>
      </c>
      <c r="I54" s="1700" t="s">
        <v>803</v>
      </c>
      <c r="J54" s="126">
        <v>10</v>
      </c>
      <c r="K54" s="83"/>
      <c r="L54" s="2446" t="s">
        <v>737</v>
      </c>
      <c r="M54" s="1700" t="s">
        <v>803</v>
      </c>
      <c r="N54" s="126">
        <v>6.8</v>
      </c>
      <c r="O54" s="126">
        <v>1.7</v>
      </c>
      <c r="P54" s="83"/>
      <c r="Q54" s="62" t="s">
        <v>973</v>
      </c>
      <c r="R54" s="1826">
        <v>0.68</v>
      </c>
      <c r="S54" s="83"/>
      <c r="T54" s="83"/>
      <c r="U54" s="83"/>
      <c r="V54" s="83"/>
      <c r="W54" s="125"/>
    </row>
    <row r="55" spans="1:26" x14ac:dyDescent="0.35">
      <c r="A55" s="124"/>
      <c r="B55" s="134" t="s">
        <v>459</v>
      </c>
      <c r="C55" s="367">
        <v>281</v>
      </c>
      <c r="D55" s="133">
        <v>3079</v>
      </c>
      <c r="E55" s="126">
        <v>570</v>
      </c>
      <c r="F55" s="126">
        <v>506</v>
      </c>
      <c r="G55" s="83"/>
      <c r="H55" s="2453"/>
      <c r="I55" s="1700" t="s">
        <v>933</v>
      </c>
      <c r="J55" s="126">
        <v>13</v>
      </c>
      <c r="K55" s="83"/>
      <c r="L55" s="2446"/>
      <c r="M55" s="1700" t="s">
        <v>933</v>
      </c>
      <c r="N55" s="126">
        <v>7.7</v>
      </c>
      <c r="O55" s="126">
        <v>1.92</v>
      </c>
      <c r="P55" s="83"/>
      <c r="Q55" s="62" t="s">
        <v>737</v>
      </c>
      <c r="R55" s="1826">
        <v>0.72</v>
      </c>
      <c r="S55" s="83"/>
      <c r="T55" s="83"/>
      <c r="U55" s="83"/>
      <c r="V55" s="83"/>
      <c r="W55" s="125"/>
    </row>
    <row r="56" spans="1:26" x14ac:dyDescent="0.35">
      <c r="A56" s="124"/>
      <c r="B56" s="134" t="s">
        <v>461</v>
      </c>
      <c r="C56" s="367">
        <v>436</v>
      </c>
      <c r="D56" s="133">
        <v>2550</v>
      </c>
      <c r="E56" s="126">
        <v>730</v>
      </c>
      <c r="F56" s="126">
        <v>663</v>
      </c>
      <c r="G56" s="83"/>
      <c r="H56" s="2453"/>
      <c r="I56" s="1700" t="s">
        <v>863</v>
      </c>
      <c r="J56" s="126">
        <v>13</v>
      </c>
      <c r="K56" s="1825"/>
      <c r="L56" s="2446"/>
      <c r="M56" s="1700" t="s">
        <v>863</v>
      </c>
      <c r="N56" s="126">
        <v>8.1999999999999993</v>
      </c>
      <c r="O56" s="126">
        <v>2.04</v>
      </c>
      <c r="P56" s="83"/>
      <c r="Q56" s="62" t="s">
        <v>1031</v>
      </c>
      <c r="R56" s="1827">
        <v>0.46600000000000003</v>
      </c>
      <c r="S56" s="83"/>
      <c r="T56" s="83"/>
      <c r="U56" s="83"/>
      <c r="V56" s="83"/>
      <c r="W56" s="1828"/>
      <c r="X56" s="1824"/>
      <c r="Y56" s="1788"/>
      <c r="Z56" s="67"/>
    </row>
    <row r="57" spans="1:26" x14ac:dyDescent="0.35">
      <c r="A57" s="124"/>
      <c r="B57" s="134" t="s">
        <v>463</v>
      </c>
      <c r="C57" s="367">
        <v>538</v>
      </c>
      <c r="D57" s="133">
        <v>1789</v>
      </c>
      <c r="E57" s="133">
        <v>1035</v>
      </c>
      <c r="F57" s="126">
        <v>940</v>
      </c>
      <c r="G57" s="83"/>
      <c r="H57" s="2453" t="s">
        <v>737</v>
      </c>
      <c r="I57" s="1700" t="s">
        <v>803</v>
      </c>
      <c r="J57" s="126">
        <v>10</v>
      </c>
      <c r="K57" s="406"/>
      <c r="L57" s="1700" t="s">
        <v>806</v>
      </c>
      <c r="M57" s="1700" t="s">
        <v>357</v>
      </c>
      <c r="N57" s="126" t="s">
        <v>357</v>
      </c>
      <c r="O57" s="126">
        <v>1</v>
      </c>
      <c r="P57" s="83"/>
      <c r="Q57" s="83"/>
      <c r="R57" s="83"/>
      <c r="S57" s="83"/>
      <c r="T57" s="83"/>
      <c r="U57" s="83"/>
      <c r="V57" s="83"/>
      <c r="W57" s="125"/>
      <c r="X57" s="1789"/>
      <c r="Y57" s="1789"/>
      <c r="Z57" s="67"/>
    </row>
    <row r="58" spans="1:26" x14ac:dyDescent="0.35">
      <c r="A58" s="124"/>
      <c r="B58" s="134" t="s">
        <v>464</v>
      </c>
      <c r="C58" s="367">
        <v>570</v>
      </c>
      <c r="D58" s="133">
        <v>1796</v>
      </c>
      <c r="E58" s="126">
        <v>903</v>
      </c>
      <c r="F58" s="126">
        <v>820</v>
      </c>
      <c r="G58" s="83"/>
      <c r="H58" s="2453"/>
      <c r="I58" s="1700" t="s">
        <v>933</v>
      </c>
      <c r="J58" s="126">
        <v>13</v>
      </c>
      <c r="K58" s="406"/>
      <c r="L58" s="83"/>
      <c r="M58" s="83"/>
      <c r="N58" s="83"/>
      <c r="O58" s="83"/>
      <c r="P58" s="83"/>
      <c r="Q58" s="83"/>
      <c r="R58" s="83"/>
      <c r="S58" s="83"/>
      <c r="T58" s="83"/>
      <c r="U58" s="83"/>
      <c r="V58" s="83"/>
      <c r="W58" s="125"/>
    </row>
    <row r="59" spans="1:26" x14ac:dyDescent="0.35">
      <c r="A59" s="124"/>
      <c r="B59" s="134" t="s">
        <v>399</v>
      </c>
      <c r="C59" s="367">
        <v>325</v>
      </c>
      <c r="D59" s="133">
        <v>2895</v>
      </c>
      <c r="E59" s="126">
        <v>629</v>
      </c>
      <c r="F59" s="126">
        <v>564</v>
      </c>
      <c r="G59" s="83"/>
      <c r="H59" s="2453"/>
      <c r="I59" s="1700" t="s">
        <v>863</v>
      </c>
      <c r="J59" s="126">
        <v>14</v>
      </c>
      <c r="K59" s="406"/>
      <c r="L59" s="83"/>
      <c r="M59" s="83"/>
      <c r="N59" s="83"/>
      <c r="O59" s="83"/>
      <c r="P59" s="83"/>
      <c r="Q59" s="83"/>
      <c r="R59" s="83"/>
      <c r="S59" s="83"/>
      <c r="T59" s="83"/>
      <c r="U59" s="83"/>
      <c r="V59" s="83"/>
      <c r="W59" s="125"/>
    </row>
    <row r="60" spans="1:26" x14ac:dyDescent="0.35">
      <c r="A60" s="124"/>
      <c r="B60" s="83"/>
      <c r="C60" s="83"/>
      <c r="D60" s="83"/>
      <c r="E60" s="83"/>
      <c r="F60" s="83"/>
      <c r="G60" s="83"/>
      <c r="H60" s="83"/>
      <c r="I60" s="83"/>
      <c r="J60" s="83"/>
      <c r="K60" s="83"/>
      <c r="L60" s="83"/>
      <c r="M60" s="83"/>
      <c r="N60" s="83"/>
      <c r="O60" s="83"/>
      <c r="P60" s="83"/>
      <c r="Q60" s="83"/>
      <c r="R60" s="83"/>
      <c r="S60" s="83"/>
      <c r="T60" s="83"/>
      <c r="U60" s="83"/>
      <c r="V60" s="83"/>
      <c r="W60" s="125"/>
    </row>
    <row r="61" spans="1:26" ht="15" thickBot="1" x14ac:dyDescent="0.4">
      <c r="A61" s="124"/>
      <c r="B61" s="83"/>
      <c r="C61" s="83"/>
      <c r="D61" s="83"/>
      <c r="E61" s="83"/>
      <c r="F61" s="83"/>
      <c r="G61" s="83"/>
      <c r="H61" s="83"/>
      <c r="I61" s="83"/>
      <c r="J61" s="83"/>
      <c r="K61" s="83"/>
      <c r="L61" s="83"/>
      <c r="M61" s="83"/>
      <c r="N61" s="83"/>
      <c r="O61" s="83"/>
      <c r="P61" s="83"/>
      <c r="Q61" s="83"/>
      <c r="R61" s="83"/>
      <c r="S61" s="83"/>
      <c r="T61" s="83"/>
      <c r="U61" s="83"/>
      <c r="V61" s="83"/>
      <c r="W61" s="125"/>
    </row>
    <row r="62" spans="1:26" x14ac:dyDescent="0.35">
      <c r="A62" s="124"/>
      <c r="B62" s="2460" t="s">
        <v>3342</v>
      </c>
      <c r="C62" s="2461"/>
      <c r="D62" s="2462"/>
      <c r="E62" s="83"/>
      <c r="F62" s="83"/>
      <c r="G62" s="83"/>
      <c r="H62" s="83"/>
      <c r="I62" s="83"/>
      <c r="J62" s="83"/>
      <c r="K62" s="83"/>
      <c r="L62" s="83"/>
      <c r="M62" s="83"/>
      <c r="N62" s="83"/>
      <c r="O62" s="83"/>
      <c r="P62" s="83"/>
      <c r="Q62" s="83"/>
      <c r="R62" s="83"/>
      <c r="S62" s="83"/>
      <c r="T62" s="83"/>
      <c r="U62" s="83"/>
      <c r="V62" s="83"/>
      <c r="W62" s="125"/>
    </row>
    <row r="63" spans="1:26" x14ac:dyDescent="0.35">
      <c r="A63" s="124"/>
      <c r="B63" s="62" t="s">
        <v>737</v>
      </c>
      <c r="C63" s="83"/>
      <c r="D63" s="797" t="s">
        <v>400</v>
      </c>
      <c r="E63" s="83"/>
      <c r="F63" s="83"/>
      <c r="G63" s="83"/>
      <c r="H63" s="83"/>
      <c r="I63" s="83"/>
      <c r="J63" s="83"/>
      <c r="K63" s="83"/>
      <c r="L63" s="83"/>
      <c r="M63" s="83"/>
      <c r="N63" s="83"/>
      <c r="O63" s="83"/>
      <c r="P63" s="83"/>
      <c r="Q63" s="83"/>
      <c r="R63" s="83"/>
      <c r="S63" s="83"/>
      <c r="T63" s="83"/>
      <c r="U63" s="83"/>
      <c r="V63" s="83"/>
      <c r="W63" s="125"/>
    </row>
    <row r="64" spans="1:26" x14ac:dyDescent="0.35">
      <c r="A64" s="124"/>
      <c r="B64" s="62" t="s">
        <v>806</v>
      </c>
      <c r="C64" s="83"/>
      <c r="D64" s="797" t="s">
        <v>3312</v>
      </c>
      <c r="E64" s="83"/>
      <c r="F64" s="83"/>
      <c r="G64" s="83"/>
      <c r="H64" s="83"/>
      <c r="I64" s="83"/>
      <c r="J64" s="83"/>
      <c r="K64" s="83"/>
      <c r="L64" s="83"/>
      <c r="M64" s="83"/>
      <c r="N64" s="83"/>
      <c r="O64" s="83"/>
      <c r="P64" s="83"/>
      <c r="Q64" s="83"/>
      <c r="R64" s="83"/>
      <c r="S64" s="83"/>
      <c r="T64" s="83"/>
      <c r="U64" s="83"/>
      <c r="V64" s="83"/>
      <c r="W64" s="125"/>
    </row>
    <row r="65" spans="1:23" x14ac:dyDescent="0.35">
      <c r="A65" s="124"/>
      <c r="B65" s="124"/>
      <c r="C65" s="83"/>
      <c r="D65" s="125"/>
      <c r="E65" s="83"/>
      <c r="F65" s="83"/>
      <c r="G65" s="83"/>
      <c r="H65" s="83"/>
      <c r="I65" s="83"/>
      <c r="J65" s="83"/>
      <c r="K65" s="83"/>
      <c r="L65" s="83"/>
      <c r="M65" s="83"/>
      <c r="N65" s="83"/>
      <c r="O65" s="83"/>
      <c r="P65" s="83"/>
      <c r="Q65" s="83"/>
      <c r="R65" s="83"/>
      <c r="S65" s="83"/>
      <c r="T65" s="83"/>
      <c r="U65" s="83"/>
      <c r="V65" s="83"/>
      <c r="W65" s="125"/>
    </row>
    <row r="66" spans="1:23" x14ac:dyDescent="0.35">
      <c r="A66" s="124"/>
      <c r="B66" s="360" t="s">
        <v>973</v>
      </c>
      <c r="C66" s="83"/>
      <c r="D66" s="797" t="s">
        <v>451</v>
      </c>
      <c r="E66" s="83"/>
      <c r="F66" s="83"/>
      <c r="G66" s="83"/>
      <c r="H66" s="83"/>
      <c r="I66" s="83"/>
      <c r="J66" s="83"/>
      <c r="K66" s="83"/>
      <c r="L66" s="83"/>
      <c r="M66" s="83"/>
      <c r="N66" s="83"/>
      <c r="O66" s="83"/>
      <c r="P66" s="83"/>
      <c r="Q66" s="83"/>
      <c r="R66" s="83"/>
      <c r="S66" s="83"/>
      <c r="T66" s="83"/>
      <c r="U66" s="83"/>
      <c r="V66" s="83"/>
      <c r="W66" s="125"/>
    </row>
    <row r="67" spans="1:23" x14ac:dyDescent="0.35">
      <c r="A67" s="124"/>
      <c r="B67" s="360" t="s">
        <v>737</v>
      </c>
      <c r="C67" s="83"/>
      <c r="D67" s="797" t="s">
        <v>3308</v>
      </c>
      <c r="E67" s="83"/>
      <c r="F67" s="83"/>
      <c r="G67" s="83"/>
      <c r="H67" s="83"/>
      <c r="I67" s="83"/>
      <c r="J67" s="83"/>
      <c r="K67" s="83"/>
      <c r="L67" s="83"/>
      <c r="M67" s="83"/>
      <c r="N67" s="83"/>
      <c r="O67" s="83"/>
      <c r="P67" s="83"/>
      <c r="Q67" s="83"/>
      <c r="R67" s="83"/>
      <c r="S67" s="83"/>
      <c r="T67" s="83"/>
      <c r="U67" s="83"/>
      <c r="V67" s="83"/>
      <c r="W67" s="125"/>
    </row>
    <row r="68" spans="1:23" x14ac:dyDescent="0.35">
      <c r="A68" s="124"/>
      <c r="B68" s="360" t="s">
        <v>1031</v>
      </c>
      <c r="C68" s="83"/>
      <c r="D68" s="125"/>
      <c r="E68" s="83"/>
      <c r="F68" s="83"/>
      <c r="G68" s="83"/>
      <c r="H68" s="83"/>
      <c r="I68" s="83"/>
      <c r="J68" s="83"/>
      <c r="K68" s="83"/>
      <c r="L68" s="83"/>
      <c r="M68" s="83"/>
      <c r="N68" s="83"/>
      <c r="O68" s="83"/>
      <c r="P68" s="83"/>
      <c r="Q68" s="83"/>
      <c r="R68" s="83"/>
      <c r="S68" s="83"/>
      <c r="T68" s="83"/>
      <c r="U68" s="83"/>
      <c r="V68" s="83"/>
      <c r="W68" s="125"/>
    </row>
    <row r="69" spans="1:23" x14ac:dyDescent="0.35">
      <c r="A69" s="124"/>
      <c r="B69" s="124"/>
      <c r="C69" s="83"/>
      <c r="D69" s="125"/>
      <c r="E69" s="83"/>
      <c r="F69" s="83"/>
      <c r="G69" s="83"/>
      <c r="H69" s="83"/>
      <c r="I69" s="83"/>
      <c r="J69" s="83"/>
      <c r="K69" s="83"/>
      <c r="L69" s="83"/>
      <c r="M69" s="83"/>
      <c r="N69" s="83"/>
      <c r="O69" s="83"/>
      <c r="P69" s="83"/>
      <c r="Q69" s="83"/>
      <c r="R69" s="83"/>
      <c r="S69" s="83"/>
      <c r="T69" s="83"/>
      <c r="U69" s="83"/>
      <c r="V69" s="83"/>
      <c r="W69" s="125"/>
    </row>
    <row r="70" spans="1:23" x14ac:dyDescent="0.35">
      <c r="A70" s="124"/>
      <c r="B70" s="409" t="s">
        <v>733</v>
      </c>
      <c r="C70" s="83"/>
      <c r="D70" s="125"/>
      <c r="E70" s="83"/>
      <c r="F70" s="83"/>
      <c r="G70" s="83"/>
      <c r="H70" s="83"/>
      <c r="I70" s="83"/>
      <c r="J70" s="83"/>
      <c r="K70" s="83"/>
      <c r="L70" s="83"/>
      <c r="M70" s="83"/>
      <c r="N70" s="83"/>
      <c r="O70" s="83"/>
      <c r="P70" s="83"/>
      <c r="Q70" s="83"/>
      <c r="R70" s="83"/>
      <c r="S70" s="83"/>
      <c r="T70" s="83"/>
      <c r="U70" s="83"/>
      <c r="V70" s="83"/>
      <c r="W70" s="125"/>
    </row>
    <row r="71" spans="1:23" x14ac:dyDescent="0.35">
      <c r="A71" s="124"/>
      <c r="B71" s="409" t="s">
        <v>821</v>
      </c>
      <c r="C71" s="83"/>
      <c r="D71" s="125"/>
      <c r="E71" s="83"/>
      <c r="F71" s="83"/>
      <c r="G71" s="83"/>
      <c r="H71" s="83"/>
      <c r="I71" s="83"/>
      <c r="J71" s="83"/>
      <c r="K71" s="83"/>
      <c r="L71" s="83"/>
      <c r="M71" s="83"/>
      <c r="N71" s="83"/>
      <c r="O71" s="83"/>
      <c r="P71" s="83"/>
      <c r="Q71" s="83"/>
      <c r="R71" s="83"/>
      <c r="S71" s="83"/>
      <c r="T71" s="83"/>
      <c r="U71" s="83"/>
      <c r="V71" s="83"/>
      <c r="W71" s="125"/>
    </row>
    <row r="72" spans="1:23" ht="15" thickBot="1" x14ac:dyDescent="0.4">
      <c r="A72" s="124"/>
      <c r="B72" s="1823" t="s">
        <v>864</v>
      </c>
      <c r="C72" s="201"/>
      <c r="D72" s="203"/>
      <c r="E72" s="83"/>
      <c r="F72" s="83"/>
      <c r="G72" s="83"/>
      <c r="H72" s="83"/>
      <c r="I72" s="83"/>
      <c r="J72" s="83"/>
      <c r="K72" s="83"/>
      <c r="L72" s="83"/>
      <c r="M72" s="83"/>
      <c r="N72" s="83"/>
      <c r="O72" s="83"/>
      <c r="P72" s="83"/>
      <c r="Q72" s="83"/>
      <c r="R72" s="83"/>
      <c r="S72" s="83"/>
      <c r="T72" s="83"/>
      <c r="U72" s="83"/>
      <c r="V72" s="83"/>
      <c r="W72" s="125"/>
    </row>
    <row r="73" spans="1:23" x14ac:dyDescent="0.35">
      <c r="A73" s="124"/>
      <c r="B73" s="83"/>
      <c r="C73" s="83"/>
      <c r="D73" s="83"/>
      <c r="E73" s="83"/>
      <c r="F73" s="83"/>
      <c r="G73" s="83"/>
      <c r="H73" s="83"/>
      <c r="I73" s="83"/>
      <c r="J73" s="83"/>
      <c r="K73" s="83"/>
      <c r="L73" s="83"/>
      <c r="M73" s="83"/>
      <c r="N73" s="83"/>
      <c r="O73" s="83"/>
      <c r="P73" s="83"/>
      <c r="Q73" s="83"/>
      <c r="R73" s="83"/>
      <c r="S73" s="83"/>
      <c r="T73" s="83"/>
      <c r="U73" s="83"/>
      <c r="V73" s="83"/>
      <c r="W73" s="125"/>
    </row>
    <row r="74" spans="1:23" x14ac:dyDescent="0.35">
      <c r="A74" s="124"/>
      <c r="B74" s="83"/>
      <c r="C74" s="83"/>
      <c r="D74" s="83"/>
      <c r="E74" s="83"/>
      <c r="F74" s="83"/>
      <c r="G74" s="83"/>
      <c r="H74" s="83"/>
      <c r="I74" s="83"/>
      <c r="J74" s="83"/>
      <c r="K74" s="83"/>
      <c r="L74" s="83"/>
      <c r="M74" s="83"/>
      <c r="N74" s="83"/>
      <c r="O74" s="83"/>
      <c r="P74" s="83"/>
      <c r="Q74" s="83"/>
      <c r="R74" s="83"/>
      <c r="S74" s="83"/>
      <c r="T74" s="83"/>
      <c r="U74" s="83"/>
      <c r="V74" s="83"/>
      <c r="W74" s="125"/>
    </row>
    <row r="75" spans="1:23" x14ac:dyDescent="0.35">
      <c r="A75" s="124"/>
      <c r="B75" s="83"/>
      <c r="C75" s="83"/>
      <c r="D75" s="83"/>
      <c r="E75" s="83"/>
      <c r="F75" s="83"/>
      <c r="G75" s="83"/>
      <c r="H75" s="83"/>
      <c r="I75" s="83"/>
      <c r="J75" s="83"/>
      <c r="K75" s="83"/>
      <c r="L75" s="83"/>
      <c r="M75" s="83"/>
      <c r="N75" s="83"/>
      <c r="O75" s="83"/>
      <c r="P75" s="83"/>
      <c r="Q75" s="83"/>
      <c r="R75" s="83"/>
      <c r="S75" s="83"/>
      <c r="T75" s="83"/>
      <c r="U75" s="83"/>
      <c r="V75" s="83"/>
      <c r="W75" s="125"/>
    </row>
    <row r="76" spans="1:23" x14ac:dyDescent="0.35">
      <c r="A76" s="124"/>
      <c r="B76" s="83"/>
      <c r="C76" s="83"/>
      <c r="D76" s="83"/>
      <c r="E76" s="83"/>
      <c r="F76" s="83"/>
      <c r="G76" s="83"/>
      <c r="H76" s="83"/>
      <c r="I76" s="83"/>
      <c r="J76" s="83"/>
      <c r="K76" s="83"/>
      <c r="L76" s="83"/>
      <c r="M76" s="83"/>
      <c r="N76" s="83"/>
      <c r="O76" s="83"/>
      <c r="P76" s="83"/>
      <c r="Q76" s="83"/>
      <c r="R76" s="83"/>
      <c r="S76" s="83"/>
      <c r="T76" s="83"/>
      <c r="U76" s="83"/>
      <c r="V76" s="83"/>
      <c r="W76" s="125"/>
    </row>
    <row r="77" spans="1:23" ht="15" thickBot="1" x14ac:dyDescent="0.4">
      <c r="A77" s="321"/>
      <c r="B77" s="201"/>
      <c r="C77" s="201"/>
      <c r="D77" s="201"/>
      <c r="E77" s="201"/>
      <c r="F77" s="201"/>
      <c r="G77" s="201"/>
      <c r="H77" s="201"/>
      <c r="I77" s="201"/>
      <c r="J77" s="201"/>
      <c r="K77" s="201"/>
      <c r="L77" s="201"/>
      <c r="M77" s="201"/>
      <c r="N77" s="201"/>
      <c r="O77" s="201"/>
      <c r="P77" s="201"/>
      <c r="Q77" s="201"/>
      <c r="R77" s="201"/>
      <c r="S77" s="201"/>
      <c r="T77" s="201"/>
      <c r="U77" s="201"/>
      <c r="V77" s="201"/>
      <c r="W77" s="203"/>
    </row>
  </sheetData>
  <customSheetViews>
    <customSheetView guid="{11DE45F5-F478-4ED6-8DFF-12002C22A637}" scale="60" showPageBreaks="1" fitToPage="1" view="pageBreakPreview">
      <pageMargins left="0.7" right="0.7" top="0.75" bottom="0.75" header="0.3" footer="0.3"/>
      <pageSetup scale="27" orientation="landscape" verticalDpi="300" r:id="rId1"/>
    </customSheetView>
    <customSheetView guid="{ECD6FE6A-9548-414E-B8AA-6998703C57E0}" scale="60" showPageBreaks="1" fitToPage="1" view="pageBreakPreview">
      <pageMargins left="0.7" right="0.7" top="0.75" bottom="0.75" header="0.3" footer="0.3"/>
      <pageSetup scale="27" orientation="landscape" verticalDpi="300" r:id="rId2"/>
    </customSheetView>
  </customSheetViews>
  <mergeCells count="22">
    <mergeCell ref="X1:AM1"/>
    <mergeCell ref="B62:D62"/>
    <mergeCell ref="A19:A20"/>
    <mergeCell ref="A34:A35"/>
    <mergeCell ref="A36:A37"/>
    <mergeCell ref="A38:A39"/>
    <mergeCell ref="A42:A43"/>
    <mergeCell ref="A44:A45"/>
    <mergeCell ref="H57:H59"/>
    <mergeCell ref="A21:A22"/>
    <mergeCell ref="A24:A25"/>
    <mergeCell ref="A26:A27"/>
    <mergeCell ref="A28:A29"/>
    <mergeCell ref="A30:A31"/>
    <mergeCell ref="A32:A33"/>
    <mergeCell ref="B32:B33"/>
    <mergeCell ref="R1:T1"/>
    <mergeCell ref="U1:W1"/>
    <mergeCell ref="C18:K18"/>
    <mergeCell ref="E52:F52"/>
    <mergeCell ref="H54:H56"/>
    <mergeCell ref="L54:L56"/>
  </mergeCells>
  <dataValidations disablePrompts="1" count="8">
    <dataValidation type="list" allowBlank="1" showInputMessage="1" showErrorMessage="1" sqref="Q3" xr:uid="{00000000-0002-0000-2F00-000000000000}">
      <formula1>$M$54:$M$56</formula1>
    </dataValidation>
    <dataValidation type="list" allowBlank="1" showInputMessage="1" showErrorMessage="1" sqref="N3" xr:uid="{00000000-0002-0000-2F00-000001000000}">
      <formula1>$I$54:$I$56</formula1>
    </dataValidation>
    <dataValidation type="list" allowBlank="1" showInputMessage="1" showErrorMessage="1" sqref="D3" xr:uid="{00000000-0002-0000-2F00-000002000000}">
      <formula1>MeasureType</formula1>
    </dataValidation>
    <dataValidation type="list" allowBlank="1" showInputMessage="1" showErrorMessage="1" sqref="H3" xr:uid="{00000000-0002-0000-2F00-000003000000}">
      <formula1>FIAC1</formula1>
    </dataValidation>
    <dataValidation type="list" allowBlank="1" showInputMessage="1" showErrorMessage="1" sqref="P3" xr:uid="{00000000-0002-0000-2F00-000004000000}">
      <formula1>$B$63:$B$64</formula1>
    </dataValidation>
    <dataValidation type="list" allowBlank="1" showInputMessage="1" showErrorMessage="1" sqref="M3" xr:uid="{00000000-0002-0000-2F00-000005000000}">
      <formula1>$B$66:$B$68</formula1>
    </dataValidation>
    <dataValidation type="list" allowBlank="1" showInputMessage="1" showErrorMessage="1" sqref="I3" xr:uid="{00000000-0002-0000-2F00-000006000000}">
      <formula1>$D$63:$D$64</formula1>
    </dataValidation>
    <dataValidation type="list" allowBlank="1" showInputMessage="1" showErrorMessage="1" sqref="O3" xr:uid="{00000000-0002-0000-2F00-000007000000}">
      <formula1>$D$66:$D$67</formula1>
    </dataValidation>
  </dataValidations>
  <pageMargins left="0.7" right="0.7" top="0.75" bottom="0.75" header="0.3" footer="0.3"/>
  <pageSetup scale="27" orientation="landscape" verticalDpi="300"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F00-000008000000}">
          <x14:formula1>
            <xm:f>'T:\EEP Planning Models\Planning Tools\Measure_Data\Custom TRM V6\[Other_Res_TRMv6.xlsx]Lists'!#REF!</xm:f>
          </x14:formula1>
          <xm:sqref>L3</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59999389629810485"/>
    <pageSetUpPr fitToPage="1"/>
  </sheetPr>
  <dimension ref="A2:AU139"/>
  <sheetViews>
    <sheetView view="pageBreakPreview" topLeftCell="J1" zoomScale="70" zoomScaleNormal="90" zoomScaleSheetLayoutView="70" workbookViewId="0">
      <selection activeCell="AA27" sqref="AA27"/>
    </sheetView>
  </sheetViews>
  <sheetFormatPr defaultRowHeight="14.5" x14ac:dyDescent="0.35"/>
  <cols>
    <col min="1" max="1" width="21.26953125" customWidth="1"/>
    <col min="2" max="2" width="51.81640625" customWidth="1"/>
    <col min="3" max="3" width="29.1796875" customWidth="1"/>
    <col min="6" max="6" width="12.7265625" bestFit="1" customWidth="1"/>
    <col min="9" max="9" width="10.54296875" customWidth="1"/>
    <col min="10" max="10" width="10.453125" customWidth="1"/>
    <col min="12" max="12" width="11.1796875" customWidth="1"/>
    <col min="13" max="13" width="10.54296875" customWidth="1"/>
    <col min="14" max="14" width="10.81640625" customWidth="1"/>
    <col min="16" max="16" width="11.1796875" bestFit="1" customWidth="1"/>
    <col min="17" max="17" width="14.81640625" customWidth="1"/>
    <col min="18" max="18" width="10.54296875" customWidth="1"/>
    <col min="19" max="19" width="8.26953125" customWidth="1"/>
    <col min="20" max="20" width="11.81640625" customWidth="1"/>
    <col min="21" max="21" width="12.1796875" customWidth="1"/>
    <col min="23" max="23" width="11.1796875" customWidth="1"/>
    <col min="24" max="24" width="13" customWidth="1"/>
    <col min="25" max="25" width="11.1796875" customWidth="1"/>
    <col min="26" max="26" width="10" bestFit="1" customWidth="1"/>
    <col min="27" max="27" width="11" customWidth="1"/>
  </cols>
  <sheetData>
    <row r="2" spans="1:47" x14ac:dyDescent="0.35">
      <c r="A2" s="1145" t="s">
        <v>332</v>
      </c>
      <c r="B2" s="1144" t="str">
        <f>B111&amp;" &amp; "&amp;B112&amp;" Insulation"</f>
        <v>Attic &amp; Wall Insulation</v>
      </c>
      <c r="C2" s="1144"/>
      <c r="D2" s="1144"/>
      <c r="E2" s="1143"/>
      <c r="F2" s="1143"/>
      <c r="G2" s="1143"/>
      <c r="H2" s="1143"/>
      <c r="I2" s="1143"/>
      <c r="J2" s="1143"/>
      <c r="K2" s="1143"/>
      <c r="L2" s="1143"/>
      <c r="M2" s="1143"/>
      <c r="N2" s="1143"/>
      <c r="O2" s="1143"/>
      <c r="P2" s="1143"/>
      <c r="Q2" s="1143"/>
      <c r="R2" s="1143"/>
      <c r="S2" s="1143"/>
      <c r="T2" s="1143"/>
      <c r="U2" s="1143"/>
      <c r="V2" s="2248" t="s">
        <v>335</v>
      </c>
      <c r="W2" s="2248"/>
      <c r="X2" s="2248"/>
      <c r="Y2" s="2248" t="s">
        <v>336</v>
      </c>
      <c r="Z2" s="2248"/>
      <c r="AA2" s="2216"/>
      <c r="AB2" s="2199" t="s">
        <v>337</v>
      </c>
      <c r="AC2" s="2199"/>
      <c r="AD2" s="2199"/>
      <c r="AE2" s="2199"/>
      <c r="AF2" s="2199"/>
      <c r="AG2" s="2199"/>
      <c r="AH2" s="2199"/>
      <c r="AI2" s="2199"/>
      <c r="AJ2" s="2199"/>
      <c r="AK2" s="2199"/>
      <c r="AL2" s="2199"/>
      <c r="AM2" s="2199"/>
      <c r="AN2" s="2199"/>
      <c r="AO2" s="2199"/>
      <c r="AP2" s="2199"/>
      <c r="AQ2" s="2199"/>
      <c r="AR2" s="2199"/>
      <c r="AS2" s="2199"/>
      <c r="AT2" s="2199"/>
      <c r="AU2" s="2199"/>
    </row>
    <row r="3" spans="1:47" ht="58.5" x14ac:dyDescent="0.4">
      <c r="A3" s="1145" t="s">
        <v>338</v>
      </c>
      <c r="B3" s="1145" t="s">
        <v>1</v>
      </c>
      <c r="C3" s="1129" t="s">
        <v>339</v>
      </c>
      <c r="D3" s="1129" t="s">
        <v>340</v>
      </c>
      <c r="E3" s="1128" t="s">
        <v>342</v>
      </c>
      <c r="F3" s="1128" t="s">
        <v>954</v>
      </c>
      <c r="G3" s="1128" t="s">
        <v>955</v>
      </c>
      <c r="H3" s="1128" t="s">
        <v>956</v>
      </c>
      <c r="I3" s="1128" t="s">
        <v>957</v>
      </c>
      <c r="J3" s="1128" t="s">
        <v>958</v>
      </c>
      <c r="K3" s="1128" t="s">
        <v>370</v>
      </c>
      <c r="L3" s="1128" t="s">
        <v>369</v>
      </c>
      <c r="M3" s="1128" t="s">
        <v>833</v>
      </c>
      <c r="N3" s="1128" t="s">
        <v>834</v>
      </c>
      <c r="O3" s="1128" t="s">
        <v>835</v>
      </c>
      <c r="P3" s="1128" t="s">
        <v>836</v>
      </c>
      <c r="Q3" s="1128" t="s">
        <v>839</v>
      </c>
      <c r="R3" s="1128" t="s">
        <v>838</v>
      </c>
      <c r="S3" s="1128" t="s">
        <v>959</v>
      </c>
      <c r="T3" s="1128" t="s">
        <v>343</v>
      </c>
      <c r="U3" s="1145" t="s">
        <v>345</v>
      </c>
      <c r="V3" s="1146" t="s">
        <v>347</v>
      </c>
      <c r="W3" s="1146" t="s">
        <v>348</v>
      </c>
      <c r="X3" s="1146" t="s">
        <v>349</v>
      </c>
      <c r="Y3" s="1146" t="s">
        <v>347</v>
      </c>
      <c r="Z3" s="1146" t="s">
        <v>348</v>
      </c>
      <c r="AA3" s="1147" t="s">
        <v>349</v>
      </c>
      <c r="AB3" s="424" t="s">
        <v>960</v>
      </c>
      <c r="AC3" s="424" t="s">
        <v>961</v>
      </c>
      <c r="AD3" s="424" t="s">
        <v>962</v>
      </c>
      <c r="AE3" s="424" t="s">
        <v>963</v>
      </c>
      <c r="AF3" s="424" t="s">
        <v>964</v>
      </c>
      <c r="AG3" s="424" t="s">
        <v>965</v>
      </c>
      <c r="AH3" s="424" t="s">
        <v>966</v>
      </c>
      <c r="AI3" s="372" t="s">
        <v>967</v>
      </c>
      <c r="AJ3" s="372" t="s">
        <v>968</v>
      </c>
      <c r="AK3" s="424" t="s">
        <v>845</v>
      </c>
      <c r="AL3" s="424" t="s">
        <v>846</v>
      </c>
      <c r="AM3" s="424" t="s">
        <v>713</v>
      </c>
      <c r="AN3" s="424" t="s">
        <v>849</v>
      </c>
      <c r="AO3" s="372" t="s">
        <v>969</v>
      </c>
      <c r="AP3" s="372" t="s">
        <v>970</v>
      </c>
      <c r="AQ3" s="424" t="s">
        <v>851</v>
      </c>
      <c r="AR3" s="424" t="s">
        <v>615</v>
      </c>
      <c r="AS3" s="424" t="s">
        <v>3461</v>
      </c>
      <c r="AT3" s="424" t="s">
        <v>971</v>
      </c>
      <c r="AU3" s="424" t="s">
        <v>380</v>
      </c>
    </row>
    <row r="4" spans="1:47" ht="29" x14ac:dyDescent="0.35">
      <c r="A4" s="1142" t="s">
        <v>972</v>
      </c>
      <c r="B4" s="1142" t="str">
        <f>IF(AND(I4=0,J4&gt;1),$B$111&amp;" Insulation",IF(AND(I4&gt;10,J4=0),$B$112&amp;" Insulation",B2))&amp;IF(I4&gt;0,", wall: R"&amp;H4&amp;" to R"&amp;F4&amp;", wall area = "&amp;I4&amp;" ft, ",""&amp;IF(J4&gt;0," attic: R"&amp;H4&amp;" to R"&amp;G4&amp;", attic area = "&amp;J4&amp;" ft, ",""))&amp;R4&amp;" Joint"</f>
        <v>Attic Insulation attic: R5 to R19, attic area = 1210 ft, Single Family Joint</v>
      </c>
      <c r="C4" s="1132" t="s">
        <v>255</v>
      </c>
      <c r="D4" s="1133" t="s">
        <v>862</v>
      </c>
      <c r="E4" s="1137" t="s">
        <v>495</v>
      </c>
      <c r="F4" s="1323">
        <v>13</v>
      </c>
      <c r="G4" s="1323">
        <v>19</v>
      </c>
      <c r="H4" s="1323">
        <v>5</v>
      </c>
      <c r="I4" s="1323">
        <v>0</v>
      </c>
      <c r="J4" s="1323">
        <v>1210</v>
      </c>
      <c r="K4" s="1150" t="s">
        <v>738</v>
      </c>
      <c r="L4" s="1148" t="s">
        <v>397</v>
      </c>
      <c r="M4" s="1148" t="s">
        <v>973</v>
      </c>
      <c r="N4" s="1148" t="s">
        <v>803</v>
      </c>
      <c r="O4" s="1150" t="s">
        <v>803</v>
      </c>
      <c r="P4" s="1150" t="s">
        <v>737</v>
      </c>
      <c r="Q4" s="1148"/>
      <c r="R4" s="1150" t="s">
        <v>400</v>
      </c>
      <c r="S4" s="1148" t="s">
        <v>974</v>
      </c>
      <c r="T4" s="1329">
        <f t="shared" ref="T4:T13" si="0">+$B$71</f>
        <v>20</v>
      </c>
      <c r="U4" s="1232" t="s">
        <v>733</v>
      </c>
      <c r="V4" s="1154"/>
      <c r="W4" s="1251"/>
      <c r="X4" s="2019">
        <f>IF(L4=$B$103,((((1/AF4-1/AD4)*AG4*(1-AI4))+((1/AF4-1/AE4)*AH4*(1-AJ4)))*24*AN4)/(AP4*100000)*AS4,AG26)</f>
        <v>203.43017042526313</v>
      </c>
      <c r="Y4" s="1154"/>
      <c r="Z4" s="1251"/>
      <c r="AA4" s="1327">
        <f t="shared" ref="AA4:AA10" si="1">X4*T4</f>
        <v>4068.6034085052625</v>
      </c>
      <c r="AB4" s="62">
        <f t="shared" ref="AB4:AB10" si="2">IF(M4=$B$116,((((1/AF4-1/AD4)*AG4*(1-AI4)+(1/AF4-1/AE4)*AH4*(1-AJ4))*24*AK4*AL4)/(1000*AM4)*AT4),0)</f>
        <v>205.84603553684212</v>
      </c>
      <c r="AC4" s="62">
        <f t="shared" ref="AC4:AC10" si="3">IF(L4=$B$104,((((1/AF4-1/AD4)*AG4*(1-AI4)+(1/AF4-1/AE4)*AH4*(1-AJ4))*24*AN4)/(AO4*3412)*AS4),X4*0.0314*29.3)</f>
        <v>187.15982539465057</v>
      </c>
      <c r="AD4" s="373">
        <f t="shared" ref="AD4:AH10" si="4">F4</f>
        <v>13</v>
      </c>
      <c r="AE4" s="373">
        <f t="shared" si="4"/>
        <v>19</v>
      </c>
      <c r="AF4" s="373">
        <f t="shared" si="4"/>
        <v>5</v>
      </c>
      <c r="AG4" s="373">
        <f t="shared" si="4"/>
        <v>0</v>
      </c>
      <c r="AH4" s="373">
        <f t="shared" si="4"/>
        <v>1210</v>
      </c>
      <c r="AI4" s="361">
        <f t="shared" ref="AI4:AI10" si="5">+$B$47</f>
        <v>0.25</v>
      </c>
      <c r="AJ4" s="361">
        <f t="shared" ref="AJ4:AJ10" si="6">+$B$48</f>
        <v>7.0000000000000007E-2</v>
      </c>
      <c r="AK4" s="62">
        <f t="shared" ref="AK4:AK10" si="7">VLOOKUP(K4,$B$79:$C$85,2,FALSE)</f>
        <v>862</v>
      </c>
      <c r="AL4" s="62">
        <f t="shared" ref="AL4:AL10" si="8">+$B$51</f>
        <v>0.75</v>
      </c>
      <c r="AM4" s="62">
        <f t="shared" ref="AM4:AM10" si="9">IF(OR(M4=$B$116,M4=$B$118),VLOOKUP(N4,$C$95:$D$97,2,FALSE),IF(M4=$B$117,VLOOKUP(N4,$C$98:$D$100,2,FALSE)))</f>
        <v>10</v>
      </c>
      <c r="AN4" s="62">
        <f t="shared" ref="AN4:AN10" si="10">VLOOKUP(K4,$B$79:$D$85,3,FALSE)</f>
        <v>5111.2999999999993</v>
      </c>
      <c r="AO4" s="62">
        <f t="shared" ref="AO4:AO10" si="11">IF(P4=$I$82,$L$82,VLOOKUP(O4,$J$79:$L$81,3,FALSE))</f>
        <v>1.7</v>
      </c>
      <c r="AP4" s="361">
        <f t="shared" ref="AP4:AP10" si="12">+$B$59</f>
        <v>0.72</v>
      </c>
      <c r="AQ4" s="62">
        <f t="shared" ref="AQ4:AQ10" si="13">VLOOKUP(K4,$B$79:$F$85,IF(R4=$B$107,4,5),FALSE)</f>
        <v>568.6</v>
      </c>
      <c r="AR4" s="302">
        <f t="shared" ref="AR4:AR10" si="14">IF(S4=$C$116, IF(M4=$B$116, $D$116, $D$117), $D$118)</f>
        <v>0.68</v>
      </c>
      <c r="AS4" s="2018">
        <v>0.72</v>
      </c>
      <c r="AT4" s="425">
        <f t="shared" ref="AT4:AT10" si="15">+$B$61</f>
        <v>0.8</v>
      </c>
      <c r="AU4" s="302">
        <f t="shared" ref="AU4:AU10" si="16">+$B$69</f>
        <v>3.1399999999999997E-2</v>
      </c>
    </row>
    <row r="5" spans="1:47" ht="29" x14ac:dyDescent="0.35">
      <c r="A5" s="1330" t="s">
        <v>975</v>
      </c>
      <c r="B5" s="1330" t="str">
        <f>IF(AND(I5=0,J5&gt;1),$B$111&amp;" Insulation",IF(AND(I5&gt;10,J5=0),$B$112&amp;" Insulation",B4))&amp;IF(I5&gt;0,", wall: R"&amp;H5&amp;" to R"&amp;F5&amp;", wall area = "&amp;I5&amp;" ft, ",""&amp;IF(J5&gt;0," attic: R"&amp;H5&amp;" to R"&amp;G5&amp;", attic area = "&amp;J5&amp;" ft, ",""))&amp;R5</f>
        <v>Attic Insulation attic: R5 to R38, attic area = 1210 ft, Single Family</v>
      </c>
      <c r="C5" s="1331" t="s">
        <v>256</v>
      </c>
      <c r="D5" s="1332" t="s">
        <v>862</v>
      </c>
      <c r="E5" s="1218" t="s">
        <v>495</v>
      </c>
      <c r="F5" s="1323">
        <v>13</v>
      </c>
      <c r="G5" s="1323">
        <v>38</v>
      </c>
      <c r="H5" s="1323">
        <v>5</v>
      </c>
      <c r="I5" s="1323">
        <v>0</v>
      </c>
      <c r="J5" s="1323">
        <v>1210</v>
      </c>
      <c r="K5" s="1150" t="s">
        <v>738</v>
      </c>
      <c r="L5" s="1148" t="s">
        <v>397</v>
      </c>
      <c r="M5" s="1148" t="s">
        <v>973</v>
      </c>
      <c r="N5" s="1148" t="s">
        <v>803</v>
      </c>
      <c r="O5" s="1150" t="s">
        <v>803</v>
      </c>
      <c r="P5" s="1150" t="s">
        <v>737</v>
      </c>
      <c r="Q5" s="1279"/>
      <c r="R5" s="1148" t="s">
        <v>400</v>
      </c>
      <c r="S5" s="1148" t="s">
        <v>974</v>
      </c>
      <c r="T5" s="1333">
        <f t="shared" si="0"/>
        <v>20</v>
      </c>
      <c r="U5" s="1232" t="s">
        <v>733</v>
      </c>
      <c r="V5" s="1334"/>
      <c r="W5" s="1335"/>
      <c r="X5" s="2021">
        <f>IF(L5=$B$103,((((1/AF5-1/AD5)*AG5*(1-AI5))+((1/AF5-1/AE5)*AH5*(1-AJ5)))*24*AN5)/(AP5*100000)*AS5,AG28)</f>
        <v>239.75698657263152</v>
      </c>
      <c r="Y5" s="1334"/>
      <c r="Z5" s="1335"/>
      <c r="AA5" s="1336">
        <f t="shared" si="1"/>
        <v>4795.1397314526303</v>
      </c>
      <c r="AB5" s="426">
        <f t="shared" si="2"/>
        <v>242.6042561684211</v>
      </c>
      <c r="AC5" s="426">
        <f t="shared" si="3"/>
        <v>220.58122278655242</v>
      </c>
      <c r="AD5" s="427">
        <f t="shared" si="4"/>
        <v>13</v>
      </c>
      <c r="AE5" s="427">
        <f t="shared" si="4"/>
        <v>38</v>
      </c>
      <c r="AF5" s="427">
        <f t="shared" si="4"/>
        <v>5</v>
      </c>
      <c r="AG5" s="427">
        <f t="shared" si="4"/>
        <v>0</v>
      </c>
      <c r="AH5" s="427">
        <f t="shared" si="4"/>
        <v>1210</v>
      </c>
      <c r="AI5" s="428">
        <f t="shared" si="5"/>
        <v>0.25</v>
      </c>
      <c r="AJ5" s="428">
        <f t="shared" si="6"/>
        <v>7.0000000000000007E-2</v>
      </c>
      <c r="AK5" s="426">
        <f t="shared" si="7"/>
        <v>862</v>
      </c>
      <c r="AL5" s="426">
        <f t="shared" si="8"/>
        <v>0.75</v>
      </c>
      <c r="AM5" s="426">
        <f t="shared" si="9"/>
        <v>10</v>
      </c>
      <c r="AN5" s="426">
        <f t="shared" si="10"/>
        <v>5111.2999999999993</v>
      </c>
      <c r="AO5" s="426">
        <f t="shared" si="11"/>
        <v>1.7</v>
      </c>
      <c r="AP5" s="428">
        <f t="shared" si="12"/>
        <v>0.72</v>
      </c>
      <c r="AQ5" s="426">
        <f t="shared" si="13"/>
        <v>568.6</v>
      </c>
      <c r="AR5" s="429">
        <f t="shared" si="14"/>
        <v>0.68</v>
      </c>
      <c r="AS5" s="2018">
        <v>0.72</v>
      </c>
      <c r="AT5" s="425">
        <f t="shared" si="15"/>
        <v>0.8</v>
      </c>
      <c r="AU5" s="429">
        <f t="shared" si="16"/>
        <v>3.1399999999999997E-2</v>
      </c>
    </row>
    <row r="6" spans="1:47" ht="29" x14ac:dyDescent="0.35">
      <c r="A6" s="1337" t="s">
        <v>976</v>
      </c>
      <c r="B6" s="1337" t="str">
        <f>IF(AND(I6=0,J6&gt;1),$B$111&amp;" Insulation",IF(AND(I6&gt;10,J6=0),$B$112&amp;" Insulation",#REF!))&amp;IF(I6&gt;0,", wall: R"&amp;H6&amp;" to R"&amp;F6&amp;", wall area = "&amp;I6&amp;" ft, ",""&amp;IF(J6&gt;0," attic: R"&amp;H6&amp;" to R"&amp;G6&amp;", attic area = "&amp;J6&amp;" ft, ",""))&amp;R6</f>
        <v>Attic Insulation attic: R16 to R38, attic area = 1210 ft, Single Family</v>
      </c>
      <c r="C6" s="1331" t="s">
        <v>256</v>
      </c>
      <c r="D6" s="1338" t="s">
        <v>862</v>
      </c>
      <c r="E6" s="1137" t="s">
        <v>495</v>
      </c>
      <c r="F6" s="1323">
        <v>13</v>
      </c>
      <c r="G6" s="1323">
        <v>38</v>
      </c>
      <c r="H6" s="1323">
        <v>16</v>
      </c>
      <c r="I6" s="1323">
        <v>0</v>
      </c>
      <c r="J6" s="1323">
        <v>1210</v>
      </c>
      <c r="K6" s="1150" t="s">
        <v>738</v>
      </c>
      <c r="L6" s="1148" t="s">
        <v>397</v>
      </c>
      <c r="M6" s="1148" t="s">
        <v>973</v>
      </c>
      <c r="N6" s="1148" t="s">
        <v>803</v>
      </c>
      <c r="O6" s="1150" t="s">
        <v>803</v>
      </c>
      <c r="P6" s="1150" t="s">
        <v>737</v>
      </c>
      <c r="Q6" s="1279"/>
      <c r="R6" s="1148" t="s">
        <v>400</v>
      </c>
      <c r="S6" s="1148" t="s">
        <v>974</v>
      </c>
      <c r="T6" s="1329">
        <f t="shared" si="0"/>
        <v>20</v>
      </c>
      <c r="U6" s="1232" t="s">
        <v>733</v>
      </c>
      <c r="V6" s="1154"/>
      <c r="W6" s="1251"/>
      <c r="X6" s="2022">
        <f>IF(L6=$B$103,((((1/AF6-1/AD6)*AG6*(1-AI6))+((1/AF6-1/AE6)*AH6*(1-AJ6)))*24*AN6)/(AP6*100000)*AS6,AG31)</f>
        <v>49.949372202631572</v>
      </c>
      <c r="Y6" s="1154"/>
      <c r="Z6" s="1251"/>
      <c r="AA6" s="1327">
        <f t="shared" si="1"/>
        <v>998.98744405263142</v>
      </c>
      <c r="AB6" s="62">
        <f t="shared" si="2"/>
        <v>50.542553368421061</v>
      </c>
      <c r="AC6" s="62">
        <f t="shared" si="3"/>
        <v>45.954421413865099</v>
      </c>
      <c r="AD6" s="373">
        <f t="shared" si="4"/>
        <v>13</v>
      </c>
      <c r="AE6" s="373">
        <f t="shared" si="4"/>
        <v>38</v>
      </c>
      <c r="AF6" s="373">
        <f t="shared" si="4"/>
        <v>16</v>
      </c>
      <c r="AG6" s="373">
        <f t="shared" si="4"/>
        <v>0</v>
      </c>
      <c r="AH6" s="373">
        <f t="shared" si="4"/>
        <v>1210</v>
      </c>
      <c r="AI6" s="361">
        <f t="shared" si="5"/>
        <v>0.25</v>
      </c>
      <c r="AJ6" s="361">
        <f t="shared" si="6"/>
        <v>7.0000000000000007E-2</v>
      </c>
      <c r="AK6" s="62">
        <f t="shared" si="7"/>
        <v>862</v>
      </c>
      <c r="AL6" s="62">
        <f t="shared" si="8"/>
        <v>0.75</v>
      </c>
      <c r="AM6" s="62">
        <f t="shared" si="9"/>
        <v>10</v>
      </c>
      <c r="AN6" s="62">
        <f t="shared" si="10"/>
        <v>5111.2999999999993</v>
      </c>
      <c r="AO6" s="62">
        <f t="shared" si="11"/>
        <v>1.7</v>
      </c>
      <c r="AP6" s="361">
        <f t="shared" si="12"/>
        <v>0.72</v>
      </c>
      <c r="AQ6" s="62">
        <f t="shared" si="13"/>
        <v>568.6</v>
      </c>
      <c r="AR6" s="302">
        <f t="shared" si="14"/>
        <v>0.68</v>
      </c>
      <c r="AS6" s="2018">
        <v>0.72</v>
      </c>
      <c r="AT6" s="425">
        <f t="shared" si="15"/>
        <v>0.8</v>
      </c>
      <c r="AU6" s="302">
        <f t="shared" si="16"/>
        <v>3.1399999999999997E-2</v>
      </c>
    </row>
    <row r="7" spans="1:47" ht="29" x14ac:dyDescent="0.35">
      <c r="A7" s="1337" t="s">
        <v>977</v>
      </c>
      <c r="B7" s="1337" t="str">
        <f>IF(AND(I7=0,J7&gt;1),$B$111&amp;" Insulation",IF(AND(I7&gt;10,J7=0),$B$112&amp;" Insulation",B5))&amp;IF(I7&gt;0,", wall: R"&amp;H7&amp;" to R"&amp;F7&amp;", wall area = "&amp;I7&amp;" ft, ",""&amp;IF(J7&gt;0," attic: R"&amp;H7&amp;" to R"&amp;G7&amp;", attic area = "&amp;J7&amp;" ft, ",""))&amp;R7</f>
        <v>Attic Insulation attic: R5 to R49, attic area = 1210 ft, Single Family</v>
      </c>
      <c r="C7" s="1331" t="s">
        <v>257</v>
      </c>
      <c r="D7" s="1338" t="s">
        <v>862</v>
      </c>
      <c r="E7" s="1137" t="s">
        <v>495</v>
      </c>
      <c r="F7" s="1323">
        <v>13</v>
      </c>
      <c r="G7" s="1323">
        <v>49</v>
      </c>
      <c r="H7" s="1323">
        <v>5</v>
      </c>
      <c r="I7" s="1323">
        <v>0</v>
      </c>
      <c r="J7" s="1323">
        <v>1210</v>
      </c>
      <c r="K7" s="1150" t="s">
        <v>738</v>
      </c>
      <c r="L7" s="1148" t="s">
        <v>397</v>
      </c>
      <c r="M7" s="1148" t="s">
        <v>973</v>
      </c>
      <c r="N7" s="1148" t="s">
        <v>803</v>
      </c>
      <c r="O7" s="1150" t="s">
        <v>803</v>
      </c>
      <c r="P7" s="1150" t="s">
        <v>737</v>
      </c>
      <c r="Q7" s="1279"/>
      <c r="R7" s="1148" t="s">
        <v>400</v>
      </c>
      <c r="S7" s="1148" t="s">
        <v>974</v>
      </c>
      <c r="T7" s="1329">
        <f t="shared" si="0"/>
        <v>20</v>
      </c>
      <c r="U7" s="1232" t="s">
        <v>733</v>
      </c>
      <c r="V7" s="1154"/>
      <c r="W7" s="1251"/>
      <c r="X7" s="2022">
        <f>IF(L7=$B$103,((((1/AF7-1/AD7)*AG7*(1-AI7))+((1/AF7-1/AE7)*AH7*(1-AJ7)))*24*AN7)/(AP7*100000)*AS7,AG32)</f>
        <v>247.91198611591835</v>
      </c>
      <c r="Y7" s="1154"/>
      <c r="Z7" s="1251"/>
      <c r="AA7" s="1327">
        <f t="shared" si="1"/>
        <v>4958.2397223183671</v>
      </c>
      <c r="AB7" s="62">
        <f t="shared" si="2"/>
        <v>250.85610161632655</v>
      </c>
      <c r="AC7" s="62">
        <f t="shared" si="3"/>
        <v>228.08398546636721</v>
      </c>
      <c r="AD7" s="373">
        <f t="shared" si="4"/>
        <v>13</v>
      </c>
      <c r="AE7" s="373">
        <f t="shared" si="4"/>
        <v>49</v>
      </c>
      <c r="AF7" s="373">
        <f t="shared" si="4"/>
        <v>5</v>
      </c>
      <c r="AG7" s="373">
        <f t="shared" si="4"/>
        <v>0</v>
      </c>
      <c r="AH7" s="373">
        <f t="shared" si="4"/>
        <v>1210</v>
      </c>
      <c r="AI7" s="361">
        <f t="shared" si="5"/>
        <v>0.25</v>
      </c>
      <c r="AJ7" s="361">
        <f t="shared" si="6"/>
        <v>7.0000000000000007E-2</v>
      </c>
      <c r="AK7" s="62">
        <f t="shared" si="7"/>
        <v>862</v>
      </c>
      <c r="AL7" s="62">
        <f t="shared" si="8"/>
        <v>0.75</v>
      </c>
      <c r="AM7" s="62">
        <f t="shared" si="9"/>
        <v>10</v>
      </c>
      <c r="AN7" s="62">
        <f t="shared" si="10"/>
        <v>5111.2999999999993</v>
      </c>
      <c r="AO7" s="62">
        <f t="shared" si="11"/>
        <v>1.7</v>
      </c>
      <c r="AP7" s="361">
        <f t="shared" si="12"/>
        <v>0.72</v>
      </c>
      <c r="AQ7" s="62">
        <f t="shared" si="13"/>
        <v>568.6</v>
      </c>
      <c r="AR7" s="302">
        <f t="shared" si="14"/>
        <v>0.68</v>
      </c>
      <c r="AS7" s="2018">
        <v>0.72</v>
      </c>
      <c r="AT7" s="425">
        <f t="shared" si="15"/>
        <v>0.8</v>
      </c>
      <c r="AU7" s="302">
        <f t="shared" si="16"/>
        <v>3.1399999999999997E-2</v>
      </c>
    </row>
    <row r="8" spans="1:47" ht="29" x14ac:dyDescent="0.35">
      <c r="A8" s="1337" t="s">
        <v>978</v>
      </c>
      <c r="B8" s="1337" t="str">
        <f>IF(AND(I8=0,J8&gt;1),$B$111&amp;" Insulation",IF(AND(I8&gt;10,J8=0),$B$112&amp;" Insulation",B6))&amp;IF(I8&gt;0,", wall: R"&amp;H8&amp;" to R"&amp;F8&amp;", wall area = "&amp;I8&amp;" ft, ",""&amp;IF(J8&gt;0," attic: R"&amp;H8&amp;" to R"&amp;G8&amp;", attic area = "&amp;J8&amp;" ft, ",""))&amp;R8</f>
        <v>Attic Insulation attic: R16 to R49, attic area = 1210 ft, Single Family</v>
      </c>
      <c r="C8" s="1331" t="s">
        <v>257</v>
      </c>
      <c r="D8" s="1338" t="s">
        <v>862</v>
      </c>
      <c r="E8" s="1157" t="s">
        <v>495</v>
      </c>
      <c r="F8" s="1323">
        <v>13</v>
      </c>
      <c r="G8" s="1323">
        <v>49</v>
      </c>
      <c r="H8" s="1323">
        <v>16</v>
      </c>
      <c r="I8" s="1323">
        <v>0</v>
      </c>
      <c r="J8" s="1323">
        <v>1210</v>
      </c>
      <c r="K8" s="1150" t="s">
        <v>738</v>
      </c>
      <c r="L8" s="1148" t="s">
        <v>397</v>
      </c>
      <c r="M8" s="1148" t="s">
        <v>973</v>
      </c>
      <c r="N8" s="1148" t="s">
        <v>803</v>
      </c>
      <c r="O8" s="1150" t="s">
        <v>803</v>
      </c>
      <c r="P8" s="1150" t="s">
        <v>737</v>
      </c>
      <c r="Q8" s="1279"/>
      <c r="R8" s="1148" t="s">
        <v>400</v>
      </c>
      <c r="S8" s="1148" t="s">
        <v>974</v>
      </c>
      <c r="T8" s="1329">
        <f t="shared" si="0"/>
        <v>20</v>
      </c>
      <c r="U8" s="1232" t="s">
        <v>733</v>
      </c>
      <c r="V8" s="1154"/>
      <c r="W8" s="1251"/>
      <c r="X8" s="2022">
        <f>IF(L8=$B$103,((((1/AF8-1/AD8)*AG8*(1-AI8))+((1/AF8-1/AE8)*AH8*(1-AJ8)))*24*AN8)/(AP8*100000)*AS8,AG33)</f>
        <v>58.104371745918364</v>
      </c>
      <c r="Y8" s="1154"/>
      <c r="Z8" s="1251"/>
      <c r="AA8" s="1327">
        <f t="shared" si="1"/>
        <v>1162.0874349183673</v>
      </c>
      <c r="AB8" s="62">
        <f t="shared" si="2"/>
        <v>58.794398816326549</v>
      </c>
      <c r="AC8" s="62">
        <f t="shared" si="3"/>
        <v>53.457184093679814</v>
      </c>
      <c r="AD8" s="373">
        <f t="shared" si="4"/>
        <v>13</v>
      </c>
      <c r="AE8" s="373">
        <f t="shared" si="4"/>
        <v>49</v>
      </c>
      <c r="AF8" s="373">
        <f t="shared" si="4"/>
        <v>16</v>
      </c>
      <c r="AG8" s="373">
        <f t="shared" si="4"/>
        <v>0</v>
      </c>
      <c r="AH8" s="373">
        <f t="shared" si="4"/>
        <v>1210</v>
      </c>
      <c r="AI8" s="361">
        <f t="shared" si="5"/>
        <v>0.25</v>
      </c>
      <c r="AJ8" s="361">
        <f t="shared" si="6"/>
        <v>7.0000000000000007E-2</v>
      </c>
      <c r="AK8" s="62">
        <f t="shared" si="7"/>
        <v>862</v>
      </c>
      <c r="AL8" s="62">
        <f t="shared" si="8"/>
        <v>0.75</v>
      </c>
      <c r="AM8" s="62">
        <f t="shared" si="9"/>
        <v>10</v>
      </c>
      <c r="AN8" s="62">
        <f t="shared" si="10"/>
        <v>5111.2999999999993</v>
      </c>
      <c r="AO8" s="62">
        <f t="shared" si="11"/>
        <v>1.7</v>
      </c>
      <c r="AP8" s="361">
        <f t="shared" si="12"/>
        <v>0.72</v>
      </c>
      <c r="AQ8" s="62">
        <f t="shared" si="13"/>
        <v>568.6</v>
      </c>
      <c r="AR8" s="302">
        <f t="shared" si="14"/>
        <v>0.68</v>
      </c>
      <c r="AS8" s="2018">
        <v>0.72</v>
      </c>
      <c r="AT8" s="425">
        <f t="shared" si="15"/>
        <v>0.8</v>
      </c>
      <c r="AU8" s="302">
        <f t="shared" si="16"/>
        <v>3.1399999999999997E-2</v>
      </c>
    </row>
    <row r="9" spans="1:47" ht="29" x14ac:dyDescent="0.35">
      <c r="A9" s="1330" t="s">
        <v>979</v>
      </c>
      <c r="B9" s="1337" t="str">
        <f>IF(AND(I9=0,J9&gt;1),$B$111&amp;" Insulation",IF(AND(I9&gt;10,J9=0),$B$112&amp;" Insulation",B7))&amp;IF(I9&gt;0,", wall: R"&amp;H9&amp;" to R"&amp;F9&amp;", wall area = "&amp;I9&amp;" ft, ",""&amp;IF(J9&gt;0," attic: R"&amp;H9&amp;" to R"&amp;G9&amp;", attic area = "&amp;J9&amp;" ft, ",""))&amp;R9</f>
        <v>Attic Insulation attic: R19 to R49, attic area = 1210 ft, Single Family</v>
      </c>
      <c r="C9" s="1331" t="s">
        <v>257</v>
      </c>
      <c r="D9" s="1338" t="s">
        <v>862</v>
      </c>
      <c r="E9" s="1157" t="s">
        <v>495</v>
      </c>
      <c r="F9" s="1323">
        <v>13</v>
      </c>
      <c r="G9" s="1323">
        <v>49</v>
      </c>
      <c r="H9" s="1323">
        <v>19</v>
      </c>
      <c r="I9" s="1323">
        <v>0</v>
      </c>
      <c r="J9" s="1323">
        <v>1210</v>
      </c>
      <c r="K9" s="1150" t="s">
        <v>738</v>
      </c>
      <c r="L9" s="1148" t="s">
        <v>397</v>
      </c>
      <c r="M9" s="1148" t="s">
        <v>973</v>
      </c>
      <c r="N9" s="1148" t="s">
        <v>803</v>
      </c>
      <c r="O9" s="1150" t="s">
        <v>803</v>
      </c>
      <c r="P9" s="1150" t="s">
        <v>737</v>
      </c>
      <c r="Q9" s="1279"/>
      <c r="R9" s="1148" t="s">
        <v>400</v>
      </c>
      <c r="S9" s="1148" t="s">
        <v>974</v>
      </c>
      <c r="T9" s="1329">
        <f t="shared" si="0"/>
        <v>20</v>
      </c>
      <c r="U9" s="1232" t="s">
        <v>733</v>
      </c>
      <c r="V9" s="1154"/>
      <c r="W9" s="1251"/>
      <c r="X9" s="2022">
        <f>IF(L9=$B$103,((((1/AF9-1/AD9)*AG9*(1-AI9))+((1/AF9-1/AE9)*AH9*(1-AJ9)))*24*AN9)/(AP9*100000)*AS9,AG34)</f>
        <v>44.481815690655203</v>
      </c>
      <c r="Y9" s="1154"/>
      <c r="Z9" s="1251"/>
      <c r="AA9" s="1327">
        <f t="shared" si="1"/>
        <v>889.63631381310404</v>
      </c>
      <c r="AB9" s="62">
        <f t="shared" si="2"/>
        <v>45.010066079484432</v>
      </c>
      <c r="AC9" s="62">
        <f t="shared" si="3"/>
        <v>40.924160071716599</v>
      </c>
      <c r="AD9" s="373">
        <f t="shared" si="4"/>
        <v>13</v>
      </c>
      <c r="AE9" s="373">
        <f t="shared" si="4"/>
        <v>49</v>
      </c>
      <c r="AF9" s="373">
        <f t="shared" si="4"/>
        <v>19</v>
      </c>
      <c r="AG9" s="373">
        <f t="shared" si="4"/>
        <v>0</v>
      </c>
      <c r="AH9" s="373">
        <f t="shared" si="4"/>
        <v>1210</v>
      </c>
      <c r="AI9" s="361">
        <f t="shared" si="5"/>
        <v>0.25</v>
      </c>
      <c r="AJ9" s="361">
        <f t="shared" si="6"/>
        <v>7.0000000000000007E-2</v>
      </c>
      <c r="AK9" s="62">
        <f t="shared" si="7"/>
        <v>862</v>
      </c>
      <c r="AL9" s="62">
        <f t="shared" si="8"/>
        <v>0.75</v>
      </c>
      <c r="AM9" s="62">
        <f t="shared" si="9"/>
        <v>10</v>
      </c>
      <c r="AN9" s="62">
        <f t="shared" si="10"/>
        <v>5111.2999999999993</v>
      </c>
      <c r="AO9" s="62">
        <f t="shared" si="11"/>
        <v>1.7</v>
      </c>
      <c r="AP9" s="361">
        <f t="shared" si="12"/>
        <v>0.72</v>
      </c>
      <c r="AQ9" s="62">
        <f t="shared" si="13"/>
        <v>568.6</v>
      </c>
      <c r="AR9" s="302">
        <f t="shared" si="14"/>
        <v>0.68</v>
      </c>
      <c r="AS9" s="2018">
        <v>0.72</v>
      </c>
      <c r="AT9" s="425">
        <f t="shared" si="15"/>
        <v>0.8</v>
      </c>
      <c r="AU9" s="302">
        <f t="shared" si="16"/>
        <v>3.1399999999999997E-2</v>
      </c>
    </row>
    <row r="10" spans="1:47" ht="29.5" thickBot="1" x14ac:dyDescent="0.4">
      <c r="A10" s="1330" t="s">
        <v>980</v>
      </c>
      <c r="B10" s="1339" t="str">
        <f>IF(AND(I10=0,J10&gt;1),$B$111&amp;" Insulation",IF(AND(I10&gt;10,J10=0),$B$112&amp;" Insulation",B8))&amp;IF(I10&gt;0,", wall: R"&amp;H10&amp;" to R"&amp;F10&amp;", wall area = "&amp;I10&amp;" ft, ",""&amp;IF(J10&gt;0," attic: R"&amp;H10&amp;" to R"&amp;G10&amp;", attic area = "&amp;J10&amp;" ft, ",""))&amp;R10</f>
        <v>Attic Insulation attic: R30 to R49, attic area = 1210 ft, Single Family</v>
      </c>
      <c r="C10" s="1331" t="s">
        <v>257</v>
      </c>
      <c r="D10" s="1338" t="s">
        <v>862</v>
      </c>
      <c r="E10" s="1157" t="s">
        <v>495</v>
      </c>
      <c r="F10" s="1323">
        <v>13</v>
      </c>
      <c r="G10" s="1323">
        <v>49</v>
      </c>
      <c r="H10" s="1323">
        <v>30</v>
      </c>
      <c r="I10" s="1323">
        <v>0</v>
      </c>
      <c r="J10" s="1323">
        <v>1210</v>
      </c>
      <c r="K10" s="1150" t="s">
        <v>738</v>
      </c>
      <c r="L10" s="1148" t="s">
        <v>397</v>
      </c>
      <c r="M10" s="1148" t="s">
        <v>973</v>
      </c>
      <c r="N10" s="1148" t="s">
        <v>803</v>
      </c>
      <c r="O10" s="1150" t="s">
        <v>803</v>
      </c>
      <c r="P10" s="1150" t="s">
        <v>737</v>
      </c>
      <c r="Q10" s="1340"/>
      <c r="R10" s="1148" t="s">
        <v>400</v>
      </c>
      <c r="S10" s="1148" t="s">
        <v>974</v>
      </c>
      <c r="T10" s="1329">
        <f t="shared" si="0"/>
        <v>20</v>
      </c>
      <c r="U10" s="1232" t="s">
        <v>733</v>
      </c>
      <c r="V10" s="1154"/>
      <c r="W10" s="1251"/>
      <c r="X10" s="2022">
        <f>IF(L10=$B$103,((((1/AF10-1/AD10)*AG10*(1-AI10))+((1/AF10-1/AE10)*AH10*(1-AJ10)))*24*AN10)/(AP10*100000)*AS10,AG35)</f>
        <v>17.842150515918366</v>
      </c>
      <c r="Y10" s="1154"/>
      <c r="Z10" s="1251"/>
      <c r="AA10" s="1327">
        <f t="shared" si="1"/>
        <v>356.84301031836731</v>
      </c>
      <c r="AB10" s="168">
        <f t="shared" si="2"/>
        <v>18.054037616326532</v>
      </c>
      <c r="AC10" s="168">
        <f t="shared" si="3"/>
        <v>16.415135317655213</v>
      </c>
      <c r="AD10" s="430">
        <f t="shared" si="4"/>
        <v>13</v>
      </c>
      <c r="AE10" s="430">
        <f t="shared" si="4"/>
        <v>49</v>
      </c>
      <c r="AF10" s="430">
        <f t="shared" si="4"/>
        <v>30</v>
      </c>
      <c r="AG10" s="430">
        <f t="shared" si="4"/>
        <v>0</v>
      </c>
      <c r="AH10" s="430">
        <f t="shared" si="4"/>
        <v>1210</v>
      </c>
      <c r="AI10" s="431">
        <f t="shared" si="5"/>
        <v>0.25</v>
      </c>
      <c r="AJ10" s="431">
        <f t="shared" si="6"/>
        <v>7.0000000000000007E-2</v>
      </c>
      <c r="AK10" s="168">
        <f t="shared" si="7"/>
        <v>862</v>
      </c>
      <c r="AL10" s="168">
        <f t="shared" si="8"/>
        <v>0.75</v>
      </c>
      <c r="AM10" s="168">
        <f t="shared" si="9"/>
        <v>10</v>
      </c>
      <c r="AN10" s="168">
        <f t="shared" si="10"/>
        <v>5111.2999999999993</v>
      </c>
      <c r="AO10" s="168">
        <f t="shared" si="11"/>
        <v>1.7</v>
      </c>
      <c r="AP10" s="431">
        <f t="shared" si="12"/>
        <v>0.72</v>
      </c>
      <c r="AQ10" s="168">
        <f t="shared" si="13"/>
        <v>568.6</v>
      </c>
      <c r="AR10" s="432">
        <f t="shared" si="14"/>
        <v>0.68</v>
      </c>
      <c r="AS10" s="2018">
        <v>0.72</v>
      </c>
      <c r="AT10" s="425">
        <f t="shared" si="15"/>
        <v>0.8</v>
      </c>
      <c r="AU10" s="432">
        <f t="shared" si="16"/>
        <v>3.1399999999999997E-2</v>
      </c>
    </row>
    <row r="11" spans="1:47" ht="29" x14ac:dyDescent="0.35">
      <c r="A11" s="1341" t="s">
        <v>981</v>
      </c>
      <c r="B11" s="1131" t="str">
        <f>IF(AND(I11=0,J11&gt;1),$B$111&amp;" Insulation",IF(AND(I11&gt;10,J11=0),$B$112&amp;" Insulation",B9))&amp;IF(I11&gt;0,", wall: R"&amp;H11&amp;" to R"&amp;F11&amp;", wall area = "&amp;I11&amp;" ft, ",""&amp;IF(J11&gt;0," attic: R"&amp;H11&amp;" to R"&amp;G11&amp;", attic area = "&amp;J11&amp;" ft, ",""))&amp;R11&amp;" Joint"</f>
        <v>Attic Insulation attic: R&lt;19 to R38, attic area = 1210 ft, Single Family Joint</v>
      </c>
      <c r="C11" s="1342" t="s">
        <v>256</v>
      </c>
      <c r="D11" s="1343" t="str">
        <f>D5</f>
        <v>Shell</v>
      </c>
      <c r="E11" s="1344" t="str">
        <f>E5</f>
        <v>RF</v>
      </c>
      <c r="F11" s="1345" t="s">
        <v>982</v>
      </c>
      <c r="G11" s="1345">
        <v>38</v>
      </c>
      <c r="H11" s="1345" t="s">
        <v>983</v>
      </c>
      <c r="I11" s="1345">
        <v>0</v>
      </c>
      <c r="J11" s="1345">
        <v>1210</v>
      </c>
      <c r="K11" s="717"/>
      <c r="L11" s="1345"/>
      <c r="M11" s="1346"/>
      <c r="N11" s="1346"/>
      <c r="O11" s="717"/>
      <c r="P11" s="717"/>
      <c r="Q11" s="1279"/>
      <c r="R11" s="1148" t="s">
        <v>400</v>
      </c>
      <c r="S11" s="1346"/>
      <c r="T11" s="1347">
        <f t="shared" si="0"/>
        <v>20</v>
      </c>
      <c r="U11" s="1348"/>
      <c r="V11" s="1349"/>
      <c r="W11" s="1349"/>
      <c r="X11" s="2023">
        <f>$X$5*0.3124+$X$6*0.6876</f>
        <v>109.24527093181956</v>
      </c>
      <c r="Y11" s="1349"/>
      <c r="Z11" s="1349"/>
      <c r="AA11" s="1349">
        <f>$AA$5*0.3124+$AA$6*0.6876</f>
        <v>2184.905418636391</v>
      </c>
      <c r="AB11" s="67"/>
      <c r="AC11" s="67"/>
      <c r="AD11" s="436"/>
      <c r="AE11" s="436"/>
      <c r="AF11" s="436"/>
      <c r="AG11" s="436"/>
      <c r="AH11" s="436"/>
      <c r="AI11" s="437"/>
      <c r="AJ11" s="437"/>
      <c r="AK11" s="67"/>
      <c r="AL11" s="67"/>
      <c r="AM11" s="67"/>
      <c r="AN11" s="67"/>
      <c r="AO11" s="67"/>
      <c r="AP11" s="437"/>
      <c r="AQ11" s="67"/>
      <c r="AR11" s="438"/>
      <c r="AS11" s="437"/>
      <c r="AT11" s="437"/>
      <c r="AU11" s="438"/>
    </row>
    <row r="12" spans="1:47" ht="29" x14ac:dyDescent="0.35">
      <c r="A12" s="1142" t="s">
        <v>984</v>
      </c>
      <c r="B12" s="1142" t="str">
        <f>IF(AND(I12=0,J12&gt;1),$B$111&amp;" Insulation",IF(AND(I12&gt;10,J12=0),$B$112&amp;" Insulation",B10))&amp;IF(I12&gt;0,", wall: R"&amp;H12&amp;" to R"&amp;F12&amp;", wall area = "&amp;I12&amp;" ft, ",""&amp;IF(J12&gt;0," attic: R"&amp;H12&amp;" to R"&amp;G12&amp;", attic area = "&amp;J12&amp;" ft, ",""))&amp;R12&amp;" Joint"</f>
        <v>Attic Insulation attic: R&lt;19 to R49, attic area = 1210 ft, Single Family Joint</v>
      </c>
      <c r="C12" s="1132" t="s">
        <v>257</v>
      </c>
      <c r="D12" s="1133" t="str">
        <f>D7</f>
        <v>Shell</v>
      </c>
      <c r="E12" s="1137" t="str">
        <f>E7</f>
        <v>RF</v>
      </c>
      <c r="F12" s="1323" t="s">
        <v>982</v>
      </c>
      <c r="G12" s="1245">
        <v>49</v>
      </c>
      <c r="H12" s="1245" t="s">
        <v>983</v>
      </c>
      <c r="I12" s="1323">
        <v>0</v>
      </c>
      <c r="J12" s="1323">
        <v>1210</v>
      </c>
      <c r="K12" s="1150"/>
      <c r="L12" s="1245"/>
      <c r="M12" s="1148"/>
      <c r="N12" s="1148"/>
      <c r="O12" s="1150"/>
      <c r="P12" s="1150"/>
      <c r="Q12" s="1279"/>
      <c r="R12" s="1148" t="s">
        <v>400</v>
      </c>
      <c r="S12" s="1148"/>
      <c r="T12" s="1329">
        <f t="shared" si="0"/>
        <v>20</v>
      </c>
      <c r="U12" s="1232"/>
      <c r="V12" s="1350"/>
      <c r="W12" s="1350"/>
      <c r="X12" s="2020">
        <f>$X$7*0.3124+$X$8*0.6876</f>
        <v>117.40027047510635</v>
      </c>
      <c r="Y12" s="1350"/>
      <c r="Z12" s="1350"/>
      <c r="AA12" s="1350">
        <f>$AA$7*0.3124+$AA$8*0.6876</f>
        <v>2348.0054095021273</v>
      </c>
      <c r="AD12" s="439"/>
      <c r="AE12" s="439"/>
      <c r="AF12" s="439"/>
      <c r="AG12" s="439"/>
      <c r="AH12" s="439"/>
      <c r="AI12" s="142"/>
      <c r="AJ12" s="142"/>
      <c r="AP12" s="142"/>
      <c r="AR12" s="145"/>
      <c r="AS12" s="142"/>
      <c r="AT12" s="142"/>
      <c r="AU12" s="145"/>
    </row>
    <row r="13" spans="1:47" ht="29" x14ac:dyDescent="0.35">
      <c r="A13" s="1142" t="s">
        <v>985</v>
      </c>
      <c r="B13" s="1142" t="str">
        <f>IF(AND(I13=0,J13&gt;1),$B$111&amp;" Insulation",IF(AND(I13&gt;10,J13=0),$B$112&amp;" Insulation",B11))&amp;IF(I13&gt;0,", wall: R"&amp;H13&amp;" to R"&amp;F13&amp;", wall area = "&amp;I13&amp;" ft, ",""&amp;IF(J13&gt;0," attic: R"&amp;H13&amp;" to R"&amp;G13&amp;", attic area = "&amp;J13&amp;" ft, ",""))&amp;R13&amp;" Joint"</f>
        <v>Attic Insulation attic: R&gt;19 to R49, attic area = 1210 ft, Single Family Joint</v>
      </c>
      <c r="C13" s="1132" t="s">
        <v>258</v>
      </c>
      <c r="D13" s="1133" t="str">
        <f>D8</f>
        <v>Shell</v>
      </c>
      <c r="E13" s="1137" t="str">
        <f>E8</f>
        <v>RF</v>
      </c>
      <c r="F13" s="1323"/>
      <c r="G13" s="1245">
        <v>49</v>
      </c>
      <c r="H13" s="1245" t="s">
        <v>986</v>
      </c>
      <c r="I13" s="135">
        <v>0</v>
      </c>
      <c r="J13" s="135">
        <v>1210</v>
      </c>
      <c r="K13" s="1150"/>
      <c r="L13" s="1245"/>
      <c r="M13" s="1148"/>
      <c r="N13" s="1148"/>
      <c r="O13" s="1150"/>
      <c r="P13" s="1150"/>
      <c r="Q13" s="1279"/>
      <c r="R13" s="1148" t="s">
        <v>400</v>
      </c>
      <c r="S13" s="1148"/>
      <c r="T13" s="1329">
        <f t="shared" si="0"/>
        <v>20</v>
      </c>
      <c r="U13" s="1232"/>
      <c r="V13" s="1350"/>
      <c r="W13" s="1350"/>
      <c r="X13" s="2020">
        <f>$X$9*$C$123+$X$10*$C$124</f>
        <v>33.692490769899045</v>
      </c>
      <c r="Y13" s="1350"/>
      <c r="Z13" s="1350"/>
      <c r="AA13" s="1350">
        <f>$AA$8*0.3124+$AA$9*0.6876</f>
        <v>974.75004404638821</v>
      </c>
      <c r="AD13" s="439"/>
      <c r="AE13" s="439"/>
      <c r="AF13" s="439"/>
      <c r="AG13" s="439"/>
      <c r="AH13" s="439"/>
      <c r="AI13" s="142"/>
      <c r="AJ13" s="142"/>
      <c r="AP13" s="142"/>
      <c r="AR13" s="145"/>
      <c r="AS13" s="142"/>
      <c r="AT13" s="142"/>
      <c r="AU13" s="145"/>
    </row>
    <row r="14" spans="1:47" ht="36.5" x14ac:dyDescent="0.35">
      <c r="A14" s="1142" t="s">
        <v>2519</v>
      </c>
      <c r="B14" s="1142" t="str">
        <f>IF(AND(I14=0,J14&gt;1),$B$111&amp;" Insulation",IF(AND(I14&gt;10,J14=0),$B$112&amp;" Insulation",B13))&amp;IF(I14&gt;0,", wall: R"&amp;H14&amp;" to R"&amp;F14&amp;", wall area = "&amp;I14&amp;" ft, ",""&amp;IF(J14&gt;0," attic: R"&amp;H14&amp;" to R"&amp;G14&amp;", attic area = "&amp;J14&amp;" ft, ",""))&amp;R14</f>
        <v>Wall Insulation, wall: R5 to R13, wall area = 1878 ft, Single Family</v>
      </c>
      <c r="C14" s="1132" t="s">
        <v>259</v>
      </c>
      <c r="D14" s="1133" t="s">
        <v>862</v>
      </c>
      <c r="E14" s="1137" t="s">
        <v>495</v>
      </c>
      <c r="F14" s="1323">
        <v>13</v>
      </c>
      <c r="G14" s="1245">
        <v>38</v>
      </c>
      <c r="H14" s="1245">
        <v>5</v>
      </c>
      <c r="I14" s="135">
        <v>1878</v>
      </c>
      <c r="J14" s="135">
        <v>0</v>
      </c>
      <c r="K14" s="1150" t="s">
        <v>738</v>
      </c>
      <c r="L14" s="1245" t="s">
        <v>397</v>
      </c>
      <c r="M14" s="1148" t="s">
        <v>973</v>
      </c>
      <c r="N14" s="1148" t="s">
        <v>803</v>
      </c>
      <c r="O14" s="1150" t="s">
        <v>803</v>
      </c>
      <c r="P14" s="1150" t="s">
        <v>737</v>
      </c>
      <c r="Q14" s="1279"/>
      <c r="R14" s="1148" t="s">
        <v>400</v>
      </c>
      <c r="S14" s="1148" t="s">
        <v>974</v>
      </c>
      <c r="T14" s="1329">
        <f>+$B$71</f>
        <v>20</v>
      </c>
      <c r="U14" s="1232" t="s">
        <v>821</v>
      </c>
      <c r="V14" s="1350"/>
      <c r="W14" s="1350"/>
      <c r="X14" s="2020">
        <f>IF(L14=$B$103,((((1/AF14-1/AD14)*AG14*(1-AI14))+((1/AF14-1/AE14)*AH14*(1-AJ14)))*24*AN14)/(AP14*100000)*AS14,AJ44)</f>
        <v>177.21270276923073</v>
      </c>
      <c r="Y14" s="1350"/>
      <c r="Z14" s="1350"/>
      <c r="AA14" s="1350">
        <f t="shared" ref="AA14" si="17">X14*T14</f>
        <v>3544.2540553846147</v>
      </c>
      <c r="AB14" s="62">
        <f>IF(M14=$B$116,((((1/AF14-1/AD14)*AG14*(1-AI14)+(1/AF14-1/AE14)*AH14*(1-AJ14))*24*AK14*AL14)/(1000*AM14)*AT14),0)</f>
        <v>215.18066215384616</v>
      </c>
      <c r="AC14" s="62">
        <f>IF(L14=$B$109,((((1/AF14-1/AD14)*AG14*(1-AI14)+(1/AF14-1/AE14)*AH14*(1-AJ14))*24*AN14)/(AO14*3412)*AS14),X14*0.0314*29.3)</f>
        <v>163.03923080174764</v>
      </c>
      <c r="AD14" s="373">
        <f>F14</f>
        <v>13</v>
      </c>
      <c r="AE14" s="373">
        <f>G14</f>
        <v>38</v>
      </c>
      <c r="AF14" s="373">
        <f>H14</f>
        <v>5</v>
      </c>
      <c r="AG14" s="373">
        <f>I14</f>
        <v>1878</v>
      </c>
      <c r="AH14" s="373">
        <f>J14</f>
        <v>0</v>
      </c>
      <c r="AI14" s="361">
        <f>+$B$47</f>
        <v>0.25</v>
      </c>
      <c r="AJ14" s="361">
        <f>+$B$48</f>
        <v>7.0000000000000007E-2</v>
      </c>
      <c r="AK14" s="62">
        <f>VLOOKUP(K14,$B$84:$C$87,2,FALSE)</f>
        <v>862</v>
      </c>
      <c r="AL14" s="62">
        <f>+$B$51</f>
        <v>0.75</v>
      </c>
      <c r="AM14" s="62">
        <f>IF(OR(M14=$B$116,M14=$B$118),VLOOKUP(N14,$C$95:$D$97,2,FALSE),IF(M14=$B$117,VLOOKUP(N14,$C$98:$D$100,2,FALSE)))</f>
        <v>10</v>
      </c>
      <c r="AN14" s="62">
        <f>VLOOKUP(K14,$B$84:$D$87,3,FALSE)</f>
        <v>5111.2999999999993</v>
      </c>
      <c r="AO14" s="62">
        <f>IF(P14=$I$82,$L$82,VLOOKUP(O14,$J$79:$L$81,3,FALSE))</f>
        <v>1.7</v>
      </c>
      <c r="AP14" s="361">
        <f>+$B$59</f>
        <v>0.72</v>
      </c>
      <c r="AQ14" s="62">
        <f>VLOOKUP(K14,$B$79:$F$85,IF(R14=$B$107,4,5),FALSE)</f>
        <v>568.6</v>
      </c>
      <c r="AR14" s="302">
        <f>IF(S14=$C$116, IF(M14=$B$116, $D$116, $D$117), $D$118)</f>
        <v>0.68</v>
      </c>
      <c r="AS14" s="425">
        <v>0.6</v>
      </c>
      <c r="AT14" s="425">
        <f>+$B$61</f>
        <v>0.8</v>
      </c>
      <c r="AU14" s="302">
        <f>+$B$69</f>
        <v>3.1399999999999997E-2</v>
      </c>
    </row>
    <row r="15" spans="1:47" ht="36.5" x14ac:dyDescent="0.35">
      <c r="A15" s="1142" t="s">
        <v>3011</v>
      </c>
      <c r="B15" s="1142" t="str">
        <f>IF(AND(I15=0,J15&gt;1),$B$110&amp;" Insulation",IF(AND(I15&gt;10,J15=0),$B$111&amp;" Insulation",B14))&amp;IF(I15&gt;0,", wall: R"&amp;H15&amp;" to R"&amp;F15&amp;", wall area = "&amp;I15&amp;" ft, ",""&amp;IF(J15&gt;0," attic: R"&amp;H15&amp;" to R"&amp;G15&amp;", attic area = "&amp;J15&amp;" ft, ",""))&amp;R15</f>
        <v>For Measure Name: Insulation attic: R&lt;19 to R38, attic area = 1210 ft, Single Family</v>
      </c>
      <c r="C15" s="1132" t="s">
        <v>256</v>
      </c>
      <c r="D15" s="1133" t="s">
        <v>862</v>
      </c>
      <c r="E15" s="1137" t="s">
        <v>495</v>
      </c>
      <c r="F15" s="1323" t="s">
        <v>982</v>
      </c>
      <c r="G15" s="1245">
        <v>38</v>
      </c>
      <c r="H15" s="1245" t="s">
        <v>983</v>
      </c>
      <c r="I15" s="135">
        <v>0</v>
      </c>
      <c r="J15" s="135">
        <v>1210</v>
      </c>
      <c r="K15" s="1150"/>
      <c r="L15" s="1245"/>
      <c r="M15" s="1148"/>
      <c r="N15" s="1148"/>
      <c r="O15" s="1150"/>
      <c r="P15" s="1150"/>
      <c r="Q15" s="1279"/>
      <c r="R15" s="1148" t="s">
        <v>400</v>
      </c>
      <c r="S15" s="1148" t="s">
        <v>974</v>
      </c>
      <c r="T15" s="1329">
        <f>+$B$71</f>
        <v>20</v>
      </c>
      <c r="U15" s="1232" t="s">
        <v>821</v>
      </c>
      <c r="V15" s="1350"/>
      <c r="W15" s="1350"/>
      <c r="X15" s="2020">
        <f>$X$5*0.3124+$X$6*0.6876</f>
        <v>109.24527093181956</v>
      </c>
      <c r="Y15" s="1350"/>
      <c r="Z15" s="1350"/>
      <c r="AA15" s="1350">
        <f>$AA$5*0.3124+$AA$6*0.6876</f>
        <v>2184.905418636391</v>
      </c>
      <c r="AD15" s="439"/>
      <c r="AE15" s="439"/>
      <c r="AF15" s="439"/>
      <c r="AG15" s="439"/>
      <c r="AH15" s="439"/>
      <c r="AI15" s="142"/>
      <c r="AJ15" s="142"/>
      <c r="AP15" s="142"/>
      <c r="AR15" s="145"/>
      <c r="AS15" s="142"/>
      <c r="AT15" s="142"/>
      <c r="AU15" s="145"/>
    </row>
    <row r="16" spans="1:47" ht="36.5" x14ac:dyDescent="0.35">
      <c r="A16" s="1142" t="s">
        <v>3012</v>
      </c>
      <c r="B16" s="1142" t="str">
        <f>IF(AND(I16=0,J16&gt;1),$B$110&amp;" Insulation",IF(AND(I16&gt;10,J16=0),$B$111&amp;" Insulation",#REF!))&amp;IF(I16&gt;0,", wall: R"&amp;H16&amp;" to R"&amp;F16&amp;", wall area = "&amp;I16&amp;" ft, ",""&amp;IF(J16&gt;0," attic: R"&amp;H16&amp;" to R"&amp;G16&amp;", attic area = "&amp;J16&amp;" ft, ",""))&amp;R16</f>
        <v>For Measure Name: Insulation attic: R&lt;19 to R49, attic area = 1210 ft, Single Family</v>
      </c>
      <c r="C16" s="1132" t="s">
        <v>257</v>
      </c>
      <c r="D16" s="1133" t="s">
        <v>862</v>
      </c>
      <c r="E16" s="1137" t="s">
        <v>495</v>
      </c>
      <c r="F16" s="1323" t="s">
        <v>982</v>
      </c>
      <c r="G16" s="1245">
        <v>49</v>
      </c>
      <c r="H16" s="1245" t="s">
        <v>983</v>
      </c>
      <c r="I16" s="135">
        <v>0</v>
      </c>
      <c r="J16" s="135">
        <v>1210</v>
      </c>
      <c r="K16" s="1150"/>
      <c r="L16" s="1245"/>
      <c r="M16" s="1148"/>
      <c r="N16" s="1148"/>
      <c r="O16" s="1150"/>
      <c r="P16" s="1150"/>
      <c r="Q16" s="1279"/>
      <c r="R16" s="1148" t="s">
        <v>400</v>
      </c>
      <c r="S16" s="1148" t="s">
        <v>974</v>
      </c>
      <c r="T16" s="1329">
        <f>+$B$71</f>
        <v>20</v>
      </c>
      <c r="U16" s="1232" t="s">
        <v>821</v>
      </c>
      <c r="V16" s="1350"/>
      <c r="W16" s="1350"/>
      <c r="X16" s="2020">
        <f>$X$7*0.3124+$X$8*0.6876</f>
        <v>117.40027047510635</v>
      </c>
      <c r="Y16" s="1350"/>
      <c r="Z16" s="1350"/>
      <c r="AA16" s="1350">
        <f>$AA$7*0.3124+$AA$8*0.6876</f>
        <v>2348.0054095021273</v>
      </c>
      <c r="AD16" s="439"/>
      <c r="AE16" s="439"/>
      <c r="AF16" s="439"/>
      <c r="AG16" s="439"/>
      <c r="AH16" s="439"/>
      <c r="AI16" s="142"/>
      <c r="AJ16" s="142"/>
      <c r="AP16" s="142"/>
      <c r="AR16" s="145"/>
      <c r="AS16" s="142"/>
      <c r="AT16" s="142"/>
      <c r="AU16" s="145"/>
    </row>
    <row r="17" spans="1:47" ht="36.5" x14ac:dyDescent="0.35">
      <c r="A17" s="1142" t="s">
        <v>3013</v>
      </c>
      <c r="B17" s="1142" t="str">
        <f>IF(AND(I17=0,J17&gt;1),$B$110&amp;" Insulation",IF(AND(I17&gt;10,J17=0),$B$111&amp;" Insulation",B15))&amp;IF(I17&gt;0,", wall: R"&amp;H17&amp;" to R"&amp;F17&amp;", wall area = "&amp;I17&amp;" ft, ",""&amp;IF(J17&gt;0," attic: R"&amp;H17&amp;" to R"&amp;G17&amp;", attic area = "&amp;J17&amp;" ft, ",""))&amp;R17</f>
        <v>For Measure Name: Insulation attic: R&gt;19 to R49, attic area = 1210 ft, Single Family</v>
      </c>
      <c r="C17" s="1132" t="s">
        <v>258</v>
      </c>
      <c r="D17" s="1133" t="s">
        <v>862</v>
      </c>
      <c r="E17" s="1137" t="s">
        <v>495</v>
      </c>
      <c r="F17" s="1323"/>
      <c r="G17" s="1245">
        <v>49</v>
      </c>
      <c r="H17" s="1245" t="s">
        <v>986</v>
      </c>
      <c r="I17" s="135">
        <v>0</v>
      </c>
      <c r="J17" s="135">
        <v>1210</v>
      </c>
      <c r="K17" s="1150"/>
      <c r="L17" s="1245"/>
      <c r="M17" s="1148"/>
      <c r="N17" s="1148"/>
      <c r="O17" s="1150"/>
      <c r="P17" s="1150"/>
      <c r="Q17" s="1279"/>
      <c r="R17" s="1148" t="s">
        <v>400</v>
      </c>
      <c r="S17" s="1148" t="s">
        <v>974</v>
      </c>
      <c r="T17" s="1329">
        <f>+$B$71</f>
        <v>20</v>
      </c>
      <c r="U17" s="1232" t="s">
        <v>821</v>
      </c>
      <c r="V17" s="1350"/>
      <c r="W17" s="1350"/>
      <c r="X17" s="2020">
        <f>$X$9*$C$123+$X$10*$C$124</f>
        <v>33.692490769899045</v>
      </c>
      <c r="Y17" s="1350"/>
      <c r="Z17" s="1350"/>
      <c r="AA17" s="1350">
        <f>$AA$9*0.3124+$AA$10*0.6876</f>
        <v>523.28763833012306</v>
      </c>
      <c r="AD17" s="439"/>
      <c r="AE17" s="439"/>
      <c r="AF17" s="439"/>
      <c r="AG17" s="439"/>
      <c r="AH17" s="439"/>
      <c r="AI17" s="142"/>
      <c r="AJ17" s="142"/>
      <c r="AP17" s="142"/>
      <c r="AR17" s="145"/>
      <c r="AS17" s="142"/>
      <c r="AT17" s="142"/>
      <c r="AU17" s="145"/>
    </row>
    <row r="18" spans="1:47" ht="15" thickBot="1" x14ac:dyDescent="0.4"/>
    <row r="19" spans="1:47" ht="15" thickBot="1" x14ac:dyDescent="0.4">
      <c r="A19" s="76" t="s">
        <v>408</v>
      </c>
      <c r="B19" s="78"/>
      <c r="C19" s="78"/>
      <c r="D19" s="78"/>
      <c r="E19" s="78"/>
      <c r="F19" s="78"/>
      <c r="G19" s="78"/>
      <c r="H19" s="78"/>
      <c r="I19" s="78"/>
      <c r="J19" s="78"/>
      <c r="K19" s="78"/>
      <c r="L19" s="78"/>
      <c r="M19" s="79"/>
    </row>
    <row r="20" spans="1:47" x14ac:dyDescent="0.35">
      <c r="A20" s="81" t="s">
        <v>987</v>
      </c>
      <c r="B20" s="82"/>
      <c r="C20" s="83"/>
      <c r="D20" s="83"/>
      <c r="E20" s="83"/>
      <c r="F20" s="83"/>
      <c r="G20" s="83"/>
      <c r="H20" s="83"/>
      <c r="I20" s="83"/>
      <c r="J20" s="83"/>
      <c r="K20" s="83"/>
      <c r="L20" s="83"/>
      <c r="M20" s="84"/>
    </row>
    <row r="21" spans="1:47" x14ac:dyDescent="0.35">
      <c r="A21" s="81" t="s">
        <v>988</v>
      </c>
      <c r="B21" s="440"/>
      <c r="C21" s="83"/>
      <c r="D21" s="83"/>
      <c r="E21" s="83"/>
      <c r="F21" s="83"/>
      <c r="G21" s="83"/>
      <c r="H21" s="83"/>
      <c r="I21" s="83"/>
      <c r="J21" s="83"/>
      <c r="K21" s="83"/>
      <c r="L21" s="83"/>
      <c r="M21" s="84"/>
    </row>
    <row r="22" spans="1:47" x14ac:dyDescent="0.35">
      <c r="A22" s="335" t="s">
        <v>989</v>
      </c>
      <c r="B22" s="440"/>
      <c r="C22" s="83"/>
      <c r="D22" s="83"/>
      <c r="E22" s="83"/>
      <c r="F22" s="83"/>
      <c r="G22" s="83"/>
      <c r="H22" s="83"/>
      <c r="I22" s="83"/>
      <c r="J22" s="83"/>
      <c r="K22" s="83"/>
      <c r="L22" s="83"/>
      <c r="M22" s="84"/>
    </row>
    <row r="23" spans="1:47" x14ac:dyDescent="0.35">
      <c r="A23" s="81" t="s">
        <v>990</v>
      </c>
      <c r="B23" s="83"/>
      <c r="C23" s="83"/>
      <c r="D23" s="83"/>
      <c r="E23" s="83"/>
      <c r="F23" s="83"/>
      <c r="G23" s="83"/>
      <c r="H23" s="83"/>
      <c r="I23" s="83"/>
      <c r="J23" s="83"/>
      <c r="K23" s="83"/>
      <c r="L23" s="83"/>
      <c r="M23" s="84"/>
      <c r="AA23" s="184"/>
    </row>
    <row r="24" spans="1:47" x14ac:dyDescent="0.35">
      <c r="A24" s="335" t="s">
        <v>991</v>
      </c>
      <c r="B24" s="83"/>
      <c r="C24" s="83"/>
      <c r="D24" s="83"/>
      <c r="E24" s="83"/>
      <c r="F24" s="83"/>
      <c r="G24" s="83"/>
      <c r="H24" s="83"/>
      <c r="I24" s="83"/>
      <c r="J24" s="83"/>
      <c r="K24" s="83"/>
      <c r="L24" s="83"/>
      <c r="M24" s="84"/>
    </row>
    <row r="25" spans="1:47" x14ac:dyDescent="0.35">
      <c r="A25" s="441" t="s">
        <v>992</v>
      </c>
      <c r="B25" s="83"/>
      <c r="C25" s="83"/>
      <c r="D25" s="83"/>
      <c r="E25" s="83"/>
      <c r="F25" s="83"/>
      <c r="G25" s="83"/>
      <c r="H25" s="83"/>
      <c r="I25" s="83"/>
      <c r="J25" s="83"/>
      <c r="K25" s="83"/>
      <c r="L25" s="83"/>
      <c r="M25" s="84"/>
    </row>
    <row r="26" spans="1:47" ht="15" customHeight="1" x14ac:dyDescent="0.35">
      <c r="A26" s="81" t="s">
        <v>993</v>
      </c>
      <c r="B26" s="82"/>
      <c r="C26" s="83"/>
      <c r="D26" s="83"/>
      <c r="E26" s="83"/>
      <c r="F26" s="83"/>
      <c r="G26" s="83"/>
      <c r="H26" s="83"/>
      <c r="I26" s="83"/>
      <c r="J26" s="83"/>
      <c r="K26" s="83"/>
      <c r="L26" s="83"/>
      <c r="M26" s="84"/>
    </row>
    <row r="27" spans="1:47" ht="15" thickBot="1" x14ac:dyDescent="0.4">
      <c r="A27" s="1916" t="s">
        <v>3457</v>
      </c>
      <c r="B27" s="1917"/>
      <c r="C27" s="1917"/>
      <c r="D27" s="1917"/>
      <c r="E27" s="1917" t="s">
        <v>3458</v>
      </c>
      <c r="F27" s="1917"/>
      <c r="G27" s="1917"/>
      <c r="H27" s="1917"/>
      <c r="I27" s="1917"/>
      <c r="J27" s="1917"/>
      <c r="K27" s="1917"/>
      <c r="L27" s="1917"/>
      <c r="M27" s="1918"/>
      <c r="N27" s="60"/>
      <c r="O27" s="60"/>
      <c r="P27" s="60"/>
    </row>
    <row r="28" spans="1:47" ht="15" thickBot="1" x14ac:dyDescent="0.4">
      <c r="A28" s="188" t="s">
        <v>2571</v>
      </c>
      <c r="B28" s="1384" t="e">
        <f>+#REF!</f>
        <v>#REF!</v>
      </c>
    </row>
    <row r="29" spans="1:47" ht="15" thickBot="1" x14ac:dyDescent="0.4">
      <c r="A29" s="188" t="s">
        <v>2572</v>
      </c>
      <c r="B29" s="701" t="s">
        <v>2806</v>
      </c>
    </row>
    <row r="30" spans="1:47" ht="15" thickBot="1" x14ac:dyDescent="0.4">
      <c r="A30" s="69"/>
    </row>
    <row r="31" spans="1:47" ht="15" thickBot="1" x14ac:dyDescent="0.4">
      <c r="A31" s="88" t="s">
        <v>413</v>
      </c>
      <c r="B31" s="89" t="s">
        <v>414</v>
      </c>
      <c r="C31" s="90" t="s">
        <v>415</v>
      </c>
      <c r="D31" s="78"/>
      <c r="E31" s="78"/>
      <c r="F31" s="78"/>
      <c r="G31" s="78"/>
      <c r="H31" s="78"/>
      <c r="I31" s="78"/>
      <c r="J31" s="78"/>
      <c r="K31" s="78"/>
      <c r="L31" s="78"/>
      <c r="M31" s="78"/>
      <c r="N31" s="78"/>
      <c r="O31" s="78"/>
      <c r="P31" s="78"/>
      <c r="Q31" s="78"/>
      <c r="R31" s="78"/>
      <c r="S31" s="79"/>
    </row>
    <row r="32" spans="1:47" x14ac:dyDescent="0.35">
      <c r="A32" s="442" t="s">
        <v>960</v>
      </c>
      <c r="B32" s="443"/>
      <c r="C32" s="93" t="s">
        <v>994</v>
      </c>
      <c r="D32" s="94"/>
      <c r="E32" s="94"/>
      <c r="F32" s="94"/>
      <c r="G32" s="94"/>
      <c r="H32" s="94"/>
      <c r="I32" s="94"/>
      <c r="J32" s="94"/>
      <c r="K32" s="94"/>
      <c r="L32" s="94"/>
      <c r="M32" s="94"/>
      <c r="N32" s="94"/>
      <c r="O32" s="94"/>
      <c r="P32" s="94"/>
      <c r="Q32" s="94"/>
      <c r="R32" s="94"/>
      <c r="S32" s="95"/>
    </row>
    <row r="33" spans="1:19" ht="15" thickBot="1" x14ac:dyDescent="0.4">
      <c r="A33" s="444"/>
      <c r="B33" s="445"/>
      <c r="C33" s="98" t="s">
        <v>995</v>
      </c>
      <c r="D33" s="99"/>
      <c r="E33" s="99"/>
      <c r="F33" s="99"/>
      <c r="G33" s="99"/>
      <c r="H33" s="99"/>
      <c r="I33" s="99"/>
      <c r="J33" s="99"/>
      <c r="K33" s="99"/>
      <c r="L33" s="99"/>
      <c r="M33" s="99"/>
      <c r="N33" s="99"/>
      <c r="O33" s="99"/>
      <c r="P33" s="99"/>
      <c r="Q33" s="99"/>
      <c r="R33" s="99"/>
      <c r="S33" s="100"/>
    </row>
    <row r="34" spans="1:19" x14ac:dyDescent="0.35">
      <c r="A34" s="442" t="s">
        <v>961</v>
      </c>
      <c r="B34" s="446"/>
      <c r="C34" s="93" t="s">
        <v>996</v>
      </c>
      <c r="D34" s="94"/>
      <c r="E34" s="94"/>
      <c r="F34" s="94"/>
      <c r="G34" s="94"/>
      <c r="H34" s="94"/>
      <c r="I34" s="94"/>
      <c r="J34" s="94"/>
      <c r="K34" s="94"/>
      <c r="L34" s="94"/>
      <c r="M34" s="94"/>
      <c r="N34" s="94"/>
      <c r="O34" s="94"/>
      <c r="P34" s="94"/>
      <c r="Q34" s="94"/>
      <c r="R34" s="94"/>
      <c r="S34" s="95"/>
    </row>
    <row r="35" spans="1:19" ht="15" thickBot="1" x14ac:dyDescent="0.4">
      <c r="A35" s="444"/>
      <c r="B35" s="445"/>
      <c r="C35" s="98" t="s">
        <v>997</v>
      </c>
      <c r="D35" s="99"/>
      <c r="E35" s="99"/>
      <c r="F35" s="99"/>
      <c r="G35" s="99"/>
      <c r="H35" s="99"/>
      <c r="I35" s="99"/>
      <c r="J35" s="99"/>
      <c r="K35" s="99"/>
      <c r="L35" s="99"/>
      <c r="M35" s="99"/>
      <c r="N35" s="99"/>
      <c r="O35" s="99"/>
      <c r="P35" s="99"/>
      <c r="Q35" s="99"/>
      <c r="R35" s="99"/>
      <c r="S35" s="100"/>
    </row>
    <row r="36" spans="1:19" x14ac:dyDescent="0.35">
      <c r="A36" s="442" t="s">
        <v>962</v>
      </c>
      <c r="B36" s="447"/>
      <c r="C36" s="93" t="s">
        <v>998</v>
      </c>
      <c r="D36" s="94"/>
      <c r="E36" s="94"/>
      <c r="F36" s="94"/>
      <c r="G36" s="94"/>
      <c r="H36" s="94"/>
      <c r="I36" s="94"/>
      <c r="J36" s="94"/>
      <c r="K36" s="94"/>
      <c r="L36" s="94"/>
      <c r="M36" s="94"/>
      <c r="N36" s="94"/>
      <c r="O36" s="94"/>
      <c r="P36" s="94"/>
      <c r="Q36" s="94"/>
      <c r="R36" s="94"/>
      <c r="S36" s="95"/>
    </row>
    <row r="37" spans="1:19" ht="15" thickBot="1" x14ac:dyDescent="0.4">
      <c r="A37" s="444"/>
      <c r="B37" s="445"/>
      <c r="C37" s="98" t="s">
        <v>762</v>
      </c>
      <c r="D37" s="99"/>
      <c r="E37" s="99"/>
      <c r="F37" s="99"/>
      <c r="G37" s="99"/>
      <c r="H37" s="99"/>
      <c r="I37" s="99"/>
      <c r="J37" s="99"/>
      <c r="K37" s="99"/>
      <c r="L37" s="99"/>
      <c r="M37" s="99"/>
      <c r="N37" s="99"/>
      <c r="O37" s="99"/>
      <c r="P37" s="99"/>
      <c r="Q37" s="99"/>
      <c r="R37" s="99"/>
      <c r="S37" s="100"/>
    </row>
    <row r="38" spans="1:19" x14ac:dyDescent="0.35">
      <c r="A38" s="442" t="s">
        <v>963</v>
      </c>
      <c r="B38" s="447"/>
      <c r="C38" s="93" t="s">
        <v>999</v>
      </c>
      <c r="D38" s="94"/>
      <c r="E38" s="94"/>
      <c r="F38" s="94"/>
      <c r="G38" s="94"/>
      <c r="H38" s="94"/>
      <c r="I38" s="94"/>
      <c r="J38" s="94"/>
      <c r="K38" s="94"/>
      <c r="L38" s="94"/>
      <c r="M38" s="94"/>
      <c r="N38" s="94"/>
      <c r="O38" s="94"/>
      <c r="P38" s="94"/>
      <c r="Q38" s="94"/>
      <c r="R38" s="94"/>
      <c r="S38" s="95"/>
    </row>
    <row r="39" spans="1:19" ht="15" thickBot="1" x14ac:dyDescent="0.4">
      <c r="A39" s="444"/>
      <c r="B39" s="445"/>
      <c r="C39" s="98" t="s">
        <v>762</v>
      </c>
      <c r="D39" s="99"/>
      <c r="E39" s="99"/>
      <c r="F39" s="99"/>
      <c r="G39" s="99"/>
      <c r="H39" s="99"/>
      <c r="I39" s="99"/>
      <c r="J39" s="99"/>
      <c r="K39" s="99"/>
      <c r="L39" s="99"/>
      <c r="M39" s="99"/>
      <c r="N39" s="99"/>
      <c r="O39" s="99"/>
      <c r="P39" s="99"/>
      <c r="Q39" s="99"/>
      <c r="R39" s="99"/>
      <c r="S39" s="100"/>
    </row>
    <row r="40" spans="1:19" x14ac:dyDescent="0.35">
      <c r="A40" s="442" t="s">
        <v>964</v>
      </c>
      <c r="B40" s="447"/>
      <c r="C40" s="93" t="s">
        <v>1000</v>
      </c>
      <c r="D40" s="94"/>
      <c r="E40" s="94"/>
      <c r="F40" s="94"/>
      <c r="G40" s="94"/>
      <c r="H40" s="94"/>
      <c r="I40" s="94"/>
      <c r="J40" s="94"/>
      <c r="K40" s="94"/>
      <c r="L40" s="94"/>
      <c r="M40" s="94"/>
      <c r="N40" s="94"/>
      <c r="O40" s="94"/>
      <c r="P40" s="94"/>
      <c r="Q40" s="94"/>
      <c r="R40" s="94"/>
      <c r="S40" s="95"/>
    </row>
    <row r="41" spans="1:19" ht="15" thickBot="1" x14ac:dyDescent="0.4">
      <c r="A41" s="444"/>
      <c r="B41" s="445"/>
      <c r="C41" s="98" t="s">
        <v>1001</v>
      </c>
      <c r="D41" s="99"/>
      <c r="E41" s="99"/>
      <c r="F41" s="99"/>
      <c r="G41" s="99"/>
      <c r="H41" s="99"/>
      <c r="I41" s="99"/>
      <c r="J41" s="99"/>
      <c r="K41" s="99"/>
      <c r="L41" s="99"/>
      <c r="M41" s="99"/>
      <c r="N41" s="99"/>
      <c r="O41" s="99"/>
      <c r="P41" s="99"/>
      <c r="Q41" s="99"/>
      <c r="R41" s="99"/>
      <c r="S41" s="100"/>
    </row>
    <row r="42" spans="1:19" ht="15" x14ac:dyDescent="0.35">
      <c r="A42" s="442" t="s">
        <v>965</v>
      </c>
      <c r="B42" s="447"/>
      <c r="C42" s="93" t="s">
        <v>1002</v>
      </c>
      <c r="D42" s="94"/>
      <c r="E42" s="94"/>
      <c r="F42" s="94"/>
      <c r="G42" s="94"/>
      <c r="H42" s="94"/>
      <c r="I42" s="94"/>
      <c r="J42" s="94"/>
      <c r="K42" s="94"/>
      <c r="L42" s="94"/>
      <c r="M42" s="94"/>
      <c r="N42" s="94"/>
      <c r="O42" s="94"/>
      <c r="P42" s="94"/>
      <c r="Q42" s="94"/>
      <c r="R42" s="94"/>
      <c r="S42" s="95"/>
    </row>
    <row r="43" spans="1:19" ht="15" thickBot="1" x14ac:dyDescent="0.4">
      <c r="A43" s="444"/>
      <c r="B43" s="445"/>
      <c r="C43" s="98" t="s">
        <v>762</v>
      </c>
      <c r="D43" s="99"/>
      <c r="E43" s="99"/>
      <c r="F43" s="99"/>
      <c r="G43" s="99"/>
      <c r="H43" s="99"/>
      <c r="I43" s="99"/>
      <c r="J43" s="99"/>
      <c r="K43" s="99"/>
      <c r="L43" s="99"/>
      <c r="M43" s="99"/>
      <c r="N43" s="99"/>
      <c r="O43" s="99"/>
      <c r="P43" s="99"/>
      <c r="Q43" s="99"/>
      <c r="R43" s="99"/>
      <c r="S43" s="100"/>
    </row>
    <row r="44" spans="1:19" ht="15" x14ac:dyDescent="0.35">
      <c r="A44" s="442" t="s">
        <v>966</v>
      </c>
      <c r="B44" s="447"/>
      <c r="C44" s="93" t="s">
        <v>1003</v>
      </c>
      <c r="D44" s="94"/>
      <c r="E44" s="94"/>
      <c r="F44" s="94"/>
      <c r="G44" s="94"/>
      <c r="H44" s="94"/>
      <c r="I44" s="94"/>
      <c r="J44" s="94"/>
      <c r="K44" s="94"/>
      <c r="L44" s="94"/>
      <c r="M44" s="94"/>
      <c r="N44" s="94"/>
      <c r="O44" s="94"/>
      <c r="P44" s="94"/>
      <c r="Q44" s="94"/>
      <c r="R44" s="94"/>
      <c r="S44" s="95"/>
    </row>
    <row r="45" spans="1:19" ht="15" thickBot="1" x14ac:dyDescent="0.4">
      <c r="A45" s="111"/>
      <c r="B45" s="99"/>
      <c r="C45" s="98" t="s">
        <v>762</v>
      </c>
      <c r="D45" s="99"/>
      <c r="E45" s="99"/>
      <c r="F45" s="99"/>
      <c r="G45" s="99"/>
      <c r="H45" s="99"/>
      <c r="I45" s="99"/>
      <c r="J45" s="99"/>
      <c r="K45" s="99"/>
      <c r="L45" s="99"/>
      <c r="M45" s="99"/>
      <c r="N45" s="99"/>
      <c r="O45" s="99"/>
      <c r="P45" s="99"/>
      <c r="Q45" s="99"/>
      <c r="R45" s="99"/>
      <c r="S45" s="100"/>
    </row>
    <row r="46" spans="1:19" x14ac:dyDescent="0.35">
      <c r="A46" s="442" t="s">
        <v>1004</v>
      </c>
      <c r="B46" s="92"/>
      <c r="C46" s="93" t="s">
        <v>1005</v>
      </c>
      <c r="D46" s="94"/>
      <c r="E46" s="94"/>
      <c r="F46" s="94"/>
      <c r="G46" s="94"/>
      <c r="H46" s="94"/>
      <c r="I46" s="94"/>
      <c r="J46" s="94"/>
      <c r="K46" s="94"/>
      <c r="L46" s="94"/>
      <c r="M46" s="94"/>
      <c r="N46" s="94"/>
      <c r="O46" s="94"/>
      <c r="P46" s="94"/>
      <c r="Q46" s="94"/>
      <c r="R46" s="94"/>
      <c r="S46" s="95"/>
    </row>
    <row r="47" spans="1:19" x14ac:dyDescent="0.35">
      <c r="A47" s="311"/>
      <c r="B47" s="437">
        <v>0.25</v>
      </c>
      <c r="C47" s="349" t="s">
        <v>1006</v>
      </c>
      <c r="D47" s="67"/>
      <c r="E47" s="67"/>
      <c r="F47" s="67"/>
      <c r="G47" s="67"/>
      <c r="H47" s="67"/>
      <c r="I47" s="67"/>
      <c r="J47" s="67"/>
      <c r="K47" s="67"/>
      <c r="L47" s="67"/>
      <c r="M47" s="67"/>
      <c r="N47" s="67"/>
      <c r="O47" s="67"/>
      <c r="P47" s="67"/>
      <c r="Q47" s="67"/>
      <c r="R47" s="67"/>
      <c r="S47" s="310"/>
    </row>
    <row r="48" spans="1:19" ht="15" thickBot="1" x14ac:dyDescent="0.4">
      <c r="A48" s="311"/>
      <c r="B48" s="437">
        <v>7.0000000000000007E-2</v>
      </c>
      <c r="C48" s="349" t="s">
        <v>1007</v>
      </c>
      <c r="D48" s="67"/>
      <c r="E48" s="67"/>
      <c r="F48" s="67"/>
      <c r="G48" s="67"/>
      <c r="H48" s="67"/>
      <c r="I48" s="67"/>
      <c r="J48" s="67"/>
      <c r="K48" s="67"/>
      <c r="L48" s="67"/>
      <c r="M48" s="67"/>
      <c r="N48" s="67"/>
      <c r="O48" s="67"/>
      <c r="P48" s="67"/>
      <c r="Q48" s="67"/>
      <c r="R48" s="67"/>
      <c r="S48" s="310"/>
    </row>
    <row r="49" spans="1:19" x14ac:dyDescent="0.35">
      <c r="A49" s="442" t="s">
        <v>845</v>
      </c>
      <c r="B49" s="94"/>
      <c r="C49" s="93" t="s">
        <v>890</v>
      </c>
      <c r="D49" s="94"/>
      <c r="E49" s="94"/>
      <c r="F49" s="94"/>
      <c r="G49" s="94"/>
      <c r="H49" s="94"/>
      <c r="I49" s="94"/>
      <c r="J49" s="94"/>
      <c r="K49" s="94"/>
      <c r="L49" s="94"/>
      <c r="M49" s="94"/>
      <c r="N49" s="94"/>
      <c r="O49" s="94"/>
      <c r="P49" s="94"/>
      <c r="Q49" s="94"/>
      <c r="R49" s="94"/>
      <c r="S49" s="95"/>
    </row>
    <row r="50" spans="1:19" ht="15" thickBot="1" x14ac:dyDescent="0.4">
      <c r="A50" s="111"/>
      <c r="B50" s="99"/>
      <c r="C50" s="108" t="s">
        <v>1008</v>
      </c>
      <c r="D50" s="99"/>
      <c r="E50" s="99"/>
      <c r="F50" s="99"/>
      <c r="G50" s="99"/>
      <c r="H50" s="99"/>
      <c r="I50" s="99"/>
      <c r="J50" s="99"/>
      <c r="K50" s="99"/>
      <c r="L50" s="99"/>
      <c r="M50" s="99"/>
      <c r="N50" s="99"/>
      <c r="O50" s="99"/>
      <c r="P50" s="99"/>
      <c r="Q50" s="99"/>
      <c r="R50" s="99"/>
      <c r="S50" s="100"/>
    </row>
    <row r="51" spans="1:19" x14ac:dyDescent="0.35">
      <c r="A51" s="442" t="s">
        <v>846</v>
      </c>
      <c r="B51" s="94">
        <v>0.75</v>
      </c>
      <c r="C51" s="93" t="s">
        <v>1009</v>
      </c>
      <c r="D51" s="94"/>
      <c r="E51" s="94"/>
      <c r="F51" s="94"/>
      <c r="G51" s="94"/>
      <c r="H51" s="94"/>
      <c r="I51" s="94"/>
      <c r="J51" s="94"/>
      <c r="K51" s="94"/>
      <c r="L51" s="94"/>
      <c r="M51" s="94"/>
      <c r="N51" s="94"/>
      <c r="O51" s="94"/>
      <c r="P51" s="94"/>
      <c r="Q51" s="94"/>
      <c r="R51" s="94"/>
      <c r="S51" s="95"/>
    </row>
    <row r="52" spans="1:19" ht="15" thickBot="1" x14ac:dyDescent="0.4">
      <c r="A52" s="111"/>
      <c r="B52" s="99"/>
      <c r="C52" s="108" t="s">
        <v>787</v>
      </c>
      <c r="D52" s="99"/>
      <c r="E52" s="99"/>
      <c r="F52" s="99"/>
      <c r="G52" s="99"/>
      <c r="H52" s="99"/>
      <c r="I52" s="99"/>
      <c r="J52" s="99"/>
      <c r="K52" s="99"/>
      <c r="L52" s="99"/>
      <c r="M52" s="99"/>
      <c r="N52" s="99"/>
      <c r="O52" s="99"/>
      <c r="P52" s="99"/>
      <c r="Q52" s="99"/>
      <c r="R52" s="99"/>
      <c r="S52" s="100"/>
    </row>
    <row r="53" spans="1:19" x14ac:dyDescent="0.35">
      <c r="A53" s="442" t="s">
        <v>713</v>
      </c>
      <c r="B53" s="94"/>
      <c r="C53" s="93" t="s">
        <v>1010</v>
      </c>
      <c r="D53" s="94"/>
      <c r="E53" s="94"/>
      <c r="F53" s="94"/>
      <c r="G53" s="94"/>
      <c r="H53" s="94"/>
      <c r="I53" s="94"/>
      <c r="J53" s="94"/>
      <c r="K53" s="94"/>
      <c r="L53" s="94"/>
      <c r="M53" s="94"/>
      <c r="N53" s="94"/>
      <c r="O53" s="94"/>
      <c r="P53" s="94"/>
      <c r="Q53" s="94"/>
      <c r="R53" s="94"/>
      <c r="S53" s="95"/>
    </row>
    <row r="54" spans="1:19" ht="15" thickBot="1" x14ac:dyDescent="0.4">
      <c r="A54" s="111"/>
      <c r="B54" s="99"/>
      <c r="C54" s="99" t="s">
        <v>1011</v>
      </c>
      <c r="D54" s="99"/>
      <c r="E54" s="99"/>
      <c r="F54" s="99"/>
      <c r="G54" s="99"/>
      <c r="H54" s="99"/>
      <c r="I54" s="99"/>
      <c r="J54" s="99"/>
      <c r="K54" s="99"/>
      <c r="L54" s="99"/>
      <c r="M54" s="99"/>
      <c r="N54" s="99"/>
      <c r="O54" s="99"/>
      <c r="P54" s="99"/>
      <c r="Q54" s="99"/>
      <c r="R54" s="99"/>
      <c r="S54" s="100"/>
    </row>
    <row r="55" spans="1:19" x14ac:dyDescent="0.35">
      <c r="A55" s="442" t="s">
        <v>849</v>
      </c>
      <c r="B55" s="101"/>
      <c r="C55" s="93" t="s">
        <v>1012</v>
      </c>
      <c r="D55" s="94"/>
      <c r="E55" s="94"/>
      <c r="F55" s="94"/>
      <c r="G55" s="94"/>
      <c r="H55" s="94"/>
      <c r="I55" s="94"/>
      <c r="J55" s="94"/>
      <c r="K55" s="94"/>
      <c r="L55" s="94"/>
      <c r="M55" s="94"/>
      <c r="N55" s="94"/>
      <c r="O55" s="94"/>
      <c r="P55" s="94"/>
      <c r="Q55" s="94"/>
      <c r="R55" s="94"/>
      <c r="S55" s="95"/>
    </row>
    <row r="56" spans="1:19" ht="15" thickBot="1" x14ac:dyDescent="0.4">
      <c r="A56" s="111"/>
      <c r="B56" s="99"/>
      <c r="C56" s="108" t="s">
        <v>1008</v>
      </c>
      <c r="D56" s="99"/>
      <c r="E56" s="99"/>
      <c r="F56" s="99"/>
      <c r="G56" s="99"/>
      <c r="H56" s="99"/>
      <c r="I56" s="99"/>
      <c r="J56" s="99"/>
      <c r="K56" s="99"/>
      <c r="L56" s="99"/>
      <c r="M56" s="99"/>
      <c r="N56" s="99"/>
      <c r="O56" s="99"/>
      <c r="P56" s="99"/>
      <c r="Q56" s="99"/>
      <c r="R56" s="99"/>
      <c r="S56" s="100"/>
    </row>
    <row r="57" spans="1:19" x14ac:dyDescent="0.35">
      <c r="A57" s="442" t="s">
        <v>850</v>
      </c>
      <c r="B57" s="94" t="s">
        <v>1013</v>
      </c>
      <c r="C57" s="93" t="s">
        <v>902</v>
      </c>
      <c r="D57" s="94"/>
      <c r="E57" s="94"/>
      <c r="F57" s="94"/>
      <c r="G57" s="94"/>
      <c r="H57" s="94"/>
      <c r="I57" s="94"/>
      <c r="J57" s="94"/>
      <c r="K57" s="94"/>
      <c r="L57" s="94"/>
      <c r="M57" s="94"/>
      <c r="N57" s="94"/>
      <c r="O57" s="94"/>
      <c r="P57" s="94"/>
      <c r="Q57" s="94"/>
      <c r="R57" s="94"/>
      <c r="S57" s="95"/>
    </row>
    <row r="58" spans="1:19" ht="15" thickBot="1" x14ac:dyDescent="0.4">
      <c r="A58" s="111"/>
      <c r="B58" s="99"/>
      <c r="C58" s="98" t="s">
        <v>903</v>
      </c>
      <c r="D58" s="99"/>
      <c r="E58" s="99"/>
      <c r="F58" s="99"/>
      <c r="G58" s="99"/>
      <c r="H58" s="99"/>
      <c r="I58" s="99"/>
      <c r="J58" s="99"/>
      <c r="K58" s="99"/>
      <c r="L58" s="99"/>
      <c r="M58" s="99"/>
      <c r="N58" s="99"/>
      <c r="O58" s="99"/>
      <c r="P58" s="99"/>
      <c r="Q58" s="99"/>
      <c r="R58" s="99"/>
      <c r="S58" s="100"/>
    </row>
    <row r="59" spans="1:19" x14ac:dyDescent="0.35">
      <c r="A59" s="448" t="s">
        <v>850</v>
      </c>
      <c r="B59" s="449">
        <v>0.72</v>
      </c>
      <c r="C59" s="115" t="s">
        <v>905</v>
      </c>
      <c r="D59" s="104"/>
      <c r="E59" s="104"/>
      <c r="F59" s="104"/>
      <c r="G59" s="104"/>
      <c r="H59" s="104"/>
      <c r="I59" s="104"/>
      <c r="J59" s="104"/>
      <c r="K59" s="104"/>
      <c r="L59" s="104"/>
      <c r="M59" s="104"/>
      <c r="N59" s="104"/>
      <c r="O59" s="104"/>
      <c r="P59" s="104"/>
      <c r="Q59" s="104"/>
      <c r="R59" s="104"/>
      <c r="S59" s="105"/>
    </row>
    <row r="60" spans="1:19" ht="15" thickBot="1" x14ac:dyDescent="0.4">
      <c r="A60" s="450"/>
      <c r="B60" s="109"/>
      <c r="C60" s="108" t="s">
        <v>906</v>
      </c>
      <c r="D60" s="109"/>
      <c r="E60" s="109"/>
      <c r="F60" s="109"/>
      <c r="G60" s="109"/>
      <c r="H60" s="109"/>
      <c r="I60" s="109"/>
      <c r="J60" s="109"/>
      <c r="K60" s="109"/>
      <c r="L60" s="109"/>
      <c r="M60" s="109"/>
      <c r="N60" s="109"/>
      <c r="O60" s="109"/>
      <c r="P60" s="109"/>
      <c r="Q60" s="109"/>
      <c r="R60" s="109"/>
      <c r="S60" s="110"/>
    </row>
    <row r="61" spans="1:19" x14ac:dyDescent="0.35">
      <c r="A61" s="345" t="s">
        <v>1014</v>
      </c>
      <c r="B61" s="283">
        <v>0.8</v>
      </c>
      <c r="C61" s="349" t="s">
        <v>1015</v>
      </c>
      <c r="D61" s="184"/>
      <c r="E61" s="184"/>
      <c r="F61" s="184"/>
      <c r="G61" s="184"/>
      <c r="H61" s="184"/>
      <c r="I61" s="184"/>
      <c r="J61" s="184"/>
      <c r="K61" s="184"/>
      <c r="L61" s="184"/>
      <c r="M61" s="184"/>
      <c r="N61" s="184"/>
      <c r="O61" s="184"/>
      <c r="P61" s="184"/>
      <c r="Q61" s="184"/>
      <c r="R61" s="184"/>
      <c r="S61" s="347"/>
    </row>
    <row r="62" spans="1:19" ht="15" thickBot="1" x14ac:dyDescent="0.4">
      <c r="A62" s="345"/>
      <c r="B62" s="184"/>
      <c r="C62" s="349" t="s">
        <v>1016</v>
      </c>
      <c r="D62" s="184"/>
      <c r="E62" s="184"/>
      <c r="F62" s="184"/>
      <c r="G62" s="184"/>
      <c r="H62" s="184"/>
      <c r="I62" s="184"/>
      <c r="J62" s="184"/>
      <c r="K62" s="184"/>
      <c r="L62" s="184"/>
      <c r="M62" s="184"/>
      <c r="N62" s="184"/>
      <c r="O62" s="184"/>
      <c r="P62" s="184"/>
      <c r="Q62" s="184"/>
      <c r="R62" s="184"/>
      <c r="S62" s="347"/>
    </row>
    <row r="63" spans="1:19" x14ac:dyDescent="0.35">
      <c r="A63" s="448" t="s">
        <v>851</v>
      </c>
      <c r="B63" s="94"/>
      <c r="C63" s="93" t="s">
        <v>904</v>
      </c>
      <c r="D63" s="94"/>
      <c r="E63" s="94"/>
      <c r="F63" s="94"/>
      <c r="G63" s="94"/>
      <c r="H63" s="94"/>
      <c r="I63" s="94"/>
      <c r="J63" s="94"/>
      <c r="K63" s="94"/>
      <c r="L63" s="94"/>
      <c r="M63" s="94"/>
      <c r="N63" s="94"/>
      <c r="O63" s="94"/>
      <c r="P63" s="94"/>
      <c r="Q63" s="94"/>
      <c r="R63" s="94"/>
      <c r="S63" s="95"/>
    </row>
    <row r="64" spans="1:19" ht="15" thickBot="1" x14ac:dyDescent="0.4">
      <c r="A64" s="111"/>
      <c r="B64" s="99"/>
      <c r="C64" s="108" t="s">
        <v>891</v>
      </c>
      <c r="D64" s="99"/>
      <c r="E64" s="99"/>
      <c r="F64" s="99"/>
      <c r="G64" s="99"/>
      <c r="H64" s="99"/>
      <c r="I64" s="99"/>
      <c r="J64" s="99"/>
      <c r="K64" s="99"/>
      <c r="L64" s="99"/>
      <c r="M64" s="99"/>
      <c r="N64" s="99"/>
      <c r="O64" s="99"/>
      <c r="P64" s="99"/>
      <c r="Q64" s="99"/>
      <c r="R64" s="99"/>
      <c r="S64" s="100"/>
    </row>
    <row r="65" spans="1:28" x14ac:dyDescent="0.35">
      <c r="A65" s="448" t="s">
        <v>615</v>
      </c>
      <c r="B65" s="327">
        <v>0.91500000000000004</v>
      </c>
      <c r="C65" s="115" t="s">
        <v>1017</v>
      </c>
      <c r="D65" s="94"/>
      <c r="E65" s="94"/>
      <c r="F65" s="94"/>
      <c r="G65" s="94"/>
      <c r="H65" s="94"/>
      <c r="I65" s="94"/>
      <c r="J65" s="94"/>
      <c r="K65" s="94"/>
      <c r="L65" s="94"/>
      <c r="M65" s="94"/>
      <c r="N65" s="94"/>
      <c r="O65" s="94"/>
      <c r="P65" s="94"/>
      <c r="Q65" s="94"/>
      <c r="R65" s="94"/>
      <c r="S65" s="95"/>
    </row>
    <row r="66" spans="1:28" ht="15" thickBot="1" x14ac:dyDescent="0.4">
      <c r="A66" s="111"/>
      <c r="B66" s="99"/>
      <c r="C66" s="108" t="s">
        <v>787</v>
      </c>
      <c r="D66" s="99"/>
      <c r="E66" s="99"/>
      <c r="F66" s="99"/>
      <c r="G66" s="99"/>
      <c r="H66" s="99"/>
      <c r="I66" s="99"/>
      <c r="J66" s="99"/>
      <c r="K66" s="99"/>
      <c r="L66" s="99"/>
      <c r="M66" s="99"/>
      <c r="N66" s="99"/>
      <c r="O66" s="99"/>
      <c r="P66" s="99"/>
      <c r="Q66" s="99"/>
      <c r="R66" s="99"/>
      <c r="S66" s="100"/>
    </row>
    <row r="67" spans="1:28" ht="15" x14ac:dyDescent="0.4">
      <c r="A67" s="2010" t="s">
        <v>3459</v>
      </c>
      <c r="B67" s="2016">
        <v>0.72</v>
      </c>
      <c r="C67" s="115" t="s">
        <v>1018</v>
      </c>
      <c r="D67" s="104"/>
      <c r="E67" s="104"/>
      <c r="F67" s="104"/>
      <c r="G67" s="104"/>
      <c r="H67" s="104"/>
      <c r="I67" s="104"/>
      <c r="J67" s="104"/>
      <c r="K67" s="104"/>
      <c r="L67" s="104"/>
      <c r="M67" s="104"/>
      <c r="N67" s="104"/>
      <c r="O67" s="104"/>
      <c r="P67" s="104"/>
      <c r="Q67" s="104"/>
      <c r="R67" s="104"/>
      <c r="S67" s="105"/>
      <c r="AB67" t="s">
        <v>364</v>
      </c>
    </row>
    <row r="68" spans="1:28" ht="15.5" thickBot="1" x14ac:dyDescent="0.45">
      <c r="A68" s="2010" t="s">
        <v>3460</v>
      </c>
      <c r="B68" s="2017">
        <v>0.6</v>
      </c>
      <c r="C68" s="349"/>
      <c r="D68" s="184"/>
      <c r="E68" s="184"/>
      <c r="F68" s="184"/>
      <c r="G68" s="184"/>
      <c r="H68" s="184"/>
      <c r="I68" s="184"/>
      <c r="J68" s="184"/>
      <c r="K68" s="184"/>
      <c r="L68" s="184"/>
      <c r="M68" s="184"/>
      <c r="N68" s="184"/>
      <c r="O68" s="184"/>
      <c r="P68" s="184"/>
      <c r="Q68" s="184"/>
      <c r="R68" s="184"/>
      <c r="S68" s="347"/>
    </row>
    <row r="69" spans="1:28" x14ac:dyDescent="0.35">
      <c r="A69" s="448" t="s">
        <v>380</v>
      </c>
      <c r="B69" s="112">
        <v>3.1399999999999997E-2</v>
      </c>
      <c r="C69" s="115" t="s">
        <v>426</v>
      </c>
      <c r="D69" s="94"/>
      <c r="E69" s="94"/>
      <c r="F69" s="94"/>
      <c r="G69" s="94"/>
      <c r="H69" s="94"/>
      <c r="I69" s="94"/>
      <c r="J69" s="94"/>
      <c r="K69" s="94"/>
      <c r="L69" s="94"/>
      <c r="M69" s="94"/>
      <c r="N69" s="94"/>
      <c r="O69" s="94"/>
      <c r="P69" s="94"/>
      <c r="Q69" s="94"/>
      <c r="R69" s="94"/>
      <c r="S69" s="95"/>
    </row>
    <row r="70" spans="1:28" ht="15" thickBot="1" x14ac:dyDescent="0.4">
      <c r="A70" s="111"/>
      <c r="B70" s="99"/>
      <c r="C70" s="108" t="s">
        <v>787</v>
      </c>
      <c r="D70" s="99"/>
      <c r="E70" s="99"/>
      <c r="F70" s="99"/>
      <c r="G70" s="99"/>
      <c r="H70" s="99"/>
      <c r="I70" s="99"/>
      <c r="J70" s="99"/>
      <c r="K70" s="99"/>
      <c r="L70" s="99"/>
      <c r="M70" s="99"/>
      <c r="N70" s="99"/>
      <c r="O70" s="99"/>
      <c r="P70" s="99"/>
      <c r="Q70" s="99"/>
      <c r="R70" s="99"/>
      <c r="S70" s="100"/>
    </row>
    <row r="71" spans="1:28" x14ac:dyDescent="0.35">
      <c r="A71" s="118" t="s">
        <v>443</v>
      </c>
      <c r="B71" s="1926">
        <v>20</v>
      </c>
      <c r="C71" s="1926" t="s">
        <v>537</v>
      </c>
      <c r="D71" s="1926"/>
      <c r="E71" s="1926"/>
      <c r="F71" s="1926"/>
      <c r="G71" s="94"/>
      <c r="H71" s="94"/>
      <c r="I71" s="94"/>
      <c r="J71" s="94"/>
      <c r="K71" s="94"/>
      <c r="L71" s="94"/>
      <c r="M71" s="94"/>
      <c r="N71" s="94"/>
      <c r="O71" s="94"/>
      <c r="P71" s="94"/>
      <c r="Q71" s="94"/>
      <c r="R71" s="94"/>
      <c r="S71" s="95"/>
    </row>
    <row r="72" spans="1:28" ht="15" thickBot="1" x14ac:dyDescent="0.4">
      <c r="A72" s="111"/>
      <c r="B72" s="99"/>
      <c r="C72" s="99" t="s">
        <v>787</v>
      </c>
      <c r="D72" s="99"/>
      <c r="E72" s="99"/>
      <c r="F72" s="99"/>
      <c r="G72" s="99"/>
      <c r="H72" s="99"/>
      <c r="I72" s="99"/>
      <c r="J72" s="99"/>
      <c r="K72" s="99"/>
      <c r="L72" s="99"/>
      <c r="M72" s="99"/>
      <c r="N72" s="99"/>
      <c r="O72" s="99"/>
      <c r="P72" s="99"/>
      <c r="Q72" s="99"/>
      <c r="R72" s="99"/>
      <c r="S72" s="100"/>
    </row>
    <row r="73" spans="1:28" ht="15" thickBot="1" x14ac:dyDescent="0.4">
      <c r="A73" s="119" t="s">
        <v>344</v>
      </c>
      <c r="B73" s="451"/>
      <c r="C73" s="451"/>
      <c r="D73" s="451"/>
      <c r="E73" s="451"/>
      <c r="F73" s="451"/>
      <c r="G73" s="451"/>
      <c r="H73" s="451"/>
      <c r="I73" s="451"/>
      <c r="J73" s="451"/>
      <c r="K73" s="451"/>
      <c r="L73" s="451"/>
      <c r="M73" s="451"/>
      <c r="N73" s="451"/>
      <c r="O73" s="451"/>
      <c r="P73" s="451"/>
      <c r="Q73" s="451"/>
      <c r="R73" s="451"/>
      <c r="S73" s="121"/>
    </row>
    <row r="75" spans="1:28" ht="15" thickBot="1" x14ac:dyDescent="0.4"/>
    <row r="76" spans="1:28" ht="15" thickBot="1" x14ac:dyDescent="0.4">
      <c r="A76" s="122" t="s">
        <v>446</v>
      </c>
      <c r="B76" s="123"/>
      <c r="C76" s="78"/>
      <c r="D76" s="78"/>
      <c r="E76" s="78"/>
      <c r="F76" s="78"/>
      <c r="G76" s="78"/>
      <c r="H76" s="78"/>
      <c r="I76" s="78"/>
      <c r="J76" s="78"/>
      <c r="K76" s="78"/>
      <c r="L76" s="78"/>
      <c r="M76" s="78"/>
      <c r="N76" s="78"/>
      <c r="O76" s="78"/>
      <c r="P76" s="78"/>
      <c r="Q76" s="79"/>
    </row>
    <row r="77" spans="1:28" ht="15" thickBot="1" x14ac:dyDescent="0.4">
      <c r="A77" s="124"/>
      <c r="B77" s="83"/>
      <c r="C77" s="83"/>
      <c r="D77" s="83"/>
      <c r="E77" s="83"/>
      <c r="F77" s="83"/>
      <c r="G77" s="83"/>
      <c r="H77" s="83"/>
      <c r="I77" s="83"/>
      <c r="J77" s="83"/>
      <c r="K77" s="83"/>
      <c r="L77" s="83"/>
      <c r="M77" s="83"/>
      <c r="N77" s="83"/>
      <c r="O77" s="83"/>
      <c r="P77" s="83"/>
      <c r="Q77" s="125"/>
    </row>
    <row r="78" spans="1:28" ht="78.5" thickBot="1" x14ac:dyDescent="0.4">
      <c r="A78" s="124"/>
      <c r="B78" s="452" t="s">
        <v>370</v>
      </c>
      <c r="C78" s="453" t="s">
        <v>930</v>
      </c>
      <c r="D78" s="363" t="s">
        <v>931</v>
      </c>
      <c r="E78" s="454" t="s">
        <v>1020</v>
      </c>
      <c r="F78" s="454" t="s">
        <v>1021</v>
      </c>
      <c r="G78" s="83"/>
      <c r="H78" s="83"/>
      <c r="I78" s="455" t="s">
        <v>693</v>
      </c>
      <c r="J78" s="456" t="s">
        <v>691</v>
      </c>
      <c r="K78" s="456" t="s">
        <v>801</v>
      </c>
      <c r="L78" s="456" t="s">
        <v>1022</v>
      </c>
      <c r="M78" s="83"/>
      <c r="N78" s="83"/>
      <c r="O78" s="83"/>
      <c r="P78" s="83"/>
      <c r="Q78" s="125"/>
    </row>
    <row r="79" spans="1:28" ht="25.5" customHeight="1" thickBot="1" x14ac:dyDescent="0.4">
      <c r="A79" s="124"/>
      <c r="B79" s="131" t="s">
        <v>457</v>
      </c>
      <c r="C79" s="404">
        <v>820</v>
      </c>
      <c r="D79" s="132">
        <v>5352</v>
      </c>
      <c r="E79" s="126">
        <v>512</v>
      </c>
      <c r="F79" s="126">
        <v>467</v>
      </c>
      <c r="G79" s="83"/>
      <c r="H79" s="83"/>
      <c r="I79" s="2450" t="s">
        <v>737</v>
      </c>
      <c r="J79" s="457" t="s">
        <v>803</v>
      </c>
      <c r="K79" s="458">
        <v>6.8</v>
      </c>
      <c r="L79" s="458">
        <v>1.7</v>
      </c>
      <c r="M79" s="83"/>
      <c r="N79" s="83"/>
      <c r="O79" s="83"/>
      <c r="P79" s="83"/>
      <c r="Q79" s="125"/>
    </row>
    <row r="80" spans="1:28" ht="15" thickBot="1" x14ac:dyDescent="0.4">
      <c r="A80" s="124"/>
      <c r="B80" s="131" t="s">
        <v>459</v>
      </c>
      <c r="C80" s="404">
        <v>842</v>
      </c>
      <c r="D80" s="132">
        <v>5113</v>
      </c>
      <c r="E80" s="126">
        <v>570</v>
      </c>
      <c r="F80" s="126">
        <v>506</v>
      </c>
      <c r="G80" s="83"/>
      <c r="H80" s="83"/>
      <c r="I80" s="2451"/>
      <c r="J80" s="457" t="s">
        <v>1023</v>
      </c>
      <c r="K80" s="458">
        <v>7.7</v>
      </c>
      <c r="L80" s="458">
        <v>1.92</v>
      </c>
      <c r="M80" s="83"/>
      <c r="N80" s="83"/>
      <c r="O80" s="83"/>
      <c r="P80" s="83"/>
      <c r="Q80" s="125"/>
    </row>
    <row r="81" spans="1:17" ht="15" thickBot="1" x14ac:dyDescent="0.4">
      <c r="A81" s="124"/>
      <c r="B81" s="131" t="s">
        <v>461</v>
      </c>
      <c r="C81" s="459">
        <v>1108</v>
      </c>
      <c r="D81" s="132">
        <v>4379</v>
      </c>
      <c r="E81" s="126">
        <v>730</v>
      </c>
      <c r="F81" s="126">
        <v>663</v>
      </c>
      <c r="G81" s="83"/>
      <c r="H81" s="83"/>
      <c r="I81" s="2452"/>
      <c r="J81" s="457" t="s">
        <v>1024</v>
      </c>
      <c r="K81" s="458">
        <v>8.1999999999999993</v>
      </c>
      <c r="L81" s="458">
        <v>2.4</v>
      </c>
      <c r="M81" s="83"/>
      <c r="N81" s="83"/>
      <c r="O81" s="83"/>
      <c r="P81" s="83"/>
      <c r="Q81" s="125"/>
    </row>
    <row r="82" spans="1:17" ht="15" customHeight="1" thickBot="1" x14ac:dyDescent="0.4">
      <c r="A82" s="124"/>
      <c r="B82" s="131" t="s">
        <v>463</v>
      </c>
      <c r="C82" s="459">
        <v>1570</v>
      </c>
      <c r="D82" s="132">
        <v>3378</v>
      </c>
      <c r="E82" s="133">
        <v>1035</v>
      </c>
      <c r="F82" s="126">
        <v>940</v>
      </c>
      <c r="G82" s="83"/>
      <c r="H82" s="83"/>
      <c r="I82" s="460" t="s">
        <v>806</v>
      </c>
      <c r="J82" s="457" t="s">
        <v>357</v>
      </c>
      <c r="K82" s="458" t="s">
        <v>357</v>
      </c>
      <c r="L82" s="458">
        <v>1</v>
      </c>
      <c r="M82" s="83"/>
      <c r="N82" s="83"/>
      <c r="O82" s="83"/>
      <c r="P82" s="83"/>
      <c r="Q82" s="125"/>
    </row>
    <row r="83" spans="1:17" x14ac:dyDescent="0.35">
      <c r="A83" s="124"/>
      <c r="B83" s="131" t="s">
        <v>464</v>
      </c>
      <c r="C83" s="461">
        <v>1370</v>
      </c>
      <c r="D83" s="133">
        <v>3438</v>
      </c>
      <c r="E83" s="126">
        <v>903</v>
      </c>
      <c r="F83" s="126">
        <v>820</v>
      </c>
      <c r="G83" s="83"/>
      <c r="H83" s="83"/>
      <c r="I83" s="83"/>
      <c r="J83" s="83"/>
      <c r="K83" s="83"/>
      <c r="L83" s="83"/>
      <c r="M83" s="83"/>
      <c r="N83" s="83"/>
      <c r="O83" s="83"/>
      <c r="P83" s="83"/>
      <c r="Q83" s="125"/>
    </row>
    <row r="84" spans="1:17" x14ac:dyDescent="0.35">
      <c r="A84" s="124"/>
      <c r="B84" s="462" t="s">
        <v>399</v>
      </c>
      <c r="C84" s="367">
        <v>947</v>
      </c>
      <c r="D84" s="133">
        <v>4860</v>
      </c>
      <c r="E84" s="126">
        <v>629</v>
      </c>
      <c r="F84" s="126">
        <v>564</v>
      </c>
      <c r="G84" s="83"/>
      <c r="H84" s="83"/>
      <c r="I84" s="83"/>
      <c r="J84" s="83"/>
      <c r="K84" s="83"/>
      <c r="L84" s="83"/>
      <c r="M84" s="83"/>
      <c r="N84" s="83"/>
      <c r="O84" s="83"/>
      <c r="P84" s="83"/>
      <c r="Q84" s="125"/>
    </row>
    <row r="85" spans="1:17" x14ac:dyDescent="0.35">
      <c r="A85" s="124"/>
      <c r="B85" s="462" t="s">
        <v>738</v>
      </c>
      <c r="C85" s="367">
        <f>C79*$D$89+C80*$D$90+C81*$D$91</f>
        <v>862</v>
      </c>
      <c r="D85" s="133">
        <f>D79*$D$89+D80*$D$90+D81*$D$91</f>
        <v>5111.2999999999993</v>
      </c>
      <c r="E85" s="126">
        <f>E79*$D$89+E80*$D$90+E81*$D$91</f>
        <v>568.6</v>
      </c>
      <c r="F85" s="126">
        <f>F79*$D$89+F80*$D$90+F81*$D$91</f>
        <v>509.99999999999994</v>
      </c>
      <c r="G85" s="83"/>
      <c r="H85" s="83"/>
      <c r="I85" s="83"/>
      <c r="J85" s="83"/>
      <c r="K85" s="83"/>
      <c r="L85" s="83"/>
      <c r="M85" s="83"/>
      <c r="N85" s="83"/>
      <c r="O85" s="83"/>
      <c r="P85" s="83"/>
      <c r="Q85" s="125"/>
    </row>
    <row r="86" spans="1:17" x14ac:dyDescent="0.35">
      <c r="A86" s="124"/>
      <c r="B86" s="83"/>
      <c r="C86" s="83"/>
      <c r="D86" s="83"/>
      <c r="E86" s="83"/>
      <c r="F86" s="83"/>
      <c r="G86" s="83"/>
      <c r="H86" s="83"/>
      <c r="I86" s="83"/>
      <c r="J86" s="83"/>
      <c r="K86" s="83"/>
      <c r="L86" s="83"/>
      <c r="M86" s="83"/>
      <c r="N86" s="83"/>
      <c r="O86" s="83"/>
      <c r="P86" s="83"/>
      <c r="Q86" s="125"/>
    </row>
    <row r="87" spans="1:17" x14ac:dyDescent="0.35">
      <c r="A87" s="124"/>
      <c r="B87" s="83"/>
      <c r="C87" s="83"/>
      <c r="D87" s="83"/>
      <c r="E87" s="83"/>
      <c r="F87" s="83"/>
      <c r="G87" s="83"/>
      <c r="H87" s="83"/>
      <c r="I87" s="83"/>
      <c r="J87" s="83"/>
      <c r="K87" s="83"/>
      <c r="L87" s="83"/>
      <c r="M87" s="83"/>
      <c r="N87" s="83"/>
      <c r="O87" s="83"/>
      <c r="P87" s="83"/>
      <c r="Q87" s="125"/>
    </row>
    <row r="88" spans="1:17" x14ac:dyDescent="0.35">
      <c r="A88" s="124"/>
      <c r="B88" s="2445" t="s">
        <v>825</v>
      </c>
      <c r="C88" s="2297"/>
      <c r="D88" s="2250"/>
      <c r="E88" s="83"/>
      <c r="F88" s="83"/>
      <c r="G88" s="83"/>
      <c r="H88" s="83"/>
      <c r="I88" s="83"/>
      <c r="J88" s="83"/>
      <c r="K88" s="83"/>
      <c r="L88" s="83"/>
      <c r="M88" s="83"/>
      <c r="N88" s="83"/>
      <c r="O88" s="83"/>
      <c r="P88" s="83"/>
      <c r="Q88" s="125"/>
    </row>
    <row r="89" spans="1:17" x14ac:dyDescent="0.35">
      <c r="A89" s="124"/>
      <c r="B89" s="360" t="s">
        <v>458</v>
      </c>
      <c r="C89" s="62" t="s">
        <v>826</v>
      </c>
      <c r="D89" s="62">
        <v>0.3</v>
      </c>
      <c r="E89" s="83"/>
      <c r="F89" s="83"/>
      <c r="G89" s="83"/>
      <c r="H89" s="83"/>
      <c r="I89" s="83"/>
      <c r="J89" s="83"/>
      <c r="K89" s="83"/>
      <c r="L89" s="83"/>
      <c r="M89" s="83"/>
      <c r="N89" s="83"/>
      <c r="O89" s="83"/>
      <c r="P89" s="83"/>
      <c r="Q89" s="125"/>
    </row>
    <row r="90" spans="1:17" x14ac:dyDescent="0.35">
      <c r="A90" s="124"/>
      <c r="B90" s="360" t="s">
        <v>460</v>
      </c>
      <c r="C90" s="62" t="s">
        <v>827</v>
      </c>
      <c r="D90" s="62">
        <v>0.6</v>
      </c>
      <c r="E90" s="83"/>
      <c r="F90" s="83"/>
      <c r="G90" s="83"/>
      <c r="H90" s="83"/>
      <c r="I90" s="83"/>
      <c r="J90" s="83"/>
      <c r="K90" s="83"/>
      <c r="L90" s="83"/>
      <c r="M90" s="83"/>
      <c r="N90" s="83"/>
      <c r="O90" s="83"/>
      <c r="P90" s="83"/>
      <c r="Q90" s="125"/>
    </row>
    <row r="91" spans="1:17" x14ac:dyDescent="0.35">
      <c r="A91" s="124"/>
      <c r="B91" s="360" t="s">
        <v>462</v>
      </c>
      <c r="C91" s="62" t="s">
        <v>828</v>
      </c>
      <c r="D91" s="62">
        <v>0.1</v>
      </c>
      <c r="E91" s="83"/>
      <c r="F91" s="83"/>
      <c r="G91" s="83"/>
      <c r="H91" s="83"/>
      <c r="I91" s="83"/>
      <c r="J91" s="83"/>
      <c r="K91" s="83"/>
      <c r="L91" s="83"/>
      <c r="M91" s="83"/>
      <c r="N91" s="83"/>
      <c r="O91" s="83"/>
      <c r="P91" s="83"/>
      <c r="Q91" s="125"/>
    </row>
    <row r="92" spans="1:17" x14ac:dyDescent="0.35">
      <c r="A92" s="124"/>
      <c r="B92" s="83"/>
      <c r="C92" s="83"/>
      <c r="D92" s="83"/>
      <c r="E92" s="83"/>
      <c r="F92" s="83"/>
      <c r="G92" s="83"/>
      <c r="H92" s="83"/>
      <c r="I92" s="83"/>
      <c r="J92" s="83"/>
      <c r="K92" s="83"/>
      <c r="L92" s="83"/>
      <c r="M92" s="83"/>
      <c r="N92" s="83"/>
      <c r="O92" s="83"/>
      <c r="P92" s="83"/>
      <c r="Q92" s="125"/>
    </row>
    <row r="93" spans="1:17" ht="15" thickBot="1" x14ac:dyDescent="0.4">
      <c r="A93" s="124"/>
      <c r="B93" s="83"/>
      <c r="C93" s="83"/>
      <c r="D93" s="83"/>
      <c r="E93" s="83"/>
      <c r="F93" s="83"/>
      <c r="G93" s="83"/>
      <c r="H93" s="83"/>
      <c r="I93" s="83"/>
      <c r="J93" s="83"/>
      <c r="K93" s="83"/>
      <c r="L93" s="83"/>
      <c r="M93" s="83"/>
      <c r="N93" s="83"/>
      <c r="O93" s="83"/>
      <c r="P93" s="83"/>
      <c r="Q93" s="125"/>
    </row>
    <row r="94" spans="1:17" ht="39" x14ac:dyDescent="0.35">
      <c r="A94" s="124"/>
      <c r="B94" s="83"/>
      <c r="C94" s="243" t="s">
        <v>834</v>
      </c>
      <c r="D94" s="243" t="s">
        <v>942</v>
      </c>
      <c r="E94" s="83"/>
      <c r="F94" s="83"/>
      <c r="G94" s="83"/>
      <c r="H94" s="83"/>
      <c r="I94" s="83"/>
      <c r="J94" s="83"/>
      <c r="K94" s="83"/>
      <c r="L94" s="83"/>
      <c r="M94" s="83"/>
      <c r="N94" s="83"/>
      <c r="O94" s="83"/>
      <c r="P94" s="83"/>
      <c r="Q94" s="125"/>
    </row>
    <row r="95" spans="1:17" x14ac:dyDescent="0.35">
      <c r="A95" s="124"/>
      <c r="B95" s="2453" t="s">
        <v>500</v>
      </c>
      <c r="C95" s="405" t="s">
        <v>803</v>
      </c>
      <c r="D95" s="126">
        <v>10</v>
      </c>
      <c r="E95" s="83"/>
      <c r="F95" s="83"/>
      <c r="G95" s="83"/>
      <c r="H95" s="83"/>
      <c r="I95" s="83"/>
      <c r="J95" s="83"/>
      <c r="K95" s="83"/>
      <c r="L95" s="83"/>
      <c r="M95" s="83"/>
      <c r="N95" s="83"/>
      <c r="O95" s="83"/>
      <c r="P95" s="83"/>
      <c r="Q95" s="125"/>
    </row>
    <row r="96" spans="1:17" x14ac:dyDescent="0.35">
      <c r="A96" s="124"/>
      <c r="B96" s="2453"/>
      <c r="C96" s="405" t="s">
        <v>933</v>
      </c>
      <c r="D96" s="126">
        <v>13</v>
      </c>
      <c r="E96" s="83"/>
      <c r="F96" s="83"/>
      <c r="G96" s="83"/>
      <c r="H96" s="83"/>
      <c r="I96" s="83"/>
      <c r="J96" s="83"/>
      <c r="K96" s="83"/>
      <c r="L96" s="83"/>
      <c r="M96" s="83"/>
      <c r="N96" s="83"/>
      <c r="O96" s="83"/>
      <c r="P96" s="83"/>
      <c r="Q96" s="125"/>
    </row>
    <row r="97" spans="1:17" x14ac:dyDescent="0.35">
      <c r="A97" s="124"/>
      <c r="B97" s="2453"/>
      <c r="C97" s="405" t="s">
        <v>863</v>
      </c>
      <c r="D97" s="126">
        <v>13</v>
      </c>
      <c r="E97" s="83"/>
      <c r="F97" s="83"/>
      <c r="G97" s="83"/>
      <c r="H97" s="83"/>
      <c r="I97" s="83"/>
      <c r="J97" s="83"/>
      <c r="K97" s="83"/>
      <c r="L97" s="83"/>
      <c r="M97" s="83"/>
      <c r="N97" s="83"/>
      <c r="O97" s="83"/>
      <c r="P97" s="83"/>
      <c r="Q97" s="125"/>
    </row>
    <row r="98" spans="1:17" x14ac:dyDescent="0.35">
      <c r="A98" s="124"/>
      <c r="B98" s="2453" t="s">
        <v>737</v>
      </c>
      <c r="C98" s="405" t="s">
        <v>803</v>
      </c>
      <c r="D98" s="126">
        <v>10</v>
      </c>
      <c r="E98" s="83"/>
      <c r="F98" s="83"/>
      <c r="G98" s="83"/>
      <c r="H98" s="83"/>
      <c r="I98" s="83"/>
      <c r="J98" s="83"/>
      <c r="K98" s="83"/>
      <c r="L98" s="83"/>
      <c r="M98" s="83"/>
      <c r="N98" s="83"/>
      <c r="O98" s="83"/>
      <c r="P98" s="83"/>
      <c r="Q98" s="125"/>
    </row>
    <row r="99" spans="1:17" x14ac:dyDescent="0.35">
      <c r="A99" s="124"/>
      <c r="B99" s="2453"/>
      <c r="C99" s="405" t="s">
        <v>933</v>
      </c>
      <c r="D99" s="126">
        <v>13</v>
      </c>
      <c r="E99" s="83"/>
      <c r="F99" s="83"/>
      <c r="G99" s="83"/>
      <c r="H99" s="83"/>
      <c r="I99" s="83"/>
      <c r="J99" s="83"/>
      <c r="K99" s="83"/>
      <c r="L99" s="83"/>
      <c r="M99" s="83"/>
      <c r="N99" s="83"/>
      <c r="O99" s="83"/>
      <c r="P99" s="83"/>
      <c r="Q99" s="125"/>
    </row>
    <row r="100" spans="1:17" x14ac:dyDescent="0.35">
      <c r="A100" s="124"/>
      <c r="B100" s="2453"/>
      <c r="C100" s="405" t="s">
        <v>863</v>
      </c>
      <c r="D100" s="126">
        <v>14</v>
      </c>
      <c r="E100" s="83"/>
      <c r="F100" s="83"/>
      <c r="G100" s="83"/>
      <c r="H100" s="83"/>
      <c r="I100" s="83"/>
      <c r="J100" s="83"/>
      <c r="K100" s="83"/>
      <c r="L100" s="83"/>
      <c r="M100" s="83"/>
      <c r="N100" s="83"/>
      <c r="O100" s="83"/>
      <c r="P100" s="83"/>
      <c r="Q100" s="125"/>
    </row>
    <row r="101" spans="1:17" x14ac:dyDescent="0.35">
      <c r="A101" s="124"/>
      <c r="B101" s="83"/>
      <c r="C101" s="83"/>
      <c r="D101" s="83"/>
      <c r="E101" s="83"/>
      <c r="F101" s="83"/>
      <c r="G101" s="83"/>
      <c r="H101" s="83"/>
      <c r="I101" s="83"/>
      <c r="J101" s="83"/>
      <c r="K101" s="83"/>
      <c r="L101" s="83"/>
      <c r="M101" s="83"/>
      <c r="N101" s="83"/>
      <c r="O101" s="83"/>
      <c r="P101" s="83"/>
      <c r="Q101" s="125"/>
    </row>
    <row r="102" spans="1:17" x14ac:dyDescent="0.35">
      <c r="A102" s="124"/>
      <c r="B102" s="363" t="s">
        <v>936</v>
      </c>
      <c r="C102" s="83"/>
      <c r="D102" s="83"/>
      <c r="E102" s="83"/>
      <c r="F102" s="83"/>
      <c r="G102" s="83"/>
      <c r="H102" s="83"/>
      <c r="I102" s="83"/>
      <c r="J102" s="83"/>
      <c r="K102" s="83"/>
      <c r="L102" s="83"/>
      <c r="M102" s="83"/>
      <c r="N102" s="83"/>
      <c r="O102" s="83"/>
      <c r="P102" s="83"/>
      <c r="Q102" s="125"/>
    </row>
    <row r="103" spans="1:17" x14ac:dyDescent="0.35">
      <c r="A103" s="124"/>
      <c r="B103" s="62" t="s">
        <v>397</v>
      </c>
      <c r="C103" s="83"/>
      <c r="D103" s="83"/>
      <c r="E103" s="83"/>
      <c r="F103" s="83"/>
      <c r="G103" s="83"/>
      <c r="H103" s="83"/>
      <c r="I103" s="83"/>
      <c r="J103" s="83"/>
      <c r="K103" s="83"/>
      <c r="L103" s="83"/>
      <c r="M103" s="83"/>
      <c r="N103" s="83"/>
      <c r="O103" s="83"/>
      <c r="P103" s="83"/>
      <c r="Q103" s="125"/>
    </row>
    <row r="104" spans="1:17" x14ac:dyDescent="0.35">
      <c r="A104" s="124"/>
      <c r="B104" s="62" t="s">
        <v>451</v>
      </c>
      <c r="C104" s="83"/>
      <c r="D104" s="83"/>
      <c r="E104" s="83"/>
      <c r="F104" s="83"/>
      <c r="G104" s="83"/>
      <c r="H104" s="83"/>
      <c r="I104" s="83"/>
      <c r="J104" s="83"/>
      <c r="K104" s="83"/>
      <c r="L104" s="83"/>
      <c r="M104" s="83"/>
      <c r="N104" s="83"/>
      <c r="O104" s="83"/>
      <c r="P104" s="83"/>
      <c r="Q104" s="125"/>
    </row>
    <row r="105" spans="1:17" x14ac:dyDescent="0.35">
      <c r="A105" s="124"/>
      <c r="B105" s="83"/>
      <c r="C105" s="83"/>
      <c r="D105" s="83"/>
      <c r="E105" s="83"/>
      <c r="F105" s="83"/>
      <c r="G105" s="83"/>
      <c r="H105" s="83"/>
      <c r="I105" s="83"/>
      <c r="J105" s="83"/>
      <c r="K105" s="83"/>
      <c r="L105" s="83"/>
      <c r="M105" s="83"/>
      <c r="N105" s="83"/>
      <c r="O105" s="83"/>
      <c r="P105" s="83"/>
      <c r="Q105" s="125"/>
    </row>
    <row r="106" spans="1:17" x14ac:dyDescent="0.35">
      <c r="A106" s="124"/>
      <c r="B106" s="363" t="s">
        <v>1025</v>
      </c>
      <c r="C106" s="83"/>
      <c r="D106" s="83"/>
      <c r="E106" s="83"/>
      <c r="F106" s="83"/>
      <c r="G106" s="83"/>
      <c r="H106" s="83"/>
      <c r="I106" s="83"/>
      <c r="J106" s="83"/>
      <c r="K106" s="83"/>
      <c r="L106" s="83"/>
      <c r="M106" s="83"/>
      <c r="N106" s="83"/>
      <c r="O106" s="83"/>
      <c r="P106" s="83"/>
      <c r="Q106" s="125"/>
    </row>
    <row r="107" spans="1:17" x14ac:dyDescent="0.35">
      <c r="A107" s="124"/>
      <c r="B107" s="62" t="s">
        <v>735</v>
      </c>
      <c r="C107" s="83"/>
      <c r="D107" s="83"/>
      <c r="E107" s="83"/>
      <c r="F107" s="83"/>
      <c r="G107" s="83"/>
      <c r="H107" s="83"/>
      <c r="I107" s="83"/>
      <c r="J107" s="83"/>
      <c r="K107" s="83"/>
      <c r="L107" s="83"/>
      <c r="M107" s="83"/>
      <c r="N107" s="83"/>
      <c r="O107" s="83"/>
      <c r="P107" s="83"/>
      <c r="Q107" s="125"/>
    </row>
    <row r="108" spans="1:17" x14ac:dyDescent="0.35">
      <c r="A108" s="124"/>
      <c r="B108" s="62" t="s">
        <v>1026</v>
      </c>
      <c r="C108" s="83"/>
      <c r="D108" s="83"/>
      <c r="E108" s="83"/>
      <c r="F108" s="83"/>
      <c r="G108" s="83"/>
      <c r="H108" s="83"/>
      <c r="I108" s="83"/>
      <c r="J108" s="83"/>
      <c r="K108" s="83"/>
      <c r="L108" s="83"/>
      <c r="M108" s="83"/>
      <c r="N108" s="83"/>
      <c r="O108" s="83"/>
      <c r="P108" s="83"/>
      <c r="Q108" s="125"/>
    </row>
    <row r="109" spans="1:17" x14ac:dyDescent="0.35">
      <c r="A109" s="124"/>
      <c r="B109" s="83"/>
      <c r="C109" s="83"/>
      <c r="D109" s="83"/>
      <c r="E109" s="83"/>
      <c r="F109" s="83"/>
      <c r="G109" s="83"/>
      <c r="H109" s="83"/>
      <c r="I109" s="83"/>
      <c r="J109" s="83"/>
      <c r="K109" s="83"/>
      <c r="L109" s="83"/>
      <c r="M109" s="83"/>
      <c r="N109" s="83"/>
      <c r="O109" s="83"/>
      <c r="P109" s="83"/>
      <c r="Q109" s="125"/>
    </row>
    <row r="110" spans="1:17" x14ac:dyDescent="0.35">
      <c r="A110" s="124"/>
      <c r="B110" s="363" t="s">
        <v>1027</v>
      </c>
      <c r="C110" s="62"/>
      <c r="D110" s="83"/>
      <c r="E110" s="83"/>
      <c r="F110" s="83"/>
      <c r="G110" s="83"/>
      <c r="H110" s="83"/>
      <c r="I110" s="83"/>
      <c r="J110" s="83"/>
      <c r="K110" s="83"/>
      <c r="L110" s="83"/>
      <c r="M110" s="83"/>
      <c r="N110" s="83"/>
      <c r="O110" s="83"/>
      <c r="P110" s="83"/>
      <c r="Q110" s="125"/>
    </row>
    <row r="111" spans="1:17" x14ac:dyDescent="0.35">
      <c r="A111" s="124"/>
      <c r="B111" s="62" t="s">
        <v>1028</v>
      </c>
      <c r="C111" s="62"/>
      <c r="D111" s="83"/>
      <c r="E111" s="83"/>
      <c r="F111" s="83"/>
      <c r="G111" s="83"/>
      <c r="H111" s="83"/>
      <c r="I111" s="83"/>
      <c r="J111" s="83"/>
      <c r="K111" s="83"/>
      <c r="L111" s="83"/>
      <c r="M111" s="83"/>
      <c r="N111" s="83"/>
      <c r="O111" s="83"/>
      <c r="P111" s="83"/>
      <c r="Q111" s="125"/>
    </row>
    <row r="112" spans="1:17" x14ac:dyDescent="0.35">
      <c r="A112" s="124"/>
      <c r="B112" s="62" t="s">
        <v>1029</v>
      </c>
      <c r="C112" s="62"/>
      <c r="D112" s="83"/>
      <c r="E112" s="83"/>
      <c r="F112" s="83"/>
      <c r="G112" s="83"/>
      <c r="H112" s="83"/>
      <c r="I112" s="83"/>
      <c r="J112" s="83"/>
      <c r="K112" s="83"/>
      <c r="L112" s="83"/>
      <c r="M112" s="83"/>
      <c r="N112" s="83"/>
      <c r="O112" s="83"/>
      <c r="P112" s="83"/>
      <c r="Q112" s="125"/>
    </row>
    <row r="113" spans="1:17" x14ac:dyDescent="0.35">
      <c r="A113" s="124"/>
      <c r="B113" s="83"/>
      <c r="C113" s="83"/>
      <c r="D113" s="83"/>
      <c r="E113" s="83"/>
      <c r="F113" s="83"/>
      <c r="G113" s="83"/>
      <c r="H113" s="83"/>
      <c r="I113" s="83"/>
      <c r="J113" s="83"/>
      <c r="K113" s="83"/>
      <c r="L113" s="83"/>
      <c r="M113" s="83"/>
      <c r="N113" s="83"/>
      <c r="O113" s="83"/>
      <c r="P113" s="83"/>
      <c r="Q113" s="125"/>
    </row>
    <row r="114" spans="1:17" x14ac:dyDescent="0.35">
      <c r="A114" s="124"/>
      <c r="B114" s="83"/>
      <c r="C114" s="83"/>
      <c r="D114" s="83"/>
      <c r="E114" s="83"/>
      <c r="F114" s="83"/>
      <c r="G114" s="83"/>
      <c r="H114" s="83"/>
      <c r="I114" s="83"/>
      <c r="J114" s="83"/>
      <c r="K114" s="83"/>
      <c r="L114" s="83"/>
      <c r="M114" s="83"/>
      <c r="N114" s="83"/>
      <c r="O114" s="83"/>
      <c r="P114" s="83"/>
      <c r="Q114" s="125"/>
    </row>
    <row r="115" spans="1:17" x14ac:dyDescent="0.35">
      <c r="A115" s="124"/>
      <c r="B115" s="2457" t="s">
        <v>1030</v>
      </c>
      <c r="C115" s="2441"/>
      <c r="D115" s="2340"/>
      <c r="E115" s="83"/>
      <c r="F115" s="83"/>
      <c r="G115" s="83"/>
      <c r="H115" s="83"/>
      <c r="I115" s="83"/>
      <c r="J115" s="83"/>
      <c r="K115" s="83"/>
      <c r="L115" s="83"/>
      <c r="M115" s="83"/>
      <c r="N115" s="83"/>
      <c r="O115" s="83"/>
      <c r="P115" s="83"/>
      <c r="Q115" s="125"/>
    </row>
    <row r="116" spans="1:17" x14ac:dyDescent="0.35">
      <c r="A116" s="124"/>
      <c r="B116" s="62" t="s">
        <v>973</v>
      </c>
      <c r="C116" s="62" t="s">
        <v>974</v>
      </c>
      <c r="D116" s="361">
        <v>0.68</v>
      </c>
      <c r="E116" s="83"/>
      <c r="F116" s="83"/>
      <c r="G116" s="83"/>
      <c r="H116" s="83"/>
      <c r="I116" s="83"/>
      <c r="J116" s="83"/>
      <c r="K116" s="83"/>
      <c r="L116" s="83"/>
      <c r="M116" s="83"/>
      <c r="N116" s="83"/>
      <c r="O116" s="83"/>
      <c r="P116" s="83"/>
      <c r="Q116" s="125"/>
    </row>
    <row r="117" spans="1:17" x14ac:dyDescent="0.35">
      <c r="A117" s="124"/>
      <c r="B117" s="62" t="s">
        <v>737</v>
      </c>
      <c r="C117" s="62" t="s">
        <v>974</v>
      </c>
      <c r="D117" s="361">
        <v>0.72</v>
      </c>
      <c r="E117" s="83"/>
      <c r="F117" s="83"/>
      <c r="G117" s="83"/>
      <c r="H117" s="83"/>
      <c r="I117" s="83"/>
      <c r="J117" s="83"/>
      <c r="K117" s="83"/>
      <c r="L117" s="83"/>
      <c r="M117" s="83"/>
      <c r="N117" s="83"/>
      <c r="O117" s="83"/>
      <c r="P117" s="83"/>
      <c r="Q117" s="125"/>
    </row>
    <row r="118" spans="1:17" x14ac:dyDescent="0.35">
      <c r="A118" s="124"/>
      <c r="B118" s="62" t="s">
        <v>1031</v>
      </c>
      <c r="C118" s="62" t="s">
        <v>1032</v>
      </c>
      <c r="D118" s="361">
        <v>0.46600000000000003</v>
      </c>
      <c r="E118" s="83"/>
      <c r="F118" s="83"/>
      <c r="G118" s="83"/>
      <c r="H118" s="83"/>
      <c r="I118" s="83"/>
      <c r="J118" s="83"/>
      <c r="K118" s="83"/>
      <c r="L118" s="83"/>
      <c r="M118" s="83"/>
      <c r="N118" s="83"/>
      <c r="O118" s="83"/>
      <c r="P118" s="83"/>
      <c r="Q118" s="125"/>
    </row>
    <row r="119" spans="1:17" x14ac:dyDescent="0.35">
      <c r="A119" s="124"/>
      <c r="B119" s="83"/>
      <c r="C119" s="83"/>
      <c r="D119" s="83"/>
      <c r="E119" s="83"/>
      <c r="F119" s="83"/>
      <c r="G119" s="83"/>
      <c r="H119" s="83"/>
      <c r="I119" s="83"/>
      <c r="J119" s="83"/>
      <c r="K119" s="83"/>
      <c r="L119" s="83"/>
      <c r="M119" s="83"/>
      <c r="N119" s="83"/>
      <c r="O119" s="83"/>
      <c r="P119" s="83"/>
      <c r="Q119" s="125"/>
    </row>
    <row r="120" spans="1:17" x14ac:dyDescent="0.35">
      <c r="A120" s="124"/>
      <c r="B120" s="83"/>
      <c r="C120" s="83"/>
      <c r="D120" s="83"/>
      <c r="E120" s="83"/>
      <c r="F120" s="83"/>
      <c r="G120" s="83"/>
      <c r="H120" s="83"/>
      <c r="I120" s="83"/>
      <c r="J120" s="83"/>
      <c r="K120" s="83"/>
      <c r="L120" s="83"/>
      <c r="M120" s="83"/>
      <c r="N120" s="83"/>
      <c r="O120" s="83"/>
      <c r="P120" s="83"/>
      <c r="Q120" s="125"/>
    </row>
    <row r="121" spans="1:17" x14ac:dyDescent="0.35">
      <c r="A121" s="124"/>
      <c r="B121" s="83"/>
      <c r="C121" s="83"/>
      <c r="D121" s="83"/>
      <c r="E121" s="83"/>
      <c r="F121" s="83"/>
      <c r="G121" s="83"/>
      <c r="H121" s="83"/>
      <c r="I121" s="83"/>
      <c r="J121" s="83"/>
      <c r="K121" s="83"/>
      <c r="L121" s="83"/>
      <c r="M121" s="83"/>
      <c r="N121" s="83"/>
      <c r="O121" s="83"/>
      <c r="P121" s="83"/>
      <c r="Q121" s="125"/>
    </row>
    <row r="122" spans="1:17" x14ac:dyDescent="0.35">
      <c r="A122" s="124"/>
      <c r="B122" s="363" t="s">
        <v>1033</v>
      </c>
      <c r="C122" s="62"/>
      <c r="D122" s="83"/>
      <c r="E122" s="83"/>
      <c r="F122" s="83"/>
      <c r="G122" s="83"/>
      <c r="H122" s="83"/>
      <c r="I122" s="83"/>
      <c r="J122" s="83"/>
      <c r="K122" s="83"/>
      <c r="L122" s="83"/>
      <c r="M122" s="83"/>
      <c r="N122" s="83"/>
      <c r="O122" s="83"/>
      <c r="P122" s="83"/>
      <c r="Q122" s="125"/>
    </row>
    <row r="123" spans="1:17" x14ac:dyDescent="0.35">
      <c r="A123" s="124"/>
      <c r="B123" s="62" t="s">
        <v>1034</v>
      </c>
      <c r="C123" s="302">
        <v>0.59499022041057836</v>
      </c>
      <c r="D123" s="83"/>
      <c r="E123" s="83"/>
      <c r="F123" s="83"/>
      <c r="G123" s="83"/>
      <c r="H123" s="83"/>
      <c r="I123" s="83"/>
      <c r="J123" s="83"/>
      <c r="K123" s="83"/>
      <c r="L123" s="83"/>
      <c r="M123" s="83"/>
      <c r="N123" s="83"/>
      <c r="O123" s="83"/>
      <c r="P123" s="83"/>
      <c r="Q123" s="125"/>
    </row>
    <row r="124" spans="1:17" x14ac:dyDescent="0.35">
      <c r="A124" s="124"/>
      <c r="B124" s="62" t="s">
        <v>1035</v>
      </c>
      <c r="C124" s="302">
        <v>0.40500977958942158</v>
      </c>
      <c r="D124" s="83"/>
      <c r="E124" s="83"/>
      <c r="F124" s="83"/>
      <c r="G124" s="83"/>
      <c r="H124" s="83"/>
      <c r="I124" s="83"/>
      <c r="J124" s="83"/>
      <c r="K124" s="83"/>
      <c r="L124" s="83"/>
      <c r="M124" s="83"/>
      <c r="N124" s="83"/>
      <c r="O124" s="83"/>
      <c r="P124" s="83"/>
      <c r="Q124" s="125"/>
    </row>
    <row r="125" spans="1:17" x14ac:dyDescent="0.35">
      <c r="A125" s="124"/>
      <c r="B125" s="62"/>
      <c r="C125" s="62"/>
      <c r="D125" s="83"/>
      <c r="E125" s="83"/>
      <c r="F125" s="83"/>
      <c r="G125" s="83"/>
      <c r="H125" s="83"/>
      <c r="I125" s="83"/>
      <c r="J125" s="83"/>
      <c r="K125" s="83"/>
      <c r="L125" s="83"/>
      <c r="M125" s="83"/>
      <c r="N125" s="83"/>
      <c r="O125" s="83"/>
      <c r="P125" s="83"/>
      <c r="Q125" s="125"/>
    </row>
    <row r="126" spans="1:17" x14ac:dyDescent="0.35">
      <c r="A126" s="124"/>
      <c r="B126" s="62" t="s">
        <v>1036</v>
      </c>
      <c r="C126" s="62"/>
      <c r="D126" s="83"/>
      <c r="E126" s="83"/>
      <c r="F126" s="83"/>
      <c r="G126" s="83"/>
      <c r="H126" s="83"/>
      <c r="I126" s="83"/>
      <c r="J126" s="83"/>
      <c r="K126" s="83"/>
      <c r="L126" s="83"/>
      <c r="M126" s="83"/>
      <c r="N126" s="83"/>
      <c r="O126" s="83"/>
      <c r="P126" s="83"/>
      <c r="Q126" s="125"/>
    </row>
    <row r="127" spans="1:17" x14ac:dyDescent="0.35">
      <c r="A127" s="124"/>
      <c r="B127" s="62" t="s">
        <v>1037</v>
      </c>
      <c r="C127" s="62"/>
      <c r="D127" s="83"/>
      <c r="E127" s="83"/>
      <c r="F127" s="83"/>
      <c r="G127" s="83"/>
      <c r="H127" s="83"/>
      <c r="I127" s="83"/>
      <c r="J127" s="83"/>
      <c r="K127" s="83"/>
      <c r="L127" s="83"/>
      <c r="M127" s="83"/>
      <c r="N127" s="83"/>
      <c r="O127" s="83"/>
      <c r="P127" s="83"/>
      <c r="Q127" s="125"/>
    </row>
    <row r="128" spans="1:17" x14ac:dyDescent="0.35">
      <c r="A128" s="124"/>
      <c r="B128" s="62" t="s">
        <v>1038</v>
      </c>
      <c r="C128" s="62"/>
      <c r="D128" s="83"/>
      <c r="E128" s="83"/>
      <c r="F128" s="83"/>
      <c r="G128" s="83"/>
      <c r="H128" s="83"/>
      <c r="I128" s="83"/>
      <c r="J128" s="83"/>
      <c r="K128" s="83"/>
      <c r="L128" s="83"/>
      <c r="M128" s="83"/>
      <c r="N128" s="83"/>
      <c r="O128" s="83"/>
      <c r="P128" s="83"/>
      <c r="Q128" s="125"/>
    </row>
    <row r="129" spans="1:17" x14ac:dyDescent="0.35">
      <c r="A129" s="124"/>
      <c r="B129" s="62" t="s">
        <v>1039</v>
      </c>
      <c r="C129" s="62"/>
      <c r="D129" s="83"/>
      <c r="E129" s="83"/>
      <c r="F129" s="83"/>
      <c r="G129" s="83"/>
      <c r="H129" s="83"/>
      <c r="I129" s="83"/>
      <c r="J129" s="83"/>
      <c r="K129" s="83"/>
      <c r="L129" s="83"/>
      <c r="M129" s="83"/>
      <c r="N129" s="83"/>
      <c r="O129" s="83"/>
      <c r="P129" s="83"/>
      <c r="Q129" s="125"/>
    </row>
    <row r="130" spans="1:17" x14ac:dyDescent="0.35">
      <c r="A130" s="124"/>
      <c r="B130" s="83"/>
      <c r="C130" s="83"/>
      <c r="D130" s="83"/>
      <c r="E130" s="83"/>
      <c r="F130" s="83"/>
      <c r="G130" s="83"/>
      <c r="H130" s="83"/>
      <c r="I130" s="83"/>
      <c r="J130" s="83"/>
      <c r="K130" s="83"/>
      <c r="L130" s="83"/>
      <c r="M130" s="83"/>
      <c r="N130" s="83"/>
      <c r="O130" s="83"/>
      <c r="P130" s="83"/>
      <c r="Q130" s="125"/>
    </row>
    <row r="131" spans="1:17" x14ac:dyDescent="0.35">
      <c r="A131" s="124"/>
      <c r="B131" s="83"/>
      <c r="C131" s="83"/>
      <c r="D131" s="83"/>
      <c r="E131" s="83"/>
      <c r="F131" s="83"/>
      <c r="G131" s="83"/>
      <c r="H131" s="83"/>
      <c r="I131" s="83"/>
      <c r="J131" s="83"/>
      <c r="K131" s="83"/>
      <c r="L131" s="83"/>
      <c r="M131" s="83"/>
      <c r="N131" s="83"/>
      <c r="O131" s="83"/>
      <c r="P131" s="83"/>
      <c r="Q131" s="125"/>
    </row>
    <row r="132" spans="1:17" x14ac:dyDescent="0.35">
      <c r="A132" s="124"/>
      <c r="B132" s="83"/>
      <c r="C132" s="83"/>
      <c r="D132" s="83"/>
      <c r="E132" s="83"/>
      <c r="F132" s="83"/>
      <c r="G132" s="83"/>
      <c r="H132" s="83"/>
      <c r="I132" s="83"/>
      <c r="J132" s="83"/>
      <c r="K132" s="83"/>
      <c r="L132" s="83"/>
      <c r="M132" s="83"/>
      <c r="N132" s="83"/>
      <c r="O132" s="83"/>
      <c r="P132" s="83"/>
      <c r="Q132" s="125"/>
    </row>
    <row r="133" spans="1:17" x14ac:dyDescent="0.35">
      <c r="A133" s="124"/>
      <c r="B133" s="83"/>
      <c r="C133" s="83"/>
      <c r="D133" s="83"/>
      <c r="E133" s="83"/>
      <c r="F133" s="83"/>
      <c r="G133" s="83"/>
      <c r="H133" s="83"/>
      <c r="I133" s="83"/>
      <c r="J133" s="83"/>
      <c r="K133" s="83"/>
      <c r="L133" s="83"/>
      <c r="M133" s="83"/>
      <c r="N133" s="83"/>
      <c r="O133" s="83"/>
      <c r="P133" s="83"/>
      <c r="Q133" s="125"/>
    </row>
    <row r="134" spans="1:17" x14ac:dyDescent="0.35">
      <c r="A134" s="124"/>
      <c r="B134" s="83"/>
      <c r="C134" s="83"/>
      <c r="D134" s="83"/>
      <c r="E134" s="83"/>
      <c r="F134" s="83"/>
      <c r="G134" s="83"/>
      <c r="H134" s="83"/>
      <c r="I134" s="83"/>
      <c r="J134" s="83"/>
      <c r="K134" s="83"/>
      <c r="L134" s="83"/>
      <c r="M134" s="83"/>
      <c r="N134" s="83"/>
      <c r="O134" s="83"/>
      <c r="P134" s="83"/>
      <c r="Q134" s="125"/>
    </row>
    <row r="135" spans="1:17" x14ac:dyDescent="0.35">
      <c r="A135" s="124"/>
      <c r="B135" s="83"/>
      <c r="C135" s="83"/>
      <c r="D135" s="83"/>
      <c r="E135" s="83"/>
      <c r="F135" s="83"/>
      <c r="G135" s="83"/>
      <c r="H135" s="83"/>
      <c r="I135" s="83"/>
      <c r="J135" s="83"/>
      <c r="K135" s="83"/>
      <c r="L135" s="83"/>
      <c r="M135" s="83"/>
      <c r="N135" s="83"/>
      <c r="O135" s="83"/>
      <c r="P135" s="83"/>
      <c r="Q135" s="125"/>
    </row>
    <row r="136" spans="1:17" x14ac:dyDescent="0.35">
      <c r="A136" s="124"/>
      <c r="B136" s="83"/>
      <c r="C136" s="83"/>
      <c r="D136" s="83"/>
      <c r="E136" s="83"/>
      <c r="F136" s="83"/>
      <c r="G136" s="83"/>
      <c r="H136" s="83"/>
      <c r="I136" s="83"/>
      <c r="J136" s="83"/>
      <c r="K136" s="83"/>
      <c r="L136" s="83"/>
      <c r="M136" s="83"/>
      <c r="N136" s="83"/>
      <c r="O136" s="83"/>
      <c r="P136" s="83"/>
      <c r="Q136" s="125"/>
    </row>
    <row r="137" spans="1:17" x14ac:dyDescent="0.35">
      <c r="A137" s="124"/>
      <c r="B137" s="83"/>
      <c r="C137" s="83"/>
      <c r="D137" s="83"/>
      <c r="E137" s="83"/>
      <c r="F137" s="83"/>
      <c r="G137" s="83"/>
      <c r="H137" s="83"/>
      <c r="I137" s="83"/>
      <c r="J137" s="83"/>
      <c r="K137" s="83"/>
      <c r="L137" s="83"/>
      <c r="M137" s="83"/>
      <c r="N137" s="83"/>
      <c r="O137" s="83"/>
      <c r="P137" s="83"/>
      <c r="Q137" s="125"/>
    </row>
    <row r="138" spans="1:17" x14ac:dyDescent="0.35">
      <c r="A138" s="124"/>
      <c r="B138" s="83"/>
      <c r="C138" s="83"/>
      <c r="D138" s="83"/>
      <c r="E138" s="83"/>
      <c r="F138" s="83"/>
      <c r="G138" s="83"/>
      <c r="H138" s="83"/>
      <c r="I138" s="83"/>
      <c r="J138" s="83"/>
      <c r="K138" s="83"/>
      <c r="L138" s="83"/>
      <c r="M138" s="83"/>
      <c r="N138" s="83"/>
      <c r="O138" s="83"/>
      <c r="P138" s="83"/>
      <c r="Q138" s="125"/>
    </row>
    <row r="139" spans="1:17" ht="15" thickBot="1" x14ac:dyDescent="0.4">
      <c r="A139" s="321"/>
      <c r="B139" s="201"/>
      <c r="C139" s="201"/>
      <c r="D139" s="201"/>
      <c r="E139" s="201"/>
      <c r="F139" s="201"/>
      <c r="G139" s="201"/>
      <c r="H139" s="201"/>
      <c r="I139" s="201"/>
      <c r="J139" s="201"/>
      <c r="K139" s="201"/>
      <c r="L139" s="201"/>
      <c r="M139" s="201"/>
      <c r="N139" s="201"/>
      <c r="O139" s="201"/>
      <c r="P139" s="201"/>
      <c r="Q139" s="203"/>
    </row>
  </sheetData>
  <customSheetViews>
    <customSheetView guid="{11DE45F5-F478-4ED6-8DFF-12002C22A637}" scale="70" showPageBreaks="1" fitToPage="1" printArea="1" hiddenRows="1" view="pageBreakPreview" topLeftCell="A13">
      <selection activeCell="J64" sqref="J64"/>
      <pageMargins left="0.7" right="0.7" top="0.75" bottom="0.75" header="0.3" footer="0.3"/>
      <pageSetup scale="22" orientation="landscape" r:id="rId1"/>
    </customSheetView>
    <customSheetView guid="{ECD6FE6A-9548-414E-B8AA-6998703C57E0}" scale="70" showPageBreaks="1" fitToPage="1" printArea="1" hiddenRows="1" view="pageBreakPreview" topLeftCell="A13">
      <selection activeCell="J64" sqref="J64"/>
      <pageMargins left="0.7" right="0.7" top="0.75" bottom="0.75" header="0.3" footer="0.3"/>
      <pageSetup scale="22" orientation="landscape" r:id="rId2"/>
    </customSheetView>
  </customSheetViews>
  <mergeCells count="8">
    <mergeCell ref="B98:B100"/>
    <mergeCell ref="B115:D115"/>
    <mergeCell ref="V2:X2"/>
    <mergeCell ref="Y2:AA2"/>
    <mergeCell ref="AB2:AU2"/>
    <mergeCell ref="I79:I81"/>
    <mergeCell ref="B88:D88"/>
    <mergeCell ref="B95:B97"/>
  </mergeCells>
  <dataValidations count="17">
    <dataValidation type="list" allowBlank="1" showInputMessage="1" showErrorMessage="1" sqref="K4:K13" xr:uid="{00000000-0002-0000-3000-000000000000}">
      <formula1>$B$79:$B$85</formula1>
    </dataValidation>
    <dataValidation type="list" allowBlank="1" showInputMessage="1" showErrorMessage="1" sqref="L4:L10 L14:L17" xr:uid="{00000000-0002-0000-3000-000001000000}">
      <formula1>Fuel1</formula1>
    </dataValidation>
    <dataValidation type="list" allowBlank="1" showInputMessage="1" showErrorMessage="1" sqref="M11:N13" xr:uid="{00000000-0002-0000-3000-000002000000}">
      <formula1>ArSl4</formula1>
    </dataValidation>
    <dataValidation type="list" allowBlank="1" showInputMessage="1" showErrorMessage="1" sqref="P11:P13" xr:uid="{00000000-0002-0000-3000-000003000000}">
      <formula1>HPWH4</formula1>
    </dataValidation>
    <dataValidation type="list" allowBlank="1" showInputMessage="1" showErrorMessage="1" sqref="O11:O13 S4:S17" xr:uid="{00000000-0002-0000-3000-000004000000}">
      <formula1>#REF!</formula1>
    </dataValidation>
    <dataValidation type="list" allowBlank="1" showInputMessage="1" showErrorMessage="1" sqref="P4:P10" xr:uid="{00000000-0002-0000-3000-000005000000}">
      <formula1>$D$111:$D$112</formula1>
    </dataValidation>
    <dataValidation type="list" allowBlank="1" showInputMessage="1" showErrorMessage="1" sqref="N4:N10" xr:uid="{00000000-0002-0000-3000-000006000000}">
      <formula1>$C$95:$C$97</formula1>
    </dataValidation>
    <dataValidation type="list" allowBlank="1" showInputMessage="1" showErrorMessage="1" sqref="M4:M10" xr:uid="{00000000-0002-0000-3000-000007000000}">
      <formula1>$B$116:$B$118</formula1>
    </dataValidation>
    <dataValidation type="list" allowBlank="1" showInputMessage="1" showErrorMessage="1" sqref="O4:O10" xr:uid="{00000000-0002-0000-3000-000008000000}">
      <formula1>IF($P$4=$I$82,$J$82,$J$79:$J$81)</formula1>
    </dataValidation>
    <dataValidation type="list" allowBlank="1" showInputMessage="1" showErrorMessage="1" sqref="U4:U17" xr:uid="{00000000-0002-0000-3000-000009000000}">
      <formula1>ArSl1</formula1>
    </dataValidation>
    <dataValidation type="list" allowBlank="1" showInputMessage="1" showErrorMessage="1" sqref="R4:R17" xr:uid="{00000000-0002-0000-3000-00000A000000}">
      <formula1>Unit1</formula1>
    </dataValidation>
    <dataValidation type="list" allowBlank="1" showInputMessage="1" showErrorMessage="1" sqref="D4:D17" xr:uid="{00000000-0002-0000-3000-00000B000000}">
      <formula1>MeasureType</formula1>
    </dataValidation>
    <dataValidation type="list" allowBlank="1" showInputMessage="1" showErrorMessage="1" sqref="O14:O17" xr:uid="{00000000-0002-0000-3000-00000C000000}">
      <formula1>IF($P$3=$I$87,$J$87,$J$84:$J$86)</formula1>
    </dataValidation>
    <dataValidation type="list" allowBlank="1" showInputMessage="1" showErrorMessage="1" sqref="M14:M17" xr:uid="{00000000-0002-0000-3000-00000D000000}">
      <formula1>$B$121:$B$123</formula1>
    </dataValidation>
    <dataValidation type="list" allowBlank="1" showInputMessage="1" showErrorMessage="1" sqref="N14:N17" xr:uid="{00000000-0002-0000-3000-00000E000000}">
      <formula1>$C$100:$C$102</formula1>
    </dataValidation>
    <dataValidation type="list" allowBlank="1" showInputMessage="1" showErrorMessage="1" sqref="P14:P17" xr:uid="{00000000-0002-0000-3000-00000F000000}">
      <formula1>$D$116:$D$117</formula1>
    </dataValidation>
    <dataValidation type="list" allowBlank="1" showInputMessage="1" showErrorMessage="1" sqref="K14:K17" xr:uid="{00000000-0002-0000-3000-000010000000}">
      <formula1>$B$84:$B$87</formula1>
    </dataValidation>
  </dataValidations>
  <pageMargins left="0.7" right="0.7" top="0.75" bottom="0.75" header="0.3" footer="0.3"/>
  <pageSetup scale="21"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pageSetUpPr fitToPage="1"/>
  </sheetPr>
  <dimension ref="A1:AU95"/>
  <sheetViews>
    <sheetView view="pageBreakPreview" zoomScale="85" zoomScaleNormal="100" zoomScaleSheetLayoutView="85" workbookViewId="0"/>
  </sheetViews>
  <sheetFormatPr defaultRowHeight="14.5" x14ac:dyDescent="0.35"/>
  <cols>
    <col min="1" max="1" width="17.26953125" customWidth="1"/>
    <col min="2" max="2" width="42.81640625" bestFit="1" customWidth="1"/>
    <col min="3" max="3" width="59.1796875" bestFit="1" customWidth="1"/>
    <col min="4" max="4" width="15.81640625" customWidth="1"/>
    <col min="5" max="5" width="10.453125" customWidth="1"/>
    <col min="6" max="6" width="14.1796875" bestFit="1" customWidth="1"/>
    <col min="7" max="7" width="16.1796875" bestFit="1" customWidth="1"/>
    <col min="8" max="10" width="26.81640625" customWidth="1"/>
    <col min="11" max="11" width="13.54296875" customWidth="1"/>
    <col min="12" max="12" width="15.1796875" customWidth="1"/>
    <col min="13" max="13" width="13.54296875" customWidth="1"/>
    <col min="14" max="14" width="12.54296875" bestFit="1" customWidth="1"/>
    <col min="15" max="15" width="15.1796875" customWidth="1"/>
    <col min="16" max="16" width="17" customWidth="1"/>
    <col min="17" max="17" width="12.7265625" bestFit="1" customWidth="1"/>
    <col min="18" max="18" width="12" customWidth="1"/>
    <col min="19" max="19" width="13.26953125" bestFit="1" customWidth="1"/>
    <col min="20" max="20" width="11.1796875" bestFit="1" customWidth="1"/>
    <col min="21" max="21" width="13.81640625" bestFit="1" customWidth="1"/>
    <col min="29" max="29" width="12.26953125" bestFit="1" customWidth="1"/>
    <col min="30" max="30" width="11.1796875" bestFit="1" customWidth="1"/>
    <col min="32" max="32" width="10.453125" bestFit="1" customWidth="1"/>
  </cols>
  <sheetData>
    <row r="1" spans="1:47" x14ac:dyDescent="0.35">
      <c r="A1" s="1143" t="s">
        <v>317</v>
      </c>
      <c r="B1" s="1144" t="s">
        <v>1281</v>
      </c>
      <c r="C1" s="1144"/>
      <c r="D1" s="1144"/>
      <c r="E1" s="1143"/>
      <c r="F1" s="1143"/>
      <c r="G1" s="1143"/>
      <c r="H1" s="1143"/>
      <c r="I1" s="1143"/>
      <c r="J1" s="1143"/>
      <c r="K1" s="1143"/>
      <c r="L1" s="1143"/>
      <c r="M1" s="1143"/>
      <c r="N1" s="2216" t="s">
        <v>335</v>
      </c>
      <c r="O1" s="2217"/>
      <c r="P1" s="2217"/>
      <c r="Q1" s="2218"/>
      <c r="R1" s="2219" t="s">
        <v>336</v>
      </c>
      <c r="S1" s="2220"/>
      <c r="T1" s="2220"/>
      <c r="U1" s="2220"/>
      <c r="V1" s="2221" t="s">
        <v>337</v>
      </c>
      <c r="W1" s="2221"/>
      <c r="X1" s="2221"/>
      <c r="Y1" s="2221"/>
      <c r="Z1" s="2221"/>
      <c r="AA1" s="2221"/>
      <c r="AB1" s="2221"/>
      <c r="AC1" s="2221"/>
      <c r="AD1" s="2221"/>
      <c r="AE1" s="2221"/>
      <c r="AF1" s="2221"/>
      <c r="AG1" s="2221"/>
      <c r="AH1" s="2221"/>
      <c r="AI1" s="2221"/>
      <c r="AJ1" s="2221"/>
      <c r="AK1" s="2221"/>
      <c r="AL1" s="2221"/>
      <c r="AM1" s="2221"/>
      <c r="AN1" s="2221"/>
    </row>
    <row r="2" spans="1:47" ht="29.5" x14ac:dyDescent="0.4">
      <c r="A2" s="1145" t="s">
        <v>338</v>
      </c>
      <c r="B2" s="1145" t="s">
        <v>1</v>
      </c>
      <c r="C2" s="1129" t="s">
        <v>339</v>
      </c>
      <c r="D2" s="1129" t="s">
        <v>688</v>
      </c>
      <c r="E2" s="1128" t="s">
        <v>342</v>
      </c>
      <c r="F2" s="1128" t="s">
        <v>1282</v>
      </c>
      <c r="G2" s="1128" t="s">
        <v>1283</v>
      </c>
      <c r="H2" s="1128" t="s">
        <v>1284</v>
      </c>
      <c r="I2" s="1128" t="s">
        <v>1285</v>
      </c>
      <c r="J2" s="1128" t="s">
        <v>1286</v>
      </c>
      <c r="K2" s="1128" t="s">
        <v>343</v>
      </c>
      <c r="L2" s="1128" t="s">
        <v>344</v>
      </c>
      <c r="M2" s="1145" t="s">
        <v>345</v>
      </c>
      <c r="N2" s="1146" t="s">
        <v>347</v>
      </c>
      <c r="O2" s="1146" t="s">
        <v>348</v>
      </c>
      <c r="P2" s="1146" t="s">
        <v>349</v>
      </c>
      <c r="Q2" s="1146" t="s">
        <v>1287</v>
      </c>
      <c r="R2" s="1146" t="s">
        <v>347</v>
      </c>
      <c r="S2" s="1146" t="s">
        <v>348</v>
      </c>
      <c r="T2" s="1146" t="s">
        <v>349</v>
      </c>
      <c r="U2" s="1147" t="s">
        <v>1287</v>
      </c>
      <c r="V2" s="702" t="s">
        <v>1288</v>
      </c>
      <c r="W2" s="702" t="s">
        <v>1289</v>
      </c>
      <c r="X2" s="702" t="s">
        <v>1290</v>
      </c>
      <c r="Y2" s="702" t="s">
        <v>1291</v>
      </c>
      <c r="Z2" s="702" t="s">
        <v>1292</v>
      </c>
      <c r="AA2" s="702" t="s">
        <v>1293</v>
      </c>
      <c r="AB2" s="702" t="s">
        <v>1294</v>
      </c>
      <c r="AC2" s="702" t="s">
        <v>1295</v>
      </c>
      <c r="AD2" s="702" t="s">
        <v>1296</v>
      </c>
      <c r="AE2" s="702" t="s">
        <v>1297</v>
      </c>
      <c r="AF2" s="702" t="s">
        <v>1298</v>
      </c>
      <c r="AG2" s="702" t="s">
        <v>1299</v>
      </c>
      <c r="AH2" s="702" t="s">
        <v>1300</v>
      </c>
      <c r="AI2" s="702" t="s">
        <v>1301</v>
      </c>
      <c r="AJ2" s="702" t="s">
        <v>615</v>
      </c>
      <c r="AK2" s="702" t="s">
        <v>1302</v>
      </c>
      <c r="AL2" s="702" t="s">
        <v>1303</v>
      </c>
      <c r="AM2" s="702" t="s">
        <v>1304</v>
      </c>
      <c r="AN2" s="702" t="s">
        <v>1305</v>
      </c>
      <c r="AP2" s="349"/>
      <c r="AQ2" s="349"/>
    </row>
    <row r="3" spans="1:47" ht="39.5" x14ac:dyDescent="0.35">
      <c r="A3" s="1142" t="s">
        <v>1309</v>
      </c>
      <c r="B3" s="1142" t="str">
        <f>$B$1&amp;"- "&amp;F3&amp;", "&amp;I3&amp;", "&amp;H3&amp;", "&amp;G3&amp;" pans"</f>
        <v>Commercial Steam Cooker- Natural Gas Steam Cooker, Avg Efficient, Unknown, 3 pans</v>
      </c>
      <c r="C3" s="1148" t="s">
        <v>166</v>
      </c>
      <c r="D3" s="1133" t="s">
        <v>1306</v>
      </c>
      <c r="E3" s="135" t="s">
        <v>356</v>
      </c>
      <c r="F3" s="1150" t="s">
        <v>1307</v>
      </c>
      <c r="G3" s="1173">
        <v>3</v>
      </c>
      <c r="H3" s="1148" t="s">
        <v>399</v>
      </c>
      <c r="I3" s="1148" t="s">
        <v>1308</v>
      </c>
      <c r="J3" s="135"/>
      <c r="K3" s="1151">
        <f>$B$62</f>
        <v>12</v>
      </c>
      <c r="L3" s="1152"/>
      <c r="M3" s="1150" t="s">
        <v>1310</v>
      </c>
      <c r="N3" s="1154">
        <f>IF(F3=$B$75,$H$75,0)</f>
        <v>0</v>
      </c>
      <c r="O3" s="1155">
        <f>(N3/(AA3*AM3))*AJ3</f>
        <v>0</v>
      </c>
      <c r="P3" s="1154">
        <f>IF(F3=$B$74,AN3,0)</f>
        <v>752.01231086676478</v>
      </c>
      <c r="Q3" s="1154">
        <f>(AK3-AL3)*AA3*AM3</f>
        <v>65745</v>
      </c>
      <c r="R3" s="1154">
        <f>N3*K3</f>
        <v>0</v>
      </c>
      <c r="S3" s="1154">
        <f>O3</f>
        <v>0</v>
      </c>
      <c r="T3" s="1154">
        <f>P3*K3</f>
        <v>9024.1477304011769</v>
      </c>
      <c r="U3" s="1156">
        <f>Q3*K3</f>
        <v>788940</v>
      </c>
      <c r="V3" s="361">
        <f>+$B$19</f>
        <v>0.9</v>
      </c>
      <c r="W3" s="62">
        <f>IF(ISNUMBER(SEARCH("gas",F3))=TRUE,VLOOKUP(G3,$A$79:$C$82,2,FALSE),VLOOKUP(G3,$A$79:$C$82,3,FALSE))</f>
        <v>11000</v>
      </c>
      <c r="X3" s="62">
        <f>IF(ISNUMBER(SEARCH("gas",F3))=TRUE,VLOOKUP(G3,$A$79:$E$82,4,FALSE),VLOOKUP(G3,$A$79:$E$82,5,FALSE))</f>
        <v>65</v>
      </c>
      <c r="Y3" s="62">
        <f>VLOOKUP(F3,$B$74:$D$75,3,FALSE)</f>
        <v>105</v>
      </c>
      <c r="Z3" s="62">
        <f>VLOOKUP(F3,$B$74:$E$75,4,FALSE)</f>
        <v>0.15</v>
      </c>
      <c r="AA3" s="62">
        <f>VLOOKUP(H3,$A$86:$B$93,2,FALSE)</f>
        <v>6</v>
      </c>
      <c r="AB3" s="62">
        <f>+$B$33</f>
        <v>100</v>
      </c>
      <c r="AC3" s="361">
        <f>+$B$35</f>
        <v>0</v>
      </c>
      <c r="AD3" s="62">
        <f>IF(ISNUMBER(SEARCH("gas",F3))=TRUE,VLOOKUP(G3,$A$79:$G$82,6,FALSE),VLOOKUP(G3,$A$79:$G$82,7,FALSE))</f>
        <v>6250</v>
      </c>
      <c r="AE3" s="62">
        <f>IF(ISNUMBER(SEARCH("gas",F3))=TRUE,VLOOKUP(G3,$A$79:$I$82,8,FALSE),VLOOKUP(G3,$A$79:$I$82,9,FALSE))</f>
        <v>55</v>
      </c>
      <c r="AF3" s="62">
        <f>VLOOKUP(F3,$B$74:$F$75,5,FALSE)</f>
        <v>0.38</v>
      </c>
      <c r="AG3" s="151">
        <f>+$B$44</f>
        <v>1</v>
      </c>
      <c r="AH3" s="62">
        <f>VLOOKUP(F3,$B$74:$G$75,6,FALSE)</f>
        <v>11000</v>
      </c>
      <c r="AI3" s="151">
        <f>+$B$49</f>
        <v>365.25</v>
      </c>
      <c r="AJ3" s="703">
        <f>+VLOOKUP(H3,$A$86:$C$93,3,FALSE)</f>
        <v>0.4</v>
      </c>
      <c r="AK3" s="62">
        <f>+$B$54</f>
        <v>40</v>
      </c>
      <c r="AL3" s="62">
        <f>VLOOKUP(I3,$E$86:$F$89,2,FALSE)</f>
        <v>10</v>
      </c>
      <c r="AM3" s="151">
        <f>+$B$49</f>
        <v>365.25</v>
      </c>
      <c r="AN3" s="62">
        <f>(((((1-V3)*W3+V3*X3*Y3/Z3)*(AA3-(AB3/X3)-(AG3*0.25)))-(((1-AC3)*AD3+AC3*AE3*Y3/AF3)*(AA3-(AB3/AE3)-(AG3*0.25))))+(AG3*AH3)+(((1/Z3)-(1/AF3))*(AB3*Y3)))*AI3*1/100000</f>
        <v>752.01231086676478</v>
      </c>
      <c r="AP3" s="24"/>
      <c r="AQ3" s="24"/>
    </row>
    <row r="4" spans="1:47" x14ac:dyDescent="0.35">
      <c r="A4" s="1137"/>
      <c r="B4" s="1137"/>
      <c r="C4" s="1137"/>
      <c r="D4" s="1137"/>
      <c r="E4" s="1137"/>
      <c r="F4" s="1137"/>
      <c r="G4" s="1137"/>
      <c r="H4" s="1137"/>
      <c r="I4" s="1137"/>
      <c r="J4" s="1137"/>
      <c r="K4" s="1137"/>
      <c r="L4" s="1137"/>
      <c r="M4" s="1137"/>
      <c r="N4" s="1137"/>
      <c r="O4" s="1137"/>
      <c r="P4" s="1137"/>
      <c r="Q4" s="1137"/>
      <c r="R4" s="1137"/>
      <c r="S4" s="1137"/>
      <c r="T4" s="135"/>
      <c r="U4" s="135"/>
    </row>
    <row r="5" spans="1:47" ht="15" thickBot="1" x14ac:dyDescent="0.4"/>
    <row r="6" spans="1:47" ht="15" thickBot="1" x14ac:dyDescent="0.4">
      <c r="A6" s="76" t="s">
        <v>408</v>
      </c>
      <c r="B6" s="77"/>
      <c r="C6" s="77"/>
      <c r="D6" s="77"/>
      <c r="E6" s="410"/>
    </row>
    <row r="7" spans="1:47" x14ac:dyDescent="0.35">
      <c r="A7" s="375" t="s">
        <v>1315</v>
      </c>
      <c r="B7" s="83"/>
      <c r="C7" s="83"/>
      <c r="D7" s="83"/>
      <c r="E7" s="125"/>
    </row>
    <row r="8" spans="1:47" x14ac:dyDescent="0.35">
      <c r="A8" s="375" t="s">
        <v>1316</v>
      </c>
      <c r="B8" s="83"/>
      <c r="C8" s="83"/>
      <c r="D8" s="83"/>
      <c r="E8" s="125"/>
    </row>
    <row r="9" spans="1:47" x14ac:dyDescent="0.35">
      <c r="A9" s="375" t="s">
        <v>1317</v>
      </c>
      <c r="B9" s="83"/>
      <c r="C9" s="83"/>
      <c r="D9" s="83"/>
      <c r="E9" s="125"/>
    </row>
    <row r="10" spans="1:47" s="24" customFormat="1" x14ac:dyDescent="0.35">
      <c r="A10" s="2222" t="s">
        <v>1312</v>
      </c>
      <c r="B10" s="2223"/>
      <c r="C10" s="2223"/>
      <c r="D10" s="2223"/>
      <c r="E10" s="2224"/>
      <c r="R10" s="706"/>
      <c r="S10" s="706"/>
      <c r="T10" s="706"/>
      <c r="V10"/>
      <c r="W10"/>
      <c r="X10"/>
      <c r="Y10"/>
      <c r="Z10"/>
      <c r="AA10"/>
      <c r="AB10"/>
      <c r="AC10"/>
      <c r="AD10"/>
      <c r="AE10"/>
      <c r="AF10"/>
      <c r="AG10"/>
      <c r="AH10"/>
      <c r="AI10"/>
      <c r="AJ10"/>
      <c r="AK10"/>
      <c r="AL10"/>
      <c r="AM10"/>
      <c r="AN10"/>
      <c r="AO10"/>
      <c r="AP10"/>
      <c r="AQ10"/>
      <c r="AR10"/>
      <c r="AS10"/>
      <c r="AT10"/>
      <c r="AU10"/>
    </row>
    <row r="11" spans="1:47" ht="15" x14ac:dyDescent="0.4">
      <c r="A11" s="375" t="s">
        <v>1313</v>
      </c>
      <c r="B11" s="83"/>
      <c r="C11" s="83"/>
      <c r="D11" s="83"/>
      <c r="E11" s="125"/>
      <c r="R11" s="184"/>
      <c r="S11" s="184"/>
      <c r="T11" s="184"/>
    </row>
    <row r="12" spans="1:47" ht="15" x14ac:dyDescent="0.4">
      <c r="A12" s="375" t="s">
        <v>1314</v>
      </c>
      <c r="B12" s="83"/>
      <c r="C12" s="83"/>
      <c r="D12" s="83"/>
      <c r="E12" s="125"/>
      <c r="R12" s="184"/>
      <c r="S12" s="184"/>
      <c r="T12" s="184"/>
    </row>
    <row r="13" spans="1:47" x14ac:dyDescent="0.35">
      <c r="A13" s="375" t="s">
        <v>1318</v>
      </c>
      <c r="B13" s="83"/>
      <c r="C13" s="83"/>
      <c r="D13" s="83"/>
      <c r="E13" s="125"/>
      <c r="R13" s="184"/>
      <c r="S13" s="184"/>
      <c r="T13" s="184"/>
    </row>
    <row r="14" spans="1:47" ht="15.5" thickBot="1" x14ac:dyDescent="0.45">
      <c r="A14" s="380" t="s">
        <v>1319</v>
      </c>
      <c r="B14" s="201"/>
      <c r="C14" s="201"/>
      <c r="D14" s="201"/>
      <c r="E14" s="203"/>
      <c r="R14" s="184"/>
      <c r="S14" s="184"/>
      <c r="T14" s="184"/>
    </row>
    <row r="15" spans="1:47" ht="15" thickBot="1" x14ac:dyDescent="0.4">
      <c r="A15" s="188" t="s">
        <v>2571</v>
      </c>
      <c r="B15" s="1384" t="e">
        <f>+#REF!</f>
        <v>#REF!</v>
      </c>
      <c r="R15" s="184"/>
      <c r="S15" s="184"/>
      <c r="T15" s="184"/>
    </row>
    <row r="16" spans="1:47" ht="15" thickBot="1" x14ac:dyDescent="0.4">
      <c r="A16" s="188" t="s">
        <v>2572</v>
      </c>
      <c r="B16" s="701" t="s">
        <v>2566</v>
      </c>
      <c r="R16" s="184"/>
      <c r="S16" s="184"/>
      <c r="T16" s="184"/>
    </row>
    <row r="17" spans="1:20" ht="15" thickBot="1" x14ac:dyDescent="0.4">
      <c r="R17" s="184"/>
      <c r="S17" s="184"/>
      <c r="T17" s="184"/>
    </row>
    <row r="18" spans="1:20" ht="15" thickBot="1" x14ac:dyDescent="0.4">
      <c r="A18" s="88" t="s">
        <v>1320</v>
      </c>
      <c r="B18" s="89" t="s">
        <v>414</v>
      </c>
      <c r="C18" s="90" t="s">
        <v>415</v>
      </c>
      <c r="D18" s="90"/>
      <c r="E18" s="576"/>
      <c r="R18" s="184"/>
      <c r="S18" s="184"/>
      <c r="T18" s="184"/>
    </row>
    <row r="19" spans="1:20" x14ac:dyDescent="0.35">
      <c r="A19" s="707" t="s">
        <v>1321</v>
      </c>
      <c r="B19" s="708">
        <v>0.9</v>
      </c>
      <c r="C19" s="709" t="s">
        <v>1322</v>
      </c>
      <c r="D19" s="468"/>
      <c r="E19" s="469"/>
      <c r="R19" s="710"/>
      <c r="S19" s="237"/>
      <c r="T19" s="237"/>
    </row>
    <row r="20" spans="1:20" ht="15" thickBot="1" x14ac:dyDescent="0.4">
      <c r="A20" s="711"/>
      <c r="B20" s="712"/>
      <c r="C20" s="713" t="s">
        <v>1323</v>
      </c>
      <c r="D20" s="201"/>
      <c r="E20" s="203"/>
      <c r="R20" s="714"/>
      <c r="S20" s="715"/>
      <c r="T20" s="714"/>
    </row>
    <row r="21" spans="1:20" ht="25.5" customHeight="1" x14ac:dyDescent="0.35">
      <c r="A21" s="707" t="s">
        <v>1324</v>
      </c>
      <c r="B21" s="716" t="s">
        <v>1325</v>
      </c>
      <c r="C21" s="709" t="s">
        <v>1326</v>
      </c>
      <c r="D21" s="717"/>
      <c r="E21" s="718"/>
      <c r="R21" s="714"/>
      <c r="S21" s="715"/>
      <c r="T21" s="714"/>
    </row>
    <row r="22" spans="1:20" ht="15" thickBot="1" x14ac:dyDescent="0.4">
      <c r="A22" s="711"/>
      <c r="B22" s="712"/>
      <c r="C22" s="713" t="s">
        <v>2329</v>
      </c>
      <c r="D22" s="201"/>
      <c r="E22" s="203"/>
      <c r="R22" s="714"/>
      <c r="S22" s="715"/>
      <c r="T22" s="714"/>
    </row>
    <row r="23" spans="1:20" x14ac:dyDescent="0.35">
      <c r="A23" s="707" t="s">
        <v>1327</v>
      </c>
      <c r="B23" s="716" t="s">
        <v>1325</v>
      </c>
      <c r="C23" s="709" t="s">
        <v>1328</v>
      </c>
      <c r="D23" s="468"/>
      <c r="E23" s="469"/>
      <c r="R23" s="714"/>
      <c r="S23" s="715"/>
      <c r="T23" s="714"/>
    </row>
    <row r="24" spans="1:20" ht="15" thickBot="1" x14ac:dyDescent="0.4">
      <c r="A24" s="711"/>
      <c r="B24" s="712"/>
      <c r="C24" s="713" t="s">
        <v>2329</v>
      </c>
      <c r="D24" s="201"/>
      <c r="E24" s="203"/>
      <c r="R24" s="184"/>
      <c r="S24" s="184"/>
      <c r="T24" s="184"/>
    </row>
    <row r="25" spans="1:20" x14ac:dyDescent="0.35">
      <c r="A25" s="2212" t="s">
        <v>1329</v>
      </c>
      <c r="B25" s="719">
        <v>105</v>
      </c>
      <c r="C25" s="709" t="s">
        <v>1330</v>
      </c>
      <c r="D25" s="468"/>
      <c r="E25" s="469"/>
      <c r="R25" s="184"/>
      <c r="S25" s="184"/>
      <c r="T25" s="184"/>
    </row>
    <row r="26" spans="1:20" x14ac:dyDescent="0.35">
      <c r="A26" s="2213"/>
      <c r="B26" s="720"/>
      <c r="C26" s="721" t="s">
        <v>1331</v>
      </c>
      <c r="D26" s="83"/>
      <c r="E26" s="125"/>
      <c r="R26" s="184"/>
      <c r="S26" s="184"/>
      <c r="T26" s="184"/>
    </row>
    <row r="27" spans="1:20" ht="15" thickBot="1" x14ac:dyDescent="0.4">
      <c r="A27" s="2214"/>
      <c r="B27" s="712"/>
      <c r="C27" s="713" t="s">
        <v>1332</v>
      </c>
      <c r="D27" s="201"/>
      <c r="E27" s="203"/>
      <c r="R27" s="184"/>
      <c r="S27" s="184"/>
      <c r="T27" s="184"/>
    </row>
    <row r="28" spans="1:20" x14ac:dyDescent="0.35">
      <c r="A28" s="2212" t="s">
        <v>1333</v>
      </c>
      <c r="B28" s="708">
        <v>0.15</v>
      </c>
      <c r="C28" s="709" t="s">
        <v>1334</v>
      </c>
      <c r="D28" s="468"/>
      <c r="E28" s="469"/>
      <c r="R28" s="184"/>
      <c r="S28" s="184"/>
      <c r="T28" s="184"/>
    </row>
    <row r="29" spans="1:20" x14ac:dyDescent="0.35">
      <c r="A29" s="2213"/>
      <c r="B29" s="720"/>
      <c r="C29" s="721" t="s">
        <v>1331</v>
      </c>
      <c r="D29" s="83"/>
      <c r="E29" s="125"/>
      <c r="R29" s="184"/>
      <c r="S29" s="184"/>
      <c r="T29" s="184"/>
    </row>
    <row r="30" spans="1:20" ht="15" thickBot="1" x14ac:dyDescent="0.4">
      <c r="A30" s="2214"/>
      <c r="B30" s="712"/>
      <c r="C30" s="713" t="s">
        <v>1335</v>
      </c>
      <c r="D30" s="201"/>
      <c r="E30" s="203"/>
      <c r="R30" s="184"/>
      <c r="S30" s="184"/>
      <c r="T30" s="184"/>
    </row>
    <row r="31" spans="1:20" x14ac:dyDescent="0.35">
      <c r="A31" s="2212" t="s">
        <v>1336</v>
      </c>
      <c r="B31" s="716" t="s">
        <v>1325</v>
      </c>
      <c r="C31" s="709" t="s">
        <v>1337</v>
      </c>
      <c r="D31" s="468"/>
      <c r="E31" s="469"/>
      <c r="R31" s="184"/>
      <c r="S31" s="184"/>
      <c r="T31" s="184"/>
    </row>
    <row r="32" spans="1:20" ht="15" thickBot="1" x14ac:dyDescent="0.4">
      <c r="A32" s="2214"/>
      <c r="B32" s="712"/>
      <c r="C32" s="713" t="s">
        <v>1338</v>
      </c>
      <c r="D32" s="201"/>
      <c r="E32" s="203"/>
      <c r="R32" s="184"/>
      <c r="S32" s="184"/>
      <c r="T32" s="184"/>
    </row>
    <row r="33" spans="1:20" x14ac:dyDescent="0.35">
      <c r="A33" s="2212" t="s">
        <v>1294</v>
      </c>
      <c r="B33" s="722">
        <v>100</v>
      </c>
      <c r="C33" s="709" t="s">
        <v>1339</v>
      </c>
      <c r="D33" s="468"/>
      <c r="E33" s="469"/>
      <c r="R33" s="184"/>
      <c r="S33" s="184"/>
      <c r="T33" s="184"/>
    </row>
    <row r="34" spans="1:20" ht="15" thickBot="1" x14ac:dyDescent="0.4">
      <c r="A34" s="2214"/>
      <c r="B34" s="712"/>
      <c r="C34" s="713" t="s">
        <v>2330</v>
      </c>
      <c r="D34" s="201"/>
      <c r="E34" s="203"/>
      <c r="R34" s="184"/>
      <c r="S34" s="184"/>
      <c r="T34" s="184"/>
    </row>
    <row r="35" spans="1:20" x14ac:dyDescent="0.35">
      <c r="A35" s="2212" t="s">
        <v>1340</v>
      </c>
      <c r="B35" s="708">
        <v>0</v>
      </c>
      <c r="C35" s="709" t="s">
        <v>1341</v>
      </c>
      <c r="D35" s="468"/>
      <c r="E35" s="469"/>
    </row>
    <row r="36" spans="1:20" ht="15" thickBot="1" x14ac:dyDescent="0.4">
      <c r="A36" s="2214"/>
      <c r="B36" s="712"/>
      <c r="C36" s="713" t="s">
        <v>1342</v>
      </c>
      <c r="D36" s="201"/>
      <c r="E36" s="203"/>
    </row>
    <row r="37" spans="1:20" x14ac:dyDescent="0.35">
      <c r="A37" s="2212" t="s">
        <v>1343</v>
      </c>
      <c r="B37" s="716" t="s">
        <v>1325</v>
      </c>
      <c r="C37" s="709" t="s">
        <v>1344</v>
      </c>
      <c r="D37" s="468"/>
      <c r="E37" s="469"/>
    </row>
    <row r="38" spans="1:20" ht="15" thickBot="1" x14ac:dyDescent="0.4">
      <c r="A38" s="2214"/>
      <c r="B38" s="712"/>
      <c r="C38" s="713" t="s">
        <v>1345</v>
      </c>
      <c r="D38" s="201"/>
      <c r="E38" s="203"/>
    </row>
    <row r="39" spans="1:20" x14ac:dyDescent="0.35">
      <c r="A39" s="2212" t="s">
        <v>1346</v>
      </c>
      <c r="B39" s="716" t="s">
        <v>1325</v>
      </c>
      <c r="C39" s="709" t="s">
        <v>1347</v>
      </c>
      <c r="D39" s="468"/>
      <c r="E39" s="469"/>
    </row>
    <row r="40" spans="1:20" ht="15" thickBot="1" x14ac:dyDescent="0.4">
      <c r="A40" s="2214"/>
      <c r="B40" s="712"/>
      <c r="C40" s="713" t="s">
        <v>1345</v>
      </c>
      <c r="D40" s="201"/>
      <c r="E40" s="203"/>
    </row>
    <row r="41" spans="1:20" x14ac:dyDescent="0.35">
      <c r="A41" s="2212" t="s">
        <v>1348</v>
      </c>
      <c r="B41" s="708">
        <v>0.38</v>
      </c>
      <c r="C41" s="709" t="s">
        <v>1349</v>
      </c>
      <c r="D41" s="468"/>
      <c r="E41" s="469"/>
    </row>
    <row r="42" spans="1:20" x14ac:dyDescent="0.35">
      <c r="A42" s="2213"/>
      <c r="B42" s="720"/>
      <c r="C42" s="721" t="s">
        <v>1331</v>
      </c>
      <c r="D42" s="83"/>
      <c r="E42" s="125"/>
    </row>
    <row r="43" spans="1:20" ht="15" thickBot="1" x14ac:dyDescent="0.4">
      <c r="A43" s="2214"/>
      <c r="B43" s="712"/>
      <c r="C43" s="713" t="s">
        <v>1350</v>
      </c>
      <c r="D43" s="201"/>
      <c r="E43" s="203"/>
    </row>
    <row r="44" spans="1:20" x14ac:dyDescent="0.35">
      <c r="A44" s="2212" t="s">
        <v>1351</v>
      </c>
      <c r="B44" s="723">
        <v>1</v>
      </c>
      <c r="C44" s="709" t="s">
        <v>1352</v>
      </c>
      <c r="D44" s="468"/>
      <c r="E44" s="469"/>
    </row>
    <row r="45" spans="1:20" ht="15" thickBot="1" x14ac:dyDescent="0.4">
      <c r="A45" s="2214"/>
      <c r="B45" s="712"/>
      <c r="C45" s="713" t="s">
        <v>1353</v>
      </c>
      <c r="D45" s="201"/>
      <c r="E45" s="203"/>
    </row>
    <row r="46" spans="1:20" x14ac:dyDescent="0.35">
      <c r="A46" s="724" t="s">
        <v>1354</v>
      </c>
      <c r="B46" s="723">
        <v>11000</v>
      </c>
      <c r="C46" s="709" t="s">
        <v>1355</v>
      </c>
      <c r="D46" s="468"/>
      <c r="E46" s="469"/>
    </row>
    <row r="47" spans="1:20" x14ac:dyDescent="0.35">
      <c r="A47" s="725"/>
      <c r="B47" s="726"/>
      <c r="C47" s="721" t="s">
        <v>1331</v>
      </c>
      <c r="D47" s="83"/>
      <c r="E47" s="125"/>
    </row>
    <row r="48" spans="1:20" ht="15" thickBot="1" x14ac:dyDescent="0.4">
      <c r="A48" s="727"/>
      <c r="B48" s="728"/>
      <c r="C48" s="713" t="s">
        <v>1356</v>
      </c>
      <c r="D48" s="201"/>
      <c r="E48" s="203"/>
    </row>
    <row r="49" spans="1:5" ht="15" thickBot="1" x14ac:dyDescent="0.4">
      <c r="A49" s="729" t="s">
        <v>1301</v>
      </c>
      <c r="B49" s="730">
        <v>365.25</v>
      </c>
      <c r="C49" s="731" t="s">
        <v>1357</v>
      </c>
      <c r="D49" s="732"/>
      <c r="E49" s="733"/>
    </row>
    <row r="50" spans="1:5" x14ac:dyDescent="0.35">
      <c r="A50" s="2212" t="s">
        <v>615</v>
      </c>
      <c r="B50" s="716" t="s">
        <v>1325</v>
      </c>
      <c r="C50" s="709" t="s">
        <v>1358</v>
      </c>
      <c r="D50" s="468"/>
      <c r="E50" s="469"/>
    </row>
    <row r="51" spans="1:5" x14ac:dyDescent="0.35">
      <c r="A51" s="2213"/>
      <c r="B51" s="720"/>
      <c r="C51" s="721" t="s">
        <v>1359</v>
      </c>
      <c r="D51" s="83"/>
      <c r="E51" s="125"/>
    </row>
    <row r="52" spans="1:5" x14ac:dyDescent="0.35">
      <c r="A52" s="2213"/>
      <c r="B52" s="720"/>
      <c r="C52" s="721" t="s">
        <v>1360</v>
      </c>
      <c r="D52" s="83"/>
      <c r="E52" s="125"/>
    </row>
    <row r="53" spans="1:5" ht="15" thickBot="1" x14ac:dyDescent="0.4">
      <c r="A53" s="2214"/>
      <c r="B53" s="712"/>
      <c r="C53" s="713" t="s">
        <v>1361</v>
      </c>
      <c r="D53" s="201"/>
      <c r="E53" s="203"/>
    </row>
    <row r="54" spans="1:5" x14ac:dyDescent="0.35">
      <c r="A54" s="2212" t="s">
        <v>1362</v>
      </c>
      <c r="B54" s="722">
        <v>40</v>
      </c>
      <c r="C54" s="709" t="s">
        <v>1363</v>
      </c>
      <c r="D54" s="468"/>
      <c r="E54" s="469"/>
    </row>
    <row r="55" spans="1:5" ht="15" thickBot="1" x14ac:dyDescent="0.4">
      <c r="A55" s="2214"/>
      <c r="B55" s="712"/>
      <c r="C55" s="713" t="s">
        <v>1364</v>
      </c>
      <c r="D55" s="201"/>
      <c r="E55" s="203"/>
    </row>
    <row r="56" spans="1:5" x14ac:dyDescent="0.35">
      <c r="A56" s="2212" t="s">
        <v>1365</v>
      </c>
      <c r="B56" s="716" t="s">
        <v>1325</v>
      </c>
      <c r="C56" s="709" t="s">
        <v>1366</v>
      </c>
      <c r="D56" s="468"/>
      <c r="E56" s="469"/>
    </row>
    <row r="57" spans="1:5" ht="15" thickBot="1" x14ac:dyDescent="0.4">
      <c r="A57" s="2214"/>
      <c r="B57" s="712"/>
      <c r="C57" s="713" t="s">
        <v>2331</v>
      </c>
      <c r="D57" s="201"/>
      <c r="E57" s="203"/>
    </row>
    <row r="58" spans="1:5" ht="15" thickBot="1" x14ac:dyDescent="0.4">
      <c r="A58" s="729" t="s">
        <v>1367</v>
      </c>
      <c r="B58" s="734">
        <v>365.25</v>
      </c>
      <c r="C58" s="731" t="s">
        <v>1368</v>
      </c>
      <c r="D58" s="732"/>
      <c r="E58" s="733"/>
    </row>
    <row r="59" spans="1:5" x14ac:dyDescent="0.35">
      <c r="A59" s="2202" t="s">
        <v>344</v>
      </c>
      <c r="B59" s="735"/>
      <c r="C59" s="468"/>
      <c r="D59" s="468"/>
      <c r="E59" s="469"/>
    </row>
    <row r="60" spans="1:5" x14ac:dyDescent="0.35">
      <c r="A60" s="2215"/>
      <c r="B60" s="736"/>
      <c r="C60" s="83"/>
      <c r="D60" s="83"/>
      <c r="E60" s="125"/>
    </row>
    <row r="61" spans="1:5" ht="15" thickBot="1" x14ac:dyDescent="0.4">
      <c r="A61" s="2203"/>
      <c r="B61" s="737"/>
      <c r="C61" s="713"/>
      <c r="D61" s="201"/>
      <c r="E61" s="203"/>
    </row>
    <row r="62" spans="1:5" x14ac:dyDescent="0.35">
      <c r="A62" s="2202" t="s">
        <v>443</v>
      </c>
      <c r="B62" s="735">
        <v>12</v>
      </c>
      <c r="C62" s="468" t="s">
        <v>1369</v>
      </c>
      <c r="D62" s="468"/>
      <c r="E62" s="469"/>
    </row>
    <row r="63" spans="1:5" ht="15" thickBot="1" x14ac:dyDescent="0.4">
      <c r="A63" s="2203"/>
      <c r="B63" s="737"/>
      <c r="C63" s="713" t="s">
        <v>1370</v>
      </c>
      <c r="D63" s="201"/>
      <c r="E63" s="203"/>
    </row>
    <row r="64" spans="1:5" x14ac:dyDescent="0.35">
      <c r="A64" s="738" t="s">
        <v>1371</v>
      </c>
      <c r="B64" s="468"/>
      <c r="C64" s="2204" t="s">
        <v>1372</v>
      </c>
      <c r="D64" s="2204"/>
      <c r="E64" s="2205"/>
    </row>
    <row r="65" spans="1:11" ht="29.25" customHeight="1" thickBot="1" x14ac:dyDescent="0.4">
      <c r="A65" s="739"/>
      <c r="B65" s="201"/>
      <c r="C65" s="2206"/>
      <c r="D65" s="2206"/>
      <c r="E65" s="2207"/>
    </row>
    <row r="66" spans="1:11" x14ac:dyDescent="0.35">
      <c r="A66" s="738" t="s">
        <v>1373</v>
      </c>
      <c r="B66" s="468"/>
      <c r="C66" s="2208" t="s">
        <v>1374</v>
      </c>
      <c r="D66" s="2208"/>
      <c r="E66" s="2209"/>
    </row>
    <row r="67" spans="1:11" ht="15" thickBot="1" x14ac:dyDescent="0.4">
      <c r="A67" s="739"/>
      <c r="B67" s="201"/>
      <c r="C67" s="2210"/>
      <c r="D67" s="2210"/>
      <c r="E67" s="2211"/>
    </row>
    <row r="68" spans="1:11" x14ac:dyDescent="0.35">
      <c r="A68" s="740"/>
      <c r="B68" s="67"/>
      <c r="C68" s="67"/>
      <c r="D68" s="67"/>
    </row>
    <row r="69" spans="1:11" x14ac:dyDescent="0.35">
      <c r="A69" s="741"/>
      <c r="B69" s="67"/>
      <c r="C69" s="67"/>
      <c r="D69" s="67"/>
    </row>
    <row r="70" spans="1:11" ht="15" thickBot="1" x14ac:dyDescent="0.4">
      <c r="A70" s="741"/>
      <c r="B70" s="67"/>
      <c r="C70" s="67"/>
      <c r="D70" s="67"/>
    </row>
    <row r="71" spans="1:11" x14ac:dyDescent="0.35">
      <c r="A71" s="742" t="s">
        <v>539</v>
      </c>
      <c r="B71" s="743"/>
      <c r="C71" s="743"/>
      <c r="D71" s="743"/>
      <c r="E71" s="743"/>
      <c r="F71" s="743"/>
      <c r="G71" s="743"/>
      <c r="H71" s="743"/>
      <c r="I71" s="744"/>
      <c r="J71" s="184"/>
      <c r="K71" s="706"/>
    </row>
    <row r="72" spans="1:11" x14ac:dyDescent="0.35">
      <c r="A72" s="124"/>
      <c r="B72" s="83"/>
      <c r="C72" s="83"/>
      <c r="D72" s="83"/>
      <c r="E72" s="83"/>
      <c r="F72" s="83"/>
      <c r="G72" s="83"/>
      <c r="H72" s="83"/>
      <c r="I72" s="125"/>
      <c r="J72" s="184"/>
      <c r="K72" s="184"/>
    </row>
    <row r="73" spans="1:11" ht="15" x14ac:dyDescent="0.35">
      <c r="A73" s="124"/>
      <c r="B73" s="745"/>
      <c r="C73" s="745" t="s">
        <v>344</v>
      </c>
      <c r="D73" s="745" t="s">
        <v>1375</v>
      </c>
      <c r="E73" s="745" t="s">
        <v>1376</v>
      </c>
      <c r="F73" s="745" t="s">
        <v>1377</v>
      </c>
      <c r="G73" s="745" t="s">
        <v>1378</v>
      </c>
      <c r="H73" s="745"/>
      <c r="I73" s="125"/>
      <c r="J73" s="184"/>
      <c r="K73" s="184"/>
    </row>
    <row r="74" spans="1:11" x14ac:dyDescent="0.35">
      <c r="A74" s="124"/>
      <c r="B74" s="320" t="s">
        <v>1307</v>
      </c>
      <c r="C74" s="746">
        <f>+$B$59</f>
        <v>0</v>
      </c>
      <c r="D74" s="62">
        <v>105</v>
      </c>
      <c r="E74" s="75">
        <v>0.15</v>
      </c>
      <c r="F74" s="75">
        <v>0.38</v>
      </c>
      <c r="G74" s="747">
        <v>11000</v>
      </c>
      <c r="H74" s="747"/>
      <c r="I74" s="125"/>
      <c r="J74" s="184"/>
      <c r="K74" s="184"/>
    </row>
    <row r="75" spans="1:11" x14ac:dyDescent="0.35">
      <c r="A75" s="124"/>
      <c r="B75" s="320" t="s">
        <v>1379</v>
      </c>
      <c r="C75" s="746">
        <f>+$B$60</f>
        <v>0</v>
      </c>
      <c r="D75" s="424">
        <v>3.0800000000000001E-2</v>
      </c>
      <c r="E75" s="75">
        <v>0.26</v>
      </c>
      <c r="F75" s="75">
        <v>0.5</v>
      </c>
      <c r="G75" s="62">
        <v>0.5</v>
      </c>
      <c r="H75" s="62"/>
      <c r="I75" s="125"/>
      <c r="J75" s="184"/>
      <c r="K75" s="184"/>
    </row>
    <row r="76" spans="1:11" x14ac:dyDescent="0.35">
      <c r="A76" s="375"/>
      <c r="B76" s="83"/>
      <c r="C76" s="83"/>
      <c r="D76" s="83"/>
      <c r="E76" s="83"/>
      <c r="F76" s="83"/>
      <c r="G76" s="83"/>
      <c r="H76" s="83"/>
      <c r="I76" s="125"/>
      <c r="J76" s="184"/>
      <c r="K76" s="184"/>
    </row>
    <row r="77" spans="1:11" x14ac:dyDescent="0.35">
      <c r="A77" s="748"/>
      <c r="B77" s="83"/>
      <c r="C77" s="83"/>
      <c r="D77" s="83"/>
      <c r="E77" s="83"/>
      <c r="F77" s="83"/>
      <c r="G77" s="83"/>
      <c r="H77" s="83"/>
      <c r="I77" s="125"/>
      <c r="J77" s="184"/>
      <c r="K77" s="184"/>
    </row>
    <row r="78" spans="1:11" ht="41" x14ac:dyDescent="0.35">
      <c r="A78" s="749" t="s">
        <v>1380</v>
      </c>
      <c r="B78" s="750" t="s">
        <v>1381</v>
      </c>
      <c r="C78" s="750" t="s">
        <v>1382</v>
      </c>
      <c r="D78" s="750" t="s">
        <v>1383</v>
      </c>
      <c r="E78" s="750" t="s">
        <v>1384</v>
      </c>
      <c r="F78" s="750" t="s">
        <v>1385</v>
      </c>
      <c r="G78" s="750" t="s">
        <v>1386</v>
      </c>
      <c r="H78" s="750" t="s">
        <v>1387</v>
      </c>
      <c r="I78" s="751" t="s">
        <v>1388</v>
      </c>
      <c r="J78" s="184"/>
      <c r="K78" s="237"/>
    </row>
    <row r="79" spans="1:11" x14ac:dyDescent="0.35">
      <c r="A79" s="752">
        <v>3</v>
      </c>
      <c r="B79" s="753">
        <v>11000</v>
      </c>
      <c r="C79" s="315">
        <v>1</v>
      </c>
      <c r="D79" s="754">
        <v>65</v>
      </c>
      <c r="E79" s="315">
        <v>70</v>
      </c>
      <c r="F79" s="315">
        <v>6250</v>
      </c>
      <c r="G79" s="315">
        <v>0.4</v>
      </c>
      <c r="H79" s="754">
        <v>55</v>
      </c>
      <c r="I79" s="755">
        <v>50</v>
      </c>
      <c r="J79" s="184"/>
      <c r="K79" s="715"/>
    </row>
    <row r="80" spans="1:11" x14ac:dyDescent="0.35">
      <c r="A80" s="752">
        <v>4</v>
      </c>
      <c r="B80" s="753">
        <v>14667</v>
      </c>
      <c r="C80" s="315">
        <v>1.33</v>
      </c>
      <c r="D80" s="754">
        <v>87</v>
      </c>
      <c r="E80" s="315">
        <v>93</v>
      </c>
      <c r="F80" s="315">
        <v>8333</v>
      </c>
      <c r="G80" s="315">
        <v>0.53</v>
      </c>
      <c r="H80" s="754">
        <v>73</v>
      </c>
      <c r="I80" s="755">
        <v>67</v>
      </c>
      <c r="J80" s="184"/>
      <c r="K80" s="715"/>
    </row>
    <row r="81" spans="1:11" x14ac:dyDescent="0.35">
      <c r="A81" s="752">
        <v>5</v>
      </c>
      <c r="B81" s="753">
        <v>18333</v>
      </c>
      <c r="C81" s="315">
        <v>1.67</v>
      </c>
      <c r="D81" s="754">
        <v>108</v>
      </c>
      <c r="E81" s="315">
        <v>117</v>
      </c>
      <c r="F81" s="315">
        <v>10417</v>
      </c>
      <c r="G81" s="315">
        <v>0.67</v>
      </c>
      <c r="H81" s="754">
        <v>92</v>
      </c>
      <c r="I81" s="755">
        <v>83</v>
      </c>
      <c r="J81" s="184"/>
      <c r="K81" s="715"/>
    </row>
    <row r="82" spans="1:11" x14ac:dyDescent="0.35">
      <c r="A82" s="752">
        <v>6</v>
      </c>
      <c r="B82" s="753">
        <v>22000</v>
      </c>
      <c r="C82" s="315">
        <v>2</v>
      </c>
      <c r="D82" s="754">
        <v>130</v>
      </c>
      <c r="E82" s="315">
        <v>140</v>
      </c>
      <c r="F82" s="315">
        <v>12500</v>
      </c>
      <c r="G82" s="315">
        <v>0.8</v>
      </c>
      <c r="H82" s="754">
        <v>110</v>
      </c>
      <c r="I82" s="755">
        <v>100</v>
      </c>
      <c r="J82" s="184"/>
      <c r="K82" s="715"/>
    </row>
    <row r="83" spans="1:11" x14ac:dyDescent="0.35">
      <c r="A83" s="124"/>
      <c r="B83" s="83"/>
      <c r="C83" s="83"/>
      <c r="D83" s="83"/>
      <c r="E83" s="83"/>
      <c r="F83" s="83"/>
      <c r="G83" s="83"/>
      <c r="H83" s="83"/>
      <c r="I83" s="125"/>
      <c r="J83" s="184"/>
      <c r="K83" s="184"/>
    </row>
    <row r="84" spans="1:11" x14ac:dyDescent="0.35">
      <c r="A84" s="748"/>
      <c r="B84" s="83"/>
      <c r="C84" s="83"/>
      <c r="D84" s="83"/>
      <c r="E84" s="571"/>
      <c r="F84" s="83"/>
      <c r="G84" s="83"/>
      <c r="H84" s="83"/>
      <c r="I84" s="125"/>
      <c r="J84" s="184"/>
      <c r="K84" s="184"/>
    </row>
    <row r="85" spans="1:11" x14ac:dyDescent="0.35">
      <c r="A85" s="749" t="s">
        <v>1284</v>
      </c>
      <c r="B85" s="750" t="s">
        <v>1389</v>
      </c>
      <c r="C85" s="750" t="s">
        <v>615</v>
      </c>
      <c r="D85" s="83"/>
      <c r="E85" s="750" t="s">
        <v>1285</v>
      </c>
      <c r="F85" s="750" t="s">
        <v>1390</v>
      </c>
      <c r="G85" s="83"/>
      <c r="H85" s="83"/>
      <c r="I85" s="125"/>
      <c r="J85" s="184"/>
      <c r="K85" s="184"/>
    </row>
    <row r="86" spans="1:11" ht="26" x14ac:dyDescent="0.35">
      <c r="A86" s="757" t="s">
        <v>1391</v>
      </c>
      <c r="B86" s="315">
        <v>4</v>
      </c>
      <c r="C86" s="315">
        <v>0.32</v>
      </c>
      <c r="D86" s="83"/>
      <c r="E86" s="315" t="s">
        <v>1392</v>
      </c>
      <c r="F86" s="315">
        <v>15</v>
      </c>
      <c r="G86" s="83"/>
      <c r="H86" s="83"/>
      <c r="I86" s="125"/>
      <c r="J86" s="184"/>
      <c r="K86" s="184"/>
    </row>
    <row r="87" spans="1:11" ht="26" x14ac:dyDescent="0.35">
      <c r="A87" s="757" t="s">
        <v>1393</v>
      </c>
      <c r="B87" s="315">
        <v>5</v>
      </c>
      <c r="C87" s="315">
        <v>0.41</v>
      </c>
      <c r="D87" s="83"/>
      <c r="E87" s="315" t="s">
        <v>1394</v>
      </c>
      <c r="F87" s="315">
        <v>4</v>
      </c>
      <c r="G87" s="83"/>
      <c r="H87" s="83"/>
      <c r="I87" s="125"/>
      <c r="J87" s="184"/>
      <c r="K87" s="184"/>
    </row>
    <row r="88" spans="1:11" x14ac:dyDescent="0.35">
      <c r="A88" s="752" t="s">
        <v>1395</v>
      </c>
      <c r="B88" s="315">
        <v>8</v>
      </c>
      <c r="C88" s="315">
        <v>0.46</v>
      </c>
      <c r="D88" s="83"/>
      <c r="E88" s="315" t="s">
        <v>1308</v>
      </c>
      <c r="F88" s="315">
        <v>10</v>
      </c>
      <c r="G88" s="83"/>
      <c r="H88" s="83"/>
      <c r="I88" s="125"/>
      <c r="J88" s="184"/>
      <c r="K88" s="184"/>
    </row>
    <row r="89" spans="1:11" ht="26" x14ac:dyDescent="0.35">
      <c r="A89" s="757" t="s">
        <v>1396</v>
      </c>
      <c r="B89" s="315">
        <v>8</v>
      </c>
      <c r="C89" s="315">
        <v>0.51</v>
      </c>
      <c r="D89" s="83"/>
      <c r="E89" s="315" t="s">
        <v>1397</v>
      </c>
      <c r="F89" s="315">
        <v>3</v>
      </c>
      <c r="G89" s="83"/>
      <c r="H89" s="83"/>
      <c r="I89" s="125"/>
      <c r="J89" s="184"/>
      <c r="K89" s="184"/>
    </row>
    <row r="90" spans="1:11" ht="26" x14ac:dyDescent="0.35">
      <c r="A90" s="757" t="s">
        <v>1398</v>
      </c>
      <c r="B90" s="315">
        <v>7</v>
      </c>
      <c r="C90" s="315">
        <v>0.36</v>
      </c>
      <c r="D90" s="83"/>
      <c r="E90" s="756"/>
      <c r="F90" s="756"/>
      <c r="G90" s="83"/>
      <c r="H90" s="83"/>
      <c r="I90" s="125"/>
      <c r="J90" s="184"/>
      <c r="K90" s="184"/>
    </row>
    <row r="91" spans="1:11" x14ac:dyDescent="0.35">
      <c r="A91" s="757" t="s">
        <v>1399</v>
      </c>
      <c r="B91" s="315">
        <v>6</v>
      </c>
      <c r="C91" s="315">
        <v>0.36</v>
      </c>
      <c r="D91" s="83"/>
      <c r="E91" s="83"/>
      <c r="F91" s="83"/>
      <c r="G91" s="83"/>
      <c r="H91" s="83"/>
      <c r="I91" s="125"/>
      <c r="J91" s="184"/>
      <c r="K91" s="184"/>
    </row>
    <row r="92" spans="1:11" x14ac:dyDescent="0.35">
      <c r="A92" s="757" t="s">
        <v>399</v>
      </c>
      <c r="B92" s="62">
        <v>6</v>
      </c>
      <c r="C92" s="758">
        <v>0.4</v>
      </c>
      <c r="D92" s="83"/>
      <c r="E92" s="83"/>
      <c r="F92" s="83"/>
      <c r="G92" s="83"/>
      <c r="H92" s="83"/>
      <c r="I92" s="125"/>
      <c r="J92" s="184"/>
      <c r="K92" s="184"/>
    </row>
    <row r="93" spans="1:11" ht="15" thickBot="1" x14ac:dyDescent="0.4">
      <c r="A93" s="759" t="s">
        <v>295</v>
      </c>
      <c r="B93" s="760">
        <v>12</v>
      </c>
      <c r="C93" s="760">
        <v>0</v>
      </c>
      <c r="D93" s="201"/>
      <c r="E93" s="201"/>
      <c r="F93" s="201"/>
      <c r="G93" s="201"/>
      <c r="H93" s="201"/>
      <c r="I93" s="203"/>
      <c r="J93" s="184"/>
      <c r="K93" s="184"/>
    </row>
    <row r="94" spans="1:11" x14ac:dyDescent="0.35">
      <c r="J94" s="184"/>
    </row>
    <row r="95" spans="1:11" x14ac:dyDescent="0.35">
      <c r="J95" s="184"/>
    </row>
  </sheetData>
  <customSheetViews>
    <customSheetView guid="{11DE45F5-F478-4ED6-8DFF-12002C22A637}" scale="85" showPageBreaks="1" fitToPage="1" view="pageBreakPreview">
      <pageMargins left="0.7" right="0.7" top="0.75" bottom="0.75" header="0.3" footer="0.3"/>
      <pageSetup scale="20" orientation="landscape" r:id="rId1"/>
    </customSheetView>
    <customSheetView guid="{ECD6FE6A-9548-414E-B8AA-6998703C57E0}" scale="85" showPageBreaks="1" fitToPage="1" view="pageBreakPreview">
      <pageMargins left="0.7" right="0.7" top="0.75" bottom="0.75" header="0.3" footer="0.3"/>
      <pageSetup scale="20" orientation="landscape" r:id="rId2"/>
    </customSheetView>
  </customSheetViews>
  <mergeCells count="20">
    <mergeCell ref="A39:A40"/>
    <mergeCell ref="N1:Q1"/>
    <mergeCell ref="R1:U1"/>
    <mergeCell ref="V1:AN1"/>
    <mergeCell ref="A10:E10"/>
    <mergeCell ref="A25:A27"/>
    <mergeCell ref="A28:A30"/>
    <mergeCell ref="A31:A32"/>
    <mergeCell ref="A33:A34"/>
    <mergeCell ref="A35:A36"/>
    <mergeCell ref="A37:A38"/>
    <mergeCell ref="A62:A63"/>
    <mergeCell ref="C64:E65"/>
    <mergeCell ref="C66:E67"/>
    <mergeCell ref="A41:A43"/>
    <mergeCell ref="A44:A45"/>
    <mergeCell ref="A50:A53"/>
    <mergeCell ref="A54:A55"/>
    <mergeCell ref="A56:A57"/>
    <mergeCell ref="A59:A61"/>
  </mergeCells>
  <dataValidations count="5">
    <dataValidation type="list" allowBlank="1" showInputMessage="1" showErrorMessage="1" sqref="D3" xr:uid="{00000000-0002-0000-0400-000000000000}">
      <formula1>MeasureType</formula1>
    </dataValidation>
    <dataValidation type="list" allowBlank="1" showInputMessage="1" showErrorMessage="1" sqref="I3" xr:uid="{00000000-0002-0000-0400-000001000000}">
      <formula1>CSCr4</formula1>
    </dataValidation>
    <dataValidation type="list" allowBlank="1" showInputMessage="1" showErrorMessage="1" sqref="H3" xr:uid="{00000000-0002-0000-0400-000002000000}">
      <formula1>CSCr3</formula1>
    </dataValidation>
    <dataValidation type="list" allowBlank="1" showInputMessage="1" showErrorMessage="1" sqref="G3" xr:uid="{00000000-0002-0000-0400-000003000000}">
      <formula1>CSCr2</formula1>
    </dataValidation>
    <dataValidation type="list" allowBlank="1" showInputMessage="1" showErrorMessage="1" sqref="F3" xr:uid="{00000000-0002-0000-0400-000004000000}">
      <formula1>CSCr1</formula1>
    </dataValidation>
  </dataValidations>
  <pageMargins left="0.7" right="0.7" top="0.75" bottom="0.75" header="0.3" footer="0.3"/>
  <pageSetup scale="21" orientation="landscape"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FF00"/>
  </sheetPr>
  <dimension ref="A1:AB327"/>
  <sheetViews>
    <sheetView view="pageBreakPreview" topLeftCell="A46" zoomScale="90" zoomScaleNormal="100" zoomScaleSheetLayoutView="90" workbookViewId="0">
      <selection activeCell="C56" sqref="C56"/>
    </sheetView>
  </sheetViews>
  <sheetFormatPr defaultRowHeight="14.5" x14ac:dyDescent="0.35"/>
  <cols>
    <col min="1" max="1" width="57.7265625" customWidth="1"/>
    <col min="2" max="2" width="16.1796875" bestFit="1" customWidth="1"/>
    <col min="3" max="3" width="24" customWidth="1"/>
    <col min="4" max="4" width="16.26953125" customWidth="1"/>
    <col min="5" max="5" width="16.453125" customWidth="1"/>
    <col min="6" max="6" width="12" customWidth="1"/>
    <col min="7" max="7" width="10.81640625" style="268" customWidth="1"/>
    <col min="8" max="8" width="13" style="268" customWidth="1"/>
    <col min="9" max="9" width="28" customWidth="1"/>
    <col min="10" max="10" width="26.1796875" customWidth="1"/>
    <col min="11" max="11" width="32" customWidth="1"/>
    <col min="12" max="12" width="43" bestFit="1" customWidth="1"/>
    <col min="13" max="13" width="10.81640625" bestFit="1" customWidth="1"/>
    <col min="14" max="14" width="16.1796875" bestFit="1" customWidth="1"/>
    <col min="15" max="15" width="13.7265625" customWidth="1"/>
    <col min="18" max="18" width="20.453125" bestFit="1" customWidth="1"/>
    <col min="19" max="19" width="8.7265625" bestFit="1" customWidth="1"/>
    <col min="20" max="20" width="9" bestFit="1" customWidth="1"/>
    <col min="21" max="21" width="28.54296875" bestFit="1" customWidth="1"/>
    <col min="22" max="22" width="23.1796875" bestFit="1" customWidth="1"/>
    <col min="23" max="23" width="12.26953125" bestFit="1" customWidth="1"/>
    <col min="24" max="24" width="16.1796875" bestFit="1" customWidth="1"/>
    <col min="25" max="25" width="8.81640625" bestFit="1" customWidth="1"/>
    <col min="28" max="28" width="62.26953125" customWidth="1"/>
  </cols>
  <sheetData>
    <row r="1" spans="1:21" ht="15.5" x14ac:dyDescent="0.35">
      <c r="A1" s="542" t="s">
        <v>1142</v>
      </c>
    </row>
    <row r="2" spans="1:21" ht="15.5" x14ac:dyDescent="0.35">
      <c r="A2" s="542" t="s">
        <v>3344</v>
      </c>
      <c r="O2" s="543"/>
      <c r="P2" s="543"/>
      <c r="Q2" s="543"/>
      <c r="R2" s="543"/>
      <c r="S2" s="543"/>
      <c r="T2" s="543"/>
      <c r="U2" s="543"/>
    </row>
    <row r="3" spans="1:21" ht="12.75" customHeight="1" thickBot="1" x14ac:dyDescent="0.4">
      <c r="A3">
        <v>1</v>
      </c>
      <c r="B3">
        <f t="shared" ref="B3:M3" si="0">A3+1</f>
        <v>2</v>
      </c>
      <c r="C3">
        <f t="shared" si="0"/>
        <v>3</v>
      </c>
      <c r="D3">
        <f t="shared" si="0"/>
        <v>4</v>
      </c>
      <c r="E3">
        <f t="shared" si="0"/>
        <v>5</v>
      </c>
      <c r="F3">
        <f t="shared" si="0"/>
        <v>6</v>
      </c>
      <c r="G3">
        <f t="shared" si="0"/>
        <v>7</v>
      </c>
      <c r="H3">
        <f t="shared" si="0"/>
        <v>8</v>
      </c>
      <c r="I3">
        <f t="shared" si="0"/>
        <v>9</v>
      </c>
      <c r="J3">
        <f t="shared" si="0"/>
        <v>10</v>
      </c>
      <c r="K3">
        <f t="shared" si="0"/>
        <v>11</v>
      </c>
      <c r="L3">
        <f t="shared" si="0"/>
        <v>12</v>
      </c>
      <c r="M3">
        <f t="shared" si="0"/>
        <v>13</v>
      </c>
      <c r="O3" s="543"/>
      <c r="P3" s="543"/>
      <c r="Q3" s="543"/>
      <c r="R3" s="543"/>
      <c r="S3" s="543"/>
      <c r="T3" s="543"/>
      <c r="U3" s="543"/>
    </row>
    <row r="4" spans="1:21" ht="15" thickBot="1" x14ac:dyDescent="0.4">
      <c r="B4" s="2478" t="s">
        <v>1143</v>
      </c>
      <c r="C4" s="2479"/>
      <c r="D4" s="2479"/>
      <c r="E4" s="2480"/>
      <c r="O4" s="543"/>
      <c r="P4" s="543"/>
      <c r="Q4" s="543"/>
      <c r="R4" s="543"/>
      <c r="S4" s="543"/>
      <c r="T4" s="543"/>
      <c r="U4" s="543"/>
    </row>
    <row r="5" spans="1:21" ht="29.5" thickBot="1" x14ac:dyDescent="0.4">
      <c r="A5" s="544" t="s">
        <v>339</v>
      </c>
      <c r="B5" s="545" t="s">
        <v>1144</v>
      </c>
      <c r="C5" s="1965" t="s">
        <v>3443</v>
      </c>
      <c r="D5" s="1966" t="s">
        <v>3444</v>
      </c>
      <c r="E5" s="545"/>
      <c r="F5" s="268"/>
      <c r="I5" s="268"/>
      <c r="K5" s="188" t="s">
        <v>2571</v>
      </c>
      <c r="L5" s="1384" t="e">
        <f>+#REF!</f>
        <v>#REF!</v>
      </c>
      <c r="P5" s="543"/>
      <c r="Q5" s="543"/>
      <c r="R5" s="543"/>
      <c r="S5" s="543"/>
      <c r="T5" s="543"/>
      <c r="U5" s="543"/>
    </row>
    <row r="6" spans="1:21" ht="15" thickBot="1" x14ac:dyDescent="0.4">
      <c r="I6" s="268"/>
      <c r="K6" s="188" t="s">
        <v>2573</v>
      </c>
      <c r="L6" s="701" t="str">
        <f>+'5.4.4'!$B$17</f>
        <v>RS-HWE-LFFA-V07-190101</v>
      </c>
      <c r="P6" s="543"/>
      <c r="Q6" s="543"/>
      <c r="R6" s="543"/>
      <c r="S6" s="543"/>
      <c r="T6" s="543"/>
      <c r="U6" s="543"/>
    </row>
    <row r="7" spans="1:21" ht="15" thickBot="1" x14ac:dyDescent="0.4">
      <c r="A7" s="546" t="s">
        <v>1147</v>
      </c>
      <c r="B7" s="1963">
        <f>+$B$85</f>
        <v>1288.3493041340787</v>
      </c>
      <c r="C7" s="1963">
        <f>+$B$83</f>
        <v>6.4546300137117338</v>
      </c>
      <c r="D7" s="547">
        <v>10</v>
      </c>
      <c r="E7" s="469">
        <v>1</v>
      </c>
      <c r="F7" s="268"/>
      <c r="I7" s="268"/>
      <c r="K7" s="188" t="s">
        <v>2574</v>
      </c>
      <c r="L7" s="701" t="str">
        <f>+'5.4.5'!$B$16</f>
        <v>RS-HWE-LFSH-V06-190101</v>
      </c>
      <c r="P7" s="268"/>
    </row>
    <row r="8" spans="1:21" ht="15" thickBot="1" x14ac:dyDescent="0.4">
      <c r="A8" s="548" t="s">
        <v>1148</v>
      </c>
      <c r="B8" s="1957">
        <f>+$B$114</f>
        <v>171.23324743462905</v>
      </c>
      <c r="C8" s="1957">
        <f>+$B$113</f>
        <v>0.58390537375208507</v>
      </c>
      <c r="D8" s="1958">
        <v>10</v>
      </c>
      <c r="E8" s="125">
        <v>1</v>
      </c>
      <c r="F8" s="268"/>
      <c r="I8" s="268"/>
      <c r="K8" s="188" t="s">
        <v>2575</v>
      </c>
      <c r="L8" s="1931" t="str">
        <f>'5.4.6'!$B$13</f>
        <v>RS-HWE-TMPS-V06-190101</v>
      </c>
      <c r="P8" s="268"/>
    </row>
    <row r="9" spans="1:21" ht="15" thickBot="1" x14ac:dyDescent="0.4">
      <c r="A9" s="548" t="s">
        <v>1148</v>
      </c>
      <c r="B9" s="1957">
        <f>+$B$114</f>
        <v>171.23324743462905</v>
      </c>
      <c r="C9" s="1957">
        <f>+$B$113</f>
        <v>0.58390537375208507</v>
      </c>
      <c r="D9" s="1958">
        <v>10</v>
      </c>
      <c r="E9" s="125">
        <v>1</v>
      </c>
      <c r="F9" s="268"/>
      <c r="I9" s="268"/>
      <c r="K9" s="188" t="s">
        <v>3009</v>
      </c>
      <c r="L9" s="1931" t="s">
        <v>3440</v>
      </c>
      <c r="P9" s="268"/>
    </row>
    <row r="10" spans="1:21" ht="15" customHeight="1" x14ac:dyDescent="0.35">
      <c r="A10" s="550" t="s">
        <v>1149</v>
      </c>
      <c r="B10" s="1964">
        <f>+$B$140</f>
        <v>1262.935152</v>
      </c>
      <c r="C10" s="1964">
        <f>+$B$139</f>
        <v>5.2411808808</v>
      </c>
      <c r="D10" s="1964">
        <v>10</v>
      </c>
      <c r="E10" s="551">
        <v>1</v>
      </c>
      <c r="F10" s="268"/>
      <c r="I10" s="268"/>
      <c r="P10" s="268"/>
    </row>
    <row r="11" spans="1:21" ht="15" customHeight="1" x14ac:dyDescent="0.35">
      <c r="A11" s="548" t="s">
        <v>2811</v>
      </c>
      <c r="B11" s="549">
        <f>+$B$163</f>
        <v>739.96933708799986</v>
      </c>
      <c r="C11" s="549">
        <f>+$B$162</f>
        <v>3.7072463788108792</v>
      </c>
      <c r="D11" s="549">
        <f>+$C$175</f>
        <v>2</v>
      </c>
      <c r="E11" s="125">
        <v>1</v>
      </c>
      <c r="F11" s="268"/>
      <c r="H11" s="1509"/>
      <c r="I11" s="268"/>
      <c r="P11" s="268"/>
    </row>
    <row r="12" spans="1:21" ht="28.5" customHeight="1" thickBot="1" x14ac:dyDescent="0.4">
      <c r="A12" s="552" t="s">
        <v>287</v>
      </c>
      <c r="B12" s="1967">
        <f>SUM(B7:B11)</f>
        <v>3633.7202880913369</v>
      </c>
      <c r="C12" s="1967">
        <f>SUM(C7:C11)</f>
        <v>16.570868020826783</v>
      </c>
      <c r="D12" s="1967">
        <f>ROUND(SUMPRODUCT(D7:D11,C7:C11)/C12,0)</f>
        <v>8</v>
      </c>
      <c r="E12" s="553">
        <f>SUMPRODUCT(E7:E11,C7:C11)/C12</f>
        <v>1</v>
      </c>
      <c r="F12" s="268"/>
      <c r="H12" s="1510"/>
      <c r="I12" s="268"/>
      <c r="P12" s="554"/>
      <c r="Q12" s="555"/>
      <c r="R12" s="543"/>
      <c r="S12" s="543"/>
      <c r="T12" s="543"/>
      <c r="U12" s="543"/>
    </row>
    <row r="13" spans="1:21" ht="15.75" customHeight="1" thickBot="1" x14ac:dyDescent="0.4">
      <c r="F13" s="268"/>
      <c r="H13"/>
      <c r="I13" s="2481" t="s">
        <v>3442</v>
      </c>
      <c r="J13" s="2482"/>
      <c r="K13" s="24"/>
      <c r="L13" s="24"/>
      <c r="M13" s="24"/>
      <c r="N13" s="24"/>
      <c r="Q13" s="556"/>
      <c r="R13" s="543"/>
    </row>
    <row r="14" spans="1:21" ht="15" customHeight="1" thickBot="1" x14ac:dyDescent="0.4">
      <c r="A14" s="546" t="s">
        <v>1147</v>
      </c>
      <c r="B14" s="1963">
        <f>+$B$86</f>
        <v>1392.2484415642464</v>
      </c>
      <c r="C14" s="1963">
        <f>+$B$84</f>
        <v>6.9751646922368744</v>
      </c>
      <c r="D14" s="547">
        <v>10</v>
      </c>
      <c r="E14" s="469">
        <v>1</v>
      </c>
      <c r="F14" s="268"/>
      <c r="I14" s="2483" t="s">
        <v>1151</v>
      </c>
      <c r="J14" s="2484"/>
      <c r="K14" s="24"/>
      <c r="L14" s="24"/>
      <c r="M14" s="24"/>
      <c r="N14" s="24"/>
      <c r="Q14" s="556"/>
    </row>
    <row r="15" spans="1:21" ht="15" thickBot="1" x14ac:dyDescent="0.4">
      <c r="A15" s="548" t="s">
        <v>1147</v>
      </c>
      <c r="B15" s="1958">
        <f>+$B$86</f>
        <v>1392.2484415642464</v>
      </c>
      <c r="C15" s="1958">
        <f>+$B$84</f>
        <v>6.9751646922368744</v>
      </c>
      <c r="D15" s="549">
        <v>10</v>
      </c>
      <c r="E15" s="125">
        <v>1</v>
      </c>
      <c r="F15" s="268"/>
      <c r="I15" s="557" t="s">
        <v>1</v>
      </c>
      <c r="J15" s="558" t="s">
        <v>613</v>
      </c>
      <c r="K15" s="24"/>
      <c r="L15" s="184"/>
      <c r="M15" s="24"/>
      <c r="N15" s="24"/>
      <c r="Q15" s="556"/>
    </row>
    <row r="16" spans="1:21" ht="15" thickBot="1" x14ac:dyDescent="0.4">
      <c r="A16" s="548" t="s">
        <v>1148</v>
      </c>
      <c r="B16" s="1957">
        <f>+$B$114</f>
        <v>171.23324743462905</v>
      </c>
      <c r="C16" s="1957">
        <f>+$B$113</f>
        <v>0.58390537375208507</v>
      </c>
      <c r="D16" s="1958">
        <v>10</v>
      </c>
      <c r="E16" s="125">
        <v>1</v>
      </c>
      <c r="F16" s="268"/>
      <c r="I16" s="559"/>
      <c r="J16" s="560"/>
      <c r="K16" s="24"/>
      <c r="L16" s="1959"/>
      <c r="M16" s="24"/>
      <c r="N16" s="24"/>
      <c r="P16" s="556"/>
    </row>
    <row r="17" spans="1:20" ht="15" thickBot="1" x14ac:dyDescent="0.4">
      <c r="A17" s="548" t="s">
        <v>1148</v>
      </c>
      <c r="B17" s="1957">
        <f>+$B$114</f>
        <v>171.23324743462905</v>
      </c>
      <c r="C17" s="1957">
        <f>+$B$113</f>
        <v>0.58390537375208507</v>
      </c>
      <c r="D17" s="1958">
        <v>10</v>
      </c>
      <c r="E17" s="125">
        <v>1</v>
      </c>
      <c r="F17" s="268"/>
      <c r="I17" s="559" t="s">
        <v>1153</v>
      </c>
      <c r="J17" s="1960">
        <v>0.62</v>
      </c>
      <c r="K17" s="24"/>
      <c r="L17" s="1959"/>
      <c r="M17" s="24"/>
      <c r="N17" s="24"/>
      <c r="P17" s="556"/>
    </row>
    <row r="18" spans="1:20" ht="15" thickBot="1" x14ac:dyDescent="0.4">
      <c r="A18" s="548" t="s">
        <v>1149</v>
      </c>
      <c r="B18" s="1958">
        <f>+$B$140</f>
        <v>1262.935152</v>
      </c>
      <c r="C18" s="1958">
        <f>+$B$139</f>
        <v>5.2411808808</v>
      </c>
      <c r="D18" s="1958">
        <v>10</v>
      </c>
      <c r="E18" s="125">
        <v>1</v>
      </c>
      <c r="F18" s="268"/>
      <c r="I18" s="559" t="s">
        <v>1154</v>
      </c>
      <c r="J18" s="560">
        <v>0.67</v>
      </c>
      <c r="K18" s="24"/>
      <c r="L18" s="1959"/>
      <c r="M18" s="24"/>
      <c r="N18" s="24"/>
      <c r="P18" s="556"/>
    </row>
    <row r="19" spans="1:20" ht="15" thickBot="1" x14ac:dyDescent="0.4">
      <c r="A19" s="548" t="s">
        <v>2811</v>
      </c>
      <c r="B19" s="549">
        <f>+$B$163</f>
        <v>739.96933708799986</v>
      </c>
      <c r="C19" s="549">
        <f>+$B$162</f>
        <v>3.7072463788108792</v>
      </c>
      <c r="D19" s="549">
        <f>+$C$175</f>
        <v>2</v>
      </c>
      <c r="E19" s="125">
        <v>1</v>
      </c>
      <c r="F19" s="268"/>
      <c r="I19" s="559"/>
      <c r="J19" s="560"/>
      <c r="K19" s="24"/>
      <c r="L19" s="1959"/>
      <c r="M19" s="24"/>
      <c r="N19" s="24"/>
      <c r="P19" s="556"/>
    </row>
    <row r="20" spans="1:20" ht="15" thickBot="1" x14ac:dyDescent="0.4">
      <c r="A20" s="561" t="s">
        <v>288</v>
      </c>
      <c r="B20" s="1968">
        <f>SUM(B14:B19)</f>
        <v>5129.8678670857498</v>
      </c>
      <c r="C20" s="1968">
        <f>SUM(C14:C19)</f>
        <v>24.066567391588798</v>
      </c>
      <c r="D20" s="1968">
        <f>ROUND(SUMPRODUCT(D14:D19,C14:C19)/C20,0)</f>
        <v>9</v>
      </c>
      <c r="E20" s="563">
        <f>SUMPRODUCT(E14:E19,C14:C19)/C20</f>
        <v>1</v>
      </c>
      <c r="F20" s="268"/>
      <c r="I20" s="559" t="s">
        <v>1155</v>
      </c>
      <c r="J20" s="1960">
        <v>0.57999999999999996</v>
      </c>
      <c r="K20" s="184"/>
      <c r="L20" s="184"/>
      <c r="M20" s="184"/>
      <c r="N20" s="24"/>
      <c r="P20" s="555"/>
      <c r="Q20" s="543"/>
      <c r="R20" s="564"/>
      <c r="S20" s="543"/>
      <c r="T20" s="543"/>
    </row>
    <row r="21" spans="1:20" ht="15" thickBot="1" x14ac:dyDescent="0.4">
      <c r="F21" s="268"/>
      <c r="I21" s="565" t="s">
        <v>1156</v>
      </c>
      <c r="J21" s="1961">
        <v>0.61</v>
      </c>
      <c r="K21" s="184"/>
      <c r="L21" s="566"/>
      <c r="M21" s="184"/>
      <c r="N21" s="184"/>
      <c r="O21" s="268"/>
      <c r="P21" s="556"/>
    </row>
    <row r="22" spans="1:20" x14ac:dyDescent="0.35">
      <c r="A22" s="546" t="s">
        <v>1147</v>
      </c>
      <c r="B22" s="1963">
        <f>+$C$85</f>
        <v>1455.1998300000007</v>
      </c>
      <c r="C22" s="1963">
        <f>+$C$83</f>
        <v>8.4838150089000042</v>
      </c>
      <c r="D22" s="547">
        <v>10</v>
      </c>
      <c r="E22" s="469">
        <v>1</v>
      </c>
      <c r="F22" s="268"/>
      <c r="I22" s="184"/>
      <c r="J22" s="184"/>
      <c r="K22" s="184"/>
      <c r="L22" s="566"/>
      <c r="M22" s="184"/>
      <c r="N22" s="184"/>
      <c r="O22" s="268"/>
      <c r="P22" s="556"/>
    </row>
    <row r="23" spans="1:20" x14ac:dyDescent="0.35">
      <c r="A23" s="548" t="s">
        <v>1148</v>
      </c>
      <c r="B23" s="1957">
        <f>+$C$114</f>
        <v>265.01020560000018</v>
      </c>
      <c r="C23" s="1957">
        <f>+$C$113</f>
        <v>1.0520905162320005</v>
      </c>
      <c r="D23" s="1958">
        <v>10</v>
      </c>
      <c r="E23" s="125">
        <v>1</v>
      </c>
      <c r="F23" s="268"/>
      <c r="I23" s="184"/>
      <c r="J23" s="184"/>
      <c r="K23" s="184"/>
      <c r="L23" s="566"/>
      <c r="M23" s="184"/>
      <c r="N23" s="184"/>
      <c r="O23" s="268"/>
      <c r="P23" s="556"/>
    </row>
    <row r="24" spans="1:20" x14ac:dyDescent="0.35">
      <c r="A24" s="548" t="s">
        <v>1148</v>
      </c>
      <c r="B24" s="1957">
        <f>+$C$114</f>
        <v>265.01020560000018</v>
      </c>
      <c r="C24" s="1957">
        <f>+$C$113</f>
        <v>1.0520905162320005</v>
      </c>
      <c r="D24" s="1958">
        <v>10</v>
      </c>
      <c r="E24" s="125">
        <v>1</v>
      </c>
      <c r="F24" s="268"/>
      <c r="H24" s="1509"/>
      <c r="I24" s="184"/>
      <c r="J24" s="184"/>
      <c r="K24" s="184"/>
      <c r="L24" s="566"/>
      <c r="M24" s="184"/>
      <c r="N24" s="184"/>
      <c r="O24" s="268"/>
      <c r="P24" s="556"/>
    </row>
    <row r="25" spans="1:20" x14ac:dyDescent="0.35">
      <c r="A25" s="550" t="s">
        <v>1149</v>
      </c>
      <c r="B25" s="1964">
        <f>+$C$140</f>
        <v>1036.0014918749998</v>
      </c>
      <c r="C25" s="1964">
        <f>+$C$139</f>
        <v>5.0142472206749993</v>
      </c>
      <c r="D25" s="1964">
        <v>10</v>
      </c>
      <c r="E25" s="551">
        <v>1</v>
      </c>
      <c r="F25" s="268"/>
      <c r="H25"/>
      <c r="I25" s="184"/>
      <c r="J25" s="184"/>
      <c r="K25" s="184"/>
      <c r="L25" s="566"/>
      <c r="M25" s="184"/>
      <c r="N25" s="184"/>
      <c r="O25" s="268"/>
      <c r="P25" s="556"/>
    </row>
    <row r="26" spans="1:20" x14ac:dyDescent="0.35">
      <c r="A26" s="548" t="s">
        <v>2811</v>
      </c>
      <c r="B26" s="549">
        <f>+$C$163</f>
        <v>607.00609682999993</v>
      </c>
      <c r="C26" s="549">
        <f>+$C$162</f>
        <v>3.5388455445188995</v>
      </c>
      <c r="D26" s="549">
        <f>+$C$175</f>
        <v>2</v>
      </c>
      <c r="E26" s="125">
        <v>1</v>
      </c>
      <c r="F26" s="268"/>
      <c r="I26" s="184"/>
      <c r="J26" s="184"/>
      <c r="K26" s="184"/>
      <c r="L26" s="566"/>
      <c r="M26" s="184"/>
      <c r="N26" s="184"/>
      <c r="O26" s="268"/>
      <c r="P26" s="556"/>
    </row>
    <row r="27" spans="1:20" ht="15" thickBot="1" x14ac:dyDescent="0.4">
      <c r="A27" s="552" t="s">
        <v>2812</v>
      </c>
      <c r="B27" s="1967">
        <f>SUM(B22:B26)</f>
        <v>3628.2278299050008</v>
      </c>
      <c r="C27" s="1967">
        <f>SUM(C22:C26)</f>
        <v>19.141088806557903</v>
      </c>
      <c r="D27" s="1967">
        <f>ROUND(SUMPRODUCT(D22:D26,C22:C26)/C27,0)</f>
        <v>9</v>
      </c>
      <c r="E27" s="553">
        <f>SUMPRODUCT(E22:E26,C22:C26)/C27</f>
        <v>1</v>
      </c>
      <c r="F27" s="268"/>
      <c r="I27" s="184"/>
      <c r="J27" s="184"/>
      <c r="K27" s="184"/>
      <c r="L27" s="566"/>
      <c r="M27" s="184"/>
      <c r="N27" s="184"/>
      <c r="O27" s="268"/>
      <c r="P27" s="556"/>
    </row>
    <row r="28" spans="1:20" ht="15" thickBot="1" x14ac:dyDescent="0.4">
      <c r="F28" s="268"/>
      <c r="I28" s="184"/>
      <c r="J28" s="184"/>
      <c r="K28" s="184"/>
      <c r="L28" s="566"/>
      <c r="M28" s="184"/>
      <c r="N28" s="184"/>
      <c r="O28" s="268"/>
      <c r="P28" s="556"/>
    </row>
    <row r="29" spans="1:20" x14ac:dyDescent="0.35">
      <c r="A29" s="546" t="s">
        <v>1147</v>
      </c>
      <c r="B29" s="1963">
        <f>+$C$86</f>
        <v>1572.5546550000008</v>
      </c>
      <c r="C29" s="1963">
        <f>+$C$84</f>
        <v>9.1679936386500049</v>
      </c>
      <c r="D29" s="547">
        <v>10</v>
      </c>
      <c r="E29" s="469">
        <v>1</v>
      </c>
      <c r="F29" s="268"/>
      <c r="I29" s="184"/>
      <c r="J29" s="184"/>
      <c r="K29" s="184"/>
      <c r="L29" s="566"/>
      <c r="M29" s="184"/>
      <c r="N29" s="184"/>
      <c r="O29" s="268"/>
      <c r="P29" s="556"/>
    </row>
    <row r="30" spans="1:20" x14ac:dyDescent="0.35">
      <c r="A30" s="548" t="s">
        <v>1147</v>
      </c>
      <c r="B30" s="1958">
        <f>+$C$86</f>
        <v>1572.5546550000008</v>
      </c>
      <c r="C30" s="1958">
        <f>+$C$84</f>
        <v>9.1679936386500049</v>
      </c>
      <c r="D30" s="549">
        <v>10</v>
      </c>
      <c r="E30" s="125">
        <v>1</v>
      </c>
      <c r="F30" s="268"/>
      <c r="I30" s="184"/>
      <c r="J30" s="184"/>
      <c r="K30" s="184"/>
      <c r="L30" s="566"/>
      <c r="M30" s="184"/>
      <c r="N30" s="184"/>
      <c r="O30" s="268"/>
      <c r="P30" s="556"/>
    </row>
    <row r="31" spans="1:20" x14ac:dyDescent="0.35">
      <c r="A31" s="548" t="s">
        <v>1152</v>
      </c>
      <c r="B31" s="1957">
        <f>+$C$114</f>
        <v>265.01020560000018</v>
      </c>
      <c r="C31" s="1957">
        <f>+$C$113</f>
        <v>1.0520905162320005</v>
      </c>
      <c r="D31" s="1958">
        <v>10</v>
      </c>
      <c r="E31" s="125">
        <v>1</v>
      </c>
      <c r="F31" s="268"/>
      <c r="I31" s="184"/>
      <c r="J31" s="184"/>
      <c r="K31" s="184"/>
      <c r="L31" s="566"/>
      <c r="M31" s="184"/>
      <c r="N31" s="184"/>
      <c r="O31" s="268"/>
      <c r="P31" s="556"/>
    </row>
    <row r="32" spans="1:20" x14ac:dyDescent="0.35">
      <c r="A32" s="548" t="s">
        <v>1152</v>
      </c>
      <c r="B32" s="1957">
        <f>+$C$114</f>
        <v>265.01020560000018</v>
      </c>
      <c r="C32" s="1957">
        <f>+$C$113</f>
        <v>1.0520905162320005</v>
      </c>
      <c r="D32" s="1958">
        <v>10</v>
      </c>
      <c r="E32" s="125">
        <v>1</v>
      </c>
      <c r="F32" s="268"/>
      <c r="I32" s="184"/>
      <c r="J32" s="184"/>
      <c r="K32" s="184"/>
      <c r="L32" s="566"/>
      <c r="M32" s="184"/>
      <c r="N32" s="184"/>
      <c r="O32" s="268"/>
      <c r="P32" s="556"/>
    </row>
    <row r="33" spans="1:21" x14ac:dyDescent="0.35">
      <c r="A33" s="548" t="s">
        <v>1149</v>
      </c>
      <c r="B33" s="1958">
        <f>+$C$140</f>
        <v>1036.0014918749998</v>
      </c>
      <c r="C33" s="1958">
        <f>+$C$139</f>
        <v>5.0142472206749993</v>
      </c>
      <c r="D33" s="1958">
        <v>10</v>
      </c>
      <c r="E33" s="125">
        <v>1</v>
      </c>
      <c r="F33" s="268"/>
      <c r="I33" s="184"/>
      <c r="J33" s="184"/>
      <c r="K33" s="184"/>
      <c r="L33" s="566"/>
      <c r="M33" s="184"/>
      <c r="N33" s="184"/>
      <c r="O33" s="268"/>
      <c r="P33" s="556"/>
    </row>
    <row r="34" spans="1:21" ht="15" thickBot="1" x14ac:dyDescent="0.4">
      <c r="A34" s="548" t="s">
        <v>2811</v>
      </c>
      <c r="B34" s="549">
        <f>+$C$163</f>
        <v>607.00609682999993</v>
      </c>
      <c r="C34" s="549">
        <f>+$C$162</f>
        <v>3.5388455445188995</v>
      </c>
      <c r="D34" s="549">
        <f>+$C$175</f>
        <v>2</v>
      </c>
      <c r="E34" s="125">
        <v>1</v>
      </c>
      <c r="F34" s="268"/>
      <c r="I34" s="184"/>
      <c r="J34" s="184"/>
      <c r="K34" s="184"/>
      <c r="L34" s="566"/>
      <c r="M34" s="184"/>
      <c r="N34" s="184"/>
      <c r="O34" s="268"/>
      <c r="P34" s="556"/>
    </row>
    <row r="35" spans="1:21" ht="15" thickBot="1" x14ac:dyDescent="0.4">
      <c r="A35" s="561" t="s">
        <v>2813</v>
      </c>
      <c r="B35" s="1968">
        <f>SUM(B29:B34)</f>
        <v>5318.1373099050015</v>
      </c>
      <c r="C35" s="1968">
        <f>SUM(C29:C34)</f>
        <v>28.993261074957907</v>
      </c>
      <c r="D35" s="1968">
        <f>ROUND(SUMPRODUCT(D29:D34,C29:C34)/C35,0)</f>
        <v>9</v>
      </c>
      <c r="E35" s="563">
        <f>SUMPRODUCT(E29:E34,C29:C34)/C35</f>
        <v>1</v>
      </c>
      <c r="F35" s="268"/>
      <c r="I35" s="184"/>
      <c r="J35" s="184"/>
      <c r="K35" s="184"/>
      <c r="L35" s="566"/>
      <c r="M35" s="184"/>
      <c r="N35" s="184"/>
      <c r="O35" s="268"/>
      <c r="P35" s="556"/>
    </row>
    <row r="36" spans="1:21" x14ac:dyDescent="0.35">
      <c r="F36" s="268"/>
      <c r="I36" s="184"/>
      <c r="J36" s="184"/>
      <c r="K36" s="184"/>
      <c r="L36" s="566"/>
      <c r="M36" s="184"/>
      <c r="N36" s="184"/>
      <c r="O36" s="268"/>
      <c r="P36" s="556"/>
    </row>
    <row r="37" spans="1:21" x14ac:dyDescent="0.35">
      <c r="F37" s="268"/>
      <c r="I37" s="184"/>
      <c r="J37" s="184"/>
      <c r="K37" s="184"/>
      <c r="L37" s="566"/>
      <c r="M37" s="184"/>
      <c r="N37" s="184"/>
      <c r="O37" s="268"/>
      <c r="P37" s="556"/>
    </row>
    <row r="38" spans="1:21" ht="15" thickBot="1" x14ac:dyDescent="0.4">
      <c r="A38" s="268"/>
      <c r="B38" s="144"/>
      <c r="C38" s="144"/>
      <c r="D38" s="144"/>
      <c r="E38" s="567"/>
      <c r="F38" s="268"/>
      <c r="O38" s="554"/>
      <c r="P38" s="554"/>
      <c r="Q38" s="555"/>
      <c r="R38" s="543"/>
      <c r="S38" s="543"/>
      <c r="T38" s="543"/>
      <c r="U38" s="543"/>
    </row>
    <row r="39" spans="1:21" ht="15" thickBot="1" x14ac:dyDescent="0.4">
      <c r="A39" s="568"/>
      <c r="B39" s="569" t="s">
        <v>344</v>
      </c>
      <c r="C39" s="569" t="s">
        <v>1157</v>
      </c>
      <c r="D39" s="570" t="s">
        <v>1158</v>
      </c>
      <c r="E39" s="1511"/>
      <c r="O39" s="554"/>
      <c r="P39" s="554"/>
      <c r="Q39" s="555"/>
      <c r="R39" s="543"/>
      <c r="S39" s="543"/>
      <c r="T39" s="543"/>
      <c r="U39" s="543"/>
    </row>
    <row r="40" spans="1:21" x14ac:dyDescent="0.35">
      <c r="A40" s="124" t="s">
        <v>287</v>
      </c>
      <c r="B40" s="83"/>
      <c r="C40" s="571"/>
      <c r="D40" s="572"/>
      <c r="E40" s="572"/>
      <c r="G40" s="1512"/>
      <c r="O40" s="554"/>
      <c r="P40" s="554"/>
      <c r="Q40" s="555"/>
      <c r="R40" s="543"/>
      <c r="S40" s="543"/>
      <c r="T40" s="543"/>
      <c r="U40" s="543"/>
    </row>
    <row r="41" spans="1:21" ht="15" thickBot="1" x14ac:dyDescent="0.4">
      <c r="A41" s="321" t="s">
        <v>288</v>
      </c>
      <c r="B41" s="201"/>
      <c r="C41" s="610"/>
      <c r="D41" s="1591"/>
      <c r="E41" s="1591"/>
      <c r="G41" s="1512"/>
      <c r="O41" s="554"/>
      <c r="P41" s="554"/>
      <c r="Q41" s="555"/>
      <c r="R41" s="543"/>
      <c r="S41" s="543"/>
      <c r="T41" s="543"/>
      <c r="U41" s="543"/>
    </row>
    <row r="42" spans="1:21" x14ac:dyDescent="0.35">
      <c r="A42" s="268"/>
      <c r="B42" s="144"/>
      <c r="C42" s="144"/>
      <c r="D42" s="144"/>
      <c r="E42" s="567"/>
      <c r="O42" s="554"/>
      <c r="P42" s="554"/>
      <c r="Q42" s="555"/>
      <c r="R42" s="543"/>
      <c r="S42" s="543"/>
      <c r="T42" s="543"/>
      <c r="U42" s="543"/>
    </row>
    <row r="43" spans="1:21" x14ac:dyDescent="0.35">
      <c r="A43" s="268"/>
      <c r="B43" s="144"/>
      <c r="C43" s="144"/>
      <c r="D43" s="144"/>
      <c r="E43" s="567"/>
      <c r="O43" s="554"/>
      <c r="P43" s="554"/>
      <c r="Q43" s="555"/>
      <c r="R43" s="543"/>
      <c r="S43" s="543"/>
      <c r="T43" s="543"/>
      <c r="U43" s="543"/>
    </row>
    <row r="44" spans="1:21" x14ac:dyDescent="0.35">
      <c r="A44" s="268"/>
      <c r="B44" s="144"/>
      <c r="C44" s="144"/>
      <c r="D44" s="144"/>
      <c r="E44" s="567"/>
      <c r="O44" s="554"/>
      <c r="P44" s="554"/>
      <c r="Q44" s="555"/>
      <c r="R44" s="543"/>
      <c r="S44" s="543"/>
      <c r="T44" s="543"/>
      <c r="U44" s="543"/>
    </row>
    <row r="45" spans="1:21" s="573" customFormat="1" ht="9" customHeight="1" x14ac:dyDescent="0.35">
      <c r="G45" s="574"/>
      <c r="H45" s="574"/>
      <c r="I45" s="575"/>
    </row>
    <row r="46" spans="1:21" ht="15" thickBot="1" x14ac:dyDescent="0.4"/>
    <row r="47" spans="1:21" ht="15" thickBot="1" x14ac:dyDescent="0.4">
      <c r="A47" s="188" t="s">
        <v>2814</v>
      </c>
      <c r="B47" s="77"/>
      <c r="C47" s="77"/>
      <c r="D47" s="77"/>
      <c r="E47" s="77"/>
      <c r="F47" s="77"/>
      <c r="G47" s="77"/>
      <c r="H47" s="576"/>
      <c r="K47" s="268"/>
    </row>
    <row r="48" spans="1:21" ht="29.5" thickBot="1" x14ac:dyDescent="0.4">
      <c r="A48" s="268"/>
      <c r="B48" s="577" t="s">
        <v>1144</v>
      </c>
      <c r="C48" s="578" t="s">
        <v>1145</v>
      </c>
      <c r="D48" s="577" t="s">
        <v>1146</v>
      </c>
      <c r="E48" s="577" t="s">
        <v>1159</v>
      </c>
      <c r="F48" s="577" t="s">
        <v>1160</v>
      </c>
      <c r="G48" s="577" t="s">
        <v>1161</v>
      </c>
      <c r="H48" s="577" t="s">
        <v>613</v>
      </c>
    </row>
    <row r="49" spans="1:19" ht="15" thickBot="1" x14ac:dyDescent="0.4">
      <c r="A49" s="546" t="s">
        <v>1147</v>
      </c>
      <c r="B49" s="1963">
        <f>+$B$186</f>
        <v>1725.4058960061459</v>
      </c>
      <c r="C49" s="1963">
        <f>+$B$185</f>
        <v>7.2611981727522643</v>
      </c>
      <c r="D49" s="547">
        <v>10</v>
      </c>
      <c r="E49" s="769">
        <f>0.79</f>
        <v>0.79</v>
      </c>
      <c r="F49" s="468"/>
      <c r="G49" s="547">
        <f>ROUND(C49*E49,2)</f>
        <v>5.74</v>
      </c>
      <c r="H49" s="580">
        <v>0.36</v>
      </c>
      <c r="K49" s="2475" t="s">
        <v>1167</v>
      </c>
      <c r="L49" s="2476"/>
      <c r="M49" s="2476"/>
      <c r="N49" s="2476"/>
      <c r="O49" s="2477"/>
      <c r="Q49" s="2469" t="s">
        <v>1162</v>
      </c>
      <c r="R49" s="2470"/>
      <c r="S49" s="2471"/>
    </row>
    <row r="50" spans="1:19" ht="15" thickBot="1" x14ac:dyDescent="0.4">
      <c r="A50" s="548" t="s">
        <v>1152</v>
      </c>
      <c r="B50" s="1958">
        <f>+$B$208</f>
        <v>93.948870886219041</v>
      </c>
      <c r="C50" s="1958">
        <f>+$B$207</f>
        <v>0.26910714576648576</v>
      </c>
      <c r="D50" s="1958">
        <v>10</v>
      </c>
      <c r="E50" s="536">
        <v>0.79</v>
      </c>
      <c r="F50" s="83"/>
      <c r="G50" s="83">
        <f t="shared" ref="G50:G54" si="1">ROUND(C50*E50,2)</f>
        <v>0.21</v>
      </c>
      <c r="H50" s="585">
        <v>0.3</v>
      </c>
      <c r="K50" s="188"/>
      <c r="L50" s="90" t="s">
        <v>1168</v>
      </c>
      <c r="M50" s="90" t="s">
        <v>1169</v>
      </c>
      <c r="N50" s="90" t="s">
        <v>1170</v>
      </c>
      <c r="O50" s="576" t="s">
        <v>1171</v>
      </c>
      <c r="Q50" s="581" t="s">
        <v>1163</v>
      </c>
      <c r="R50" s="582" t="s">
        <v>1164</v>
      </c>
      <c r="S50" s="583" t="s">
        <v>1165</v>
      </c>
    </row>
    <row r="51" spans="1:19" ht="15" thickBot="1" x14ac:dyDescent="0.4">
      <c r="A51" s="548" t="s">
        <v>1152</v>
      </c>
      <c r="B51" s="1958">
        <f>+$C$208</f>
        <v>51.833859799293265</v>
      </c>
      <c r="C51" s="1958">
        <f>+$C$207</f>
        <v>0.1484729080090956</v>
      </c>
      <c r="D51" s="1958">
        <v>10</v>
      </c>
      <c r="E51" s="536">
        <v>0.79</v>
      </c>
      <c r="F51" s="83"/>
      <c r="G51" s="83">
        <f t="shared" si="1"/>
        <v>0.12</v>
      </c>
      <c r="H51" s="585">
        <v>0.3</v>
      </c>
      <c r="K51" s="581" t="s">
        <v>1172</v>
      </c>
      <c r="L51" s="590"/>
      <c r="M51" s="591"/>
      <c r="N51" s="591"/>
      <c r="O51" s="583"/>
      <c r="Q51" s="586"/>
      <c r="R51" s="587"/>
      <c r="S51" s="588"/>
    </row>
    <row r="52" spans="1:19" x14ac:dyDescent="0.35">
      <c r="A52" s="548" t="s">
        <v>1166</v>
      </c>
      <c r="B52" s="1958"/>
      <c r="C52" s="1958">
        <f>+$B$250</f>
        <v>0.2358088133455386</v>
      </c>
      <c r="D52" s="549">
        <v>1</v>
      </c>
      <c r="E52" s="536">
        <v>0.79</v>
      </c>
      <c r="F52" s="83"/>
      <c r="G52" s="83">
        <f t="shared" si="1"/>
        <v>0.19</v>
      </c>
      <c r="H52" s="585">
        <v>0.28999999999999998</v>
      </c>
      <c r="K52" s="581" t="s">
        <v>1173</v>
      </c>
      <c r="L52" s="590"/>
      <c r="M52" s="591"/>
      <c r="N52" s="591"/>
      <c r="O52" s="583"/>
    </row>
    <row r="53" spans="1:19" ht="15" thickBot="1" x14ac:dyDescent="0.4">
      <c r="A53" s="548" t="s">
        <v>1149</v>
      </c>
      <c r="B53" s="1958">
        <f>+$B$231</f>
        <v>838.02291592500012</v>
      </c>
      <c r="C53" s="1971">
        <f>+$B$230</f>
        <v>2.9213478849145504</v>
      </c>
      <c r="D53" s="1958">
        <v>10</v>
      </c>
      <c r="E53" s="536">
        <v>0.79</v>
      </c>
      <c r="F53" s="83"/>
      <c r="G53" s="83">
        <f t="shared" si="1"/>
        <v>2.31</v>
      </c>
      <c r="H53" s="589">
        <v>0.3</v>
      </c>
      <c r="K53" s="593" t="s">
        <v>2815</v>
      </c>
      <c r="L53" s="594"/>
      <c r="M53" s="594"/>
      <c r="N53" s="594"/>
      <c r="O53" s="595"/>
    </row>
    <row r="54" spans="1:19" ht="15" thickBot="1" x14ac:dyDescent="0.4">
      <c r="A54" s="548" t="s">
        <v>2811</v>
      </c>
      <c r="B54" s="1958">
        <f>+$B$264</f>
        <v>218.49493873499972</v>
      </c>
      <c r="C54" s="1971">
        <f>+$C$264</f>
        <v>0.91951410017237278</v>
      </c>
      <c r="D54" s="549">
        <f>+$C$274</f>
        <v>2</v>
      </c>
      <c r="E54" s="536">
        <v>0.79</v>
      </c>
      <c r="F54" s="536"/>
      <c r="G54" s="83">
        <f t="shared" si="1"/>
        <v>0.73</v>
      </c>
      <c r="H54" s="125"/>
    </row>
    <row r="55" spans="1:19" ht="15" thickBot="1" x14ac:dyDescent="0.4">
      <c r="A55" s="561" t="s">
        <v>290</v>
      </c>
      <c r="B55" s="562">
        <f>SUM(B49:B54)</f>
        <v>2927.7064813516581</v>
      </c>
      <c r="C55" s="562">
        <f>SUM(C49:C54)</f>
        <v>11.755449024960308</v>
      </c>
      <c r="D55" s="562">
        <f>ROUND(SUMPRODUCT(D49:D54,C49:C54)/C55,0)</f>
        <v>9</v>
      </c>
      <c r="E55" s="1513">
        <f>SUMPRODUCT(E49:E54,C49:C54)/C55</f>
        <v>0.78999999999999992</v>
      </c>
      <c r="F55" s="562"/>
      <c r="G55" s="562">
        <f>SUM(G49:G54)</f>
        <v>9.3000000000000007</v>
      </c>
      <c r="H55" s="563"/>
      <c r="K55" s="268"/>
    </row>
    <row r="56" spans="1:19" ht="30" customHeight="1" thickBot="1" x14ac:dyDescent="0.4">
      <c r="A56" s="561" t="s">
        <v>289</v>
      </c>
      <c r="B56" s="562">
        <f>B55</f>
        <v>2927.7064813516581</v>
      </c>
      <c r="C56" s="562">
        <f>+C55</f>
        <v>11.755449024960308</v>
      </c>
      <c r="D56" s="562">
        <f t="shared" ref="D56:E56" si="2">D55</f>
        <v>9</v>
      </c>
      <c r="E56" s="1513">
        <f t="shared" si="2"/>
        <v>0.78999999999999992</v>
      </c>
      <c r="F56" s="562"/>
      <c r="G56" s="562"/>
      <c r="H56" s="563"/>
      <c r="K56" s="268"/>
    </row>
    <row r="57" spans="1:19" ht="30" customHeight="1" thickBot="1" x14ac:dyDescent="0.4">
      <c r="A57" s="264"/>
    </row>
    <row r="58" spans="1:19" ht="15" thickBot="1" x14ac:dyDescent="0.4">
      <c r="A58" s="2475" t="s">
        <v>1167</v>
      </c>
      <c r="B58" s="2476"/>
      <c r="C58" s="2476"/>
      <c r="D58" s="2476"/>
      <c r="E58" s="2477"/>
      <c r="G58" s="68"/>
    </row>
    <row r="59" spans="1:19" ht="15.75" customHeight="1" thickBot="1" x14ac:dyDescent="0.4">
      <c r="A59" s="188"/>
      <c r="B59" s="90" t="s">
        <v>1168</v>
      </c>
      <c r="C59" s="90" t="s">
        <v>1169</v>
      </c>
      <c r="D59" s="90" t="s">
        <v>1170</v>
      </c>
      <c r="E59" s="576" t="s">
        <v>1171</v>
      </c>
      <c r="G59" s="68"/>
    </row>
    <row r="60" spans="1:19" ht="15.75" customHeight="1" x14ac:dyDescent="0.35">
      <c r="A60" s="581" t="s">
        <v>1172</v>
      </c>
      <c r="B60" s="590"/>
      <c r="C60" s="591"/>
      <c r="D60" s="591"/>
      <c r="E60" s="583"/>
      <c r="G60" s="68"/>
    </row>
    <row r="61" spans="1:19" ht="15.75" customHeight="1" x14ac:dyDescent="0.35">
      <c r="A61" s="581" t="s">
        <v>1173</v>
      </c>
      <c r="B61" s="590"/>
      <c r="C61" s="591"/>
      <c r="D61" s="591"/>
      <c r="E61" s="583"/>
      <c r="G61" s="68"/>
    </row>
    <row r="62" spans="1:19" ht="15.75" customHeight="1" thickBot="1" x14ac:dyDescent="0.4">
      <c r="A62" s="593"/>
      <c r="B62" s="594"/>
      <c r="C62" s="594"/>
      <c r="D62" s="594"/>
      <c r="E62" s="595"/>
      <c r="G62" s="68"/>
    </row>
    <row r="63" spans="1:19" ht="15.75" customHeight="1" x14ac:dyDescent="0.35">
      <c r="G63" s="68"/>
    </row>
    <row r="64" spans="1:19" ht="15.75" customHeight="1" x14ac:dyDescent="0.35">
      <c r="G64" s="68"/>
    </row>
    <row r="65" spans="1:21" ht="15.75" customHeight="1" thickBot="1" x14ac:dyDescent="0.4">
      <c r="G65" s="68"/>
    </row>
    <row r="66" spans="1:21" ht="15.75" customHeight="1" x14ac:dyDescent="0.35">
      <c r="A66" s="2472" t="s">
        <v>1174</v>
      </c>
      <c r="B66" s="2473"/>
      <c r="C66" s="2474"/>
      <c r="G66" s="68"/>
    </row>
    <row r="67" spans="1:21" ht="15.75" customHeight="1" thickBot="1" x14ac:dyDescent="0.4">
      <c r="A67" s="596" t="s">
        <v>1</v>
      </c>
      <c r="B67" s="2485" t="s">
        <v>1151</v>
      </c>
      <c r="C67" s="2486"/>
      <c r="G67" s="68"/>
    </row>
    <row r="68" spans="1:21" ht="15.75" customHeight="1" thickBot="1" x14ac:dyDescent="0.4">
      <c r="A68" s="597"/>
      <c r="B68" s="598" t="s">
        <v>1175</v>
      </c>
      <c r="C68" s="599" t="s">
        <v>1176</v>
      </c>
      <c r="G68" s="68"/>
    </row>
    <row r="69" spans="1:21" ht="15.75" customHeight="1" thickBot="1" x14ac:dyDescent="0.4">
      <c r="A69" s="597" t="s">
        <v>1177</v>
      </c>
      <c r="B69" s="598">
        <v>0.81</v>
      </c>
      <c r="C69" s="599">
        <v>0.36</v>
      </c>
      <c r="G69" s="68"/>
    </row>
    <row r="70" spans="1:21" ht="15.75" customHeight="1" thickBot="1" x14ac:dyDescent="0.4">
      <c r="A70" s="597" t="s">
        <v>1178</v>
      </c>
      <c r="B70" s="598">
        <v>0.48</v>
      </c>
      <c r="C70" s="599">
        <v>0.3</v>
      </c>
      <c r="G70" s="68"/>
    </row>
    <row r="71" spans="1:21" ht="15.75" customHeight="1" thickBot="1" x14ac:dyDescent="0.4">
      <c r="A71" s="597" t="s">
        <v>1179</v>
      </c>
      <c r="B71" s="598">
        <v>0.48</v>
      </c>
      <c r="C71" s="599">
        <v>0.3</v>
      </c>
      <c r="G71" s="68"/>
    </row>
    <row r="72" spans="1:21" ht="15.75" customHeight="1" x14ac:dyDescent="0.35">
      <c r="G72" s="68"/>
    </row>
    <row r="74" spans="1:21" s="573" customFormat="1" ht="8.25" customHeight="1" x14ac:dyDescent="0.35">
      <c r="A74" s="574"/>
      <c r="B74" s="600"/>
      <c r="C74" s="600"/>
      <c r="D74" s="600"/>
      <c r="E74" s="601"/>
      <c r="G74" s="574"/>
      <c r="H74" s="574"/>
      <c r="O74" s="602"/>
      <c r="P74" s="602"/>
      <c r="Q74" s="603"/>
      <c r="R74" s="604"/>
      <c r="S74" s="604"/>
      <c r="T74" s="604"/>
      <c r="U74" s="604"/>
    </row>
    <row r="75" spans="1:21" ht="15" thickBot="1" x14ac:dyDescent="0.4"/>
    <row r="76" spans="1:21" ht="15" thickBot="1" x14ac:dyDescent="0.4">
      <c r="A76" s="188" t="s">
        <v>1180</v>
      </c>
      <c r="B76" s="90"/>
      <c r="C76" s="90"/>
      <c r="D76" s="90"/>
      <c r="E76" s="90"/>
      <c r="F76" s="90"/>
      <c r="G76" s="90"/>
      <c r="H76" s="90"/>
      <c r="I76" s="90"/>
      <c r="J76" s="90"/>
      <c r="K76" s="90"/>
      <c r="L76" s="90"/>
      <c r="M76" s="90"/>
    </row>
    <row r="77" spans="1:21" ht="15" thickBot="1" x14ac:dyDescent="0.4"/>
    <row r="78" spans="1:21" x14ac:dyDescent="0.35">
      <c r="A78" s="605" t="s">
        <v>1181</v>
      </c>
      <c r="B78" s="468"/>
      <c r="C78" s="606"/>
      <c r="D78" s="606"/>
      <c r="E78" s="607"/>
      <c r="F78" s="608"/>
      <c r="G78" s="608"/>
      <c r="H78" s="609"/>
      <c r="I78" s="608"/>
      <c r="J78" s="468"/>
      <c r="K78" s="468"/>
      <c r="L78" s="468"/>
      <c r="M78" s="469"/>
    </row>
    <row r="79" spans="1:21" ht="15" thickBot="1" x14ac:dyDescent="0.4">
      <c r="A79" s="321"/>
      <c r="B79" s="201"/>
      <c r="C79" s="201"/>
      <c r="D79" s="610"/>
      <c r="E79" s="611"/>
      <c r="F79" s="612"/>
      <c r="G79" s="201"/>
      <c r="H79" s="201"/>
      <c r="I79" s="201"/>
      <c r="J79" s="201"/>
      <c r="K79" s="201"/>
      <c r="L79" s="201"/>
      <c r="M79" s="203"/>
    </row>
    <row r="80" spans="1:21" x14ac:dyDescent="0.35">
      <c r="A80" s="605" t="s">
        <v>1182</v>
      </c>
      <c r="B80" s="468"/>
      <c r="C80" s="606"/>
      <c r="D80" s="606"/>
      <c r="E80" s="607"/>
      <c r="F80" s="608"/>
      <c r="G80" s="608"/>
      <c r="H80" s="609"/>
      <c r="I80" s="608"/>
      <c r="J80" s="468"/>
      <c r="K80" s="468"/>
      <c r="L80" s="468"/>
      <c r="M80" s="469"/>
    </row>
    <row r="81" spans="1:13" ht="15" thickBot="1" x14ac:dyDescent="0.4">
      <c r="A81" s="321"/>
      <c r="B81" s="201"/>
      <c r="C81" s="201"/>
      <c r="D81" s="610"/>
      <c r="E81" s="611"/>
      <c r="F81" s="612"/>
      <c r="G81" s="201"/>
      <c r="H81" s="201"/>
      <c r="I81" s="201"/>
      <c r="J81" s="201"/>
      <c r="K81" s="201"/>
      <c r="L81" s="201"/>
      <c r="M81" s="203"/>
    </row>
    <row r="82" spans="1:13" ht="15" thickBot="1" x14ac:dyDescent="0.4">
      <c r="A82" s="321"/>
      <c r="B82" s="1515" t="s">
        <v>2816</v>
      </c>
      <c r="C82" s="1516" t="s">
        <v>2817</v>
      </c>
      <c r="D82" s="571"/>
      <c r="E82" s="1448"/>
      <c r="F82" s="1517"/>
      <c r="G82" s="83"/>
      <c r="H82" s="83"/>
      <c r="I82" s="83"/>
      <c r="J82" s="83"/>
      <c r="K82" s="83"/>
      <c r="L82" s="83"/>
      <c r="M82" s="83"/>
    </row>
    <row r="83" spans="1:13" ht="15" thickBot="1" x14ac:dyDescent="0.4">
      <c r="A83" s="188" t="s">
        <v>1183</v>
      </c>
      <c r="B83" s="613">
        <f>+C88*((C89*C90-C91*C92)*C93*C95*C96/C97)*C99*$C$104</f>
        <v>6.4546300137117338</v>
      </c>
      <c r="C83" s="613">
        <f>+C88*((C89*C90-C91*C92)*C94*C95*C96/C98)*C101*$C$104</f>
        <v>8.4838150089000042</v>
      </c>
      <c r="D83" s="368">
        <f>+C83-B83</f>
        <v>2.0291849951882703</v>
      </c>
      <c r="E83" s="556"/>
      <c r="G83"/>
      <c r="H83"/>
    </row>
    <row r="84" spans="1:13" ht="15" thickBot="1" x14ac:dyDescent="0.4">
      <c r="A84" s="188" t="s">
        <v>1184</v>
      </c>
      <c r="B84" s="613">
        <f>+C88*((C89*C90-C91*C92)*C93*C95*C96/C97)*C99*$C$105</f>
        <v>6.9751646922368744</v>
      </c>
      <c r="C84" s="613">
        <f>+C88*((C89*C90-C91*C92)*C94*C95*C96/C98)*C101*$C$105</f>
        <v>9.1679936386500049</v>
      </c>
      <c r="D84" s="368">
        <f>+C84-B84</f>
        <v>2.1928289464131305</v>
      </c>
      <c r="E84" s="556"/>
      <c r="G84"/>
      <c r="H84"/>
    </row>
    <row r="85" spans="1:13" ht="15" thickBot="1" x14ac:dyDescent="0.4">
      <c r="A85" s="614" t="s">
        <v>1185</v>
      </c>
      <c r="B85" s="615">
        <f>+((C89*C90-C91*C92)*C93*C95*C96/C97)*$C$104</f>
        <v>1288.3493041340787</v>
      </c>
      <c r="C85" s="615">
        <f>+((C89*C90-C91*C92)*C94*C95*C96/C98)*$C$104</f>
        <v>1455.1998300000007</v>
      </c>
      <c r="E85" s="556"/>
      <c r="G85"/>
      <c r="H85"/>
    </row>
    <row r="86" spans="1:13" ht="15" thickBot="1" x14ac:dyDescent="0.4">
      <c r="A86" s="614" t="s">
        <v>1186</v>
      </c>
      <c r="B86" s="615">
        <f>+((C89*C90-C91*C92)*C93*C95*C96/C97)*$C$105</f>
        <v>1392.2484415642464</v>
      </c>
      <c r="C86" s="615">
        <f>+((C89*C90-C91*C92)*C94*C95*C96/C98)*$C$105</f>
        <v>1572.5546550000008</v>
      </c>
      <c r="E86" s="556"/>
      <c r="G86"/>
      <c r="H86"/>
    </row>
    <row r="87" spans="1:13" ht="15" thickBot="1" x14ac:dyDescent="0.4">
      <c r="A87" s="76"/>
      <c r="B87" s="77" t="s">
        <v>1187</v>
      </c>
      <c r="C87" s="616" t="s">
        <v>1188</v>
      </c>
      <c r="D87" s="77" t="s">
        <v>1189</v>
      </c>
      <c r="E87" s="617"/>
      <c r="F87" s="77"/>
      <c r="G87" s="77"/>
      <c r="H87" s="77"/>
      <c r="I87" s="77"/>
      <c r="J87" s="77"/>
      <c r="K87" s="77"/>
      <c r="L87" s="77"/>
      <c r="M87" s="77"/>
    </row>
    <row r="88" spans="1:13" ht="15" thickBot="1" x14ac:dyDescent="0.4">
      <c r="A88" s="605" t="s">
        <v>1190</v>
      </c>
      <c r="B88" s="188" t="s">
        <v>1191</v>
      </c>
      <c r="C88" s="618">
        <f>+B279</f>
        <v>1</v>
      </c>
      <c r="D88" s="619" t="s">
        <v>660</v>
      </c>
      <c r="E88" s="620"/>
      <c r="F88" s="621"/>
      <c r="G88" s="621"/>
      <c r="H88" s="621"/>
      <c r="I88" s="621"/>
      <c r="J88" s="621"/>
      <c r="K88" s="621"/>
      <c r="L88" s="621"/>
      <c r="M88" s="621"/>
    </row>
    <row r="89" spans="1:13" ht="15" thickBot="1" x14ac:dyDescent="0.4">
      <c r="A89" s="614"/>
      <c r="B89" s="188" t="s">
        <v>1192</v>
      </c>
      <c r="C89" s="622">
        <v>2.35</v>
      </c>
      <c r="D89" s="621" t="s">
        <v>633</v>
      </c>
      <c r="E89" s="620"/>
      <c r="F89" s="621"/>
      <c r="G89" s="621"/>
      <c r="H89" s="621"/>
      <c r="I89" s="621"/>
      <c r="J89" s="621"/>
      <c r="K89" s="621"/>
      <c r="L89" s="621"/>
      <c r="M89" s="621"/>
    </row>
    <row r="90" spans="1:13" ht="15" thickBot="1" x14ac:dyDescent="0.4">
      <c r="A90" s="614"/>
      <c r="B90" s="188" t="s">
        <v>607</v>
      </c>
      <c r="C90" s="623">
        <f>+$B$296</f>
        <v>7.8</v>
      </c>
      <c r="D90" s="621" t="s">
        <v>635</v>
      </c>
      <c r="E90" s="620"/>
      <c r="F90" s="621"/>
      <c r="G90" s="621"/>
      <c r="H90" s="621"/>
      <c r="I90" s="621"/>
      <c r="J90" s="621"/>
      <c r="K90" s="621"/>
      <c r="L90" s="621"/>
      <c r="M90" s="621"/>
    </row>
    <row r="91" spans="1:13" ht="15" thickBot="1" x14ac:dyDescent="0.4">
      <c r="A91" s="614"/>
      <c r="B91" s="188" t="s">
        <v>1193</v>
      </c>
      <c r="C91" s="623">
        <f>+$A$291</f>
        <v>1.5</v>
      </c>
      <c r="D91" s="621" t="s">
        <v>1194</v>
      </c>
      <c r="E91" s="624"/>
      <c r="F91" s="625"/>
      <c r="G91" s="626"/>
      <c r="H91" s="625"/>
      <c r="I91" s="625"/>
      <c r="J91" s="621"/>
      <c r="K91" s="621"/>
      <c r="L91" s="621"/>
      <c r="M91" s="621"/>
    </row>
    <row r="92" spans="1:13" ht="15" thickBot="1" x14ac:dyDescent="0.4">
      <c r="A92" s="614"/>
      <c r="B92" s="188" t="s">
        <v>1195</v>
      </c>
      <c r="C92" s="623">
        <f>+$B$297</f>
        <v>7.8</v>
      </c>
      <c r="D92" s="621" t="s">
        <v>639</v>
      </c>
      <c r="E92" s="620"/>
      <c r="F92" s="621"/>
      <c r="G92" s="621"/>
      <c r="H92" s="621"/>
      <c r="I92" s="621"/>
      <c r="J92" s="621"/>
      <c r="K92" s="621"/>
      <c r="L92" s="621"/>
      <c r="M92" s="621"/>
    </row>
    <row r="93" spans="1:13" ht="15" thickBot="1" x14ac:dyDescent="0.4">
      <c r="A93" s="614"/>
      <c r="B93" s="188" t="s">
        <v>2819</v>
      </c>
      <c r="C93" s="623">
        <f>+$E$278</f>
        <v>2.56</v>
      </c>
      <c r="D93" s="621" t="s">
        <v>2820</v>
      </c>
      <c r="E93" s="620"/>
      <c r="F93" s="621"/>
      <c r="G93" s="621"/>
      <c r="H93" s="621"/>
      <c r="I93" s="621"/>
      <c r="J93" s="621"/>
      <c r="K93" s="621"/>
      <c r="L93" s="621"/>
      <c r="M93" s="621"/>
    </row>
    <row r="94" spans="1:13" ht="15" thickBot="1" x14ac:dyDescent="0.4">
      <c r="A94" s="614"/>
      <c r="B94" s="188" t="s">
        <v>2821</v>
      </c>
      <c r="C94" s="623">
        <f>+$E$279</f>
        <v>2.1</v>
      </c>
      <c r="D94" s="621" t="s">
        <v>2822</v>
      </c>
      <c r="E94" s="620"/>
      <c r="F94" s="621"/>
      <c r="G94" s="621"/>
      <c r="H94" s="621"/>
      <c r="I94" s="621"/>
      <c r="J94" s="621"/>
      <c r="K94" s="621"/>
      <c r="L94" s="621"/>
      <c r="M94" s="621"/>
    </row>
    <row r="95" spans="1:13" ht="15" thickBot="1" x14ac:dyDescent="0.4">
      <c r="A95" s="614"/>
      <c r="B95" s="627" t="s">
        <v>610</v>
      </c>
      <c r="C95" s="628">
        <v>0.6</v>
      </c>
      <c r="D95" s="629" t="s">
        <v>1197</v>
      </c>
      <c r="E95" s="630"/>
      <c r="F95" s="336"/>
      <c r="G95" s="336"/>
      <c r="H95" s="336"/>
      <c r="I95" s="336"/>
      <c r="J95" s="336"/>
      <c r="K95" s="336"/>
      <c r="L95" s="336"/>
      <c r="M95" s="336"/>
    </row>
    <row r="96" spans="1:13" ht="15" thickBot="1" x14ac:dyDescent="0.4">
      <c r="A96" s="614"/>
      <c r="B96" s="188">
        <v>365.25</v>
      </c>
      <c r="C96" s="623">
        <v>365.25</v>
      </c>
      <c r="D96" s="619" t="s">
        <v>1198</v>
      </c>
      <c r="E96" s="621"/>
      <c r="F96" s="621"/>
      <c r="G96" s="619"/>
      <c r="H96" s="619"/>
      <c r="I96" s="621"/>
      <c r="J96" s="621"/>
      <c r="K96" s="621"/>
      <c r="L96" s="621"/>
      <c r="M96" s="621"/>
    </row>
    <row r="97" spans="1:13" ht="15" thickBot="1" x14ac:dyDescent="0.4">
      <c r="A97" s="614"/>
      <c r="B97" s="188" t="s">
        <v>2823</v>
      </c>
      <c r="C97" s="623">
        <f>+$E$284</f>
        <v>1.79</v>
      </c>
      <c r="D97" s="619" t="s">
        <v>1199</v>
      </c>
      <c r="E97" s="621"/>
      <c r="F97" s="621"/>
      <c r="G97" s="619"/>
      <c r="H97" s="619"/>
      <c r="I97" s="621"/>
      <c r="J97" s="621"/>
      <c r="K97" s="621"/>
      <c r="L97" s="621"/>
      <c r="M97" s="621"/>
    </row>
    <row r="98" spans="1:13" ht="15" thickBot="1" x14ac:dyDescent="0.4">
      <c r="A98" s="614"/>
      <c r="B98" s="188" t="s">
        <v>2824</v>
      </c>
      <c r="C98" s="623">
        <f>+$E$285</f>
        <v>1.3</v>
      </c>
      <c r="D98" s="619" t="s">
        <v>1199</v>
      </c>
      <c r="E98" s="621"/>
      <c r="F98" s="621"/>
      <c r="G98" s="619"/>
      <c r="H98" s="619"/>
      <c r="I98" s="621"/>
      <c r="J98" s="621"/>
      <c r="K98" s="621"/>
      <c r="L98" s="621"/>
      <c r="M98" s="621"/>
    </row>
    <row r="99" spans="1:13" x14ac:dyDescent="0.35">
      <c r="A99" s="614"/>
      <c r="B99" s="605" t="s">
        <v>2825</v>
      </c>
      <c r="C99" s="631">
        <f>+$E$289</f>
        <v>5.0099999999999997E-3</v>
      </c>
      <c r="D99" s="632" t="s">
        <v>2826</v>
      </c>
      <c r="E99" s="632"/>
      <c r="F99" s="632"/>
      <c r="G99" s="633"/>
      <c r="H99" s="633"/>
      <c r="I99" s="632"/>
      <c r="J99" s="632"/>
      <c r="K99" s="632"/>
      <c r="L99" s="632"/>
      <c r="M99" s="632"/>
    </row>
    <row r="100" spans="1:13" ht="15" thickBot="1" x14ac:dyDescent="0.4">
      <c r="A100" s="614"/>
      <c r="B100" s="634"/>
      <c r="C100" s="635"/>
      <c r="D100" s="636" t="s">
        <v>1200</v>
      </c>
      <c r="E100" s="636"/>
      <c r="F100" s="636"/>
      <c r="G100" s="637"/>
      <c r="H100" s="637"/>
      <c r="I100" s="636"/>
      <c r="J100" s="636"/>
      <c r="K100" s="636"/>
      <c r="L100" s="636"/>
      <c r="M100" s="636"/>
    </row>
    <row r="101" spans="1:13" x14ac:dyDescent="0.35">
      <c r="A101" s="614"/>
      <c r="B101" s="605" t="s">
        <v>2827</v>
      </c>
      <c r="C101" s="631">
        <f>+$E$290</f>
        <v>5.8300000000000001E-3</v>
      </c>
      <c r="D101" s="632" t="s">
        <v>2828</v>
      </c>
      <c r="E101" s="632"/>
      <c r="F101" s="632"/>
      <c r="G101" s="633"/>
      <c r="H101" s="633"/>
      <c r="I101" s="632"/>
      <c r="J101" s="632"/>
      <c r="K101" s="632"/>
      <c r="L101" s="632"/>
      <c r="M101" s="632"/>
    </row>
    <row r="102" spans="1:13" ht="15" thickBot="1" x14ac:dyDescent="0.4">
      <c r="A102" s="614"/>
      <c r="B102" s="634"/>
      <c r="C102" s="635"/>
      <c r="D102" s="636" t="s">
        <v>1200</v>
      </c>
      <c r="E102" s="636"/>
      <c r="F102" s="636"/>
      <c r="G102" s="637"/>
      <c r="H102" s="637"/>
      <c r="I102" s="636"/>
      <c r="J102" s="636"/>
      <c r="K102" s="636"/>
      <c r="L102" s="636"/>
      <c r="M102" s="636"/>
    </row>
    <row r="103" spans="1:13" ht="15" thickBot="1" x14ac:dyDescent="0.4">
      <c r="A103" s="614"/>
      <c r="B103" s="188" t="s">
        <v>1201</v>
      </c>
      <c r="C103" s="638">
        <f>+$E$293</f>
        <v>0.78</v>
      </c>
      <c r="D103" s="621" t="s">
        <v>1202</v>
      </c>
      <c r="E103" s="621"/>
      <c r="F103" s="621"/>
      <c r="G103" s="619"/>
      <c r="H103" s="619"/>
      <c r="I103" s="621"/>
      <c r="J103" s="621"/>
      <c r="K103" s="621"/>
      <c r="L103" s="621"/>
      <c r="M103" s="621"/>
    </row>
    <row r="104" spans="1:13" ht="15" thickBot="1" x14ac:dyDescent="0.4">
      <c r="A104" s="634"/>
      <c r="B104" s="188" t="s">
        <v>613</v>
      </c>
      <c r="C104" s="1864">
        <f>+$B$302</f>
        <v>0.62</v>
      </c>
      <c r="D104" s="621" t="s">
        <v>287</v>
      </c>
      <c r="E104" s="621"/>
      <c r="F104" s="621"/>
      <c r="G104" s="619"/>
      <c r="H104" s="619"/>
      <c r="I104" s="621"/>
      <c r="J104" s="621"/>
      <c r="K104" s="621"/>
      <c r="L104" s="621"/>
      <c r="M104" s="621"/>
    </row>
    <row r="105" spans="1:13" ht="15" thickBot="1" x14ac:dyDescent="0.4">
      <c r="A105" s="627"/>
      <c r="B105" s="188" t="s">
        <v>613</v>
      </c>
      <c r="C105" s="623">
        <f>+B303</f>
        <v>0.67</v>
      </c>
      <c r="D105" s="621" t="s">
        <v>288</v>
      </c>
      <c r="E105" s="621"/>
      <c r="F105" s="621"/>
      <c r="G105" s="619"/>
      <c r="H105" s="619"/>
      <c r="I105" s="621"/>
      <c r="J105" s="621"/>
      <c r="K105" s="621"/>
      <c r="L105" s="621"/>
      <c r="M105" s="621"/>
    </row>
    <row r="106" spans="1:13" ht="15" thickBot="1" x14ac:dyDescent="0.4">
      <c r="A106" s="627"/>
      <c r="B106" s="188"/>
      <c r="C106" s="623"/>
      <c r="D106" s="621"/>
      <c r="E106" s="621"/>
      <c r="F106" s="621"/>
      <c r="G106" s="619"/>
      <c r="H106" s="619"/>
      <c r="I106" s="621"/>
      <c r="J106" s="621"/>
      <c r="K106" s="621"/>
      <c r="L106" s="621"/>
      <c r="M106" s="621"/>
    </row>
    <row r="107" spans="1:13" ht="15" thickBot="1" x14ac:dyDescent="0.4">
      <c r="A107" s="639"/>
      <c r="B107" s="639"/>
      <c r="C107" s="184"/>
      <c r="D107" s="184"/>
      <c r="E107" s="184"/>
      <c r="F107" s="184"/>
      <c r="G107" s="242"/>
      <c r="H107" s="242"/>
      <c r="I107" s="184"/>
      <c r="J107" s="184"/>
      <c r="K107" s="184"/>
      <c r="L107" s="184"/>
      <c r="M107" s="184"/>
    </row>
    <row r="108" spans="1:13" x14ac:dyDescent="0.35">
      <c r="A108" s="605" t="s">
        <v>1203</v>
      </c>
      <c r="B108" s="468"/>
      <c r="C108" s="606"/>
      <c r="D108" s="606"/>
      <c r="E108" s="607"/>
      <c r="F108" s="608"/>
      <c r="G108" s="608"/>
      <c r="H108" s="609"/>
      <c r="I108" s="608"/>
      <c r="J108" s="468"/>
      <c r="K108" s="468"/>
      <c r="L108" s="468"/>
      <c r="M108" s="469"/>
    </row>
    <row r="109" spans="1:13" ht="15" thickBot="1" x14ac:dyDescent="0.4">
      <c r="A109" s="321"/>
      <c r="B109" s="201"/>
      <c r="C109" s="201"/>
      <c r="D109" s="610"/>
      <c r="E109" s="611"/>
      <c r="F109" s="612"/>
      <c r="G109" s="201"/>
      <c r="H109" s="201"/>
      <c r="I109" s="201"/>
      <c r="J109" s="201"/>
      <c r="K109" s="201"/>
      <c r="L109" s="201"/>
      <c r="M109" s="203"/>
    </row>
    <row r="110" spans="1:13" x14ac:dyDescent="0.35">
      <c r="A110" s="605" t="s">
        <v>1204</v>
      </c>
      <c r="B110" s="468"/>
      <c r="C110" s="606"/>
      <c r="D110" s="606"/>
      <c r="E110" s="607"/>
      <c r="F110" s="608"/>
      <c r="G110" s="608"/>
      <c r="H110" s="609"/>
      <c r="I110" s="608"/>
      <c r="J110" s="468"/>
      <c r="K110" s="468"/>
      <c r="L110" s="468"/>
      <c r="M110" s="469"/>
    </row>
    <row r="111" spans="1:13" ht="15" thickBot="1" x14ac:dyDescent="0.4">
      <c r="A111" s="321"/>
      <c r="B111" s="201"/>
      <c r="C111" s="201"/>
      <c r="D111" s="610"/>
      <c r="E111" s="611"/>
      <c r="F111" s="612"/>
      <c r="G111" s="201"/>
      <c r="H111" s="201"/>
      <c r="I111" s="201"/>
      <c r="J111" s="201"/>
      <c r="K111" s="201"/>
      <c r="L111" s="201"/>
      <c r="M111" s="203"/>
    </row>
    <row r="112" spans="1:13" ht="15" thickBot="1" x14ac:dyDescent="0.4">
      <c r="A112" s="321"/>
      <c r="B112" s="1515" t="s">
        <v>2816</v>
      </c>
      <c r="C112" s="1516" t="s">
        <v>2817</v>
      </c>
      <c r="D112" s="571"/>
      <c r="E112" s="1448"/>
      <c r="F112" s="1517"/>
      <c r="G112" s="83"/>
      <c r="H112" s="83"/>
      <c r="I112" s="83"/>
      <c r="J112" s="83"/>
      <c r="K112" s="83"/>
      <c r="L112" s="83"/>
      <c r="M112" s="83"/>
    </row>
    <row r="113" spans="1:13" ht="15" thickBot="1" x14ac:dyDescent="0.4">
      <c r="A113" s="188" t="s">
        <v>1205</v>
      </c>
      <c r="B113" s="613">
        <f>+C116*((C117*C118-C119*C120)*C121*C123*C124/C125*C127)*C132</f>
        <v>0.58390537375208507</v>
      </c>
      <c r="C113" s="613">
        <f>+C116*((C117*C118-C119*C120)*C122*C123*C124/C126*C129)*C132</f>
        <v>1.0520905162320005</v>
      </c>
      <c r="E113" s="556"/>
      <c r="G113"/>
      <c r="H113"/>
    </row>
    <row r="114" spans="1:13" ht="15" thickBot="1" x14ac:dyDescent="0.4">
      <c r="A114" s="614" t="s">
        <v>1206</v>
      </c>
      <c r="B114" s="615">
        <f>+((C117*C118-C119*C120)*C121*C123*C124/C125)*C132</f>
        <v>171.23324743462905</v>
      </c>
      <c r="C114" s="615">
        <f>+((C117*C118-C119*C120)*C122*C123*C124/C126)*C132</f>
        <v>265.01020560000018</v>
      </c>
      <c r="E114" s="556"/>
      <c r="G114"/>
      <c r="H114"/>
    </row>
    <row r="115" spans="1:13" ht="15" thickBot="1" x14ac:dyDescent="0.4">
      <c r="A115" s="76"/>
      <c r="B115" s="77" t="s">
        <v>1187</v>
      </c>
      <c r="C115" s="616" t="s">
        <v>1188</v>
      </c>
      <c r="D115" s="77" t="s">
        <v>1189</v>
      </c>
      <c r="E115" s="617"/>
      <c r="F115" s="77"/>
      <c r="G115" s="77"/>
      <c r="H115" s="77"/>
      <c r="I115" s="77"/>
      <c r="J115" s="77"/>
      <c r="K115" s="77"/>
      <c r="L115" s="77"/>
      <c r="M115" s="77"/>
    </row>
    <row r="116" spans="1:13" ht="15" thickBot="1" x14ac:dyDescent="0.4">
      <c r="A116" s="605" t="s">
        <v>1190</v>
      </c>
      <c r="B116" s="188" t="s">
        <v>1191</v>
      </c>
      <c r="C116" s="618">
        <f>+$I$279</f>
        <v>1</v>
      </c>
      <c r="D116" s="619" t="s">
        <v>660</v>
      </c>
      <c r="E116" s="620"/>
      <c r="F116" s="621"/>
      <c r="G116" s="621"/>
      <c r="H116" s="621"/>
      <c r="I116" s="621"/>
      <c r="J116" s="621"/>
      <c r="K116" s="621"/>
      <c r="L116" s="621"/>
      <c r="M116" s="621"/>
    </row>
    <row r="117" spans="1:13" ht="15" thickBot="1" x14ac:dyDescent="0.4">
      <c r="A117" s="614"/>
      <c r="B117" s="188" t="s">
        <v>1192</v>
      </c>
      <c r="C117" s="659">
        <f>+$I$284</f>
        <v>1.53</v>
      </c>
      <c r="D117" s="621" t="s">
        <v>1207</v>
      </c>
      <c r="E117" s="620"/>
      <c r="F117" s="621"/>
      <c r="G117" s="621"/>
      <c r="H117" s="621"/>
      <c r="I117" s="621"/>
      <c r="J117" s="621"/>
      <c r="K117" s="621"/>
      <c r="L117" s="621"/>
      <c r="M117" s="621"/>
    </row>
    <row r="118" spans="1:13" ht="15" thickBot="1" x14ac:dyDescent="0.4">
      <c r="A118" s="614"/>
      <c r="B118" s="188" t="s">
        <v>607</v>
      </c>
      <c r="C118" s="623">
        <f>+$I$293</f>
        <v>1.6</v>
      </c>
      <c r="D118" s="621" t="s">
        <v>1208</v>
      </c>
      <c r="E118" s="620"/>
      <c r="F118" s="621"/>
      <c r="G118" s="621"/>
      <c r="H118" s="621"/>
      <c r="I118" s="621"/>
      <c r="J118" s="621"/>
      <c r="K118" s="621"/>
      <c r="L118" s="621"/>
      <c r="M118" s="621"/>
    </row>
    <row r="119" spans="1:13" ht="15" thickBot="1" x14ac:dyDescent="0.4">
      <c r="A119" s="614"/>
      <c r="B119" s="188" t="s">
        <v>1193</v>
      </c>
      <c r="C119" s="622">
        <f>+$I$288</f>
        <v>0.94</v>
      </c>
      <c r="D119" s="621" t="s">
        <v>1209</v>
      </c>
      <c r="E119" s="624"/>
      <c r="F119" s="625"/>
      <c r="G119" s="626"/>
      <c r="H119" s="625"/>
      <c r="I119" s="625"/>
      <c r="J119" s="621"/>
      <c r="K119" s="621"/>
      <c r="L119" s="621"/>
      <c r="M119" s="621"/>
    </row>
    <row r="120" spans="1:13" ht="15" thickBot="1" x14ac:dyDescent="0.4">
      <c r="A120" s="614"/>
      <c r="B120" s="188" t="s">
        <v>1195</v>
      </c>
      <c r="C120" s="623">
        <f>+$I$299</f>
        <v>1.6</v>
      </c>
      <c r="D120" s="621" t="s">
        <v>1210</v>
      </c>
      <c r="E120" s="620"/>
      <c r="F120" s="621"/>
      <c r="G120" s="621"/>
      <c r="H120" s="621"/>
      <c r="I120" s="621"/>
      <c r="J120" s="621"/>
      <c r="K120" s="621"/>
      <c r="L120" s="621"/>
      <c r="M120" s="621"/>
    </row>
    <row r="121" spans="1:13" ht="15" thickBot="1" x14ac:dyDescent="0.4">
      <c r="A121" s="614"/>
      <c r="B121" s="188" t="s">
        <v>2819</v>
      </c>
      <c r="C121" s="623">
        <f>+$L$278</f>
        <v>2.56</v>
      </c>
      <c r="D121" s="621" t="s">
        <v>1196</v>
      </c>
      <c r="E121" s="620"/>
      <c r="F121" s="621"/>
      <c r="G121" s="621"/>
      <c r="H121" s="621"/>
      <c r="I121" s="621"/>
      <c r="J121" s="621"/>
      <c r="K121" s="621"/>
      <c r="L121" s="621"/>
      <c r="M121" s="621"/>
    </row>
    <row r="122" spans="1:13" ht="15" thickBot="1" x14ac:dyDescent="0.4">
      <c r="A122" s="614"/>
      <c r="B122" s="188" t="s">
        <v>2821</v>
      </c>
      <c r="C122" s="623">
        <v>2.1</v>
      </c>
      <c r="D122" s="621" t="s">
        <v>1196</v>
      </c>
      <c r="E122" s="620"/>
      <c r="F122" s="621"/>
      <c r="G122" s="621"/>
      <c r="H122" s="621"/>
      <c r="I122" s="621"/>
      <c r="J122" s="621"/>
      <c r="K122" s="621"/>
      <c r="L122" s="621"/>
      <c r="M122" s="621"/>
    </row>
    <row r="123" spans="1:13" ht="15" thickBot="1" x14ac:dyDescent="0.4">
      <c r="A123" s="614"/>
      <c r="B123" s="188">
        <v>365.25</v>
      </c>
      <c r="C123" s="623">
        <v>365.25</v>
      </c>
      <c r="D123" s="619" t="s">
        <v>1198</v>
      </c>
      <c r="E123" s="621"/>
      <c r="F123" s="621"/>
      <c r="G123" s="619"/>
      <c r="H123" s="619"/>
      <c r="I123" s="621"/>
      <c r="J123" s="621"/>
      <c r="K123" s="621"/>
      <c r="L123" s="621"/>
      <c r="M123" s="621"/>
    </row>
    <row r="124" spans="1:13" ht="15" thickBot="1" x14ac:dyDescent="0.4">
      <c r="A124" s="614"/>
      <c r="B124" s="188" t="s">
        <v>1211</v>
      </c>
      <c r="C124" s="638">
        <f>+$L$285</f>
        <v>0.9</v>
      </c>
      <c r="D124" s="619" t="s">
        <v>1212</v>
      </c>
      <c r="E124" s="621"/>
      <c r="F124" s="621"/>
      <c r="G124" s="619"/>
      <c r="H124" s="619"/>
      <c r="I124" s="621"/>
      <c r="J124" s="621"/>
      <c r="K124" s="621"/>
      <c r="L124" s="621"/>
      <c r="M124" s="621"/>
    </row>
    <row r="125" spans="1:13" ht="15" thickBot="1" x14ac:dyDescent="0.4">
      <c r="A125" s="614"/>
      <c r="B125" s="188" t="s">
        <v>2829</v>
      </c>
      <c r="C125" s="640">
        <f>+$L$299</f>
        <v>2.83</v>
      </c>
      <c r="D125" s="619" t="s">
        <v>1214</v>
      </c>
      <c r="E125" s="621"/>
      <c r="F125" s="621"/>
      <c r="G125" s="619"/>
      <c r="H125" s="619"/>
      <c r="I125" s="621"/>
      <c r="J125" s="621"/>
      <c r="K125" s="621"/>
      <c r="L125" s="621"/>
      <c r="M125" s="621"/>
    </row>
    <row r="126" spans="1:13" ht="15" thickBot="1" x14ac:dyDescent="0.4">
      <c r="A126" s="614"/>
      <c r="B126" s="76" t="s">
        <v>2830</v>
      </c>
      <c r="C126" s="1518">
        <f>+$L$300</f>
        <v>1.5</v>
      </c>
      <c r="D126" s="1519" t="s">
        <v>1214</v>
      </c>
      <c r="E126" s="1519"/>
      <c r="F126" s="632"/>
      <c r="G126" s="633"/>
      <c r="H126" s="633"/>
      <c r="I126" s="632"/>
      <c r="J126" s="632"/>
      <c r="K126" s="632"/>
      <c r="L126" s="632"/>
      <c r="M126" s="632"/>
    </row>
    <row r="127" spans="1:13" x14ac:dyDescent="0.35">
      <c r="A127" s="614"/>
      <c r="B127" s="605" t="s">
        <v>2825</v>
      </c>
      <c r="C127" s="631">
        <f>+$L$289</f>
        <v>3.4099999999999998E-3</v>
      </c>
      <c r="D127" s="632" t="s">
        <v>662</v>
      </c>
      <c r="E127" s="632"/>
      <c r="F127" s="632"/>
      <c r="G127" s="633"/>
      <c r="H127" s="633"/>
      <c r="I127" s="632"/>
      <c r="J127" s="632"/>
      <c r="K127" s="632"/>
      <c r="L127" s="632"/>
      <c r="M127" s="632"/>
    </row>
    <row r="128" spans="1:13" ht="15" thickBot="1" x14ac:dyDescent="0.4">
      <c r="A128" s="614"/>
      <c r="B128" s="634"/>
      <c r="C128" s="635"/>
      <c r="D128" s="636" t="s">
        <v>1215</v>
      </c>
      <c r="E128" s="636"/>
      <c r="F128" s="636"/>
      <c r="G128" s="637"/>
      <c r="H128" s="637"/>
      <c r="I128" s="636"/>
      <c r="J128" s="636"/>
      <c r="K128" s="636"/>
      <c r="L128" s="636"/>
      <c r="M128" s="636"/>
    </row>
    <row r="129" spans="1:13" x14ac:dyDescent="0.35">
      <c r="A129" s="614"/>
      <c r="B129" s="605" t="s">
        <v>2827</v>
      </c>
      <c r="C129" s="631">
        <f>+$L$292</f>
        <v>3.9699999999999996E-3</v>
      </c>
      <c r="D129" s="632" t="s">
        <v>662</v>
      </c>
      <c r="E129" s="632"/>
      <c r="F129" s="632"/>
      <c r="G129" s="633"/>
      <c r="H129" s="633"/>
      <c r="I129" s="632"/>
      <c r="J129" s="632"/>
      <c r="K129" s="632"/>
      <c r="L129" s="632"/>
      <c r="M129" s="632"/>
    </row>
    <row r="130" spans="1:13" ht="15" thickBot="1" x14ac:dyDescent="0.4">
      <c r="A130" s="614"/>
      <c r="B130" s="634"/>
      <c r="C130" s="635"/>
      <c r="D130" s="636" t="s">
        <v>1215</v>
      </c>
      <c r="E130" s="636"/>
      <c r="F130" s="636"/>
      <c r="G130" s="637"/>
      <c r="H130" s="637"/>
      <c r="I130" s="636"/>
      <c r="J130" s="636"/>
      <c r="K130" s="636"/>
      <c r="L130" s="636"/>
      <c r="M130" s="636"/>
    </row>
    <row r="131" spans="1:13" ht="15" thickBot="1" x14ac:dyDescent="0.4">
      <c r="A131" s="614"/>
      <c r="B131" s="188" t="s">
        <v>1201</v>
      </c>
      <c r="C131" s="638"/>
      <c r="D131" s="621" t="s">
        <v>1202</v>
      </c>
      <c r="E131" s="621"/>
      <c r="F131" s="621"/>
      <c r="G131" s="619"/>
      <c r="H131" s="619"/>
      <c r="I131" s="621"/>
      <c r="J131" s="621"/>
      <c r="K131" s="621"/>
      <c r="L131" s="621"/>
      <c r="M131" s="621"/>
    </row>
    <row r="132" spans="1:13" ht="15" thickBot="1" x14ac:dyDescent="0.4">
      <c r="A132" s="634"/>
      <c r="B132" s="188" t="s">
        <v>613</v>
      </c>
      <c r="C132" s="623">
        <f>+$B$305</f>
        <v>0.61</v>
      </c>
      <c r="D132" s="621"/>
      <c r="E132" s="621"/>
      <c r="F132" s="621"/>
      <c r="G132" s="619"/>
      <c r="H132" s="619"/>
      <c r="I132" s="621"/>
      <c r="J132" s="621"/>
      <c r="K132" s="621"/>
      <c r="L132" s="621"/>
      <c r="M132" s="621"/>
    </row>
    <row r="133" spans="1:13" ht="15" thickBot="1" x14ac:dyDescent="0.4">
      <c r="A133" s="639"/>
      <c r="B133" s="639"/>
      <c r="C133" s="184"/>
      <c r="D133" s="184"/>
      <c r="E133" s="184"/>
      <c r="F133" s="184"/>
      <c r="G133" s="242"/>
      <c r="H133" s="242"/>
      <c r="I133" s="184"/>
      <c r="J133" s="184"/>
      <c r="K133" s="184"/>
      <c r="L133" s="184"/>
      <c r="M133" s="184"/>
    </row>
    <row r="134" spans="1:13" x14ac:dyDescent="0.35">
      <c r="A134" s="605" t="s">
        <v>1216</v>
      </c>
      <c r="B134" s="468"/>
      <c r="C134" s="606"/>
      <c r="D134" s="606"/>
      <c r="E134" s="607"/>
      <c r="F134" s="608"/>
      <c r="G134" s="608"/>
      <c r="H134" s="609"/>
      <c r="I134" s="608"/>
      <c r="J134" s="468"/>
      <c r="K134" s="468"/>
      <c r="L134" s="468"/>
      <c r="M134" s="469"/>
    </row>
    <row r="135" spans="1:13" ht="15" thickBot="1" x14ac:dyDescent="0.4">
      <c r="A135" s="321"/>
      <c r="B135" s="201"/>
      <c r="C135" s="201"/>
      <c r="D135" s="610"/>
      <c r="E135" s="611"/>
      <c r="F135" s="612"/>
      <c r="G135" s="201"/>
      <c r="H135" s="201"/>
      <c r="I135" s="201"/>
      <c r="J135" s="201"/>
      <c r="K135" s="201"/>
      <c r="L135" s="201"/>
      <c r="M135" s="203"/>
    </row>
    <row r="136" spans="1:13" x14ac:dyDescent="0.35">
      <c r="A136" s="605" t="s">
        <v>1217</v>
      </c>
      <c r="B136" s="468"/>
      <c r="C136" s="606"/>
      <c r="D136" s="606"/>
      <c r="E136" s="607"/>
      <c r="F136" s="608"/>
      <c r="G136" s="608"/>
      <c r="H136" s="609"/>
      <c r="I136" s="608"/>
      <c r="J136" s="468"/>
      <c r="K136" s="468"/>
      <c r="L136" s="468"/>
      <c r="M136" s="469"/>
    </row>
    <row r="137" spans="1:13" ht="15" thickBot="1" x14ac:dyDescent="0.4">
      <c r="A137" s="321"/>
      <c r="B137" s="201"/>
      <c r="C137" s="201"/>
      <c r="D137" s="610"/>
      <c r="E137" s="611"/>
      <c r="F137" s="612"/>
      <c r="G137" s="201"/>
      <c r="H137" s="201"/>
      <c r="I137" s="201"/>
      <c r="J137" s="201"/>
      <c r="K137" s="201"/>
      <c r="L137" s="201"/>
      <c r="M137" s="203"/>
    </row>
    <row r="138" spans="1:13" ht="15" thickBot="1" x14ac:dyDescent="0.4">
      <c r="A138" s="321"/>
      <c r="B138" s="1515" t="s">
        <v>2816</v>
      </c>
      <c r="C138" s="1516" t="s">
        <v>2817</v>
      </c>
      <c r="D138" s="571"/>
      <c r="E138" s="1448"/>
      <c r="F138" s="1517"/>
      <c r="G138" s="83"/>
      <c r="H138" s="83"/>
      <c r="I138" s="83"/>
      <c r="J138" s="83"/>
      <c r="K138" s="83"/>
      <c r="L138" s="83"/>
      <c r="M138" s="83"/>
    </row>
    <row r="139" spans="1:13" ht="15" thickBot="1" x14ac:dyDescent="0.4">
      <c r="A139" s="188" t="s">
        <v>1218</v>
      </c>
      <c r="B139" s="613">
        <f>+C142*((C143*C144-C145*C146)*C147*C149*C150/C151*C152)*C157</f>
        <v>5.2411808808</v>
      </c>
      <c r="C139" s="613">
        <f>+C142*((C143*C144-C145*C146)*C148*C149*C150/C151*C154)*C157</f>
        <v>5.0142472206749993</v>
      </c>
      <c r="E139" s="556"/>
      <c r="G139"/>
      <c r="H139"/>
    </row>
    <row r="140" spans="1:13" ht="15" thickBot="1" x14ac:dyDescent="0.4">
      <c r="A140" s="188" t="s">
        <v>1219</v>
      </c>
      <c r="B140" s="613">
        <f>((C143*C144-C145*C146)*C147*C149*C150/C151)*C157</f>
        <v>1262.935152</v>
      </c>
      <c r="C140" s="613">
        <f>((C143*C144-C145*C146)*C148*C149*C150/C151)*C157</f>
        <v>1036.0014918749998</v>
      </c>
      <c r="E140" s="556"/>
      <c r="G140"/>
      <c r="H140"/>
    </row>
    <row r="141" spans="1:13" ht="15" thickBot="1" x14ac:dyDescent="0.4">
      <c r="A141" s="76"/>
      <c r="B141" s="77" t="s">
        <v>1187</v>
      </c>
      <c r="C141" s="616" t="s">
        <v>1188</v>
      </c>
      <c r="D141" s="77" t="s">
        <v>1189</v>
      </c>
      <c r="E141" s="617"/>
      <c r="F141" s="77"/>
      <c r="G141" s="77"/>
      <c r="H141" s="77"/>
      <c r="I141" s="77"/>
      <c r="J141" s="77"/>
      <c r="K141" s="77"/>
      <c r="L141" s="77"/>
      <c r="M141" s="77"/>
    </row>
    <row r="142" spans="1:13" ht="15" thickBot="1" x14ac:dyDescent="0.4">
      <c r="A142" s="605" t="s">
        <v>1190</v>
      </c>
      <c r="B142" s="188" t="s">
        <v>1191</v>
      </c>
      <c r="C142" s="618">
        <f>+$I$279</f>
        <v>1</v>
      </c>
      <c r="D142" s="619" t="s">
        <v>660</v>
      </c>
      <c r="E142" s="620"/>
      <c r="F142" s="621"/>
      <c r="G142" s="621"/>
      <c r="H142" s="621"/>
      <c r="I142" s="621"/>
      <c r="J142" s="621"/>
      <c r="K142" s="621"/>
      <c r="L142" s="621"/>
      <c r="M142" s="621"/>
    </row>
    <row r="143" spans="1:13" ht="15" thickBot="1" x14ac:dyDescent="0.4">
      <c r="A143" s="614"/>
      <c r="B143" s="188" t="s">
        <v>1192</v>
      </c>
      <c r="C143" s="659">
        <v>1.63</v>
      </c>
      <c r="D143" s="621" t="s">
        <v>1207</v>
      </c>
      <c r="E143" s="620"/>
      <c r="F143" s="621"/>
      <c r="G143" s="621"/>
      <c r="H143" s="621"/>
      <c r="I143" s="621"/>
      <c r="J143" s="621"/>
      <c r="K143" s="621"/>
      <c r="L143" s="621"/>
      <c r="M143" s="621"/>
    </row>
    <row r="144" spans="1:13" ht="15" thickBot="1" x14ac:dyDescent="0.4">
      <c r="A144" s="614"/>
      <c r="B144" s="188" t="s">
        <v>607</v>
      </c>
      <c r="C144" s="623">
        <f>+$I$292</f>
        <v>4.5</v>
      </c>
      <c r="D144" s="621" t="s">
        <v>1208</v>
      </c>
      <c r="E144" s="620"/>
      <c r="F144" s="621"/>
      <c r="G144" s="621"/>
      <c r="H144" s="621"/>
      <c r="I144" s="621"/>
      <c r="J144" s="621"/>
      <c r="K144" s="621"/>
      <c r="L144" s="621"/>
      <c r="M144" s="621"/>
    </row>
    <row r="145" spans="1:14" ht="15" thickBot="1" x14ac:dyDescent="0.4">
      <c r="A145" s="614"/>
      <c r="B145" s="188" t="s">
        <v>1193</v>
      </c>
      <c r="C145" s="622">
        <f>+$I$288</f>
        <v>0.94</v>
      </c>
      <c r="D145" s="621" t="s">
        <v>1209</v>
      </c>
      <c r="E145" s="624"/>
      <c r="F145" s="625"/>
      <c r="G145" s="626"/>
      <c r="H145" s="625"/>
      <c r="I145" s="625"/>
      <c r="J145" s="621"/>
      <c r="K145" s="621"/>
      <c r="L145" s="621"/>
      <c r="M145" s="621"/>
    </row>
    <row r="146" spans="1:14" ht="15" thickBot="1" x14ac:dyDescent="0.4">
      <c r="A146" s="614"/>
      <c r="B146" s="188" t="s">
        <v>1195</v>
      </c>
      <c r="C146" s="623">
        <f>+$I$298</f>
        <v>4.5</v>
      </c>
      <c r="D146" s="621" t="s">
        <v>1210</v>
      </c>
      <c r="E146" s="620"/>
      <c r="F146" s="621"/>
      <c r="G146" s="621"/>
      <c r="H146" s="621"/>
      <c r="I146" s="621"/>
      <c r="J146" s="621"/>
      <c r="K146" s="621"/>
      <c r="L146" s="621"/>
      <c r="M146" s="621"/>
    </row>
    <row r="147" spans="1:14" ht="15" thickBot="1" x14ac:dyDescent="0.4">
      <c r="A147" s="614"/>
      <c r="B147" s="188" t="s">
        <v>2819</v>
      </c>
      <c r="C147" s="623">
        <f>+$L$278</f>
        <v>2.56</v>
      </c>
      <c r="D147" s="621" t="s">
        <v>1196</v>
      </c>
      <c r="E147" s="620"/>
      <c r="F147" s="621"/>
      <c r="G147" s="621"/>
      <c r="H147" s="621"/>
      <c r="I147" s="621"/>
      <c r="J147" s="621"/>
      <c r="K147" s="621"/>
      <c r="L147" s="621"/>
      <c r="M147" s="621"/>
    </row>
    <row r="148" spans="1:14" ht="15" thickBot="1" x14ac:dyDescent="0.4">
      <c r="A148" s="614"/>
      <c r="B148" s="188" t="s">
        <v>2821</v>
      </c>
      <c r="C148" s="623">
        <f>+$L$279</f>
        <v>2.1</v>
      </c>
      <c r="D148" s="621" t="s">
        <v>1196</v>
      </c>
      <c r="E148" s="620"/>
      <c r="F148" s="621"/>
      <c r="G148" s="621"/>
      <c r="H148" s="621"/>
      <c r="I148" s="621"/>
      <c r="J148" s="621"/>
      <c r="K148" s="621"/>
      <c r="L148" s="621"/>
      <c r="M148" s="621"/>
    </row>
    <row r="149" spans="1:14" ht="15" thickBot="1" x14ac:dyDescent="0.4">
      <c r="A149" s="614"/>
      <c r="B149" s="188">
        <v>365.25</v>
      </c>
      <c r="C149" s="623">
        <v>365.25</v>
      </c>
      <c r="D149" s="619" t="s">
        <v>1198</v>
      </c>
      <c r="E149" s="621"/>
      <c r="F149" s="621"/>
      <c r="G149" s="619"/>
      <c r="H149" s="619"/>
      <c r="I149" s="621"/>
      <c r="J149" s="621"/>
      <c r="K149" s="621"/>
      <c r="L149" s="621"/>
      <c r="M149" s="621"/>
    </row>
    <row r="150" spans="1:14" ht="15" thickBot="1" x14ac:dyDescent="0.4">
      <c r="A150" s="614"/>
      <c r="B150" s="188" t="s">
        <v>1211</v>
      </c>
      <c r="C150" s="638">
        <f>+$L$284</f>
        <v>0.75</v>
      </c>
      <c r="D150" s="619" t="s">
        <v>1212</v>
      </c>
      <c r="E150" s="621"/>
      <c r="F150" s="621"/>
      <c r="G150" s="619"/>
      <c r="H150" s="619"/>
      <c r="I150" s="621"/>
      <c r="J150" s="621"/>
      <c r="K150" s="621"/>
      <c r="L150" s="621"/>
      <c r="M150" s="621"/>
    </row>
    <row r="151" spans="1:14" ht="15" thickBot="1" x14ac:dyDescent="0.4">
      <c r="A151" s="614"/>
      <c r="B151" s="188" t="s">
        <v>1213</v>
      </c>
      <c r="C151" s="640">
        <f>+$L$298</f>
        <v>1</v>
      </c>
      <c r="D151" s="619" t="s">
        <v>1214</v>
      </c>
      <c r="E151" s="621"/>
      <c r="F151" s="621"/>
      <c r="G151" s="619"/>
      <c r="H151" s="619"/>
      <c r="I151" s="621"/>
      <c r="J151" s="621"/>
      <c r="K151" s="621"/>
      <c r="L151" s="621"/>
      <c r="M151" s="621"/>
    </row>
    <row r="152" spans="1:14" x14ac:dyDescent="0.35">
      <c r="A152" s="614"/>
      <c r="B152" s="605" t="s">
        <v>617</v>
      </c>
      <c r="C152" s="631">
        <f>+$L$290</f>
        <v>4.15E-3</v>
      </c>
      <c r="D152" s="632" t="s">
        <v>662</v>
      </c>
      <c r="E152" s="632"/>
      <c r="F152" s="632"/>
      <c r="G152" s="633"/>
      <c r="H152" s="633"/>
      <c r="I152" s="632"/>
      <c r="J152" s="632"/>
      <c r="K152" s="632"/>
      <c r="L152" s="632"/>
      <c r="M152" s="632"/>
    </row>
    <row r="153" spans="1:14" ht="15" thickBot="1" x14ac:dyDescent="0.4">
      <c r="A153" s="614"/>
      <c r="B153" s="634"/>
      <c r="C153" s="635"/>
      <c r="D153" s="636" t="s">
        <v>1215</v>
      </c>
      <c r="E153" s="636"/>
      <c r="F153" s="636"/>
      <c r="G153" s="637"/>
      <c r="H153" s="637"/>
      <c r="I153" s="636"/>
      <c r="J153" s="636"/>
      <c r="K153" s="636"/>
      <c r="L153" s="636"/>
      <c r="M153" s="636"/>
    </row>
    <row r="154" spans="1:14" x14ac:dyDescent="0.35">
      <c r="A154" s="614"/>
      <c r="B154" s="605" t="s">
        <v>617</v>
      </c>
      <c r="C154" s="631">
        <f>+$L$293</f>
        <v>4.8399999999999997E-3</v>
      </c>
      <c r="D154" s="632" t="s">
        <v>662</v>
      </c>
      <c r="E154" s="632"/>
      <c r="F154" s="632"/>
      <c r="G154" s="633"/>
      <c r="H154" s="633"/>
      <c r="I154" s="632"/>
      <c r="J154" s="632"/>
      <c r="K154" s="632"/>
      <c r="L154" s="632"/>
      <c r="M154" s="632"/>
    </row>
    <row r="155" spans="1:14" ht="15" thickBot="1" x14ac:dyDescent="0.4">
      <c r="A155" s="614"/>
      <c r="B155" s="634"/>
      <c r="C155" s="635"/>
      <c r="D155" s="636" t="s">
        <v>1215</v>
      </c>
      <c r="E155" s="636"/>
      <c r="F155" s="636"/>
      <c r="G155" s="637"/>
      <c r="H155" s="637"/>
      <c r="I155" s="636"/>
      <c r="J155" s="636"/>
      <c r="K155" s="636"/>
      <c r="L155" s="636"/>
      <c r="M155" s="636"/>
    </row>
    <row r="156" spans="1:14" ht="15" thickBot="1" x14ac:dyDescent="0.4">
      <c r="A156" s="614"/>
      <c r="B156" s="188" t="s">
        <v>1201</v>
      </c>
      <c r="C156" s="638"/>
      <c r="D156" s="621" t="s">
        <v>1202</v>
      </c>
      <c r="E156" s="621"/>
      <c r="F156" s="621"/>
      <c r="G156" s="619"/>
      <c r="H156" s="619"/>
      <c r="I156" s="621"/>
      <c r="J156" s="621"/>
      <c r="K156" s="621"/>
      <c r="L156" s="621"/>
      <c r="M156" s="621"/>
    </row>
    <row r="157" spans="1:14" ht="15" thickBot="1" x14ac:dyDescent="0.4">
      <c r="A157" s="634"/>
      <c r="B157" s="188" t="s">
        <v>613</v>
      </c>
      <c r="C157" s="623">
        <f>+$B$304</f>
        <v>0.57999999999999996</v>
      </c>
      <c r="D157" s="621"/>
      <c r="E157" s="621"/>
      <c r="F157" s="621"/>
      <c r="G157" s="619"/>
      <c r="H157" s="619"/>
      <c r="I157" s="621"/>
      <c r="J157" s="621"/>
      <c r="K157" s="621"/>
      <c r="L157" s="621"/>
      <c r="M157" s="621"/>
    </row>
    <row r="158" spans="1:14" ht="15" thickBot="1" x14ac:dyDescent="0.4">
      <c r="A158" s="639"/>
      <c r="B158" s="639"/>
      <c r="C158" s="184"/>
      <c r="D158" s="184"/>
      <c r="E158" s="184"/>
      <c r="F158" s="184"/>
      <c r="G158" s="242"/>
      <c r="H158" s="242"/>
      <c r="I158" s="184"/>
      <c r="J158" s="184"/>
      <c r="K158" s="184"/>
      <c r="L158" s="184"/>
      <c r="M158" s="184"/>
    </row>
    <row r="159" spans="1:14" ht="19" thickBot="1" x14ac:dyDescent="0.5">
      <c r="A159" s="605" t="s">
        <v>2831</v>
      </c>
      <c r="B159" s="1520" t="s">
        <v>2832</v>
      </c>
      <c r="C159" s="606"/>
      <c r="D159" s="606"/>
      <c r="E159" s="607"/>
      <c r="F159" s="608"/>
      <c r="G159" s="608"/>
      <c r="H159" s="609"/>
      <c r="I159" s="608"/>
      <c r="J159" s="468"/>
      <c r="K159" s="468"/>
      <c r="L159" s="468"/>
      <c r="M159" s="468"/>
      <c r="N159" s="469"/>
    </row>
    <row r="160" spans="1:14" ht="19" thickBot="1" x14ac:dyDescent="0.5">
      <c r="A160" s="321"/>
      <c r="B160" s="1520" t="s">
        <v>2833</v>
      </c>
      <c r="C160" s="201"/>
      <c r="D160" s="610"/>
      <c r="E160" s="611"/>
      <c r="F160" s="612"/>
      <c r="G160" s="201"/>
      <c r="H160" s="201"/>
      <c r="I160" s="201"/>
      <c r="J160" s="201"/>
      <c r="K160" s="201"/>
      <c r="L160" s="201"/>
      <c r="M160" s="201"/>
      <c r="N160" s="203"/>
    </row>
    <row r="161" spans="1:14" ht="15" thickBot="1" x14ac:dyDescent="0.4">
      <c r="A161" s="124"/>
      <c r="B161" s="1515" t="s">
        <v>2816</v>
      </c>
      <c r="C161" s="1515" t="s">
        <v>2817</v>
      </c>
      <c r="D161" s="610"/>
      <c r="E161" s="611"/>
      <c r="F161" s="612"/>
      <c r="G161" s="201"/>
      <c r="H161" s="201"/>
      <c r="I161" s="201"/>
      <c r="J161" s="201"/>
      <c r="K161" s="201"/>
      <c r="L161" s="201"/>
      <c r="M161" s="201"/>
      <c r="N161" s="203"/>
    </row>
    <row r="162" spans="1:14" ht="15" thickBot="1" x14ac:dyDescent="0.4">
      <c r="A162" s="614" t="s">
        <v>2834</v>
      </c>
      <c r="B162" s="1521">
        <f>+C164*C165*(C166-C167)*C168*C170*C171*C172*C173</f>
        <v>3.7072463788108792</v>
      </c>
      <c r="C162" s="1521">
        <f>+C164*C165*(C166-C167)*C169*C170*C171*C172*C174</f>
        <v>3.5388455445188995</v>
      </c>
      <c r="D162" s="1522"/>
      <c r="E162" s="1523"/>
      <c r="F162" s="612"/>
      <c r="G162" s="201"/>
      <c r="H162" s="201"/>
      <c r="I162" s="201"/>
      <c r="J162" s="201"/>
      <c r="K162" s="201"/>
      <c r="L162" s="201"/>
      <c r="M162" s="201"/>
      <c r="N162" s="203"/>
    </row>
    <row r="163" spans="1:14" ht="15" thickBot="1" x14ac:dyDescent="0.4">
      <c r="A163" s="614" t="s">
        <v>2835</v>
      </c>
      <c r="B163" s="1524">
        <f>C165*(C166-C167)*C168*C170*C171*C172</f>
        <v>739.96933708799986</v>
      </c>
      <c r="C163" s="1524">
        <f>C165*(C166-C167)*C169*C170*C171*C172</f>
        <v>607.00609682999993</v>
      </c>
      <c r="D163" s="1522"/>
      <c r="E163" s="1523"/>
      <c r="F163" s="612"/>
      <c r="G163" s="201"/>
      <c r="H163" s="201"/>
      <c r="I163" s="201"/>
      <c r="J163" s="201"/>
      <c r="K163" s="201"/>
      <c r="L163" s="201"/>
      <c r="M163" s="201"/>
      <c r="N163" s="203"/>
    </row>
    <row r="164" spans="1:14" ht="15" thickBot="1" x14ac:dyDescent="0.4">
      <c r="A164" s="605" t="s">
        <v>1190</v>
      </c>
      <c r="B164" s="188" t="s">
        <v>616</v>
      </c>
      <c r="C164" s="1525">
        <v>1</v>
      </c>
      <c r="D164" s="619" t="s">
        <v>2836</v>
      </c>
      <c r="E164" s="620"/>
      <c r="F164" s="621"/>
      <c r="G164" s="621"/>
      <c r="H164" s="621"/>
      <c r="I164" s="621"/>
      <c r="J164" s="621"/>
      <c r="K164" s="621"/>
      <c r="L164" s="621"/>
      <c r="M164" s="621"/>
      <c r="N164" s="651"/>
    </row>
    <row r="165" spans="1:14" ht="15" thickBot="1" x14ac:dyDescent="0.4">
      <c r="A165" s="614"/>
      <c r="B165" s="188" t="s">
        <v>1253</v>
      </c>
      <c r="C165" s="658">
        <v>1.93</v>
      </c>
      <c r="D165" s="619" t="s">
        <v>2837</v>
      </c>
      <c r="E165" s="620"/>
      <c r="F165" s="621"/>
      <c r="G165" s="621"/>
      <c r="H165" s="621"/>
      <c r="I165" s="621"/>
      <c r="J165" s="621"/>
      <c r="K165" s="621"/>
      <c r="L165" s="621"/>
      <c r="M165" s="621"/>
      <c r="N165" s="651"/>
    </row>
    <row r="166" spans="1:14" ht="15" thickBot="1" x14ac:dyDescent="0.4">
      <c r="A166" s="614"/>
      <c r="B166" s="188" t="s">
        <v>2838</v>
      </c>
      <c r="C166" s="659">
        <v>7.8</v>
      </c>
      <c r="D166" s="621" t="s">
        <v>2839</v>
      </c>
      <c r="E166" s="620"/>
      <c r="F166" s="621"/>
      <c r="G166" s="621"/>
      <c r="H166" s="621"/>
      <c r="I166" s="621"/>
      <c r="J166" s="621"/>
      <c r="K166" s="621"/>
      <c r="L166" s="621"/>
      <c r="M166" s="621"/>
      <c r="N166" s="651"/>
    </row>
    <row r="167" spans="1:14" ht="15" thickBot="1" x14ac:dyDescent="0.4">
      <c r="A167" s="614"/>
      <c r="B167" s="188" t="s">
        <v>2840</v>
      </c>
      <c r="C167" s="659">
        <v>5.79</v>
      </c>
      <c r="D167" s="621" t="s">
        <v>2841</v>
      </c>
      <c r="E167" s="620"/>
      <c r="F167" s="621"/>
      <c r="G167" s="621"/>
      <c r="H167" s="621"/>
      <c r="I167" s="621"/>
      <c r="J167" s="621"/>
      <c r="K167" s="621"/>
      <c r="L167" s="621"/>
      <c r="M167" s="621"/>
      <c r="N167" s="651"/>
    </row>
    <row r="168" spans="1:14" ht="15" thickBot="1" x14ac:dyDescent="0.4">
      <c r="A168" s="614"/>
      <c r="B168" s="188" t="s">
        <v>2819</v>
      </c>
      <c r="C168" s="623">
        <f>+$L$278</f>
        <v>2.56</v>
      </c>
      <c r="D168" s="619" t="s">
        <v>2842</v>
      </c>
      <c r="E168" s="620"/>
      <c r="F168" s="621"/>
      <c r="G168" s="621"/>
      <c r="H168" s="621"/>
      <c r="I168" s="621"/>
      <c r="J168" s="621"/>
      <c r="K168" s="621"/>
      <c r="L168" s="621"/>
      <c r="M168" s="621"/>
      <c r="N168" s="651"/>
    </row>
    <row r="169" spans="1:14" ht="15" thickBot="1" x14ac:dyDescent="0.4">
      <c r="A169" s="614"/>
      <c r="B169" s="188" t="s">
        <v>2821</v>
      </c>
      <c r="C169" s="623">
        <f>+$L$279</f>
        <v>2.1</v>
      </c>
      <c r="D169" s="619" t="s">
        <v>2842</v>
      </c>
      <c r="E169" s="620"/>
      <c r="F169" s="621"/>
      <c r="G169" s="621"/>
      <c r="H169" s="621"/>
      <c r="I169" s="621"/>
      <c r="J169" s="621"/>
      <c r="K169" s="621"/>
      <c r="L169" s="621"/>
      <c r="M169" s="621"/>
      <c r="N169" s="651"/>
    </row>
    <row r="170" spans="1:14" ht="15" thickBot="1" x14ac:dyDescent="0.4">
      <c r="A170" s="627"/>
      <c r="B170" s="188" t="s">
        <v>2843</v>
      </c>
      <c r="C170" s="622">
        <v>365.25</v>
      </c>
      <c r="D170" s="619" t="s">
        <v>2844</v>
      </c>
      <c r="E170" s="620"/>
      <c r="F170" s="621"/>
      <c r="G170" s="621"/>
      <c r="H170" s="621"/>
      <c r="I170" s="621"/>
      <c r="J170" s="621"/>
      <c r="K170" s="621"/>
      <c r="L170" s="621"/>
      <c r="M170" s="621"/>
      <c r="N170" s="651"/>
    </row>
    <row r="171" spans="1:14" ht="15" thickBot="1" x14ac:dyDescent="0.4">
      <c r="A171" s="627"/>
      <c r="B171" s="188" t="s">
        <v>610</v>
      </c>
      <c r="C171" s="622">
        <v>0.6</v>
      </c>
      <c r="D171" s="619" t="s">
        <v>2845</v>
      </c>
      <c r="E171" s="620"/>
      <c r="F171" s="621"/>
      <c r="G171" s="621"/>
      <c r="H171" s="621"/>
      <c r="I171" s="621"/>
      <c r="J171" s="621"/>
      <c r="K171" s="621"/>
      <c r="L171" s="621"/>
      <c r="M171" s="621"/>
      <c r="N171" s="651"/>
    </row>
    <row r="172" spans="1:14" ht="15" thickBot="1" x14ac:dyDescent="0.4">
      <c r="A172" s="627"/>
      <c r="B172" s="188" t="s">
        <v>2846</v>
      </c>
      <c r="C172" s="622">
        <v>0.34</v>
      </c>
      <c r="D172" s="619" t="s">
        <v>2847</v>
      </c>
      <c r="E172" s="620"/>
      <c r="F172" s="621"/>
      <c r="G172" s="621"/>
      <c r="H172" s="621"/>
      <c r="I172" s="621"/>
      <c r="J172" s="621"/>
      <c r="K172" s="621"/>
      <c r="L172" s="621"/>
      <c r="M172" s="621"/>
      <c r="N172" s="651"/>
    </row>
    <row r="173" spans="1:14" ht="15" thickBot="1" x14ac:dyDescent="0.4">
      <c r="A173" s="627"/>
      <c r="B173" s="188" t="s">
        <v>2848</v>
      </c>
      <c r="C173" s="1526">
        <v>5.0099999999999997E-3</v>
      </c>
      <c r="D173" s="619" t="s">
        <v>2849</v>
      </c>
      <c r="E173" s="620"/>
      <c r="F173" s="621"/>
      <c r="G173" s="621"/>
      <c r="H173" s="621"/>
      <c r="I173" s="621"/>
      <c r="J173" s="621"/>
      <c r="K173" s="621"/>
      <c r="L173" s="621"/>
      <c r="M173" s="621"/>
      <c r="N173" s="651"/>
    </row>
    <row r="174" spans="1:14" ht="15" thickBot="1" x14ac:dyDescent="0.4">
      <c r="A174" s="627"/>
      <c r="B174" s="188" t="s">
        <v>2850</v>
      </c>
      <c r="C174" s="1526">
        <v>5.8300000000000001E-3</v>
      </c>
      <c r="D174" s="619" t="s">
        <v>2849</v>
      </c>
      <c r="E174" s="620"/>
      <c r="F174" s="621"/>
      <c r="G174" s="621"/>
      <c r="H174" s="621"/>
      <c r="I174" s="621"/>
      <c r="J174" s="621"/>
      <c r="K174" s="621"/>
      <c r="L174" s="621"/>
      <c r="M174" s="621"/>
      <c r="N174" s="651"/>
    </row>
    <row r="175" spans="1:14" ht="15" thickBot="1" x14ac:dyDescent="0.4">
      <c r="A175" s="627"/>
      <c r="B175" s="188" t="s">
        <v>1117</v>
      </c>
      <c r="C175" s="1527">
        <v>2</v>
      </c>
      <c r="D175" s="619" t="s">
        <v>2851</v>
      </c>
      <c r="E175" s="620"/>
      <c r="F175" s="621"/>
      <c r="G175" s="621"/>
      <c r="H175" s="621"/>
      <c r="I175" s="621"/>
      <c r="J175" s="621"/>
      <c r="K175" s="621"/>
      <c r="L175" s="621"/>
      <c r="M175" s="621"/>
      <c r="N175" s="651"/>
    </row>
    <row r="176" spans="1:14" x14ac:dyDescent="0.35">
      <c r="A176" s="639"/>
      <c r="B176" s="639"/>
      <c r="C176" s="184"/>
      <c r="D176" s="184"/>
      <c r="E176" s="184"/>
      <c r="F176" s="184"/>
      <c r="G176" s="242"/>
      <c r="H176" s="242"/>
      <c r="I176" s="184"/>
      <c r="J176" s="184"/>
      <c r="K176" s="184"/>
      <c r="L176" s="184"/>
      <c r="M176" s="184"/>
    </row>
    <row r="177" spans="1:23" ht="15" thickBot="1" x14ac:dyDescent="0.4">
      <c r="A177" s="639"/>
      <c r="B177" s="639"/>
      <c r="C177" s="184"/>
      <c r="D177" s="184"/>
      <c r="E177" s="184"/>
      <c r="F177" s="184"/>
      <c r="G177" s="242"/>
      <c r="H177" s="242"/>
      <c r="I177" s="184"/>
      <c r="J177" s="184"/>
      <c r="K177" s="184"/>
      <c r="L177" s="184"/>
      <c r="M177" s="184"/>
    </row>
    <row r="178" spans="1:23" ht="15" thickBot="1" x14ac:dyDescent="0.4">
      <c r="A178" s="641" t="s">
        <v>1220</v>
      </c>
      <c r="B178" s="642"/>
      <c r="C178" s="642"/>
      <c r="D178" s="642"/>
      <c r="E178" s="642"/>
      <c r="F178" s="642"/>
      <c r="G178" s="642"/>
      <c r="H178" s="642"/>
      <c r="I178" s="642"/>
      <c r="J178" s="642"/>
      <c r="K178" s="642"/>
      <c r="L178" s="642"/>
      <c r="M178" s="642"/>
      <c r="N178" s="643"/>
    </row>
    <row r="179" spans="1:23" ht="15" thickBot="1" x14ac:dyDescent="0.4"/>
    <row r="180" spans="1:23" x14ac:dyDescent="0.35">
      <c r="A180" s="644" t="s">
        <v>1221</v>
      </c>
      <c r="B180" s="468"/>
      <c r="C180" s="606"/>
      <c r="D180" s="606"/>
      <c r="E180" s="607"/>
      <c r="F180" s="608"/>
      <c r="G180" s="608"/>
      <c r="H180" s="609"/>
      <c r="I180" s="608"/>
      <c r="J180" s="468"/>
      <c r="K180" s="468"/>
      <c r="L180" s="468"/>
      <c r="M180" s="468"/>
      <c r="N180" s="469"/>
    </row>
    <row r="181" spans="1:23" ht="15" thickBot="1" x14ac:dyDescent="0.4">
      <c r="A181" s="321"/>
      <c r="B181" s="201"/>
      <c r="C181" s="201"/>
      <c r="D181" s="610"/>
      <c r="E181" s="611"/>
      <c r="F181" s="612"/>
      <c r="G181" s="201"/>
      <c r="H181" s="201"/>
      <c r="I181" s="201"/>
      <c r="J181" s="201"/>
      <c r="K181" s="201"/>
      <c r="L181" s="201"/>
      <c r="M181" s="201"/>
      <c r="N181" s="203"/>
    </row>
    <row r="182" spans="1:23" x14ac:dyDescent="0.35">
      <c r="A182" s="644" t="s">
        <v>1222</v>
      </c>
      <c r="B182" s="468"/>
      <c r="C182" s="606"/>
      <c r="D182" s="606"/>
      <c r="E182" s="607"/>
      <c r="F182" s="608"/>
      <c r="G182" s="608"/>
      <c r="H182" s="609"/>
      <c r="I182" s="608"/>
      <c r="J182" s="468"/>
      <c r="K182" s="468"/>
      <c r="L182" s="468"/>
      <c r="M182" s="468"/>
      <c r="N182" s="469"/>
    </row>
    <row r="183" spans="1:23" ht="15" thickBot="1" x14ac:dyDescent="0.4">
      <c r="A183" s="321"/>
      <c r="B183" s="201"/>
      <c r="C183" s="201"/>
      <c r="D183" s="610"/>
      <c r="E183" s="611"/>
      <c r="F183" s="612"/>
      <c r="G183" s="201"/>
      <c r="H183" s="201"/>
      <c r="I183" s="201"/>
      <c r="J183" s="201"/>
      <c r="K183" s="201"/>
      <c r="L183" s="201"/>
      <c r="M183" s="201"/>
      <c r="N183" s="203"/>
    </row>
    <row r="184" spans="1:23" ht="15" thickBot="1" x14ac:dyDescent="0.4">
      <c r="A184" s="124"/>
      <c r="B184" s="1515" t="s">
        <v>2816</v>
      </c>
      <c r="C184" s="1516" t="s">
        <v>2817</v>
      </c>
      <c r="D184" s="571"/>
      <c r="E184" s="1448"/>
      <c r="F184" s="1517"/>
      <c r="G184" s="83"/>
      <c r="H184" s="83"/>
      <c r="I184" s="83"/>
      <c r="J184" s="83"/>
      <c r="K184" s="83"/>
      <c r="L184" s="83"/>
      <c r="M184" s="83"/>
      <c r="N184" s="83"/>
    </row>
    <row r="185" spans="1:23" ht="15" thickBot="1" x14ac:dyDescent="0.4">
      <c r="A185" s="645" t="s">
        <v>1223</v>
      </c>
      <c r="B185" s="613">
        <f>+C188*((C189*C190-C191*C192)*C193*C194*C195/C196)*C197*$C$200</f>
        <v>7.2611981727522643</v>
      </c>
      <c r="C185" s="1528">
        <f>+D188*((D189*D190-D191*D192)*D193*D194*D195/D196)*D197*$D$200</f>
        <v>12.829881867943143</v>
      </c>
      <c r="E185" s="556"/>
      <c r="G185"/>
      <c r="H185"/>
    </row>
    <row r="186" spans="1:23" ht="15" thickBot="1" x14ac:dyDescent="0.4">
      <c r="A186" s="645" t="s">
        <v>1224</v>
      </c>
      <c r="B186" s="615">
        <f>+((C189*C190-C191*C192)*C193*C194*C195/C196)*$C$200</f>
        <v>1725.4058960061459</v>
      </c>
      <c r="C186" s="1529">
        <f>+((D189*D190-D191*D192)*D193*D194*D195/D196)*$D$200</f>
        <v>2619.8402899500006</v>
      </c>
      <c r="E186" s="556"/>
      <c r="G186"/>
      <c r="H186"/>
      <c r="R186" s="2487" t="s">
        <v>3480</v>
      </c>
      <c r="S186" s="2487"/>
      <c r="T186" s="2487"/>
      <c r="U186" s="2487"/>
      <c r="V186" s="2487"/>
      <c r="W186" s="2487"/>
    </row>
    <row r="187" spans="1:23" ht="29.5" thickBot="1" x14ac:dyDescent="0.4">
      <c r="A187" s="1530"/>
      <c r="B187" s="1531" t="s">
        <v>1187</v>
      </c>
      <c r="C187" s="1532" t="s">
        <v>2852</v>
      </c>
      <c r="D187" s="1533" t="s">
        <v>2853</v>
      </c>
      <c r="E187" s="1531" t="s">
        <v>1189</v>
      </c>
      <c r="F187" s="1534"/>
      <c r="G187" s="1531"/>
      <c r="H187" s="1531"/>
      <c r="I187" s="1531"/>
      <c r="J187" s="647"/>
      <c r="K187" s="647"/>
      <c r="L187" s="647"/>
      <c r="M187" s="647"/>
      <c r="N187" s="647"/>
      <c r="O187" s="650"/>
      <c r="R187" s="1535" t="s">
        <v>2854</v>
      </c>
      <c r="S187" s="1536" t="s">
        <v>2855</v>
      </c>
      <c r="T187" s="2488" t="s">
        <v>1187</v>
      </c>
      <c r="U187" s="2488" t="s">
        <v>503</v>
      </c>
      <c r="V187" s="2488" t="s">
        <v>2856</v>
      </c>
      <c r="W187" s="2490" t="s">
        <v>2857</v>
      </c>
    </row>
    <row r="188" spans="1:23" ht="15" thickBot="1" x14ac:dyDescent="0.4">
      <c r="A188" s="644" t="s">
        <v>1190</v>
      </c>
      <c r="B188" s="641" t="s">
        <v>1191</v>
      </c>
      <c r="C188" s="618">
        <f>+$R$189</f>
        <v>0.84</v>
      </c>
      <c r="D188" s="618">
        <f>+$R$189</f>
        <v>0.84</v>
      </c>
      <c r="E188" s="619" t="s">
        <v>2858</v>
      </c>
      <c r="F188" s="620"/>
      <c r="G188" s="621"/>
      <c r="H188" s="621"/>
      <c r="I188" s="621"/>
      <c r="J188" s="621"/>
      <c r="K188" s="621"/>
      <c r="L188" s="621"/>
      <c r="M188" s="621"/>
      <c r="N188" s="621"/>
      <c r="O188" s="651"/>
      <c r="R188" s="1537" t="s">
        <v>2859</v>
      </c>
      <c r="S188" s="1538" t="s">
        <v>482</v>
      </c>
      <c r="T188" s="2489"/>
      <c r="U188" s="2489"/>
      <c r="V188" s="2489"/>
      <c r="W188" s="2491"/>
    </row>
    <row r="189" spans="1:23" ht="26.5" thickBot="1" x14ac:dyDescent="0.4">
      <c r="A189" s="645"/>
      <c r="B189" s="641" t="s">
        <v>1192</v>
      </c>
      <c r="C189" s="659">
        <v>2.35</v>
      </c>
      <c r="D189" s="659">
        <v>2.35</v>
      </c>
      <c r="E189" s="621" t="s">
        <v>633</v>
      </c>
      <c r="F189" s="620"/>
      <c r="G189" s="621"/>
      <c r="H189" s="621"/>
      <c r="I189" s="621"/>
      <c r="J189" s="621"/>
      <c r="K189" s="621"/>
      <c r="L189" s="621"/>
      <c r="M189" s="621"/>
      <c r="N189" s="621"/>
      <c r="O189" s="651"/>
      <c r="R189" s="2031">
        <v>0.84</v>
      </c>
      <c r="S189" s="1540">
        <v>1</v>
      </c>
      <c r="T189" s="1541" t="s">
        <v>2142</v>
      </c>
      <c r="U189" s="1542" t="s">
        <v>2860</v>
      </c>
      <c r="V189" s="1541" t="s">
        <v>295</v>
      </c>
      <c r="W189" s="1543" t="s">
        <v>474</v>
      </c>
    </row>
    <row r="190" spans="1:23" ht="15" thickBot="1" x14ac:dyDescent="0.4">
      <c r="A190" s="645"/>
      <c r="B190" s="641" t="s">
        <v>607</v>
      </c>
      <c r="C190" s="623">
        <f>+$B$296</f>
        <v>7.8</v>
      </c>
      <c r="D190" s="623">
        <f>+$B$296</f>
        <v>7.8</v>
      </c>
      <c r="E190" s="621" t="s">
        <v>635</v>
      </c>
      <c r="F190" s="620"/>
      <c r="G190" s="621"/>
      <c r="H190" s="621"/>
      <c r="I190" s="621"/>
      <c r="J190" s="621"/>
      <c r="K190" s="621"/>
      <c r="L190" s="621"/>
      <c r="M190" s="621"/>
      <c r="N190" s="621"/>
      <c r="O190" s="651"/>
      <c r="R190" s="1544">
        <v>2.35</v>
      </c>
      <c r="S190" s="1545">
        <v>2.35</v>
      </c>
      <c r="T190" s="1546" t="s">
        <v>606</v>
      </c>
      <c r="U190" s="1547" t="s">
        <v>2861</v>
      </c>
      <c r="V190" s="1546" t="s">
        <v>2862</v>
      </c>
      <c r="W190" s="1548" t="s">
        <v>2863</v>
      </c>
    </row>
    <row r="191" spans="1:23" ht="15" thickBot="1" x14ac:dyDescent="0.4">
      <c r="A191" s="645"/>
      <c r="B191" s="641" t="s">
        <v>1193</v>
      </c>
      <c r="C191" s="623">
        <f>+$A$291</f>
        <v>1.5</v>
      </c>
      <c r="D191" s="623">
        <f>+$A$291</f>
        <v>1.5</v>
      </c>
      <c r="E191" s="621" t="s">
        <v>1194</v>
      </c>
      <c r="F191" s="624"/>
      <c r="G191" s="625"/>
      <c r="H191" s="626"/>
      <c r="I191" s="625"/>
      <c r="J191" s="625"/>
      <c r="K191" s="621"/>
      <c r="L191" s="621"/>
      <c r="M191" s="621"/>
      <c r="N191" s="621"/>
      <c r="O191" s="651"/>
      <c r="R191" s="1539">
        <v>1.5</v>
      </c>
      <c r="S191" s="1540">
        <v>1.5</v>
      </c>
      <c r="T191" s="1541" t="s">
        <v>608</v>
      </c>
      <c r="U191" s="1542" t="s">
        <v>2864</v>
      </c>
      <c r="V191" s="1541" t="s">
        <v>468</v>
      </c>
      <c r="W191" s="1543" t="s">
        <v>2863</v>
      </c>
    </row>
    <row r="192" spans="1:23" ht="15" thickBot="1" x14ac:dyDescent="0.4">
      <c r="A192" s="645"/>
      <c r="B192" s="641" t="s">
        <v>1195</v>
      </c>
      <c r="C192" s="623">
        <f>+$B$297</f>
        <v>7.8</v>
      </c>
      <c r="D192" s="623">
        <f>+$B$297</f>
        <v>7.8</v>
      </c>
      <c r="E192" s="621" t="s">
        <v>639</v>
      </c>
      <c r="F192" s="620"/>
      <c r="G192" s="621"/>
      <c r="H192" s="621"/>
      <c r="I192" s="621"/>
      <c r="J192" s="621"/>
      <c r="K192" s="621"/>
      <c r="L192" s="621"/>
      <c r="M192" s="621"/>
      <c r="N192" s="621"/>
      <c r="O192" s="651"/>
      <c r="R192" s="1544">
        <v>7.8</v>
      </c>
      <c r="S192" s="1545">
        <v>7.8</v>
      </c>
      <c r="T192" s="1546" t="s">
        <v>607</v>
      </c>
      <c r="U192" s="1547" t="s">
        <v>2861</v>
      </c>
      <c r="V192" s="1546" t="s">
        <v>2862</v>
      </c>
      <c r="W192" s="1548" t="s">
        <v>2863</v>
      </c>
    </row>
    <row r="193" spans="1:23" ht="15" thickBot="1" x14ac:dyDescent="0.4">
      <c r="A193" s="645"/>
      <c r="B193" s="641" t="s">
        <v>352</v>
      </c>
      <c r="C193" s="623">
        <f>+R195</f>
        <v>4.8419999999999996</v>
      </c>
      <c r="D193" s="623">
        <f>+$R$196</f>
        <v>4.7450000000000001</v>
      </c>
      <c r="E193" s="621" t="s">
        <v>2865</v>
      </c>
      <c r="F193" s="620"/>
      <c r="G193" s="621"/>
      <c r="H193" s="621"/>
      <c r="I193" s="621"/>
      <c r="J193" s="621"/>
      <c r="K193" s="621"/>
      <c r="L193" s="621"/>
      <c r="M193" s="621"/>
      <c r="N193" s="621"/>
      <c r="O193" s="651"/>
      <c r="R193" s="1539">
        <v>7.8</v>
      </c>
      <c r="S193" s="1540">
        <v>7.8</v>
      </c>
      <c r="T193" s="1541" t="s">
        <v>609</v>
      </c>
      <c r="U193" s="1542" t="s">
        <v>2861</v>
      </c>
      <c r="V193" s="1541" t="s">
        <v>2862</v>
      </c>
      <c r="W193" s="1543" t="s">
        <v>2863</v>
      </c>
    </row>
    <row r="194" spans="1:23" ht="15" thickBot="1" x14ac:dyDescent="0.4">
      <c r="A194" s="645"/>
      <c r="B194" s="1549" t="s">
        <v>610</v>
      </c>
      <c r="C194" s="628">
        <v>0.6</v>
      </c>
      <c r="D194" s="628">
        <v>0.6</v>
      </c>
      <c r="E194" s="629" t="s">
        <v>1197</v>
      </c>
      <c r="F194" s="630"/>
      <c r="G194" s="336"/>
      <c r="H194" s="336"/>
      <c r="I194" s="336"/>
      <c r="J194" s="336"/>
      <c r="K194" s="336"/>
      <c r="L194" s="336"/>
      <c r="M194" s="336"/>
      <c r="N194" s="336"/>
      <c r="O194" s="653"/>
      <c r="R194" s="1544">
        <v>365.25</v>
      </c>
      <c r="S194" s="1545">
        <v>365.25</v>
      </c>
      <c r="T194" s="1546" t="s">
        <v>2866</v>
      </c>
      <c r="U194" s="1547" t="s">
        <v>2861</v>
      </c>
      <c r="V194" s="1546" t="s">
        <v>2862</v>
      </c>
      <c r="W194" s="1548" t="s">
        <v>2863</v>
      </c>
    </row>
    <row r="195" spans="1:23" ht="26.5" thickBot="1" x14ac:dyDescent="0.4">
      <c r="A195" s="645"/>
      <c r="B195" s="641">
        <v>365.25</v>
      </c>
      <c r="C195" s="623">
        <v>365.25</v>
      </c>
      <c r="D195" s="623">
        <v>365.25</v>
      </c>
      <c r="E195" s="619" t="s">
        <v>1198</v>
      </c>
      <c r="F195" s="621"/>
      <c r="G195" s="621"/>
      <c r="H195" s="619"/>
      <c r="I195" s="619"/>
      <c r="J195" s="621"/>
      <c r="K195" s="621"/>
      <c r="L195" s="621"/>
      <c r="M195" s="621"/>
      <c r="N195" s="621"/>
      <c r="O195" s="651"/>
      <c r="R195" s="2031">
        <v>4.8419999999999996</v>
      </c>
      <c r="S195" s="1540">
        <v>4.74</v>
      </c>
      <c r="T195" s="1541" t="s">
        <v>2819</v>
      </c>
      <c r="U195" s="1542" t="s">
        <v>2867</v>
      </c>
      <c r="V195" s="1541" t="s">
        <v>295</v>
      </c>
      <c r="W195" s="1543" t="s">
        <v>474</v>
      </c>
    </row>
    <row r="196" spans="1:23" ht="26.5" thickBot="1" x14ac:dyDescent="0.4">
      <c r="A196" s="645"/>
      <c r="B196" s="641" t="s">
        <v>611</v>
      </c>
      <c r="C196" s="623">
        <f>+$E$284</f>
        <v>1.79</v>
      </c>
      <c r="D196" s="623">
        <f>+$R$199</f>
        <v>1.3</v>
      </c>
      <c r="E196" s="619" t="s">
        <v>2868</v>
      </c>
      <c r="F196" s="621"/>
      <c r="G196" s="621"/>
      <c r="H196" s="619"/>
      <c r="I196" s="619"/>
      <c r="J196" s="621"/>
      <c r="K196" s="621"/>
      <c r="L196" s="621"/>
      <c r="M196" s="621"/>
      <c r="N196" s="621"/>
      <c r="O196" s="651"/>
      <c r="R196" s="2031">
        <v>4.7450000000000001</v>
      </c>
      <c r="S196" s="1545">
        <v>4.74</v>
      </c>
      <c r="T196" s="1546" t="s">
        <v>2821</v>
      </c>
      <c r="U196" s="1547" t="s">
        <v>2867</v>
      </c>
      <c r="V196" s="1546" t="s">
        <v>295</v>
      </c>
      <c r="W196" s="1548" t="s">
        <v>474</v>
      </c>
    </row>
    <row r="197" spans="1:23" ht="15" thickBot="1" x14ac:dyDescent="0.4">
      <c r="A197" s="645"/>
      <c r="B197" s="644" t="s">
        <v>617</v>
      </c>
      <c r="C197" s="631">
        <f>+$E$289</f>
        <v>5.0099999999999997E-3</v>
      </c>
      <c r="D197" s="631">
        <f>+$R$201</f>
        <v>5.8300000000000001E-3</v>
      </c>
      <c r="E197" s="632" t="s">
        <v>2869</v>
      </c>
      <c r="F197" s="632"/>
      <c r="G197" s="632"/>
      <c r="H197" s="633"/>
      <c r="I197" s="633"/>
      <c r="J197" s="632"/>
      <c r="K197" s="632"/>
      <c r="L197" s="632"/>
      <c r="M197" s="632"/>
      <c r="N197" s="632"/>
      <c r="O197" s="654"/>
      <c r="R197" s="1539">
        <v>0.6</v>
      </c>
      <c r="S197" s="1540">
        <v>0.6</v>
      </c>
      <c r="T197" s="1541" t="s">
        <v>610</v>
      </c>
      <c r="U197" s="1542" t="s">
        <v>2861</v>
      </c>
      <c r="V197" s="1541" t="s">
        <v>2862</v>
      </c>
      <c r="W197" s="1543" t="s">
        <v>2863</v>
      </c>
    </row>
    <row r="198" spans="1:23" ht="15" thickBot="1" x14ac:dyDescent="0.4">
      <c r="A198" s="645"/>
      <c r="B198" s="655"/>
      <c r="C198" s="635"/>
      <c r="D198" s="635"/>
      <c r="E198" s="636" t="s">
        <v>1200</v>
      </c>
      <c r="F198" s="636"/>
      <c r="G198" s="636"/>
      <c r="H198" s="637"/>
      <c r="I198" s="637"/>
      <c r="J198" s="636"/>
      <c r="K198" s="636"/>
      <c r="L198" s="636"/>
      <c r="M198" s="636"/>
      <c r="N198" s="636"/>
      <c r="O198" s="656"/>
      <c r="R198" s="1544">
        <v>1.79</v>
      </c>
      <c r="S198" s="1545">
        <v>1.79</v>
      </c>
      <c r="T198" s="1546" t="s">
        <v>2823</v>
      </c>
      <c r="U198" s="1547" t="s">
        <v>2861</v>
      </c>
      <c r="V198" s="1546" t="s">
        <v>2862</v>
      </c>
      <c r="W198" s="1548" t="s">
        <v>2863</v>
      </c>
    </row>
    <row r="199" spans="1:23" ht="15" thickBot="1" x14ac:dyDescent="0.4">
      <c r="A199" s="645"/>
      <c r="B199" s="641" t="s">
        <v>1201</v>
      </c>
      <c r="C199" s="638"/>
      <c r="D199" s="638"/>
      <c r="E199" s="621" t="s">
        <v>1202</v>
      </c>
      <c r="F199" s="621"/>
      <c r="G199" s="621"/>
      <c r="H199" s="619"/>
      <c r="I199" s="619"/>
      <c r="J199" s="621"/>
      <c r="K199" s="621"/>
      <c r="L199" s="621"/>
      <c r="M199" s="621"/>
      <c r="N199" s="621"/>
      <c r="O199" s="651"/>
      <c r="R199" s="1539">
        <v>1.3</v>
      </c>
      <c r="S199" s="1540">
        <v>1.79</v>
      </c>
      <c r="T199" s="1541" t="s">
        <v>2824</v>
      </c>
      <c r="U199" s="1542" t="s">
        <v>2861</v>
      </c>
      <c r="V199" s="1541" t="s">
        <v>2862</v>
      </c>
      <c r="W199" s="1543" t="s">
        <v>474</v>
      </c>
    </row>
    <row r="200" spans="1:23" ht="26.5" thickBot="1" x14ac:dyDescent="0.4">
      <c r="A200" s="655"/>
      <c r="B200" s="641" t="s">
        <v>613</v>
      </c>
      <c r="C200" s="657">
        <f>+$R$202</f>
        <v>0.439</v>
      </c>
      <c r="D200" s="657">
        <f>+$R$203</f>
        <v>0.49399999999999999</v>
      </c>
      <c r="E200" s="621" t="s">
        <v>2870</v>
      </c>
      <c r="F200" s="621"/>
      <c r="G200" s="621"/>
      <c r="H200" s="619"/>
      <c r="I200" s="619"/>
      <c r="J200" s="621"/>
      <c r="K200" s="621"/>
      <c r="L200" s="621"/>
      <c r="M200" s="621"/>
      <c r="N200" s="621"/>
      <c r="O200" s="651"/>
      <c r="R200" s="1544">
        <v>5.0099999999999997E-3</v>
      </c>
      <c r="S200" s="1545">
        <v>5.0099999999999997E-3</v>
      </c>
      <c r="T200" s="1546" t="s">
        <v>2871</v>
      </c>
      <c r="U200" s="1547" t="s">
        <v>2861</v>
      </c>
      <c r="V200" s="1546" t="s">
        <v>2862</v>
      </c>
      <c r="W200" s="1548" t="s">
        <v>2863</v>
      </c>
    </row>
    <row r="201" spans="1:23" ht="26.5" thickBot="1" x14ac:dyDescent="0.4">
      <c r="A201" s="639"/>
      <c r="B201" s="639"/>
      <c r="C201" s="184"/>
      <c r="D201" s="184"/>
      <c r="E201" s="184"/>
      <c r="F201" s="184"/>
      <c r="G201" s="242"/>
      <c r="H201" s="242"/>
      <c r="I201" s="184"/>
      <c r="J201" s="184"/>
      <c r="K201" s="184"/>
      <c r="L201" s="184"/>
      <c r="M201" s="184"/>
      <c r="N201" s="184"/>
      <c r="R201" s="1539">
        <v>5.8300000000000001E-3</v>
      </c>
      <c r="S201" s="1540">
        <v>5.0099999999999997E-3</v>
      </c>
      <c r="T201" s="1541" t="s">
        <v>2872</v>
      </c>
      <c r="U201" s="1542" t="s">
        <v>2861</v>
      </c>
      <c r="V201" s="1541" t="s">
        <v>2862</v>
      </c>
      <c r="W201" s="1543" t="s">
        <v>474</v>
      </c>
    </row>
    <row r="202" spans="1:23" ht="15" thickBot="1" x14ac:dyDescent="0.4">
      <c r="A202" s="644" t="s">
        <v>1203</v>
      </c>
      <c r="B202" s="468"/>
      <c r="C202" s="606"/>
      <c r="D202" s="606"/>
      <c r="E202" s="607"/>
      <c r="F202" s="608"/>
      <c r="G202" s="608"/>
      <c r="H202" s="609"/>
      <c r="I202" s="608"/>
      <c r="J202" s="468"/>
      <c r="K202" s="468"/>
      <c r="L202" s="468"/>
      <c r="M202" s="468"/>
      <c r="N202" s="469"/>
      <c r="R202" s="2031">
        <v>0.439</v>
      </c>
      <c r="S202" s="1545">
        <v>0.36</v>
      </c>
      <c r="T202" s="1546" t="s">
        <v>2873</v>
      </c>
      <c r="U202" s="1547" t="s">
        <v>2874</v>
      </c>
      <c r="V202" s="1546" t="s">
        <v>295</v>
      </c>
      <c r="W202" s="1548" t="s">
        <v>474</v>
      </c>
    </row>
    <row r="203" spans="1:23" ht="15" thickBot="1" x14ac:dyDescent="0.4">
      <c r="A203" s="321"/>
      <c r="B203" s="201"/>
      <c r="C203" s="201"/>
      <c r="D203" s="610"/>
      <c r="E203" s="611"/>
      <c r="F203" s="612"/>
      <c r="G203" s="201"/>
      <c r="H203" s="201"/>
      <c r="I203" s="201"/>
      <c r="J203" s="201"/>
      <c r="K203" s="201"/>
      <c r="L203" s="201"/>
      <c r="M203" s="201"/>
      <c r="N203" s="203"/>
      <c r="R203" s="2031">
        <v>0.49399999999999999</v>
      </c>
      <c r="S203" s="1540">
        <v>0.36</v>
      </c>
      <c r="T203" s="1541" t="s">
        <v>2875</v>
      </c>
      <c r="U203" s="1542" t="s">
        <v>2874</v>
      </c>
      <c r="V203" s="1541" t="s">
        <v>295</v>
      </c>
      <c r="W203" s="1543" t="s">
        <v>474</v>
      </c>
    </row>
    <row r="204" spans="1:23" ht="15" thickBot="1" x14ac:dyDescent="0.4">
      <c r="A204" s="644" t="s">
        <v>1204</v>
      </c>
      <c r="B204" s="468"/>
      <c r="C204" s="606"/>
      <c r="D204" s="606"/>
      <c r="E204" s="607"/>
      <c r="F204" s="608"/>
      <c r="G204" s="608"/>
      <c r="H204" s="609"/>
      <c r="I204" s="608"/>
      <c r="J204" s="468"/>
      <c r="K204" s="468"/>
      <c r="L204" s="468"/>
      <c r="M204" s="468"/>
      <c r="N204" s="469"/>
      <c r="R204" s="2031">
        <v>0.77500000000000002</v>
      </c>
      <c r="S204" s="1545" t="s">
        <v>1738</v>
      </c>
      <c r="T204" s="1546" t="s">
        <v>2876</v>
      </c>
      <c r="U204" s="1547" t="s">
        <v>2877</v>
      </c>
      <c r="V204" s="1546" t="s">
        <v>295</v>
      </c>
      <c r="W204" s="1548" t="s">
        <v>474</v>
      </c>
    </row>
    <row r="205" spans="1:23" ht="15" thickBot="1" x14ac:dyDescent="0.4">
      <c r="A205" s="321"/>
      <c r="B205" s="201"/>
      <c r="C205" s="201"/>
      <c r="D205" s="610"/>
      <c r="E205" s="611"/>
      <c r="F205" s="612"/>
      <c r="G205" s="201"/>
      <c r="H205" s="201"/>
      <c r="I205" s="201"/>
      <c r="J205" s="201"/>
      <c r="K205" s="201"/>
      <c r="L205" s="201"/>
      <c r="M205" s="201"/>
      <c r="N205" s="203"/>
      <c r="R205" s="2032">
        <v>0.22500000000000001</v>
      </c>
      <c r="S205" s="1550" t="s">
        <v>1738</v>
      </c>
      <c r="T205" s="1551" t="s">
        <v>2878</v>
      </c>
      <c r="U205" s="1552" t="s">
        <v>2877</v>
      </c>
      <c r="V205" s="1551" t="s">
        <v>295</v>
      </c>
      <c r="W205" s="1553" t="s">
        <v>474</v>
      </c>
    </row>
    <row r="206" spans="1:23" ht="15" thickBot="1" x14ac:dyDescent="0.4">
      <c r="A206" s="124"/>
      <c r="B206" s="1515" t="s">
        <v>2879</v>
      </c>
      <c r="C206" s="1515" t="s">
        <v>2880</v>
      </c>
      <c r="D206" s="1515" t="s">
        <v>2881</v>
      </c>
      <c r="E206" s="1515" t="s">
        <v>2882</v>
      </c>
      <c r="F206" s="1517"/>
      <c r="G206" s="83"/>
      <c r="H206" s="83"/>
      <c r="I206" s="83"/>
      <c r="J206" s="83"/>
      <c r="K206" s="83"/>
      <c r="L206" s="83"/>
      <c r="M206" s="83"/>
      <c r="N206" s="83"/>
    </row>
    <row r="207" spans="1:23" ht="15" thickBot="1" x14ac:dyDescent="0.4">
      <c r="A207" s="645" t="s">
        <v>1225</v>
      </c>
      <c r="B207" s="613">
        <f>+C210*((C211*C212-C213*C214)*C215*C216*C217/C218*C219)*C222</f>
        <v>0.26910714576648576</v>
      </c>
      <c r="C207" s="1528">
        <f>+C210*((C211*C212-C213*C214)*C215*C216*C217/C218*C219)*C223</f>
        <v>0.1484729080090956</v>
      </c>
      <c r="D207" s="1528">
        <f>+C210*((C211*C212-C213*C214)*C215*C216*C217/C218*C219)*C222</f>
        <v>0.26910714576648576</v>
      </c>
      <c r="E207" s="1528">
        <f>+C210*((C211*C212-C213*C214)*C215*C216*C217/C218*C219)*C223</f>
        <v>0.1484729080090956</v>
      </c>
      <c r="G207"/>
      <c r="H207"/>
    </row>
    <row r="208" spans="1:23" ht="15" thickBot="1" x14ac:dyDescent="0.4">
      <c r="A208" s="645" t="s">
        <v>1226</v>
      </c>
      <c r="B208" s="615">
        <f>+((C211*C212-C213*C214)*C215*C216*C217/C218)*C222</f>
        <v>93.948870886219041</v>
      </c>
      <c r="C208" s="1529">
        <f>+((C211*C212-C213*C214)*C215*C216*C217/C218)*C223</f>
        <v>51.833859799293265</v>
      </c>
      <c r="D208" s="1529">
        <f>+((C211*C212-C213*C214)*C215*C216*C217/C218)*C222</f>
        <v>93.948870886219041</v>
      </c>
      <c r="E208" s="1529">
        <f>+((C211*C212-C213*C214)*C215*C216*C217/C218)*C223</f>
        <v>51.833859799293265</v>
      </c>
      <c r="G208"/>
      <c r="H208"/>
      <c r="R208" s="2469" t="s">
        <v>3481</v>
      </c>
      <c r="S208" s="2470"/>
      <c r="T208" s="2470"/>
      <c r="U208" s="2470"/>
      <c r="V208" s="2470"/>
      <c r="W208" s="2471"/>
    </row>
    <row r="209" spans="1:23" ht="15" thickBot="1" x14ac:dyDescent="0.4">
      <c r="A209" s="646"/>
      <c r="B209" s="646" t="s">
        <v>1187</v>
      </c>
      <c r="C209" s="648" t="s">
        <v>2883</v>
      </c>
      <c r="D209" s="648" t="s">
        <v>2884</v>
      </c>
      <c r="E209" s="647" t="s">
        <v>1189</v>
      </c>
      <c r="F209" s="649"/>
      <c r="G209" s="647"/>
      <c r="H209" s="647"/>
      <c r="I209" s="647"/>
      <c r="J209" s="647"/>
      <c r="K209" s="647"/>
      <c r="L209" s="647"/>
      <c r="M209" s="647"/>
      <c r="N209" s="647"/>
      <c r="O209" s="650"/>
      <c r="R209" s="2492" t="s">
        <v>2885</v>
      </c>
      <c r="S209" s="1554" t="s">
        <v>2855</v>
      </c>
      <c r="T209" s="2494" t="s">
        <v>1187</v>
      </c>
      <c r="U209" s="2494" t="s">
        <v>503</v>
      </c>
      <c r="V209" s="2494" t="s">
        <v>2856</v>
      </c>
      <c r="W209" s="2496" t="s">
        <v>2857</v>
      </c>
    </row>
    <row r="210" spans="1:23" ht="15" thickBot="1" x14ac:dyDescent="0.4">
      <c r="A210" s="644" t="s">
        <v>1190</v>
      </c>
      <c r="B210" s="641" t="s">
        <v>1191</v>
      </c>
      <c r="C210" s="618">
        <f>+$R$211</f>
        <v>0.84</v>
      </c>
      <c r="D210" s="618">
        <f>+$R$211</f>
        <v>0.84</v>
      </c>
      <c r="E210" s="619" t="s">
        <v>2858</v>
      </c>
      <c r="F210" s="620"/>
      <c r="G210" s="621"/>
      <c r="H210" s="621"/>
      <c r="I210" s="621"/>
      <c r="J210" s="621"/>
      <c r="K210" s="621"/>
      <c r="L210" s="621"/>
      <c r="M210" s="621"/>
      <c r="N210" s="621"/>
      <c r="O210" s="651"/>
      <c r="R210" s="2493"/>
      <c r="S210" s="1555" t="s">
        <v>482</v>
      </c>
      <c r="T210" s="2495"/>
      <c r="U210" s="2495"/>
      <c r="V210" s="2495"/>
      <c r="W210" s="2497"/>
    </row>
    <row r="211" spans="1:23" ht="26.5" thickBot="1" x14ac:dyDescent="0.4">
      <c r="A211" s="645"/>
      <c r="B211" s="641" t="s">
        <v>1192</v>
      </c>
      <c r="C211" s="659">
        <v>1.39</v>
      </c>
      <c r="D211" s="659">
        <v>1.39</v>
      </c>
      <c r="E211" s="621" t="s">
        <v>1207</v>
      </c>
      <c r="F211" s="620"/>
      <c r="G211" s="621"/>
      <c r="H211" s="621"/>
      <c r="I211" s="621"/>
      <c r="J211" s="621"/>
      <c r="K211" s="621"/>
      <c r="L211" s="621"/>
      <c r="M211" s="621"/>
      <c r="N211" s="621"/>
      <c r="O211" s="651"/>
      <c r="R211" s="2033">
        <v>0.84</v>
      </c>
      <c r="S211" s="1557">
        <v>1</v>
      </c>
      <c r="T211" s="1558" t="s">
        <v>2142</v>
      </c>
      <c r="U211" s="1559" t="s">
        <v>2860</v>
      </c>
      <c r="V211" s="1558" t="s">
        <v>295</v>
      </c>
      <c r="W211" s="1560" t="s">
        <v>474</v>
      </c>
    </row>
    <row r="212" spans="1:23" ht="15" thickBot="1" x14ac:dyDescent="0.4">
      <c r="A212" s="645"/>
      <c r="B212" s="641" t="s">
        <v>607</v>
      </c>
      <c r="C212" s="623">
        <f>+$I$293</f>
        <v>1.6</v>
      </c>
      <c r="D212" s="623">
        <f>+$I$293</f>
        <v>1.6</v>
      </c>
      <c r="E212" s="621" t="s">
        <v>1208</v>
      </c>
      <c r="F212" s="620"/>
      <c r="G212" s="621"/>
      <c r="H212" s="621"/>
      <c r="I212" s="621"/>
      <c r="J212" s="621"/>
      <c r="K212" s="621"/>
      <c r="L212" s="621"/>
      <c r="M212" s="621"/>
      <c r="N212" s="621"/>
      <c r="O212" s="651"/>
      <c r="R212" s="1561">
        <v>1.39</v>
      </c>
      <c r="S212" s="1562">
        <v>1.39</v>
      </c>
      <c r="T212" s="1563" t="s">
        <v>606</v>
      </c>
      <c r="U212" s="1564" t="s">
        <v>2886</v>
      </c>
      <c r="V212" s="1563" t="s">
        <v>2862</v>
      </c>
      <c r="W212" s="1565" t="s">
        <v>2863</v>
      </c>
    </row>
    <row r="213" spans="1:23" ht="15" thickBot="1" x14ac:dyDescent="0.4">
      <c r="A213" s="645"/>
      <c r="B213" s="641" t="s">
        <v>1193</v>
      </c>
      <c r="C213" s="622">
        <f>+$I$288</f>
        <v>0.94</v>
      </c>
      <c r="D213" s="622">
        <f>+$I$288</f>
        <v>0.94</v>
      </c>
      <c r="E213" s="621" t="s">
        <v>1209</v>
      </c>
      <c r="F213" s="624"/>
      <c r="G213" s="625"/>
      <c r="H213" s="626"/>
      <c r="I213" s="625"/>
      <c r="J213" s="625"/>
      <c r="K213" s="621"/>
      <c r="L213" s="621"/>
      <c r="M213" s="621"/>
      <c r="N213" s="621"/>
      <c r="O213" s="651"/>
      <c r="R213" s="1556">
        <v>0.94</v>
      </c>
      <c r="S213" s="1557">
        <v>0.94</v>
      </c>
      <c r="T213" s="1558" t="s">
        <v>608</v>
      </c>
      <c r="U213" s="1559" t="s">
        <v>2864</v>
      </c>
      <c r="V213" s="1558" t="s">
        <v>2862</v>
      </c>
      <c r="W213" s="1560" t="s">
        <v>2863</v>
      </c>
    </row>
    <row r="214" spans="1:23" ht="15" thickBot="1" x14ac:dyDescent="0.4">
      <c r="A214" s="645"/>
      <c r="B214" s="641" t="s">
        <v>1195</v>
      </c>
      <c r="C214" s="623">
        <f>+$I$299</f>
        <v>1.6</v>
      </c>
      <c r="D214" s="623">
        <f>+$I$299</f>
        <v>1.6</v>
      </c>
      <c r="E214" s="621" t="s">
        <v>1210</v>
      </c>
      <c r="F214" s="620"/>
      <c r="G214" s="621"/>
      <c r="H214" s="621"/>
      <c r="I214" s="621"/>
      <c r="J214" s="621"/>
      <c r="K214" s="621"/>
      <c r="L214" s="621"/>
      <c r="M214" s="621"/>
      <c r="N214" s="621"/>
      <c r="O214" s="651"/>
      <c r="R214" s="1561">
        <v>1.6</v>
      </c>
      <c r="S214" s="1562">
        <v>1.6</v>
      </c>
      <c r="T214" s="1563" t="s">
        <v>607</v>
      </c>
      <c r="U214" s="1564" t="s">
        <v>2886</v>
      </c>
      <c r="V214" s="1563" t="s">
        <v>2862</v>
      </c>
      <c r="W214" s="1565" t="s">
        <v>2863</v>
      </c>
    </row>
    <row r="215" spans="1:23" ht="15" thickBot="1" x14ac:dyDescent="0.4">
      <c r="A215" s="645"/>
      <c r="B215" s="641" t="s">
        <v>352</v>
      </c>
      <c r="C215" s="623">
        <f>+$R$217</f>
        <v>4.8419999999999996</v>
      </c>
      <c r="D215" s="623">
        <f>+$R$217</f>
        <v>4.8419999999999996</v>
      </c>
      <c r="E215" s="621" t="s">
        <v>2865</v>
      </c>
      <c r="F215" s="620"/>
      <c r="G215" s="621"/>
      <c r="H215" s="621"/>
      <c r="I215" s="621"/>
      <c r="J215" s="621"/>
      <c r="K215" s="621"/>
      <c r="L215" s="621"/>
      <c r="M215" s="621"/>
      <c r="N215" s="621"/>
      <c r="O215" s="651"/>
      <c r="R215" s="1556">
        <v>1.6</v>
      </c>
      <c r="S215" s="1557">
        <v>1.6</v>
      </c>
      <c r="T215" s="1558" t="s">
        <v>609</v>
      </c>
      <c r="U215" s="1559" t="s">
        <v>2886</v>
      </c>
      <c r="V215" s="1558" t="s">
        <v>2862</v>
      </c>
      <c r="W215" s="1560" t="s">
        <v>2863</v>
      </c>
    </row>
    <row r="216" spans="1:23" ht="15" thickBot="1" x14ac:dyDescent="0.4">
      <c r="A216" s="645"/>
      <c r="B216" s="641">
        <v>365.25</v>
      </c>
      <c r="C216" s="623">
        <v>365.25</v>
      </c>
      <c r="D216" s="623">
        <v>365.25</v>
      </c>
      <c r="E216" s="619" t="s">
        <v>1198</v>
      </c>
      <c r="F216" s="621"/>
      <c r="G216" s="621"/>
      <c r="H216" s="619"/>
      <c r="I216" s="619"/>
      <c r="J216" s="621"/>
      <c r="K216" s="621"/>
      <c r="L216" s="621"/>
      <c r="M216" s="621"/>
      <c r="N216" s="621"/>
      <c r="O216" s="651"/>
      <c r="R216" s="1561">
        <v>365.25</v>
      </c>
      <c r="S216" s="1562">
        <v>365.25</v>
      </c>
      <c r="T216" s="1563" t="s">
        <v>2866</v>
      </c>
      <c r="U216" s="1564" t="s">
        <v>2886</v>
      </c>
      <c r="V216" s="1563" t="s">
        <v>2862</v>
      </c>
      <c r="W216" s="1565" t="s">
        <v>2863</v>
      </c>
    </row>
    <row r="217" spans="1:23" ht="26.5" thickBot="1" x14ac:dyDescent="0.4">
      <c r="A217" s="645"/>
      <c r="B217" s="641" t="s">
        <v>1211</v>
      </c>
      <c r="C217" s="638">
        <f>+$L$285</f>
        <v>0.9</v>
      </c>
      <c r="D217" s="638">
        <f>+$L$285</f>
        <v>0.9</v>
      </c>
      <c r="E217" s="619" t="s">
        <v>1212</v>
      </c>
      <c r="F217" s="621"/>
      <c r="G217" s="621"/>
      <c r="H217" s="619"/>
      <c r="I217" s="619"/>
      <c r="J217" s="621"/>
      <c r="K217" s="621"/>
      <c r="L217" s="621"/>
      <c r="M217" s="621"/>
      <c r="N217" s="621"/>
      <c r="O217" s="651"/>
      <c r="R217" s="2033">
        <v>4.8419999999999996</v>
      </c>
      <c r="S217" s="1557">
        <v>4.74</v>
      </c>
      <c r="T217" s="1558" t="s">
        <v>2819</v>
      </c>
      <c r="U217" s="1559" t="s">
        <v>2867</v>
      </c>
      <c r="V217" s="1558" t="s">
        <v>295</v>
      </c>
      <c r="W217" s="1560" t="s">
        <v>474</v>
      </c>
    </row>
    <row r="218" spans="1:23" ht="26.5" thickBot="1" x14ac:dyDescent="0.4">
      <c r="A218" s="645"/>
      <c r="B218" s="641" t="s">
        <v>1213</v>
      </c>
      <c r="C218" s="640">
        <f>+$L$299</f>
        <v>2.83</v>
      </c>
      <c r="D218" s="640">
        <f>+$L$299</f>
        <v>2.83</v>
      </c>
      <c r="E218" s="619" t="s">
        <v>1214</v>
      </c>
      <c r="F218" s="621"/>
      <c r="G218" s="621"/>
      <c r="H218" s="619"/>
      <c r="I218" s="619"/>
      <c r="J218" s="621"/>
      <c r="K218" s="621"/>
      <c r="L218" s="621"/>
      <c r="M218" s="621"/>
      <c r="N218" s="621"/>
      <c r="O218" s="651"/>
      <c r="R218" s="2033">
        <v>4.75</v>
      </c>
      <c r="S218" s="1562">
        <v>4.74</v>
      </c>
      <c r="T218" s="1563" t="s">
        <v>2821</v>
      </c>
      <c r="U218" s="1564" t="s">
        <v>2867</v>
      </c>
      <c r="V218" s="1563" t="s">
        <v>295</v>
      </c>
      <c r="W218" s="1565" t="s">
        <v>474</v>
      </c>
    </row>
    <row r="219" spans="1:23" x14ac:dyDescent="0.35">
      <c r="A219" s="645"/>
      <c r="B219" s="644" t="s">
        <v>617</v>
      </c>
      <c r="C219" s="631">
        <f>+$L$289</f>
        <v>3.4099999999999998E-3</v>
      </c>
      <c r="D219" s="1969">
        <v>3.9699999999999996E-3</v>
      </c>
      <c r="E219" s="632" t="s">
        <v>662</v>
      </c>
      <c r="F219" s="632"/>
      <c r="G219" s="632"/>
      <c r="H219" s="633"/>
      <c r="I219" s="633"/>
      <c r="J219" s="632"/>
      <c r="K219" s="632"/>
      <c r="L219" s="632"/>
      <c r="M219" s="632"/>
      <c r="N219" s="632"/>
      <c r="O219" s="654"/>
      <c r="R219" s="1556">
        <v>0.9</v>
      </c>
      <c r="S219" s="1557">
        <v>0.9</v>
      </c>
      <c r="T219" s="1557" t="s">
        <v>1211</v>
      </c>
      <c r="U219" s="1566" t="s">
        <v>2886</v>
      </c>
      <c r="V219" s="1557" t="s">
        <v>2862</v>
      </c>
      <c r="W219" s="1560" t="s">
        <v>2863</v>
      </c>
    </row>
    <row r="220" spans="1:23" ht="15" thickBot="1" x14ac:dyDescent="0.4">
      <c r="A220" s="645"/>
      <c r="B220" s="655"/>
      <c r="C220" s="635"/>
      <c r="D220" s="635"/>
      <c r="E220" s="636" t="s">
        <v>1215</v>
      </c>
      <c r="F220" s="636"/>
      <c r="G220" s="636"/>
      <c r="H220" s="637"/>
      <c r="I220" s="637"/>
      <c r="J220" s="636"/>
      <c r="K220" s="636"/>
      <c r="L220" s="636"/>
      <c r="M220" s="636"/>
      <c r="N220" s="636"/>
      <c r="O220" s="656"/>
      <c r="R220" s="1561">
        <v>2.83</v>
      </c>
      <c r="S220" s="1562">
        <v>2.83</v>
      </c>
      <c r="T220" s="1562" t="s">
        <v>2887</v>
      </c>
      <c r="U220" s="1567" t="s">
        <v>2886</v>
      </c>
      <c r="V220" s="1562" t="s">
        <v>2862</v>
      </c>
      <c r="W220" s="1565" t="s">
        <v>2863</v>
      </c>
    </row>
    <row r="221" spans="1:23" ht="15" thickBot="1" x14ac:dyDescent="0.4">
      <c r="A221" s="645"/>
      <c r="B221" s="641" t="s">
        <v>1201</v>
      </c>
      <c r="C221" s="638"/>
      <c r="D221" s="638"/>
      <c r="E221" s="621" t="s">
        <v>1202</v>
      </c>
      <c r="F221" s="621"/>
      <c r="G221" s="621"/>
      <c r="H221" s="619"/>
      <c r="I221" s="619"/>
      <c r="J221" s="621"/>
      <c r="K221" s="621"/>
      <c r="L221" s="621"/>
      <c r="M221" s="621"/>
      <c r="N221" s="621"/>
      <c r="O221" s="651"/>
      <c r="R221" s="1556">
        <v>1.5</v>
      </c>
      <c r="S221" s="1557">
        <v>2.83</v>
      </c>
      <c r="T221" s="1557" t="s">
        <v>2888</v>
      </c>
      <c r="U221" s="1566" t="s">
        <v>2886</v>
      </c>
      <c r="V221" s="1557" t="s">
        <v>2862</v>
      </c>
      <c r="W221" s="1560" t="s">
        <v>474</v>
      </c>
    </row>
    <row r="222" spans="1:23" ht="26.5" thickBot="1" x14ac:dyDescent="0.4">
      <c r="A222" s="655"/>
      <c r="B222" s="641" t="s">
        <v>613</v>
      </c>
      <c r="C222" s="638">
        <f>+$R$225</f>
        <v>0.23200000000000001</v>
      </c>
      <c r="D222" s="638">
        <f>+$R$225</f>
        <v>0.23200000000000001</v>
      </c>
      <c r="E222" s="621" t="s">
        <v>2889</v>
      </c>
      <c r="F222" s="621"/>
      <c r="G222" s="621"/>
      <c r="H222" s="619"/>
      <c r="I222" s="619"/>
      <c r="J222" s="621"/>
      <c r="K222" s="621"/>
      <c r="L222" s="621"/>
      <c r="M222" s="621"/>
      <c r="N222" s="621"/>
      <c r="O222" s="651"/>
      <c r="R222" s="1561">
        <v>3.4099999999999998E-3</v>
      </c>
      <c r="S222" s="1562">
        <v>3.4099999999999998E-3</v>
      </c>
      <c r="T222" s="1562" t="s">
        <v>2890</v>
      </c>
      <c r="U222" s="1567" t="s">
        <v>2886</v>
      </c>
      <c r="V222" s="1562" t="s">
        <v>2862</v>
      </c>
      <c r="W222" s="1565" t="s">
        <v>2863</v>
      </c>
    </row>
    <row r="223" spans="1:23" ht="15" thickBot="1" x14ac:dyDescent="0.4">
      <c r="A223" s="652"/>
      <c r="B223" s="641" t="s">
        <v>613</v>
      </c>
      <c r="C223" s="638">
        <f>+$R$227</f>
        <v>0.128</v>
      </c>
      <c r="D223" s="1970">
        <v>0.09</v>
      </c>
      <c r="E223" s="621" t="s">
        <v>2891</v>
      </c>
      <c r="F223" s="636"/>
      <c r="G223" s="636"/>
      <c r="H223" s="637"/>
      <c r="I223" s="637"/>
      <c r="J223" s="636"/>
      <c r="K223" s="636"/>
      <c r="L223" s="636"/>
      <c r="M223" s="636"/>
      <c r="N223" s="636"/>
      <c r="O223" s="656"/>
      <c r="R223" s="1561"/>
      <c r="S223" s="1562"/>
      <c r="T223" s="1562"/>
      <c r="U223" s="1567"/>
      <c r="V223" s="1562"/>
      <c r="W223" s="1565"/>
    </row>
    <row r="224" spans="1:23" ht="26.5" thickBot="1" x14ac:dyDescent="0.4">
      <c r="A224" s="639"/>
      <c r="B224" s="639"/>
      <c r="C224" s="184"/>
      <c r="D224" s="184"/>
      <c r="E224" s="184"/>
      <c r="F224" s="184"/>
      <c r="G224" s="242"/>
      <c r="H224" s="242"/>
      <c r="I224" s="184"/>
      <c r="J224" s="184"/>
      <c r="K224" s="184"/>
      <c r="L224" s="184"/>
      <c r="M224" s="184"/>
      <c r="N224" s="184"/>
      <c r="R224" s="2033">
        <v>3.9699999999999996E-3</v>
      </c>
      <c r="S224" s="1557">
        <v>3.4099999999999998E-3</v>
      </c>
      <c r="T224" s="1557" t="s">
        <v>2892</v>
      </c>
      <c r="U224" s="1566" t="s">
        <v>2861</v>
      </c>
      <c r="V224" s="1557" t="s">
        <v>2862</v>
      </c>
      <c r="W224" s="1560" t="s">
        <v>474</v>
      </c>
    </row>
    <row r="225" spans="1:23" ht="26" x14ac:dyDescent="0.35">
      <c r="A225" s="644" t="s">
        <v>1216</v>
      </c>
      <c r="B225" s="468"/>
      <c r="C225" s="606"/>
      <c r="D225" s="606"/>
      <c r="E225" s="607"/>
      <c r="F225" s="608"/>
      <c r="G225" s="608"/>
      <c r="H225" s="609"/>
      <c r="I225" s="608"/>
      <c r="J225" s="468"/>
      <c r="K225" s="468"/>
      <c r="L225" s="468"/>
      <c r="M225" s="468"/>
      <c r="N225" s="469"/>
      <c r="R225" s="2033">
        <v>0.23200000000000001</v>
      </c>
      <c r="S225" s="1562">
        <v>0.3</v>
      </c>
      <c r="T225" s="1563" t="s">
        <v>2893</v>
      </c>
      <c r="U225" s="1564" t="s">
        <v>2894</v>
      </c>
      <c r="V225" s="1563" t="s">
        <v>295</v>
      </c>
      <c r="W225" s="1565" t="s">
        <v>474</v>
      </c>
    </row>
    <row r="226" spans="1:23" ht="26.5" thickBot="1" x14ac:dyDescent="0.4">
      <c r="A226" s="321"/>
      <c r="B226" s="201"/>
      <c r="C226" s="201"/>
      <c r="D226" s="610"/>
      <c r="E226" s="611"/>
      <c r="F226" s="612"/>
      <c r="G226" s="201"/>
      <c r="H226" s="201"/>
      <c r="I226" s="201"/>
      <c r="J226" s="201"/>
      <c r="K226" s="201"/>
      <c r="L226" s="201"/>
      <c r="M226" s="201"/>
      <c r="N226" s="203"/>
      <c r="R226" s="2033">
        <v>0.28199999999999997</v>
      </c>
      <c r="S226" s="1557">
        <v>0.3</v>
      </c>
      <c r="T226" s="1558" t="s">
        <v>2895</v>
      </c>
      <c r="U226" s="1559" t="s">
        <v>2894</v>
      </c>
      <c r="V226" s="1558" t="s">
        <v>295</v>
      </c>
      <c r="W226" s="1560" t="s">
        <v>474</v>
      </c>
    </row>
    <row r="227" spans="1:23" ht="39" x14ac:dyDescent="0.35">
      <c r="A227" s="644" t="s">
        <v>1217</v>
      </c>
      <c r="B227" s="468"/>
      <c r="C227" s="606"/>
      <c r="D227" s="606"/>
      <c r="E227" s="607"/>
      <c r="F227" s="608"/>
      <c r="G227" s="608"/>
      <c r="H227" s="609"/>
      <c r="I227" s="608"/>
      <c r="J227" s="468"/>
      <c r="K227" s="468"/>
      <c r="L227" s="468"/>
      <c r="M227" s="468"/>
      <c r="N227" s="469"/>
      <c r="R227" s="2033">
        <v>0.128</v>
      </c>
      <c r="S227" s="1562">
        <v>0.3</v>
      </c>
      <c r="T227" s="1563" t="s">
        <v>2896</v>
      </c>
      <c r="U227" s="1564" t="s">
        <v>2894</v>
      </c>
      <c r="V227" s="1563" t="s">
        <v>295</v>
      </c>
      <c r="W227" s="1565" t="s">
        <v>474</v>
      </c>
    </row>
    <row r="228" spans="1:23" ht="39.5" thickBot="1" x14ac:dyDescent="0.4">
      <c r="A228" s="321"/>
      <c r="B228" s="201"/>
      <c r="C228" s="201"/>
      <c r="D228" s="610"/>
      <c r="E228" s="611"/>
      <c r="F228" s="612"/>
      <c r="G228" s="201"/>
      <c r="H228" s="201"/>
      <c r="I228" s="201"/>
      <c r="J228" s="201"/>
      <c r="K228" s="201"/>
      <c r="L228" s="201"/>
      <c r="M228" s="201"/>
      <c r="N228" s="203"/>
      <c r="R228" s="2033">
        <v>0.11700000000000001</v>
      </c>
      <c r="S228" s="1557">
        <v>0.3</v>
      </c>
      <c r="T228" s="1558" t="s">
        <v>2897</v>
      </c>
      <c r="U228" s="1559" t="s">
        <v>2894</v>
      </c>
      <c r="V228" s="1558" t="s">
        <v>295</v>
      </c>
      <c r="W228" s="1560" t="s">
        <v>474</v>
      </c>
    </row>
    <row r="229" spans="1:23" ht="15" thickBot="1" x14ac:dyDescent="0.4">
      <c r="A229" s="124"/>
      <c r="B229" s="1515" t="s">
        <v>2126</v>
      </c>
      <c r="C229" s="1516"/>
      <c r="D229" s="571"/>
      <c r="E229" s="1448"/>
      <c r="F229" s="1517"/>
      <c r="G229" s="83"/>
      <c r="H229" s="83"/>
      <c r="I229" s="83"/>
      <c r="J229" s="83"/>
      <c r="K229" s="83"/>
      <c r="L229" s="83"/>
      <c r="M229" s="83"/>
      <c r="N229" s="83"/>
      <c r="R229" s="2033">
        <v>0.77500000000000002</v>
      </c>
      <c r="S229" s="1562" t="s">
        <v>1738</v>
      </c>
      <c r="T229" s="1563" t="s">
        <v>2876</v>
      </c>
      <c r="U229" s="1564" t="s">
        <v>2877</v>
      </c>
      <c r="V229" s="1563" t="s">
        <v>295</v>
      </c>
      <c r="W229" s="1565" t="s">
        <v>474</v>
      </c>
    </row>
    <row r="230" spans="1:23" ht="15" thickBot="1" x14ac:dyDescent="0.4">
      <c r="A230" s="645" t="s">
        <v>1227</v>
      </c>
      <c r="B230" s="613">
        <f>+C233*((C234*C235-C236*C237)*C238*C239*C240/C241*C242)*C245</f>
        <v>2.9213478849145504</v>
      </c>
      <c r="C230" s="1528"/>
      <c r="E230" s="556"/>
      <c r="G230"/>
      <c r="H230"/>
      <c r="R230" s="2034">
        <v>0.22500000000000001</v>
      </c>
      <c r="S230" s="1568" t="s">
        <v>1738</v>
      </c>
      <c r="T230" s="1569" t="s">
        <v>2878</v>
      </c>
      <c r="U230" s="1570" t="s">
        <v>2877</v>
      </c>
      <c r="V230" s="1569" t="s">
        <v>295</v>
      </c>
      <c r="W230" s="1571" t="s">
        <v>474</v>
      </c>
    </row>
    <row r="231" spans="1:23" ht="15" thickBot="1" x14ac:dyDescent="0.4">
      <c r="A231" s="645" t="s">
        <v>1228</v>
      </c>
      <c r="B231" s="615">
        <f>+((C234*C235-C236*C237)*C238*C239*C240/C241)*C245</f>
        <v>838.02291592500012</v>
      </c>
      <c r="C231" s="1529"/>
      <c r="E231" s="556"/>
      <c r="G231"/>
      <c r="H231"/>
    </row>
    <row r="232" spans="1:23" ht="15" thickBot="1" x14ac:dyDescent="0.4">
      <c r="A232" s="646"/>
      <c r="B232" s="647" t="s">
        <v>1187</v>
      </c>
      <c r="C232" s="648" t="s">
        <v>1188</v>
      </c>
      <c r="D232" s="647" t="s">
        <v>1189</v>
      </c>
      <c r="E232" s="649"/>
      <c r="F232" s="647"/>
      <c r="G232" s="647"/>
      <c r="H232" s="647"/>
      <c r="I232" s="647"/>
      <c r="J232" s="647"/>
      <c r="K232" s="647"/>
      <c r="L232" s="647"/>
      <c r="M232" s="647"/>
      <c r="N232" s="650"/>
      <c r="R232" s="2498" t="s">
        <v>3482</v>
      </c>
      <c r="S232" s="2499"/>
      <c r="T232" s="2499"/>
      <c r="U232" s="2499"/>
      <c r="V232" s="2499"/>
      <c r="W232" s="2500"/>
    </row>
    <row r="233" spans="1:23" ht="15" thickBot="1" x14ac:dyDescent="0.4">
      <c r="A233" s="644" t="s">
        <v>1190</v>
      </c>
      <c r="B233" s="641" t="s">
        <v>1191</v>
      </c>
      <c r="C233" s="618">
        <f>+$R$235</f>
        <v>0.84</v>
      </c>
      <c r="D233" s="619" t="s">
        <v>3484</v>
      </c>
      <c r="E233" s="620"/>
      <c r="F233" s="621"/>
      <c r="G233" s="621"/>
      <c r="H233" s="621"/>
      <c r="I233" s="621"/>
      <c r="J233" s="621"/>
      <c r="K233" s="621"/>
      <c r="L233" s="621"/>
      <c r="M233" s="621"/>
      <c r="N233" s="651"/>
      <c r="R233" s="2493" t="s">
        <v>2885</v>
      </c>
      <c r="S233" s="1555" t="s">
        <v>2855</v>
      </c>
      <c r="T233" s="2495" t="s">
        <v>1187</v>
      </c>
      <c r="U233" s="2495" t="s">
        <v>503</v>
      </c>
      <c r="V233" s="2495" t="s">
        <v>2856</v>
      </c>
      <c r="W233" s="2497" t="s">
        <v>2857</v>
      </c>
    </row>
    <row r="234" spans="1:23" ht="15" thickBot="1" x14ac:dyDescent="0.4">
      <c r="A234" s="645"/>
      <c r="B234" s="641" t="s">
        <v>1192</v>
      </c>
      <c r="C234" s="622">
        <v>1.39</v>
      </c>
      <c r="D234" s="621" t="s">
        <v>1207</v>
      </c>
      <c r="E234" s="620"/>
      <c r="F234" s="621"/>
      <c r="G234" s="621"/>
      <c r="H234" s="621"/>
      <c r="I234" s="621"/>
      <c r="J234" s="621"/>
      <c r="K234" s="621"/>
      <c r="L234" s="621"/>
      <c r="M234" s="621"/>
      <c r="N234" s="651"/>
      <c r="R234" s="2493"/>
      <c r="S234" s="1555" t="s">
        <v>482</v>
      </c>
      <c r="T234" s="2495"/>
      <c r="U234" s="2495"/>
      <c r="V234" s="2495"/>
      <c r="W234" s="2497"/>
    </row>
    <row r="235" spans="1:23" ht="26.5" thickBot="1" x14ac:dyDescent="0.4">
      <c r="A235" s="645"/>
      <c r="B235" s="641" t="s">
        <v>607</v>
      </c>
      <c r="C235" s="623">
        <f>+$I$292</f>
        <v>4.5</v>
      </c>
      <c r="D235" s="621" t="s">
        <v>1208</v>
      </c>
      <c r="E235" s="620"/>
      <c r="F235" s="621"/>
      <c r="G235" s="621"/>
      <c r="H235" s="621"/>
      <c r="I235" s="621"/>
      <c r="J235" s="621"/>
      <c r="K235" s="621"/>
      <c r="L235" s="621"/>
      <c r="M235" s="621"/>
      <c r="N235" s="651"/>
      <c r="R235" s="2035">
        <v>0.84</v>
      </c>
      <c r="S235" s="1557">
        <v>1</v>
      </c>
      <c r="T235" s="1558" t="s">
        <v>2142</v>
      </c>
      <c r="U235" s="1559" t="s">
        <v>2860</v>
      </c>
      <c r="V235" s="1558" t="s">
        <v>295</v>
      </c>
      <c r="W235" s="1560" t="s">
        <v>474</v>
      </c>
    </row>
    <row r="236" spans="1:23" ht="15" thickBot="1" x14ac:dyDescent="0.4">
      <c r="A236" s="645"/>
      <c r="B236" s="641" t="s">
        <v>1193</v>
      </c>
      <c r="C236" s="622">
        <f>+$I$288</f>
        <v>0.94</v>
      </c>
      <c r="D236" s="621" t="s">
        <v>1209</v>
      </c>
      <c r="E236" s="624"/>
      <c r="F236" s="625"/>
      <c r="G236" s="626"/>
      <c r="H236" s="625"/>
      <c r="I236" s="625"/>
      <c r="J236" s="621"/>
      <c r="K236" s="621"/>
      <c r="L236" s="621"/>
      <c r="M236" s="621"/>
      <c r="N236" s="651"/>
      <c r="R236" s="1573">
        <v>1.39</v>
      </c>
      <c r="S236" s="1562">
        <v>1.39</v>
      </c>
      <c r="T236" s="1563" t="s">
        <v>606</v>
      </c>
      <c r="U236" s="1564" t="s">
        <v>2886</v>
      </c>
      <c r="V236" s="1563" t="s">
        <v>2862</v>
      </c>
      <c r="W236" s="1565" t="s">
        <v>2863</v>
      </c>
    </row>
    <row r="237" spans="1:23" ht="15" thickBot="1" x14ac:dyDescent="0.4">
      <c r="A237" s="645"/>
      <c r="B237" s="641" t="s">
        <v>1195</v>
      </c>
      <c r="C237" s="623">
        <f>+$I$298</f>
        <v>4.5</v>
      </c>
      <c r="D237" s="621" t="s">
        <v>1210</v>
      </c>
      <c r="E237" s="620"/>
      <c r="F237" s="621"/>
      <c r="G237" s="621"/>
      <c r="H237" s="621"/>
      <c r="I237" s="621"/>
      <c r="J237" s="621"/>
      <c r="K237" s="621"/>
      <c r="L237" s="621"/>
      <c r="M237" s="621"/>
      <c r="N237" s="651"/>
      <c r="R237" s="1572">
        <v>0.94</v>
      </c>
      <c r="S237" s="1557">
        <v>0.94</v>
      </c>
      <c r="T237" s="1558" t="s">
        <v>608</v>
      </c>
      <c r="U237" s="1559" t="s">
        <v>2864</v>
      </c>
      <c r="V237" s="1558" t="s">
        <v>2862</v>
      </c>
      <c r="W237" s="1560" t="s">
        <v>2863</v>
      </c>
    </row>
    <row r="238" spans="1:23" ht="15" thickBot="1" x14ac:dyDescent="0.4">
      <c r="A238" s="645"/>
      <c r="B238" s="641" t="s">
        <v>352</v>
      </c>
      <c r="C238" s="623">
        <f>+$R$241</f>
        <v>4.8419999999999996</v>
      </c>
      <c r="D238" s="621" t="s">
        <v>2865</v>
      </c>
      <c r="E238" s="620"/>
      <c r="F238" s="621"/>
      <c r="G238" s="621"/>
      <c r="H238" s="621"/>
      <c r="I238" s="621"/>
      <c r="J238" s="621"/>
      <c r="K238" s="621"/>
      <c r="L238" s="621"/>
      <c r="M238" s="621"/>
      <c r="N238" s="651"/>
      <c r="R238" s="1573">
        <v>4.5</v>
      </c>
      <c r="S238" s="1562">
        <v>4.5</v>
      </c>
      <c r="T238" s="1563" t="s">
        <v>607</v>
      </c>
      <c r="U238" s="1564" t="s">
        <v>2886</v>
      </c>
      <c r="V238" s="1563" t="s">
        <v>2862</v>
      </c>
      <c r="W238" s="1565" t="s">
        <v>2863</v>
      </c>
    </row>
    <row r="239" spans="1:23" ht="15" thickBot="1" x14ac:dyDescent="0.4">
      <c r="A239" s="645"/>
      <c r="B239" s="641">
        <v>365.25</v>
      </c>
      <c r="C239" s="623">
        <v>365.25</v>
      </c>
      <c r="D239" s="619" t="s">
        <v>1198</v>
      </c>
      <c r="E239" s="621"/>
      <c r="F239" s="621"/>
      <c r="G239" s="619"/>
      <c r="H239" s="619"/>
      <c r="I239" s="621"/>
      <c r="J239" s="621"/>
      <c r="K239" s="621"/>
      <c r="L239" s="621"/>
      <c r="M239" s="621"/>
      <c r="N239" s="651"/>
      <c r="R239" s="1572">
        <v>4.5</v>
      </c>
      <c r="S239" s="1557">
        <v>4.5</v>
      </c>
      <c r="T239" s="1558" t="s">
        <v>609</v>
      </c>
      <c r="U239" s="1559" t="s">
        <v>2886</v>
      </c>
      <c r="V239" s="1558" t="s">
        <v>2862</v>
      </c>
      <c r="W239" s="1560" t="s">
        <v>2863</v>
      </c>
    </row>
    <row r="240" spans="1:23" ht="15" thickBot="1" x14ac:dyDescent="0.4">
      <c r="A240" s="645"/>
      <c r="B240" s="641" t="s">
        <v>1211</v>
      </c>
      <c r="C240" s="638">
        <f>+$L$284</f>
        <v>0.75</v>
      </c>
      <c r="D240" s="619" t="s">
        <v>1212</v>
      </c>
      <c r="E240" s="621"/>
      <c r="F240" s="621"/>
      <c r="G240" s="619"/>
      <c r="H240" s="619"/>
      <c r="I240" s="621"/>
      <c r="J240" s="621"/>
      <c r="K240" s="621"/>
      <c r="L240" s="621"/>
      <c r="M240" s="621"/>
      <c r="N240" s="651"/>
      <c r="R240" s="1573">
        <v>365.25</v>
      </c>
      <c r="S240" s="1562">
        <v>365.25</v>
      </c>
      <c r="T240" s="1563" t="s">
        <v>2866</v>
      </c>
      <c r="U240" s="1564" t="s">
        <v>2886</v>
      </c>
      <c r="V240" s="1563" t="s">
        <v>2862</v>
      </c>
      <c r="W240" s="1565" t="s">
        <v>2863</v>
      </c>
    </row>
    <row r="241" spans="1:28" ht="26.5" thickBot="1" x14ac:dyDescent="0.4">
      <c r="A241" s="645"/>
      <c r="B241" s="641" t="s">
        <v>1213</v>
      </c>
      <c r="C241" s="640">
        <f>+$L$298</f>
        <v>1</v>
      </c>
      <c r="D241" s="619" t="s">
        <v>1214</v>
      </c>
      <c r="E241" s="621"/>
      <c r="F241" s="621"/>
      <c r="G241" s="619"/>
      <c r="H241" s="619"/>
      <c r="I241" s="621"/>
      <c r="J241" s="621"/>
      <c r="K241" s="621"/>
      <c r="L241" s="621"/>
      <c r="M241" s="621"/>
      <c r="N241" s="651"/>
      <c r="R241" s="2035">
        <v>4.8419999999999996</v>
      </c>
      <c r="S241" s="1557">
        <v>4.74</v>
      </c>
      <c r="T241" s="1558" t="s">
        <v>2819</v>
      </c>
      <c r="U241" s="1559" t="s">
        <v>2867</v>
      </c>
      <c r="V241" s="1558" t="s">
        <v>295</v>
      </c>
      <c r="W241" s="1560" t="s">
        <v>474</v>
      </c>
    </row>
    <row r="242" spans="1:28" ht="26" x14ac:dyDescent="0.35">
      <c r="A242" s="645"/>
      <c r="B242" s="644" t="s">
        <v>617</v>
      </c>
      <c r="C242" s="631">
        <f>+$L$290</f>
        <v>4.15E-3</v>
      </c>
      <c r="D242" s="632" t="s">
        <v>662</v>
      </c>
      <c r="E242" s="632"/>
      <c r="F242" s="632"/>
      <c r="G242" s="633"/>
      <c r="H242" s="633"/>
      <c r="I242" s="632"/>
      <c r="J242" s="632"/>
      <c r="K242" s="632"/>
      <c r="L242" s="632"/>
      <c r="M242" s="632"/>
      <c r="N242" s="654"/>
      <c r="R242" s="2035">
        <v>4.7450000000000001</v>
      </c>
      <c r="S242" s="1562">
        <v>4.74</v>
      </c>
      <c r="T242" s="1563" t="s">
        <v>2821</v>
      </c>
      <c r="U242" s="1564" t="s">
        <v>2867</v>
      </c>
      <c r="V242" s="1563" t="s">
        <v>295</v>
      </c>
      <c r="W242" s="1565" t="s">
        <v>474</v>
      </c>
    </row>
    <row r="243" spans="1:28" ht="15" thickBot="1" x14ac:dyDescent="0.4">
      <c r="A243" s="645"/>
      <c r="B243" s="655"/>
      <c r="C243" s="635"/>
      <c r="D243" s="636" t="s">
        <v>1215</v>
      </c>
      <c r="E243" s="636"/>
      <c r="F243" s="636"/>
      <c r="G243" s="637"/>
      <c r="H243" s="637"/>
      <c r="I243" s="636"/>
      <c r="J243" s="636"/>
      <c r="K243" s="636"/>
      <c r="L243" s="636"/>
      <c r="M243" s="636"/>
      <c r="N243" s="656"/>
      <c r="R243" s="1556">
        <v>0.75</v>
      </c>
      <c r="S243" s="1557">
        <v>0.75</v>
      </c>
      <c r="T243" s="1557" t="s">
        <v>1211</v>
      </c>
      <c r="U243" s="1566" t="s">
        <v>2886</v>
      </c>
      <c r="V243" s="1557" t="s">
        <v>2862</v>
      </c>
      <c r="W243" s="1560" t="s">
        <v>2863</v>
      </c>
    </row>
    <row r="244" spans="1:28" ht="15" thickBot="1" x14ac:dyDescent="0.4">
      <c r="A244" s="645"/>
      <c r="B244" s="641" t="s">
        <v>1201</v>
      </c>
      <c r="C244" s="638"/>
      <c r="D244" s="621" t="s">
        <v>1202</v>
      </c>
      <c r="E244" s="621"/>
      <c r="F244" s="621"/>
      <c r="G244" s="619"/>
      <c r="H244" s="619"/>
      <c r="I244" s="621"/>
      <c r="J244" s="621"/>
      <c r="K244" s="621"/>
      <c r="L244" s="621"/>
      <c r="M244" s="621"/>
      <c r="N244" s="651"/>
      <c r="R244" s="1561">
        <v>1</v>
      </c>
      <c r="S244" s="1562">
        <v>1</v>
      </c>
      <c r="T244" s="1562" t="s">
        <v>2898</v>
      </c>
      <c r="U244" s="1567" t="s">
        <v>2886</v>
      </c>
      <c r="V244" s="1562" t="s">
        <v>2862</v>
      </c>
      <c r="W244" s="1565" t="s">
        <v>2863</v>
      </c>
    </row>
    <row r="245" spans="1:28" ht="26.5" thickBot="1" x14ac:dyDescent="0.4">
      <c r="A245" s="655"/>
      <c r="B245" s="641" t="s">
        <v>613</v>
      </c>
      <c r="C245" s="657">
        <f>+$R$247</f>
        <v>0.312</v>
      </c>
      <c r="D245" s="621" t="s">
        <v>2899</v>
      </c>
      <c r="E245" s="621"/>
      <c r="F245" s="621"/>
      <c r="G245" s="619"/>
      <c r="H245" s="619"/>
      <c r="I245" s="621"/>
      <c r="J245" s="621"/>
      <c r="K245" s="621"/>
      <c r="L245" s="621"/>
      <c r="M245" s="621"/>
      <c r="N245" s="651"/>
      <c r="R245" s="1556">
        <v>4.15E-3</v>
      </c>
      <c r="S245" s="1557">
        <v>4.15E-3</v>
      </c>
      <c r="T245" s="1557" t="s">
        <v>2890</v>
      </c>
      <c r="U245" s="1566" t="s">
        <v>2886</v>
      </c>
      <c r="V245" s="1557" t="s">
        <v>2862</v>
      </c>
      <c r="W245" s="1560" t="s">
        <v>2863</v>
      </c>
    </row>
    <row r="246" spans="1:28" ht="26.5" thickBot="1" x14ac:dyDescent="0.4">
      <c r="A246" s="639"/>
      <c r="B246" s="639"/>
      <c r="C246" s="184"/>
      <c r="D246" s="184"/>
      <c r="E246" s="184"/>
      <c r="F246" s="184"/>
      <c r="G246" s="242"/>
      <c r="H246" s="242"/>
      <c r="I246" s="184"/>
      <c r="J246" s="184"/>
      <c r="K246" s="184"/>
      <c r="L246" s="184"/>
      <c r="M246" s="184"/>
      <c r="N246" s="184"/>
      <c r="R246" s="1561">
        <v>4.8399999999999997E-3</v>
      </c>
      <c r="S246" s="1562">
        <v>4.15E-3</v>
      </c>
      <c r="T246" s="1562" t="s">
        <v>2892</v>
      </c>
      <c r="U246" s="1567" t="s">
        <v>2861</v>
      </c>
      <c r="V246" s="1562" t="s">
        <v>2862</v>
      </c>
      <c r="W246" s="1565" t="s">
        <v>474</v>
      </c>
    </row>
    <row r="247" spans="1:28" x14ac:dyDescent="0.35">
      <c r="A247" s="644" t="s">
        <v>1229</v>
      </c>
      <c r="B247" s="468"/>
      <c r="C247" s="606"/>
      <c r="D247" s="606"/>
      <c r="E247" s="607"/>
      <c r="F247" s="608"/>
      <c r="G247" s="608"/>
      <c r="H247" s="609"/>
      <c r="I247" s="608"/>
      <c r="J247" s="468"/>
      <c r="K247" s="468"/>
      <c r="L247" s="468"/>
      <c r="M247" s="468"/>
      <c r="N247" s="469"/>
      <c r="R247" s="2035">
        <v>0.312</v>
      </c>
      <c r="S247" s="1557">
        <v>0.3</v>
      </c>
      <c r="T247" s="1558" t="s">
        <v>2873</v>
      </c>
      <c r="U247" s="1559" t="s">
        <v>2894</v>
      </c>
      <c r="V247" s="1558" t="s">
        <v>295</v>
      </c>
      <c r="W247" s="1560" t="s">
        <v>474</v>
      </c>
    </row>
    <row r="248" spans="1:28" ht="15" thickBot="1" x14ac:dyDescent="0.4">
      <c r="A248" s="321"/>
      <c r="B248" s="201"/>
      <c r="C248" s="201"/>
      <c r="D248" s="610"/>
      <c r="E248" s="611"/>
      <c r="F248" s="612"/>
      <c r="G248" s="201"/>
      <c r="H248" s="201"/>
      <c r="I248" s="201"/>
      <c r="J248" s="201"/>
      <c r="K248" s="201"/>
      <c r="L248" s="201"/>
      <c r="M248" s="201"/>
      <c r="N248" s="203"/>
      <c r="R248" s="2035">
        <v>0.40400000000000003</v>
      </c>
      <c r="S248" s="1562">
        <v>0.3</v>
      </c>
      <c r="T248" s="1563" t="s">
        <v>2875</v>
      </c>
      <c r="U248" s="1564" t="s">
        <v>2894</v>
      </c>
      <c r="V248" s="1563" t="s">
        <v>295</v>
      </c>
      <c r="W248" s="1565" t="s">
        <v>474</v>
      </c>
    </row>
    <row r="249" spans="1:28" ht="15" thickBot="1" x14ac:dyDescent="0.4">
      <c r="A249" s="124"/>
      <c r="B249" s="1515" t="s">
        <v>2126</v>
      </c>
      <c r="C249" s="1516" t="s">
        <v>363</v>
      </c>
      <c r="D249" s="610"/>
      <c r="E249" s="611"/>
      <c r="F249" s="612"/>
      <c r="G249" s="201"/>
      <c r="H249" s="201"/>
      <c r="I249" s="201"/>
      <c r="J249" s="201"/>
      <c r="K249" s="201"/>
      <c r="L249" s="201"/>
      <c r="M249" s="201"/>
      <c r="N249" s="203"/>
      <c r="R249" s="2035">
        <v>0.77500000000000002</v>
      </c>
      <c r="S249" s="1557" t="s">
        <v>1738</v>
      </c>
      <c r="T249" s="1558" t="s">
        <v>2876</v>
      </c>
      <c r="U249" s="1559" t="s">
        <v>2877</v>
      </c>
      <c r="V249" s="1558" t="s">
        <v>295</v>
      </c>
      <c r="W249" s="1560" t="s">
        <v>474</v>
      </c>
    </row>
    <row r="250" spans="1:28" ht="15" thickBot="1" x14ac:dyDescent="0.4">
      <c r="A250" s="645" t="s">
        <v>1230</v>
      </c>
      <c r="B250" s="1524">
        <f>+((((C251*C252)*(C253-C254)*C255*C258))/(C256*C257))</f>
        <v>0.2358088133455386</v>
      </c>
      <c r="C250" s="1521"/>
      <c r="D250" s="1522"/>
      <c r="E250" s="1523"/>
      <c r="F250" s="612"/>
      <c r="G250" s="201"/>
      <c r="H250" s="201"/>
      <c r="I250" s="201"/>
      <c r="J250" s="201"/>
      <c r="K250" s="201"/>
      <c r="L250" s="201"/>
      <c r="M250" s="201"/>
      <c r="N250" s="203"/>
      <c r="R250" s="2036">
        <v>0.22500000000000001</v>
      </c>
      <c r="S250" s="1574" t="s">
        <v>1738</v>
      </c>
      <c r="T250" s="1575" t="s">
        <v>2878</v>
      </c>
      <c r="U250" s="1576" t="s">
        <v>2877</v>
      </c>
      <c r="V250" s="1575" t="s">
        <v>295</v>
      </c>
      <c r="W250" s="1577" t="s">
        <v>474</v>
      </c>
    </row>
    <row r="251" spans="1:28" ht="15" thickBot="1" x14ac:dyDescent="0.4">
      <c r="A251" s="644" t="s">
        <v>1190</v>
      </c>
      <c r="B251" s="641" t="s">
        <v>1231</v>
      </c>
      <c r="C251" s="1578">
        <v>8.3000000000000004E-2</v>
      </c>
      <c r="D251" s="619" t="s">
        <v>1232</v>
      </c>
      <c r="E251" s="620"/>
      <c r="F251" s="621"/>
      <c r="G251" s="621"/>
      <c r="H251" s="621"/>
      <c r="I251" s="621"/>
      <c r="J251" s="621"/>
      <c r="K251" s="621"/>
      <c r="L251" s="621"/>
      <c r="M251" s="621"/>
      <c r="N251" s="651"/>
    </row>
    <row r="252" spans="1:28" ht="15" thickBot="1" x14ac:dyDescent="0.4">
      <c r="A252" s="645"/>
      <c r="B252" s="641" t="s">
        <v>1056</v>
      </c>
      <c r="C252" s="658">
        <v>24.99</v>
      </c>
      <c r="D252" s="619" t="s">
        <v>1233</v>
      </c>
      <c r="E252" s="620"/>
      <c r="F252" s="621"/>
      <c r="G252" s="621"/>
      <c r="H252" s="621"/>
      <c r="I252" s="621"/>
      <c r="J252" s="621"/>
      <c r="K252" s="621"/>
      <c r="L252" s="621"/>
      <c r="M252" s="621"/>
      <c r="N252" s="651"/>
      <c r="R252" s="2498" t="s">
        <v>3483</v>
      </c>
      <c r="S252" s="2499"/>
      <c r="T252" s="2499"/>
      <c r="U252" s="2499"/>
      <c r="V252" s="2499"/>
      <c r="W252" s="2500"/>
      <c r="Z252" s="2501" t="s">
        <v>2900</v>
      </c>
      <c r="AA252" s="2502"/>
      <c r="AB252" s="2503"/>
    </row>
    <row r="253" spans="1:28" ht="26.5" thickBot="1" x14ac:dyDescent="0.4">
      <c r="A253" s="645"/>
      <c r="B253" s="641" t="s">
        <v>1234</v>
      </c>
      <c r="C253" s="659">
        <f>+C254+$R$257</f>
        <v>125.62</v>
      </c>
      <c r="D253" s="621" t="s">
        <v>2901</v>
      </c>
      <c r="E253" s="620"/>
      <c r="F253" s="621"/>
      <c r="G253" s="621"/>
      <c r="H253" s="621"/>
      <c r="I253" s="621"/>
      <c r="J253" s="621"/>
      <c r="K253" s="621"/>
      <c r="L253" s="621"/>
      <c r="M253" s="621"/>
      <c r="N253" s="651"/>
      <c r="R253" s="2493" t="s">
        <v>2902</v>
      </c>
      <c r="S253" s="1555" t="s">
        <v>2855</v>
      </c>
      <c r="T253" s="2495" t="s">
        <v>1187</v>
      </c>
      <c r="U253" s="2495" t="s">
        <v>503</v>
      </c>
      <c r="V253" s="2495" t="s">
        <v>2856</v>
      </c>
      <c r="W253" s="2497" t="s">
        <v>2857</v>
      </c>
      <c r="Z253" s="1579" t="s">
        <v>2902</v>
      </c>
      <c r="AA253" s="1554" t="s">
        <v>1187</v>
      </c>
      <c r="AB253" s="1580" t="s">
        <v>2903</v>
      </c>
    </row>
    <row r="254" spans="1:28" ht="39.5" thickBot="1" x14ac:dyDescent="0.4">
      <c r="A254" s="645"/>
      <c r="B254" s="641" t="s">
        <v>1235</v>
      </c>
      <c r="C254" s="659">
        <v>120</v>
      </c>
      <c r="D254" s="621" t="s">
        <v>1236</v>
      </c>
      <c r="E254" s="620"/>
      <c r="F254" s="621"/>
      <c r="G254" s="621"/>
      <c r="H254" s="621"/>
      <c r="I254" s="621"/>
      <c r="J254" s="621"/>
      <c r="K254" s="621"/>
      <c r="L254" s="621"/>
      <c r="M254" s="621"/>
      <c r="N254" s="651"/>
      <c r="R254" s="2493"/>
      <c r="S254" s="1555" t="s">
        <v>482</v>
      </c>
      <c r="T254" s="2495"/>
      <c r="U254" s="2495"/>
      <c r="V254" s="2495"/>
      <c r="W254" s="2497"/>
      <c r="Z254" s="2037">
        <v>0.84</v>
      </c>
      <c r="AA254" s="1557" t="s">
        <v>2904</v>
      </c>
      <c r="AB254" s="1582" t="s">
        <v>2905</v>
      </c>
    </row>
    <row r="255" spans="1:28" ht="26.5" thickBot="1" x14ac:dyDescent="0.4">
      <c r="A255" s="645"/>
      <c r="B255" s="641" t="s">
        <v>614</v>
      </c>
      <c r="C255" s="622">
        <v>8766</v>
      </c>
      <c r="D255" s="619" t="s">
        <v>1237</v>
      </c>
      <c r="E255" s="620"/>
      <c r="F255" s="621"/>
      <c r="G255" s="621"/>
      <c r="H255" s="621"/>
      <c r="I255" s="621"/>
      <c r="J255" s="621"/>
      <c r="K255" s="621"/>
      <c r="L255" s="621"/>
      <c r="M255" s="621"/>
      <c r="N255" s="651"/>
      <c r="R255" s="1556">
        <v>8.3000000000000004E-2</v>
      </c>
      <c r="S255" s="1557">
        <v>8.3000000000000004E-2</v>
      </c>
      <c r="T255" s="1558" t="s">
        <v>1231</v>
      </c>
      <c r="U255" s="1559" t="s">
        <v>2906</v>
      </c>
      <c r="V255" s="1558" t="s">
        <v>2862</v>
      </c>
      <c r="W255" s="1560" t="s">
        <v>2863</v>
      </c>
      <c r="Z255" s="2037">
        <v>1.9550000000000001</v>
      </c>
      <c r="AA255" s="1562" t="s">
        <v>2907</v>
      </c>
      <c r="AB255" s="1584" t="s">
        <v>2908</v>
      </c>
    </row>
    <row r="256" spans="1:28" ht="52.5" thickBot="1" x14ac:dyDescent="0.4">
      <c r="A256" s="652"/>
      <c r="B256" s="641">
        <v>100000</v>
      </c>
      <c r="C256" s="622">
        <v>100000</v>
      </c>
      <c r="D256" s="619" t="s">
        <v>1238</v>
      </c>
      <c r="E256" s="620"/>
      <c r="F256" s="621"/>
      <c r="G256" s="621"/>
      <c r="H256" s="621"/>
      <c r="I256" s="621"/>
      <c r="J256" s="621"/>
      <c r="K256" s="621"/>
      <c r="L256" s="621"/>
      <c r="M256" s="621"/>
      <c r="N256" s="651"/>
      <c r="R256" s="1561">
        <v>24.99</v>
      </c>
      <c r="S256" s="1562">
        <v>24.99</v>
      </c>
      <c r="T256" s="1563" t="s">
        <v>1056</v>
      </c>
      <c r="U256" s="1564" t="s">
        <v>2906</v>
      </c>
      <c r="V256" s="1563" t="s">
        <v>2862</v>
      </c>
      <c r="W256" s="1565" t="s">
        <v>2863</v>
      </c>
      <c r="Z256" s="1581">
        <v>7.8</v>
      </c>
      <c r="AA256" s="1557" t="s">
        <v>2909</v>
      </c>
      <c r="AB256" s="1582" t="s">
        <v>2910</v>
      </c>
    </row>
    <row r="257" spans="1:28" ht="52.5" thickBot="1" x14ac:dyDescent="0.4">
      <c r="A257" s="652"/>
      <c r="B257" s="641" t="s">
        <v>1201</v>
      </c>
      <c r="C257" s="638">
        <f>+E315</f>
        <v>0.78</v>
      </c>
      <c r="D257" s="619" t="s">
        <v>1239</v>
      </c>
      <c r="E257" s="620"/>
      <c r="F257" s="621"/>
      <c r="G257" s="621"/>
      <c r="H257" s="621"/>
      <c r="I257" s="621"/>
      <c r="J257" s="621"/>
      <c r="K257" s="621"/>
      <c r="L257" s="621"/>
      <c r="M257" s="621"/>
      <c r="N257" s="651"/>
      <c r="R257" s="2033">
        <v>5.62</v>
      </c>
      <c r="S257" s="1557">
        <v>10</v>
      </c>
      <c r="T257" s="1558" t="s">
        <v>2911</v>
      </c>
      <c r="U257" s="1559" t="s">
        <v>2912</v>
      </c>
      <c r="V257" s="1558" t="s">
        <v>295</v>
      </c>
      <c r="W257" s="1560" t="s">
        <v>474</v>
      </c>
      <c r="Z257" s="2037">
        <v>7.4</v>
      </c>
      <c r="AA257" s="1562" t="s">
        <v>2913</v>
      </c>
      <c r="AB257" s="1584" t="s">
        <v>2908</v>
      </c>
    </row>
    <row r="258" spans="1:28" ht="26.5" thickBot="1" x14ac:dyDescent="0.4">
      <c r="A258" s="652"/>
      <c r="B258" s="641" t="s">
        <v>613</v>
      </c>
      <c r="C258" s="622">
        <f>+$R$262</f>
        <v>0.18</v>
      </c>
      <c r="D258" s="619" t="s">
        <v>2914</v>
      </c>
      <c r="E258" s="620"/>
      <c r="F258" s="621"/>
      <c r="G258" s="621"/>
      <c r="H258" s="621"/>
      <c r="I258" s="621"/>
      <c r="J258" s="621"/>
      <c r="K258" s="621"/>
      <c r="L258" s="621"/>
      <c r="M258" s="621"/>
      <c r="N258" s="651"/>
      <c r="R258" s="1585">
        <v>8766</v>
      </c>
      <c r="S258" s="1586">
        <v>8766</v>
      </c>
      <c r="T258" s="1563" t="s">
        <v>614</v>
      </c>
      <c r="U258" s="1564" t="s">
        <v>2906</v>
      </c>
      <c r="V258" s="1563" t="s">
        <v>2862</v>
      </c>
      <c r="W258" s="1565" t="s">
        <v>2863</v>
      </c>
      <c r="Z258" s="2037">
        <v>2.9649999999999999</v>
      </c>
      <c r="AA258" s="1557" t="s">
        <v>2915</v>
      </c>
      <c r="AB258" s="1582" t="s">
        <v>2908</v>
      </c>
    </row>
    <row r="259" spans="1:28" x14ac:dyDescent="0.35">
      <c r="A259" s="639"/>
      <c r="B259" s="639"/>
      <c r="C259" s="184"/>
      <c r="D259" s="184"/>
      <c r="E259" s="184"/>
      <c r="F259" s="184"/>
      <c r="G259" s="242"/>
      <c r="H259" s="242"/>
      <c r="I259" s="184"/>
      <c r="J259" s="184"/>
      <c r="K259" s="184"/>
      <c r="L259" s="184"/>
      <c r="M259" s="184"/>
      <c r="R259" s="1587">
        <v>100000</v>
      </c>
      <c r="S259" s="1588">
        <v>100000</v>
      </c>
      <c r="T259" s="1558" t="s">
        <v>2916</v>
      </c>
      <c r="U259" s="1559" t="s">
        <v>2906</v>
      </c>
      <c r="V259" s="1558" t="s">
        <v>2862</v>
      </c>
      <c r="W259" s="1560" t="s">
        <v>2863</v>
      </c>
      <c r="Z259" s="1583">
        <v>365.25</v>
      </c>
      <c r="AA259" s="1562" t="s">
        <v>2866</v>
      </c>
      <c r="AB259" s="1584" t="s">
        <v>2910</v>
      </c>
    </row>
    <row r="260" spans="1:28" ht="15" thickBot="1" x14ac:dyDescent="0.4">
      <c r="A260" s="639"/>
      <c r="B260" s="639"/>
      <c r="C260" s="184"/>
      <c r="D260" s="184"/>
      <c r="E260" s="184"/>
      <c r="F260" s="184"/>
      <c r="G260" s="242"/>
      <c r="H260" s="242"/>
      <c r="I260" s="184"/>
      <c r="J260" s="184"/>
      <c r="K260" s="184"/>
      <c r="L260" s="184"/>
      <c r="M260" s="184"/>
      <c r="R260" s="2033">
        <v>0.78</v>
      </c>
      <c r="S260" s="1562">
        <v>0.78</v>
      </c>
      <c r="T260" s="1563" t="s">
        <v>2917</v>
      </c>
      <c r="U260" s="1564" t="s">
        <v>2906</v>
      </c>
      <c r="V260" s="1563" t="s">
        <v>2862</v>
      </c>
      <c r="W260" s="1565" t="s">
        <v>2863</v>
      </c>
      <c r="Z260" s="1581">
        <v>0.6</v>
      </c>
      <c r="AA260" s="1557" t="s">
        <v>610</v>
      </c>
      <c r="AB260" s="1582" t="s">
        <v>2918</v>
      </c>
    </row>
    <row r="261" spans="1:28" ht="26.5" thickBot="1" x14ac:dyDescent="0.5">
      <c r="A261" s="644" t="s">
        <v>2831</v>
      </c>
      <c r="B261" s="1520" t="s">
        <v>2832</v>
      </c>
      <c r="C261" s="606"/>
      <c r="D261" s="606"/>
      <c r="E261" s="607"/>
      <c r="F261" s="608"/>
      <c r="G261" s="608"/>
      <c r="H261" s="609"/>
      <c r="I261" s="608"/>
      <c r="J261" s="468"/>
      <c r="K261" s="468"/>
      <c r="L261" s="468"/>
      <c r="M261" s="468"/>
      <c r="N261" s="469"/>
      <c r="R261" s="2033">
        <v>0.67</v>
      </c>
      <c r="S261" s="1557">
        <v>0.78</v>
      </c>
      <c r="T261" s="1558" t="s">
        <v>2919</v>
      </c>
      <c r="U261" s="1559" t="s">
        <v>2906</v>
      </c>
      <c r="V261" s="1558" t="s">
        <v>2862</v>
      </c>
      <c r="W261" s="1560" t="s">
        <v>474</v>
      </c>
      <c r="Z261" s="2037">
        <v>0.43</v>
      </c>
      <c r="AA261" s="1562" t="s">
        <v>2920</v>
      </c>
      <c r="AB261" s="1584" t="s">
        <v>2908</v>
      </c>
    </row>
    <row r="262" spans="1:28" ht="19" thickBot="1" x14ac:dyDescent="0.5">
      <c r="A262" s="321"/>
      <c r="B262" s="1520" t="s">
        <v>2833</v>
      </c>
      <c r="C262" s="201"/>
      <c r="D262" s="610"/>
      <c r="E262" s="611"/>
      <c r="F262" s="612"/>
      <c r="G262" s="201"/>
      <c r="H262" s="201"/>
      <c r="I262" s="201"/>
      <c r="J262" s="201"/>
      <c r="K262" s="201"/>
      <c r="L262" s="201"/>
      <c r="M262" s="201"/>
      <c r="N262" s="203"/>
      <c r="R262" s="2033">
        <v>0.18</v>
      </c>
      <c r="S262" s="1562">
        <v>0.28999999999999998</v>
      </c>
      <c r="T262" s="1563" t="s">
        <v>2873</v>
      </c>
      <c r="U262" s="1564" t="s">
        <v>2894</v>
      </c>
      <c r="V262" s="1563" t="s">
        <v>295</v>
      </c>
      <c r="W262" s="1565" t="s">
        <v>474</v>
      </c>
      <c r="Z262" s="2038">
        <v>0.01</v>
      </c>
      <c r="AA262" s="1568" t="s">
        <v>2921</v>
      </c>
      <c r="AB262" s="1589" t="s">
        <v>2910</v>
      </c>
    </row>
    <row r="263" spans="1:28" ht="15" thickBot="1" x14ac:dyDescent="0.4">
      <c r="A263" s="124"/>
      <c r="B263" s="1515" t="s">
        <v>2054</v>
      </c>
      <c r="C263" s="1516" t="s">
        <v>44</v>
      </c>
      <c r="D263" s="610"/>
      <c r="E263" s="611"/>
      <c r="F263" s="612"/>
      <c r="G263" s="201"/>
      <c r="H263" s="201"/>
      <c r="I263" s="201"/>
      <c r="J263" s="201"/>
      <c r="K263" s="201"/>
      <c r="L263" s="201"/>
      <c r="M263" s="201"/>
      <c r="N263" s="203"/>
      <c r="R263" s="2033">
        <v>0.21</v>
      </c>
      <c r="S263" s="1557">
        <v>0.28999999999999998</v>
      </c>
      <c r="T263" s="1558" t="s">
        <v>2875</v>
      </c>
      <c r="U263" s="1559" t="s">
        <v>2894</v>
      </c>
      <c r="V263" s="1558" t="s">
        <v>295</v>
      </c>
      <c r="W263" s="1560" t="s">
        <v>474</v>
      </c>
    </row>
    <row r="264" spans="1:28" ht="15" thickBot="1" x14ac:dyDescent="0.4">
      <c r="A264" s="645" t="s">
        <v>2834</v>
      </c>
      <c r="B264" s="1524">
        <f>C266*(C267-C268)*C269*C270*C271*C272</f>
        <v>218.49493873499972</v>
      </c>
      <c r="C264" s="1521">
        <f>+C265*C266*(C267-C268)*C269*C270*C271*C272*C273</f>
        <v>0.91951410017237278</v>
      </c>
      <c r="D264" s="1522"/>
      <c r="E264" s="1523"/>
      <c r="F264" s="612"/>
      <c r="G264" s="201"/>
      <c r="H264" s="201"/>
      <c r="I264" s="201"/>
      <c r="J264" s="201"/>
      <c r="K264" s="201"/>
      <c r="L264" s="201"/>
      <c r="M264" s="201"/>
      <c r="N264" s="203"/>
      <c r="R264" s="2033">
        <v>0.77</v>
      </c>
      <c r="S264" s="1562" t="s">
        <v>1738</v>
      </c>
      <c r="T264" s="1563" t="s">
        <v>2876</v>
      </c>
      <c r="U264" s="1564" t="s">
        <v>2877</v>
      </c>
      <c r="V264" s="1563" t="s">
        <v>295</v>
      </c>
      <c r="W264" s="1565" t="s">
        <v>474</v>
      </c>
    </row>
    <row r="265" spans="1:28" ht="15" thickBot="1" x14ac:dyDescent="0.4">
      <c r="A265" s="644" t="s">
        <v>1190</v>
      </c>
      <c r="B265" s="641" t="s">
        <v>616</v>
      </c>
      <c r="C265" s="1525">
        <f>+$Z$254</f>
        <v>0.84</v>
      </c>
      <c r="D265" s="619" t="s">
        <v>2858</v>
      </c>
      <c r="E265" s="620"/>
      <c r="F265" s="621"/>
      <c r="G265" s="621"/>
      <c r="H265" s="621"/>
      <c r="I265" s="621"/>
      <c r="J265" s="621"/>
      <c r="K265" s="621"/>
      <c r="L265" s="621"/>
      <c r="M265" s="621"/>
      <c r="N265" s="651"/>
      <c r="R265" s="2033">
        <v>0.23</v>
      </c>
      <c r="S265" s="1557" t="s">
        <v>1738</v>
      </c>
      <c r="T265" s="1558" t="s">
        <v>2878</v>
      </c>
      <c r="U265" s="1559" t="s">
        <v>2877</v>
      </c>
      <c r="V265" s="1558" t="s">
        <v>295</v>
      </c>
      <c r="W265" s="1560" t="s">
        <v>474</v>
      </c>
    </row>
    <row r="266" spans="1:28" ht="26.5" thickBot="1" x14ac:dyDescent="0.4">
      <c r="A266" s="645"/>
      <c r="B266" s="641" t="s">
        <v>1253</v>
      </c>
      <c r="C266" s="658">
        <f>+$Z$255</f>
        <v>1.9550000000000001</v>
      </c>
      <c r="D266" s="619" t="s">
        <v>2922</v>
      </c>
      <c r="E266" s="620"/>
      <c r="F266" s="621"/>
      <c r="G266" s="621"/>
      <c r="H266" s="621"/>
      <c r="I266" s="621"/>
      <c r="J266" s="621"/>
      <c r="K266" s="621"/>
      <c r="L266" s="621"/>
      <c r="M266" s="621"/>
      <c r="N266" s="651"/>
      <c r="R266" s="1590">
        <v>0.84</v>
      </c>
      <c r="S266" s="1574">
        <v>1</v>
      </c>
      <c r="T266" s="1575" t="s">
        <v>2142</v>
      </c>
      <c r="U266" s="1576" t="s">
        <v>2860</v>
      </c>
      <c r="V266" s="1575" t="s">
        <v>295</v>
      </c>
      <c r="W266" s="1577" t="s">
        <v>474</v>
      </c>
    </row>
    <row r="267" spans="1:28" ht="15" thickBot="1" x14ac:dyDescent="0.4">
      <c r="A267" s="645"/>
      <c r="B267" s="641" t="s">
        <v>2838</v>
      </c>
      <c r="C267" s="659">
        <v>7.8</v>
      </c>
      <c r="D267" s="621" t="s">
        <v>2839</v>
      </c>
      <c r="E267" s="620"/>
      <c r="F267" s="621"/>
      <c r="G267" s="621"/>
      <c r="H267" s="621"/>
      <c r="I267" s="621"/>
      <c r="J267" s="621"/>
      <c r="K267" s="621"/>
      <c r="L267" s="621"/>
      <c r="M267" s="621"/>
      <c r="N267" s="651"/>
    </row>
    <row r="268" spans="1:28" ht="15" thickBot="1" x14ac:dyDescent="0.4">
      <c r="A268" s="645"/>
      <c r="B268" s="641" t="s">
        <v>2840</v>
      </c>
      <c r="C268" s="659">
        <f>+$Z$257</f>
        <v>7.4</v>
      </c>
      <c r="D268" s="621" t="s">
        <v>2923</v>
      </c>
      <c r="E268" s="620"/>
      <c r="F268" s="621"/>
      <c r="G268" s="621"/>
      <c r="H268" s="621"/>
      <c r="I268" s="621"/>
      <c r="J268" s="621"/>
      <c r="K268" s="621"/>
      <c r="L268" s="621"/>
      <c r="M268" s="621"/>
      <c r="N268" s="651"/>
    </row>
    <row r="269" spans="1:28" ht="15" thickBot="1" x14ac:dyDescent="0.4">
      <c r="A269" s="645"/>
      <c r="B269" s="641" t="s">
        <v>352</v>
      </c>
      <c r="C269" s="622">
        <f>+$Z$258</f>
        <v>2.9649999999999999</v>
      </c>
      <c r="D269" s="619" t="s">
        <v>2924</v>
      </c>
      <c r="E269" s="620"/>
      <c r="F269" s="621"/>
      <c r="G269" s="621"/>
      <c r="H269" s="621"/>
      <c r="I269" s="621"/>
      <c r="J269" s="621"/>
      <c r="K269" s="621"/>
      <c r="L269" s="621"/>
      <c r="M269" s="621"/>
      <c r="N269" s="651"/>
    </row>
    <row r="270" spans="1:28" ht="15" thickBot="1" x14ac:dyDescent="0.4">
      <c r="A270" s="652"/>
      <c r="B270" s="641" t="s">
        <v>2843</v>
      </c>
      <c r="C270" s="622">
        <v>365.25</v>
      </c>
      <c r="D270" s="619" t="s">
        <v>2844</v>
      </c>
      <c r="E270" s="620"/>
      <c r="F270" s="621"/>
      <c r="G270" s="621"/>
      <c r="H270" s="621"/>
      <c r="I270" s="621"/>
      <c r="J270" s="621"/>
      <c r="K270" s="621"/>
      <c r="L270" s="621"/>
      <c r="M270" s="621"/>
      <c r="N270" s="651"/>
    </row>
    <row r="271" spans="1:28" ht="15" thickBot="1" x14ac:dyDescent="0.4">
      <c r="A271" s="652"/>
      <c r="B271" s="641" t="s">
        <v>610</v>
      </c>
      <c r="C271" s="622">
        <v>0.6</v>
      </c>
      <c r="D271" s="619" t="s">
        <v>2845</v>
      </c>
      <c r="E271" s="620"/>
      <c r="F271" s="621"/>
      <c r="G271" s="621"/>
      <c r="H271" s="621"/>
      <c r="I271" s="621"/>
      <c r="J271" s="621"/>
      <c r="K271" s="621"/>
      <c r="L271" s="621"/>
      <c r="M271" s="621"/>
      <c r="N271" s="651"/>
    </row>
    <row r="272" spans="1:28" ht="15" thickBot="1" x14ac:dyDescent="0.4">
      <c r="A272" s="652"/>
      <c r="B272" s="641" t="s">
        <v>2846</v>
      </c>
      <c r="C272" s="622">
        <f>+$Z$261</f>
        <v>0.43</v>
      </c>
      <c r="D272" s="619" t="s">
        <v>2925</v>
      </c>
      <c r="E272" s="620"/>
      <c r="F272" s="621"/>
      <c r="G272" s="621"/>
      <c r="H272" s="621"/>
      <c r="I272" s="621"/>
      <c r="J272" s="621"/>
      <c r="K272" s="621"/>
      <c r="L272" s="621"/>
      <c r="M272" s="621"/>
      <c r="N272" s="651"/>
    </row>
    <row r="273" spans="1:14" ht="15" thickBot="1" x14ac:dyDescent="0.4">
      <c r="A273" s="652"/>
      <c r="B273" s="641" t="s">
        <v>2921</v>
      </c>
      <c r="C273" s="1526">
        <v>5.0099999999999997E-3</v>
      </c>
      <c r="D273" s="619" t="s">
        <v>2849</v>
      </c>
      <c r="E273" s="620"/>
      <c r="F273" s="621"/>
      <c r="G273" s="621"/>
      <c r="H273" s="621"/>
      <c r="I273" s="621"/>
      <c r="J273" s="621"/>
      <c r="K273" s="621"/>
      <c r="L273" s="621"/>
      <c r="M273" s="621"/>
      <c r="N273" s="651"/>
    </row>
    <row r="274" spans="1:14" ht="15" thickBot="1" x14ac:dyDescent="0.4">
      <c r="A274" s="652"/>
      <c r="B274" s="641" t="s">
        <v>1117</v>
      </c>
      <c r="C274" s="1527">
        <v>2</v>
      </c>
      <c r="D274" s="619" t="s">
        <v>2851</v>
      </c>
      <c r="E274" s="620"/>
      <c r="F274" s="621"/>
      <c r="G274" s="621"/>
      <c r="H274" s="621"/>
      <c r="I274" s="621"/>
      <c r="J274" s="621"/>
      <c r="K274" s="621"/>
      <c r="L274" s="621"/>
      <c r="M274" s="621"/>
      <c r="N274" s="651"/>
    </row>
    <row r="275" spans="1:14" ht="15" thickBot="1" x14ac:dyDescent="0.4">
      <c r="A275" s="639"/>
      <c r="B275" s="639"/>
      <c r="C275" s="184"/>
      <c r="D275" s="184"/>
      <c r="E275" s="184"/>
      <c r="F275" s="184"/>
      <c r="G275" s="242"/>
      <c r="H275" s="242"/>
      <c r="I275" s="184"/>
      <c r="J275" s="184"/>
      <c r="K275" s="184"/>
      <c r="L275" s="184"/>
      <c r="M275" s="184"/>
    </row>
    <row r="276" spans="1:14" ht="15" thickBot="1" x14ac:dyDescent="0.4">
      <c r="A276" s="2504" t="s">
        <v>1240</v>
      </c>
      <c r="B276" s="2505"/>
      <c r="C276" s="2505"/>
      <c r="D276" s="2505"/>
      <c r="E276" s="2505"/>
      <c r="F276" s="2506"/>
      <c r="H276" s="2504" t="s">
        <v>1241</v>
      </c>
      <c r="I276" s="2505"/>
      <c r="J276" s="2505"/>
      <c r="K276" s="2505"/>
      <c r="L276" s="2505"/>
      <c r="M276" s="2506"/>
    </row>
    <row r="277" spans="1:14" ht="15" thickBot="1" x14ac:dyDescent="0.4">
      <c r="A277" s="634" t="s">
        <v>672</v>
      </c>
      <c r="B277" s="660" t="s">
        <v>1242</v>
      </c>
      <c r="C277" s="336"/>
      <c r="D277" s="634" t="s">
        <v>341</v>
      </c>
      <c r="E277" s="660" t="s">
        <v>352</v>
      </c>
      <c r="F277" s="653"/>
      <c r="H277" s="634" t="s">
        <v>672</v>
      </c>
      <c r="I277" s="660" t="s">
        <v>1242</v>
      </c>
      <c r="J277" s="336"/>
      <c r="K277" s="634" t="s">
        <v>341</v>
      </c>
      <c r="L277" s="660" t="s">
        <v>352</v>
      </c>
      <c r="M277" s="653"/>
    </row>
    <row r="278" spans="1:14" x14ac:dyDescent="0.35">
      <c r="A278" s="661" t="s">
        <v>451</v>
      </c>
      <c r="B278" s="662">
        <v>0</v>
      </c>
      <c r="C278" s="336"/>
      <c r="D278" s="663" t="s">
        <v>1243</v>
      </c>
      <c r="E278" s="653">
        <v>2.56</v>
      </c>
      <c r="F278" s="653"/>
      <c r="H278" s="661" t="s">
        <v>451</v>
      </c>
      <c r="I278" s="662">
        <v>0</v>
      </c>
      <c r="J278" s="336"/>
      <c r="K278" s="663" t="s">
        <v>1243</v>
      </c>
      <c r="L278" s="653">
        <v>2.56</v>
      </c>
      <c r="M278" s="653"/>
    </row>
    <row r="279" spans="1:14" x14ac:dyDescent="0.35">
      <c r="A279" s="661" t="s">
        <v>397</v>
      </c>
      <c r="B279" s="662">
        <v>1</v>
      </c>
      <c r="C279" s="336"/>
      <c r="D279" s="663" t="s">
        <v>1244</v>
      </c>
      <c r="E279" s="653">
        <v>2.1</v>
      </c>
      <c r="F279" s="653"/>
      <c r="H279" s="661" t="s">
        <v>397</v>
      </c>
      <c r="I279" s="662">
        <v>1</v>
      </c>
      <c r="J279" s="336"/>
      <c r="K279" s="663" t="s">
        <v>1244</v>
      </c>
      <c r="L279" s="653">
        <v>2.1</v>
      </c>
      <c r="M279" s="653"/>
    </row>
    <row r="280" spans="1:14" ht="44" thickBot="1" x14ac:dyDescent="0.4">
      <c r="A280" s="664" t="s">
        <v>399</v>
      </c>
      <c r="B280" s="665">
        <v>0.84</v>
      </c>
      <c r="C280" s="666"/>
      <c r="D280" s="667" t="s">
        <v>295</v>
      </c>
      <c r="E280" s="668" t="s">
        <v>362</v>
      </c>
      <c r="F280" s="653"/>
      <c r="H280" s="664" t="s">
        <v>399</v>
      </c>
      <c r="I280" s="665">
        <v>0.84</v>
      </c>
      <c r="J280" s="669"/>
      <c r="K280" s="670" t="s">
        <v>295</v>
      </c>
      <c r="L280" s="671" t="s">
        <v>362</v>
      </c>
      <c r="M280" s="653"/>
    </row>
    <row r="281" spans="1:14" x14ac:dyDescent="0.35">
      <c r="A281" s="663"/>
      <c r="B281" s="336"/>
      <c r="C281" s="336"/>
      <c r="D281" s="336"/>
      <c r="E281" s="336"/>
      <c r="F281" s="653"/>
      <c r="H281" s="663"/>
      <c r="I281" s="336"/>
      <c r="J281" s="336"/>
      <c r="K281" s="336"/>
      <c r="L281" s="336"/>
      <c r="M281" s="653"/>
    </row>
    <row r="282" spans="1:14" ht="15" thickBot="1" x14ac:dyDescent="0.4">
      <c r="A282" s="663"/>
      <c r="B282" s="336"/>
      <c r="C282" s="336"/>
      <c r="D282" s="336"/>
      <c r="E282" s="336"/>
      <c r="F282" s="653"/>
      <c r="H282" s="663"/>
      <c r="I282" s="336"/>
      <c r="J282" s="336"/>
      <c r="K282" s="336"/>
      <c r="L282" s="336"/>
      <c r="M282" s="653"/>
    </row>
    <row r="283" spans="1:14" ht="15" thickBot="1" x14ac:dyDescent="0.4">
      <c r="A283" s="188" t="s">
        <v>0</v>
      </c>
      <c r="B283" s="576" t="s">
        <v>606</v>
      </c>
      <c r="C283" s="336"/>
      <c r="D283" s="2469" t="s">
        <v>611</v>
      </c>
      <c r="E283" s="2471"/>
      <c r="F283" s="653"/>
      <c r="H283" s="188"/>
      <c r="I283" s="576" t="s">
        <v>606</v>
      </c>
      <c r="J283" s="336"/>
      <c r="K283" s="2469" t="s">
        <v>1211</v>
      </c>
      <c r="L283" s="2471"/>
      <c r="M283" s="653"/>
    </row>
    <row r="284" spans="1:14" x14ac:dyDescent="0.35">
      <c r="A284" s="661" t="s">
        <v>1245</v>
      </c>
      <c r="B284" s="672">
        <v>2.67</v>
      </c>
      <c r="C284" s="336"/>
      <c r="D284" s="663" t="s">
        <v>400</v>
      </c>
      <c r="E284" s="653">
        <v>1.79</v>
      </c>
      <c r="F284" s="653"/>
      <c r="H284" s="661" t="s">
        <v>1246</v>
      </c>
      <c r="I284" s="1955">
        <v>1.53</v>
      </c>
      <c r="J284" s="336"/>
      <c r="K284" s="663" t="s">
        <v>1247</v>
      </c>
      <c r="L284" s="673">
        <v>0.75</v>
      </c>
      <c r="M284" s="653"/>
    </row>
    <row r="285" spans="1:14" ht="44" thickBot="1" x14ac:dyDescent="0.4">
      <c r="A285" s="674" t="s">
        <v>1248</v>
      </c>
      <c r="B285" s="1962">
        <v>2.2400000000000002</v>
      </c>
      <c r="C285" s="336"/>
      <c r="D285" s="675" t="s">
        <v>361</v>
      </c>
      <c r="E285" s="676">
        <v>1.3</v>
      </c>
      <c r="F285" s="653"/>
      <c r="H285" s="677" t="s">
        <v>1249</v>
      </c>
      <c r="I285" s="678" t="s">
        <v>1250</v>
      </c>
      <c r="J285" s="336"/>
      <c r="K285" s="679" t="s">
        <v>1251</v>
      </c>
      <c r="L285" s="680">
        <v>0.9</v>
      </c>
      <c r="M285" s="653"/>
    </row>
    <row r="286" spans="1:14" ht="15" thickBot="1" x14ac:dyDescent="0.4">
      <c r="A286" s="663"/>
      <c r="B286" s="336"/>
      <c r="C286" s="336"/>
      <c r="D286" s="670" t="s">
        <v>295</v>
      </c>
      <c r="E286" s="671" t="s">
        <v>468</v>
      </c>
      <c r="F286" s="653"/>
      <c r="H286" s="663"/>
      <c r="I286" s="336"/>
      <c r="J286" s="336"/>
      <c r="K286" s="667" t="s">
        <v>399</v>
      </c>
      <c r="L286" s="681">
        <v>0.79500000000000004</v>
      </c>
      <c r="M286" s="653"/>
    </row>
    <row r="287" spans="1:14" ht="15" thickBot="1" x14ac:dyDescent="0.4">
      <c r="A287" s="2469" t="s">
        <v>671</v>
      </c>
      <c r="B287" s="2471"/>
      <c r="C287" s="336"/>
      <c r="D287" s="336"/>
      <c r="E287" s="336"/>
      <c r="F287" s="653"/>
      <c r="H287" s="188"/>
      <c r="I287" s="576" t="s">
        <v>608</v>
      </c>
      <c r="J287" s="336"/>
      <c r="K287" s="336"/>
      <c r="L287" s="336"/>
      <c r="M287" s="653"/>
    </row>
    <row r="288" spans="1:14" ht="15" thickBot="1" x14ac:dyDescent="0.4">
      <c r="A288" s="2498" t="s">
        <v>1252</v>
      </c>
      <c r="B288" s="2500"/>
      <c r="C288" s="336"/>
      <c r="D288" s="2469" t="s">
        <v>617</v>
      </c>
      <c r="E288" s="2471"/>
      <c r="F288" s="653"/>
      <c r="H288" s="661" t="s">
        <v>1246</v>
      </c>
      <c r="I288" s="672">
        <v>0.94</v>
      </c>
      <c r="J288" s="336"/>
      <c r="K288" s="2469" t="s">
        <v>617</v>
      </c>
      <c r="L288" s="2471"/>
      <c r="M288" s="653"/>
    </row>
    <row r="289" spans="1:13" ht="44" thickBot="1" x14ac:dyDescent="0.4">
      <c r="A289" s="663">
        <v>2</v>
      </c>
      <c r="B289" s="653" t="s">
        <v>1253</v>
      </c>
      <c r="C289" s="336"/>
      <c r="D289" s="663" t="s">
        <v>400</v>
      </c>
      <c r="E289" s="653">
        <v>5.0099999999999997E-3</v>
      </c>
      <c r="F289" s="653"/>
      <c r="H289" s="677" t="s">
        <v>1249</v>
      </c>
      <c r="I289" s="678" t="s">
        <v>1254</v>
      </c>
      <c r="J289" s="336"/>
      <c r="K289" s="663" t="s">
        <v>1255</v>
      </c>
      <c r="L289" s="682">
        <v>3.4099999999999998E-3</v>
      </c>
      <c r="M289" s="653"/>
    </row>
    <row r="290" spans="1:13" ht="15" thickBot="1" x14ac:dyDescent="0.4">
      <c r="A290" s="663">
        <v>1.75</v>
      </c>
      <c r="B290" s="653" t="s">
        <v>1253</v>
      </c>
      <c r="C290" s="336"/>
      <c r="D290" s="683" t="s">
        <v>361</v>
      </c>
      <c r="E290" s="656">
        <v>5.8300000000000001E-3</v>
      </c>
      <c r="F290" s="653"/>
      <c r="H290" s="663"/>
      <c r="I290" s="336"/>
      <c r="J290" s="653"/>
      <c r="K290" s="663" t="s">
        <v>1256</v>
      </c>
      <c r="L290" s="682">
        <v>4.15E-3</v>
      </c>
      <c r="M290" s="653"/>
    </row>
    <row r="291" spans="1:13" ht="15" thickBot="1" x14ac:dyDescent="0.4">
      <c r="A291" s="663">
        <v>1.5</v>
      </c>
      <c r="B291" s="653" t="s">
        <v>1253</v>
      </c>
      <c r="C291" s="336"/>
      <c r="D291" s="684"/>
      <c r="E291" s="685"/>
      <c r="F291" s="653"/>
      <c r="H291" s="76" t="s">
        <v>1257</v>
      </c>
      <c r="I291" s="410" t="s">
        <v>1258</v>
      </c>
      <c r="J291" s="336"/>
      <c r="K291" s="663" t="s">
        <v>1259</v>
      </c>
      <c r="L291" s="682">
        <v>3.9399999999999999E-3</v>
      </c>
      <c r="M291" s="653"/>
    </row>
    <row r="292" spans="1:13" ht="15" thickBot="1" x14ac:dyDescent="0.4">
      <c r="A292" s="683" t="s">
        <v>1260</v>
      </c>
      <c r="B292" s="656" t="s">
        <v>1253</v>
      </c>
      <c r="C292" s="336"/>
      <c r="D292" s="2469" t="s">
        <v>617</v>
      </c>
      <c r="E292" s="2471"/>
      <c r="F292" s="653"/>
      <c r="H292" s="663" t="s">
        <v>1247</v>
      </c>
      <c r="I292" s="653">
        <v>4.5</v>
      </c>
      <c r="J292" s="336"/>
      <c r="K292" s="663" t="s">
        <v>1261</v>
      </c>
      <c r="L292" s="686">
        <v>3.9699999999999996E-3</v>
      </c>
      <c r="M292" s="653"/>
    </row>
    <row r="293" spans="1:13" x14ac:dyDescent="0.35">
      <c r="A293" s="663"/>
      <c r="B293" s="336"/>
      <c r="C293" s="336"/>
      <c r="D293" s="663" t="s">
        <v>400</v>
      </c>
      <c r="E293" s="673">
        <v>0.78</v>
      </c>
      <c r="F293" s="653"/>
      <c r="H293" s="663" t="s">
        <v>1262</v>
      </c>
      <c r="I293" s="653">
        <v>1.6</v>
      </c>
      <c r="J293" s="336"/>
      <c r="K293" s="663" t="s">
        <v>1263</v>
      </c>
      <c r="L293" s="682">
        <v>4.8399999999999997E-3</v>
      </c>
      <c r="M293" s="653"/>
    </row>
    <row r="294" spans="1:13" ht="73" thickBot="1" x14ac:dyDescent="0.4">
      <c r="A294" s="663"/>
      <c r="B294" s="336"/>
      <c r="C294" s="336"/>
      <c r="D294" s="687" t="s">
        <v>361</v>
      </c>
      <c r="E294" s="688">
        <v>0.67</v>
      </c>
      <c r="F294" s="653"/>
      <c r="H294" s="689" t="s">
        <v>1264</v>
      </c>
      <c r="I294" s="653">
        <v>9</v>
      </c>
      <c r="J294" s="336"/>
      <c r="K294" s="683" t="s">
        <v>1265</v>
      </c>
      <c r="L294" s="690">
        <v>4.5900000000000003E-3</v>
      </c>
      <c r="M294" s="653"/>
    </row>
    <row r="295" spans="1:13" ht="73" thickBot="1" x14ac:dyDescent="0.4">
      <c r="A295" s="2507" t="s">
        <v>1266</v>
      </c>
      <c r="B295" s="2508"/>
      <c r="C295" s="2509"/>
      <c r="D295" s="336"/>
      <c r="E295" s="336"/>
      <c r="F295" s="653"/>
      <c r="H295" s="691" t="s">
        <v>1267</v>
      </c>
      <c r="I295" s="656">
        <v>6.9</v>
      </c>
      <c r="J295" s="336"/>
      <c r="K295" s="336"/>
      <c r="L295" s="336"/>
      <c r="M295" s="653"/>
    </row>
    <row r="296" spans="1:13" ht="15" thickBot="1" x14ac:dyDescent="0.4">
      <c r="A296" s="663" t="s">
        <v>1268</v>
      </c>
      <c r="B296" s="336">
        <v>7.8</v>
      </c>
      <c r="C296" s="653" t="s">
        <v>1269</v>
      </c>
      <c r="D296" s="336"/>
      <c r="E296" s="336"/>
      <c r="F296" s="653"/>
      <c r="H296" s="663"/>
      <c r="I296" s="336"/>
      <c r="J296" s="336"/>
      <c r="K296" s="336"/>
      <c r="L296" s="336"/>
      <c r="M296" s="653"/>
    </row>
    <row r="297" spans="1:13" ht="15" thickBot="1" x14ac:dyDescent="0.4">
      <c r="A297" s="683" t="s">
        <v>1270</v>
      </c>
      <c r="B297" s="636">
        <v>7.8</v>
      </c>
      <c r="C297" s="656" t="s">
        <v>1269</v>
      </c>
      <c r="D297" s="336"/>
      <c r="E297" s="336"/>
      <c r="F297" s="653"/>
      <c r="H297" s="76" t="s">
        <v>1257</v>
      </c>
      <c r="I297" s="410" t="s">
        <v>1271</v>
      </c>
      <c r="J297" s="336"/>
      <c r="K297" s="188" t="s">
        <v>1257</v>
      </c>
      <c r="L297" s="410" t="s">
        <v>1213</v>
      </c>
      <c r="M297" s="653"/>
    </row>
    <row r="298" spans="1:13" x14ac:dyDescent="0.35">
      <c r="A298" s="663"/>
      <c r="B298" s="336"/>
      <c r="C298" s="336"/>
      <c r="D298" s="336"/>
      <c r="E298" s="336"/>
      <c r="F298" s="653"/>
      <c r="H298" s="663" t="s">
        <v>1247</v>
      </c>
      <c r="I298" s="653">
        <v>4.5</v>
      </c>
      <c r="J298" s="336"/>
      <c r="K298" s="661" t="s">
        <v>1272</v>
      </c>
      <c r="L298" s="653">
        <v>1</v>
      </c>
      <c r="M298" s="653"/>
    </row>
    <row r="299" spans="1:13" x14ac:dyDescent="0.35">
      <c r="A299" s="2510" t="s">
        <v>1150</v>
      </c>
      <c r="B299" s="2511"/>
      <c r="C299" s="2511"/>
      <c r="D299" s="336"/>
      <c r="E299" s="336"/>
      <c r="F299" s="653"/>
      <c r="H299" s="663" t="s">
        <v>1262</v>
      </c>
      <c r="I299" s="653">
        <v>1.6</v>
      </c>
      <c r="J299" s="336"/>
      <c r="K299" s="661" t="s">
        <v>1273</v>
      </c>
      <c r="L299" s="653">
        <v>2.83</v>
      </c>
      <c r="M299" s="653"/>
    </row>
    <row r="300" spans="1:13" ht="73" thickBot="1" x14ac:dyDescent="0.4">
      <c r="A300" s="692" t="s">
        <v>1</v>
      </c>
      <c r="B300" s="693" t="s">
        <v>1274</v>
      </c>
      <c r="C300" s="336"/>
      <c r="D300" s="336"/>
      <c r="E300" s="336"/>
      <c r="F300" s="653"/>
      <c r="H300" s="689" t="s">
        <v>1264</v>
      </c>
      <c r="I300" s="653">
        <v>9</v>
      </c>
      <c r="J300" s="336"/>
      <c r="K300" s="661" t="s">
        <v>1275</v>
      </c>
      <c r="L300" s="653">
        <v>1.5</v>
      </c>
      <c r="M300" s="653"/>
    </row>
    <row r="301" spans="1:13" ht="73" thickBot="1" x14ac:dyDescent="0.4">
      <c r="A301" s="694"/>
      <c r="B301" s="695" t="s">
        <v>1175</v>
      </c>
      <c r="C301" s="336"/>
      <c r="D301" s="336"/>
      <c r="E301" s="336"/>
      <c r="F301" s="653"/>
      <c r="H301" s="691" t="s">
        <v>1267</v>
      </c>
      <c r="I301" s="656">
        <v>6.9</v>
      </c>
      <c r="J301" s="336"/>
      <c r="K301" s="689" t="s">
        <v>1264</v>
      </c>
      <c r="L301" s="653">
        <v>3.83</v>
      </c>
      <c r="M301" s="653"/>
    </row>
    <row r="302" spans="1:13" ht="29.5" thickBot="1" x14ac:dyDescent="0.4">
      <c r="A302" s="696" t="s">
        <v>1153</v>
      </c>
      <c r="B302" s="1956">
        <v>0.62</v>
      </c>
      <c r="C302" s="336"/>
      <c r="D302" s="336"/>
      <c r="E302" s="336"/>
      <c r="F302" s="653"/>
      <c r="H302" s="698"/>
      <c r="I302" s="336"/>
      <c r="J302" s="336"/>
      <c r="K302" s="691" t="s">
        <v>1267</v>
      </c>
      <c r="L302" s="656">
        <v>2.5</v>
      </c>
      <c r="M302" s="653"/>
    </row>
    <row r="303" spans="1:13" ht="15" thickBot="1" x14ac:dyDescent="0.4">
      <c r="A303" s="696" t="s">
        <v>1154</v>
      </c>
      <c r="B303" s="697">
        <v>0.67</v>
      </c>
      <c r="C303" s="336"/>
      <c r="D303" s="336"/>
      <c r="E303" s="336"/>
      <c r="F303" s="653"/>
      <c r="H303" s="2469" t="s">
        <v>617</v>
      </c>
      <c r="I303" s="2471"/>
      <c r="J303" s="336"/>
      <c r="K303" s="336"/>
      <c r="L303" s="336"/>
      <c r="M303" s="653"/>
    </row>
    <row r="304" spans="1:13" ht="15" thickBot="1" x14ac:dyDescent="0.4">
      <c r="A304" s="696" t="s">
        <v>1276</v>
      </c>
      <c r="B304" s="1956">
        <v>0.57999999999999996</v>
      </c>
      <c r="C304" s="336"/>
      <c r="D304" s="336"/>
      <c r="E304" s="336"/>
      <c r="F304" s="653"/>
      <c r="H304" s="663" t="s">
        <v>400</v>
      </c>
      <c r="I304" s="673">
        <v>0.78</v>
      </c>
      <c r="J304" s="336"/>
      <c r="K304" s="336"/>
      <c r="L304" s="336"/>
      <c r="M304" s="653"/>
    </row>
    <row r="305" spans="1:28" ht="15" thickBot="1" x14ac:dyDescent="0.4">
      <c r="A305" s="696" t="s">
        <v>1156</v>
      </c>
      <c r="B305" s="1956">
        <v>0.61</v>
      </c>
      <c r="C305" s="636"/>
      <c r="D305" s="636"/>
      <c r="E305" s="636"/>
      <c r="F305" s="656"/>
      <c r="H305" s="683" t="s">
        <v>361</v>
      </c>
      <c r="I305" s="699">
        <v>0.67</v>
      </c>
      <c r="J305" s="636"/>
      <c r="K305" s="636"/>
      <c r="L305" s="636"/>
      <c r="M305" s="656"/>
    </row>
    <row r="311" spans="1:28" ht="15" thickBot="1" x14ac:dyDescent="0.4"/>
    <row r="312" spans="1:28" ht="15" thickBot="1" x14ac:dyDescent="0.4">
      <c r="A312" s="2504" t="s">
        <v>1277</v>
      </c>
      <c r="B312" s="2505"/>
      <c r="C312" s="2505"/>
      <c r="D312" s="2505"/>
      <c r="E312" s="2505"/>
      <c r="F312" s="2506"/>
    </row>
    <row r="313" spans="1:28" ht="15" thickBot="1" x14ac:dyDescent="0.4">
      <c r="A313" s="124"/>
      <c r="B313" s="83"/>
      <c r="C313" s="83"/>
      <c r="D313" s="83"/>
      <c r="E313" s="83"/>
      <c r="F313" s="125"/>
    </row>
    <row r="314" spans="1:28" ht="15" thickBot="1" x14ac:dyDescent="0.4">
      <c r="A314" s="2498" t="s">
        <v>1278</v>
      </c>
      <c r="B314" s="2500"/>
      <c r="C314" s="83"/>
      <c r="D314" s="2469" t="s">
        <v>617</v>
      </c>
      <c r="E314" s="2471"/>
      <c r="F314" s="125"/>
    </row>
    <row r="315" spans="1:28" ht="17" thickBot="1" x14ac:dyDescent="0.4">
      <c r="A315" s="700" t="s">
        <v>1279</v>
      </c>
      <c r="B315" s="701" t="s">
        <v>1280</v>
      </c>
      <c r="C315" s="83"/>
      <c r="D315" s="663" t="s">
        <v>400</v>
      </c>
      <c r="E315" s="673">
        <v>0.78</v>
      </c>
      <c r="F315" s="125"/>
    </row>
    <row r="316" spans="1:28" ht="15" thickBot="1" x14ac:dyDescent="0.4">
      <c r="A316" s="124">
        <v>30</v>
      </c>
      <c r="B316" s="125">
        <v>19.16</v>
      </c>
      <c r="C316" s="83"/>
      <c r="D316" s="683" t="s">
        <v>361</v>
      </c>
      <c r="E316" s="699">
        <v>0.67</v>
      </c>
      <c r="F316" s="125"/>
    </row>
    <row r="317" spans="1:28" x14ac:dyDescent="0.35">
      <c r="A317" s="124">
        <v>40</v>
      </c>
      <c r="B317" s="125">
        <v>23.18</v>
      </c>
      <c r="C317" s="83"/>
      <c r="D317" s="83"/>
      <c r="E317" s="83"/>
      <c r="F317" s="125"/>
    </row>
    <row r="318" spans="1:28" x14ac:dyDescent="0.35">
      <c r="A318" s="124">
        <v>50</v>
      </c>
      <c r="B318" s="125">
        <v>24.99</v>
      </c>
      <c r="C318" s="83"/>
      <c r="D318" s="83"/>
      <c r="E318" s="83"/>
      <c r="F318" s="125"/>
    </row>
    <row r="319" spans="1:28" s="268" customFormat="1" ht="15" thickBot="1" x14ac:dyDescent="0.4">
      <c r="A319" s="321">
        <v>80</v>
      </c>
      <c r="B319" s="203">
        <v>31.84</v>
      </c>
      <c r="C319" s="201"/>
      <c r="D319" s="201"/>
      <c r="E319" s="201"/>
      <c r="F319" s="203"/>
      <c r="I319"/>
      <c r="J319"/>
      <c r="K319"/>
      <c r="L319"/>
      <c r="M319"/>
      <c r="N319"/>
      <c r="O319"/>
      <c r="P319"/>
      <c r="Q319"/>
      <c r="R319"/>
      <c r="S319"/>
      <c r="T319"/>
      <c r="U319"/>
      <c r="V319"/>
      <c r="W319"/>
      <c r="X319"/>
      <c r="Y319"/>
      <c r="Z319"/>
      <c r="AA319"/>
      <c r="AB319"/>
    </row>
    <row r="320" spans="1:28" s="268" customFormat="1" x14ac:dyDescent="0.35">
      <c r="I320"/>
      <c r="J320"/>
      <c r="K320"/>
      <c r="L320"/>
      <c r="M320"/>
      <c r="N320"/>
      <c r="O320"/>
      <c r="P320"/>
      <c r="Q320"/>
      <c r="R320"/>
      <c r="S320"/>
      <c r="T320"/>
      <c r="U320"/>
      <c r="V320"/>
      <c r="W320"/>
      <c r="X320"/>
      <c r="Y320"/>
      <c r="Z320"/>
      <c r="AA320"/>
      <c r="AB320"/>
    </row>
    <row r="321" spans="9:28" s="268" customFormat="1" x14ac:dyDescent="0.35">
      <c r="I321"/>
      <c r="J321"/>
      <c r="K321"/>
      <c r="L321"/>
      <c r="M321"/>
      <c r="N321"/>
      <c r="O321"/>
      <c r="P321"/>
      <c r="Q321"/>
      <c r="R321"/>
      <c r="S321"/>
      <c r="T321"/>
      <c r="U321"/>
      <c r="V321"/>
      <c r="W321"/>
      <c r="X321"/>
      <c r="Y321"/>
      <c r="Z321"/>
      <c r="AA321"/>
      <c r="AB321"/>
    </row>
    <row r="322" spans="9:28" s="268" customFormat="1" x14ac:dyDescent="0.35">
      <c r="I322"/>
      <c r="J322"/>
      <c r="K322"/>
      <c r="L322"/>
      <c r="M322"/>
      <c r="N322"/>
      <c r="O322"/>
      <c r="P322"/>
      <c r="Q322"/>
      <c r="R322"/>
      <c r="S322"/>
      <c r="T322"/>
      <c r="U322"/>
      <c r="V322"/>
      <c r="W322"/>
      <c r="X322"/>
      <c r="Y322"/>
      <c r="Z322"/>
      <c r="AA322"/>
      <c r="AB322"/>
    </row>
    <row r="323" spans="9:28" s="268" customFormat="1" x14ac:dyDescent="0.35">
      <c r="I323"/>
      <c r="J323"/>
      <c r="K323"/>
      <c r="L323"/>
      <c r="M323"/>
      <c r="N323"/>
      <c r="O323"/>
      <c r="P323"/>
      <c r="Q323"/>
      <c r="R323"/>
      <c r="S323"/>
      <c r="T323"/>
      <c r="U323"/>
      <c r="V323"/>
      <c r="W323"/>
      <c r="X323"/>
      <c r="Y323"/>
      <c r="Z323"/>
      <c r="AA323"/>
      <c r="AB323"/>
    </row>
    <row r="324" spans="9:28" s="268" customFormat="1" x14ac:dyDescent="0.35">
      <c r="I324"/>
      <c r="J324"/>
      <c r="K324"/>
      <c r="L324"/>
      <c r="M324"/>
      <c r="N324"/>
      <c r="O324"/>
      <c r="P324"/>
      <c r="Q324"/>
      <c r="R324"/>
      <c r="S324"/>
      <c r="T324"/>
      <c r="U324"/>
      <c r="V324"/>
      <c r="W324"/>
      <c r="X324"/>
      <c r="Y324"/>
      <c r="Z324"/>
      <c r="AA324"/>
      <c r="AB324"/>
    </row>
    <row r="325" spans="9:28" s="268" customFormat="1" x14ac:dyDescent="0.35">
      <c r="I325"/>
      <c r="J325"/>
      <c r="K325"/>
      <c r="L325"/>
      <c r="M325"/>
      <c r="N325"/>
      <c r="O325"/>
      <c r="P325"/>
      <c r="Q325"/>
      <c r="R325"/>
      <c r="S325"/>
      <c r="T325"/>
      <c r="U325"/>
      <c r="V325"/>
      <c r="W325"/>
      <c r="X325"/>
      <c r="Y325"/>
      <c r="Z325"/>
      <c r="AA325"/>
      <c r="AB325"/>
    </row>
    <row r="326" spans="9:28" s="268" customFormat="1" x14ac:dyDescent="0.35">
      <c r="I326"/>
      <c r="J326"/>
      <c r="K326"/>
      <c r="L326"/>
      <c r="M326"/>
      <c r="N326"/>
      <c r="O326"/>
      <c r="P326"/>
      <c r="Q326"/>
      <c r="R326"/>
      <c r="S326"/>
      <c r="T326"/>
      <c r="U326"/>
      <c r="V326"/>
      <c r="W326"/>
      <c r="X326"/>
      <c r="Y326"/>
      <c r="Z326"/>
      <c r="AA326"/>
      <c r="AB326"/>
    </row>
    <row r="327" spans="9:28" s="268" customFormat="1" x14ac:dyDescent="0.35">
      <c r="I327"/>
      <c r="J327"/>
      <c r="K327"/>
      <c r="L327"/>
      <c r="M327"/>
      <c r="N327"/>
      <c r="O327"/>
      <c r="P327"/>
      <c r="Q327"/>
      <c r="R327"/>
      <c r="S327"/>
      <c r="T327"/>
      <c r="U327"/>
      <c r="V327"/>
      <c r="W327"/>
      <c r="X327"/>
      <c r="Y327"/>
      <c r="Z327"/>
      <c r="AA327"/>
      <c r="AB327"/>
    </row>
  </sheetData>
  <customSheetViews>
    <customSheetView guid="{11DE45F5-F478-4ED6-8DFF-12002C22A637}" scale="70" showPageBreaks="1" printArea="1" view="pageBreakPreview">
      <selection activeCell="C35" sqref="C35"/>
      <rowBreaks count="1" manualBreakCount="1">
        <brk id="74" max="27" man="1"/>
      </rowBreaks>
      <pageMargins left="0.7" right="0.7" top="0.75" bottom="0.75" header="0.3" footer="0.3"/>
      <pageSetup scale="14" fitToHeight="2" orientation="portrait" r:id="rId1"/>
    </customSheetView>
    <customSheetView guid="{ECD6FE6A-9548-414E-B8AA-6998703C57E0}" scale="70" showPageBreaks="1" printArea="1" view="pageBreakPreview">
      <selection activeCell="C35" sqref="C35"/>
      <rowBreaks count="1" manualBreakCount="1">
        <brk id="74" max="27" man="1"/>
      </rowBreaks>
      <pageMargins left="0.7" right="0.7" top="0.75" bottom="0.75" header="0.3" footer="0.3"/>
      <pageSetup scale="14" fitToHeight="2" orientation="portrait" r:id="rId2"/>
    </customSheetView>
  </customSheetViews>
  <mergeCells count="47">
    <mergeCell ref="A314:B314"/>
    <mergeCell ref="D314:E314"/>
    <mergeCell ref="A276:F276"/>
    <mergeCell ref="H276:M276"/>
    <mergeCell ref="D283:E283"/>
    <mergeCell ref="K283:L283"/>
    <mergeCell ref="A287:B287"/>
    <mergeCell ref="A288:B288"/>
    <mergeCell ref="D288:E288"/>
    <mergeCell ref="K288:L288"/>
    <mergeCell ref="D292:E292"/>
    <mergeCell ref="A295:C295"/>
    <mergeCell ref="A299:C299"/>
    <mergeCell ref="H303:I303"/>
    <mergeCell ref="A312:F312"/>
    <mergeCell ref="R252:W252"/>
    <mergeCell ref="Z252:AB252"/>
    <mergeCell ref="R253:R254"/>
    <mergeCell ref="T253:T254"/>
    <mergeCell ref="U253:U254"/>
    <mergeCell ref="V253:V254"/>
    <mergeCell ref="W253:W254"/>
    <mergeCell ref="R232:W232"/>
    <mergeCell ref="R233:R234"/>
    <mergeCell ref="T233:T234"/>
    <mergeCell ref="U233:U234"/>
    <mergeCell ref="V233:V234"/>
    <mergeCell ref="W233:W234"/>
    <mergeCell ref="R208:W208"/>
    <mergeCell ref="R209:R210"/>
    <mergeCell ref="T209:T210"/>
    <mergeCell ref="U209:U210"/>
    <mergeCell ref="V209:V210"/>
    <mergeCell ref="W209:W210"/>
    <mergeCell ref="B67:C67"/>
    <mergeCell ref="R186:W186"/>
    <mergeCell ref="T187:T188"/>
    <mergeCell ref="U187:U188"/>
    <mergeCell ref="V187:V188"/>
    <mergeCell ref="W187:W188"/>
    <mergeCell ref="Q49:S49"/>
    <mergeCell ref="A66:C66"/>
    <mergeCell ref="A58:E58"/>
    <mergeCell ref="B4:E4"/>
    <mergeCell ref="I13:J13"/>
    <mergeCell ref="I14:J14"/>
    <mergeCell ref="K49:O49"/>
  </mergeCells>
  <pageMargins left="0.7" right="0.7" top="0.75" bottom="0.75" header="0.3" footer="0.3"/>
  <pageSetup scale="14" fitToHeight="2" orientation="portrait" r:id="rId3"/>
  <rowBreaks count="1" manualBreakCount="1">
    <brk id="74" max="27" man="1"/>
  </rowBreaks>
  <ignoredErrors>
    <ignoredError sqref="C56" formula="1"/>
  </ignoredErrors>
  <drawing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5:Q47"/>
  <sheetViews>
    <sheetView workbookViewId="0">
      <selection activeCell="J23" sqref="J23"/>
    </sheetView>
  </sheetViews>
  <sheetFormatPr defaultRowHeight="14.5" x14ac:dyDescent="0.35"/>
  <cols>
    <col min="2" max="2" width="20.453125" bestFit="1" customWidth="1"/>
    <col min="4" max="4" width="15.54296875" customWidth="1"/>
    <col min="10" max="10" width="15.81640625" customWidth="1"/>
    <col min="16" max="16" width="12.81640625" bestFit="1" customWidth="1"/>
  </cols>
  <sheetData>
    <row r="5" spans="2:11" x14ac:dyDescent="0.35">
      <c r="B5" s="1352" t="s">
        <v>838</v>
      </c>
      <c r="C5" s="2512" t="s">
        <v>2524</v>
      </c>
      <c r="D5" s="2513"/>
      <c r="E5" s="2513"/>
      <c r="F5" s="2513"/>
      <c r="G5" s="2513"/>
      <c r="H5" s="2514"/>
    </row>
    <row r="6" spans="2:11" ht="39" x14ac:dyDescent="0.35">
      <c r="B6" s="1352"/>
      <c r="C6" s="1352" t="s">
        <v>1639</v>
      </c>
      <c r="D6" s="1352" t="s">
        <v>2525</v>
      </c>
      <c r="E6" s="1352" t="s">
        <v>2526</v>
      </c>
      <c r="F6" s="1352" t="s">
        <v>1767</v>
      </c>
      <c r="G6" s="1352" t="s">
        <v>1643</v>
      </c>
      <c r="H6" s="1351" t="s">
        <v>738</v>
      </c>
      <c r="J6" t="s">
        <v>2347</v>
      </c>
    </row>
    <row r="7" spans="2:11" x14ac:dyDescent="0.35">
      <c r="B7" s="1353" t="s">
        <v>1648</v>
      </c>
      <c r="C7" s="1354">
        <v>1787</v>
      </c>
      <c r="D7" s="1354">
        <v>1831</v>
      </c>
      <c r="E7" s="1354">
        <v>1635</v>
      </c>
      <c r="F7" s="1354">
        <v>1089</v>
      </c>
      <c r="G7" s="1354">
        <v>1669</v>
      </c>
      <c r="H7" s="1">
        <f>C7*$K$7+D7*$K$8+E7*$K$9</f>
        <v>1798.1999999999998</v>
      </c>
      <c r="J7" s="1" t="s">
        <v>1125</v>
      </c>
      <c r="K7" s="288">
        <v>0.3</v>
      </c>
    </row>
    <row r="8" spans="2:11" x14ac:dyDescent="0.35">
      <c r="B8" s="1353" t="s">
        <v>1651</v>
      </c>
      <c r="C8" s="1354">
        <v>1683</v>
      </c>
      <c r="D8" s="1354">
        <v>1646</v>
      </c>
      <c r="E8" s="1354">
        <v>1446</v>
      </c>
      <c r="F8" s="1354">
        <v>1063</v>
      </c>
      <c r="G8" s="1354">
        <v>1277</v>
      </c>
      <c r="H8" s="1">
        <f t="shared" ref="H8:H40" si="0">C8*$K$7+D8*$K$8+E8*$K$9</f>
        <v>1637.1</v>
      </c>
      <c r="J8" s="1" t="s">
        <v>460</v>
      </c>
      <c r="K8" s="288">
        <v>0.6</v>
      </c>
    </row>
    <row r="9" spans="2:11" x14ac:dyDescent="0.35">
      <c r="B9" s="1353" t="s">
        <v>1620</v>
      </c>
      <c r="C9" s="1354">
        <v>1530</v>
      </c>
      <c r="D9" s="1354">
        <v>1430</v>
      </c>
      <c r="E9" s="1354">
        <v>1276</v>
      </c>
      <c r="F9" s="1355">
        <v>709</v>
      </c>
      <c r="G9" s="1355">
        <v>849</v>
      </c>
      <c r="H9" s="1">
        <f t="shared" si="0"/>
        <v>1444.6</v>
      </c>
      <c r="J9" s="1" t="s">
        <v>462</v>
      </c>
      <c r="K9" s="288">
        <v>0.1</v>
      </c>
    </row>
    <row r="10" spans="2:11" x14ac:dyDescent="0.35">
      <c r="B10" s="1353" t="s">
        <v>1665</v>
      </c>
      <c r="C10" s="1354">
        <v>1481</v>
      </c>
      <c r="D10" s="1354">
        <v>1368</v>
      </c>
      <c r="E10" s="1354">
        <v>1214</v>
      </c>
      <c r="F10" s="1355">
        <v>871</v>
      </c>
      <c r="G10" s="1355">
        <v>973</v>
      </c>
      <c r="H10" s="1">
        <f t="shared" si="0"/>
        <v>1386.5</v>
      </c>
    </row>
    <row r="11" spans="2:11" x14ac:dyDescent="0.35">
      <c r="B11" s="1353" t="s">
        <v>1630</v>
      </c>
      <c r="C11" s="1354">
        <v>1781</v>
      </c>
      <c r="D11" s="1354">
        <v>1736</v>
      </c>
      <c r="E11" s="1354">
        <v>1531</v>
      </c>
      <c r="F11" s="1354">
        <v>1057</v>
      </c>
      <c r="G11" s="1354">
        <v>1283</v>
      </c>
      <c r="H11" s="1">
        <f t="shared" si="0"/>
        <v>1728.9999999999998</v>
      </c>
    </row>
    <row r="12" spans="2:11" x14ac:dyDescent="0.35">
      <c r="B12" s="1353" t="s">
        <v>1649</v>
      </c>
      <c r="C12" s="1355">
        <v>985</v>
      </c>
      <c r="D12" s="1355">
        <v>969</v>
      </c>
      <c r="E12" s="1355">
        <v>852</v>
      </c>
      <c r="F12" s="1355">
        <v>680</v>
      </c>
      <c r="G12" s="1355">
        <v>752</v>
      </c>
      <c r="H12" s="1">
        <f t="shared" si="0"/>
        <v>962.1</v>
      </c>
      <c r="J12" s="1" t="s">
        <v>457</v>
      </c>
      <c r="K12" s="1356">
        <v>2</v>
      </c>
    </row>
    <row r="13" spans="2:11" x14ac:dyDescent="0.35">
      <c r="B13" s="1353" t="s">
        <v>1621</v>
      </c>
      <c r="C13" s="1354">
        <v>1608</v>
      </c>
      <c r="D13" s="1354">
        <v>1602</v>
      </c>
      <c r="E13" s="1354">
        <v>1404</v>
      </c>
      <c r="F13" s="1355">
        <v>876</v>
      </c>
      <c r="G13" s="1354">
        <v>1047</v>
      </c>
      <c r="H13" s="1">
        <f t="shared" si="0"/>
        <v>1584</v>
      </c>
      <c r="J13" s="1357" t="s">
        <v>459</v>
      </c>
      <c r="K13" s="1358">
        <v>3</v>
      </c>
    </row>
    <row r="14" spans="2:11" x14ac:dyDescent="0.35">
      <c r="B14" s="1353" t="s">
        <v>1500</v>
      </c>
      <c r="C14" s="1354">
        <v>1579</v>
      </c>
      <c r="D14" s="1354">
        <v>1620</v>
      </c>
      <c r="E14" s="1354">
        <v>1414</v>
      </c>
      <c r="F14" s="1355">
        <v>963</v>
      </c>
      <c r="G14" s="1354">
        <v>1019</v>
      </c>
      <c r="H14" s="1">
        <f t="shared" si="0"/>
        <v>1587.1000000000001</v>
      </c>
      <c r="J14" s="1357" t="s">
        <v>461</v>
      </c>
      <c r="K14" s="1359">
        <v>4</v>
      </c>
    </row>
    <row r="15" spans="2:11" x14ac:dyDescent="0.35">
      <c r="B15" s="1353" t="s">
        <v>1502</v>
      </c>
      <c r="C15" s="1354">
        <v>1845</v>
      </c>
      <c r="D15" s="1354">
        <v>1857</v>
      </c>
      <c r="E15" s="1354">
        <v>1666</v>
      </c>
      <c r="F15" s="1354">
        <v>1187</v>
      </c>
      <c r="G15" s="1354">
        <v>1388</v>
      </c>
      <c r="H15" s="1">
        <f t="shared" si="0"/>
        <v>1834.3000000000002</v>
      </c>
      <c r="J15" s="1357" t="s">
        <v>463</v>
      </c>
      <c r="K15" s="1356">
        <v>5</v>
      </c>
    </row>
    <row r="16" spans="2:11" x14ac:dyDescent="0.35">
      <c r="B16" s="1353" t="s">
        <v>1658</v>
      </c>
      <c r="C16" s="1354">
        <v>1764</v>
      </c>
      <c r="D16" s="1354">
        <v>1818</v>
      </c>
      <c r="E16" s="1354">
        <v>1549</v>
      </c>
      <c r="F16" s="1354">
        <v>1332</v>
      </c>
      <c r="G16" s="1354">
        <v>1512</v>
      </c>
      <c r="H16" s="1">
        <f t="shared" si="0"/>
        <v>1774.9</v>
      </c>
      <c r="J16" s="1357" t="s">
        <v>464</v>
      </c>
      <c r="K16" s="1358">
        <v>6</v>
      </c>
    </row>
    <row r="17" spans="2:16" x14ac:dyDescent="0.35">
      <c r="B17" s="1353" t="s">
        <v>1659</v>
      </c>
      <c r="C17" s="1354">
        <v>1788</v>
      </c>
      <c r="D17" s="1354">
        <v>1853</v>
      </c>
      <c r="E17" s="1354">
        <v>1580</v>
      </c>
      <c r="F17" s="1354">
        <v>1369</v>
      </c>
      <c r="G17" s="1354">
        <v>1555</v>
      </c>
      <c r="H17" s="1">
        <f t="shared" si="0"/>
        <v>1806.1999999999998</v>
      </c>
      <c r="J17" s="1357" t="s">
        <v>738</v>
      </c>
      <c r="K17" s="1358">
        <v>7</v>
      </c>
    </row>
    <row r="18" spans="2:16" x14ac:dyDescent="0.35">
      <c r="B18" s="1353" t="s">
        <v>1660</v>
      </c>
      <c r="C18" s="1355">
        <v>731</v>
      </c>
      <c r="D18" s="1355">
        <v>695</v>
      </c>
      <c r="E18" s="1355">
        <v>522</v>
      </c>
      <c r="F18" s="1355">
        <v>314</v>
      </c>
      <c r="G18" s="1355">
        <v>340</v>
      </c>
      <c r="H18" s="1">
        <f t="shared" si="0"/>
        <v>688.5</v>
      </c>
    </row>
    <row r="19" spans="2:16" x14ac:dyDescent="0.35">
      <c r="B19" s="1353" t="s">
        <v>1661</v>
      </c>
      <c r="C19" s="1354">
        <v>1325</v>
      </c>
      <c r="D19" s="1354">
        <v>1512</v>
      </c>
      <c r="E19" s="1354">
        <v>1232</v>
      </c>
      <c r="F19" s="1354">
        <v>1448</v>
      </c>
      <c r="G19" s="1354">
        <v>1946</v>
      </c>
      <c r="H19" s="1">
        <f t="shared" si="0"/>
        <v>1427.8999999999999</v>
      </c>
    </row>
    <row r="20" spans="2:16" x14ac:dyDescent="0.35">
      <c r="B20" s="1353" t="s">
        <v>1623</v>
      </c>
      <c r="C20" s="1354">
        <v>1761</v>
      </c>
      <c r="D20" s="1354">
        <v>1712</v>
      </c>
      <c r="E20" s="1354">
        <v>1544</v>
      </c>
      <c r="F20" s="1354">
        <v>1056</v>
      </c>
      <c r="G20" s="1354">
        <v>1290</v>
      </c>
      <c r="H20" s="1">
        <f t="shared" si="0"/>
        <v>1709.9</v>
      </c>
      <c r="J20" s="2333" t="s">
        <v>2608</v>
      </c>
      <c r="K20" s="2333"/>
      <c r="L20" s="2333"/>
      <c r="M20" s="2333"/>
      <c r="N20" s="2333"/>
      <c r="O20" s="2333"/>
      <c r="P20" s="2333"/>
    </row>
    <row r="21" spans="2:16" x14ac:dyDescent="0.35">
      <c r="B21" s="1353" t="s">
        <v>1652</v>
      </c>
      <c r="C21" s="1354">
        <v>1601</v>
      </c>
      <c r="D21" s="1354">
        <v>1626</v>
      </c>
      <c r="E21" s="1354">
        <v>1548</v>
      </c>
      <c r="F21" s="1354">
        <v>1260</v>
      </c>
      <c r="G21" s="1354">
        <v>1323</v>
      </c>
      <c r="H21" s="1">
        <f t="shared" si="0"/>
        <v>1610.6999999999998</v>
      </c>
      <c r="J21" s="1121"/>
      <c r="K21" s="1121">
        <v>2</v>
      </c>
      <c r="L21" s="1121">
        <f>+K21+1</f>
        <v>3</v>
      </c>
      <c r="M21" s="1121">
        <f t="shared" ref="M21:P21" si="1">+L21+1</f>
        <v>4</v>
      </c>
      <c r="N21" s="1121">
        <f t="shared" si="1"/>
        <v>5</v>
      </c>
      <c r="O21" s="1121">
        <f t="shared" si="1"/>
        <v>6</v>
      </c>
      <c r="P21" s="1121">
        <f t="shared" si="1"/>
        <v>7</v>
      </c>
    </row>
    <row r="22" spans="2:16" x14ac:dyDescent="0.35">
      <c r="B22" s="1353" t="s">
        <v>1653</v>
      </c>
      <c r="C22" s="1354">
        <v>1758</v>
      </c>
      <c r="D22" s="1354">
        <v>1702</v>
      </c>
      <c r="E22" s="1354">
        <v>1521</v>
      </c>
      <c r="F22" s="1354">
        <v>1018</v>
      </c>
      <c r="G22" s="1354">
        <v>1252</v>
      </c>
      <c r="H22" s="1">
        <f t="shared" si="0"/>
        <v>1700.6999999999998</v>
      </c>
      <c r="J22" s="1121" t="s">
        <v>2609</v>
      </c>
      <c r="K22" s="1121" t="s">
        <v>826</v>
      </c>
      <c r="L22" s="1121" t="s">
        <v>827</v>
      </c>
      <c r="M22" s="1121" t="s">
        <v>828</v>
      </c>
      <c r="N22" s="1121" t="s">
        <v>2610</v>
      </c>
      <c r="O22" s="1121" t="s">
        <v>2611</v>
      </c>
      <c r="P22" s="1121" t="s">
        <v>398</v>
      </c>
    </row>
    <row r="23" spans="2:16" x14ac:dyDescent="0.35">
      <c r="B23" s="1353" t="s">
        <v>1501</v>
      </c>
      <c r="C23" s="1354">
        <v>1048</v>
      </c>
      <c r="D23" s="1354">
        <v>1013</v>
      </c>
      <c r="E23" s="1355">
        <v>939</v>
      </c>
      <c r="F23" s="1355">
        <v>567</v>
      </c>
      <c r="G23" s="1355">
        <v>634</v>
      </c>
      <c r="H23" s="1">
        <f t="shared" si="0"/>
        <v>1016.0999999999999</v>
      </c>
      <c r="J23" s="62" t="s">
        <v>1620</v>
      </c>
      <c r="K23" s="747">
        <f>+VLOOKUP($J23,$B$7:$H$41,K$21,FALSE)</f>
        <v>1530</v>
      </c>
      <c r="L23" s="747">
        <f t="shared" ref="L23:P23" si="2">+VLOOKUP($J23,$B$7:$H$41,L$21,FALSE)</f>
        <v>1430</v>
      </c>
      <c r="M23" s="747">
        <f t="shared" si="2"/>
        <v>1276</v>
      </c>
      <c r="N23" s="747">
        <f t="shared" si="2"/>
        <v>709</v>
      </c>
      <c r="O23" s="747">
        <f t="shared" si="2"/>
        <v>849</v>
      </c>
      <c r="P23" s="747">
        <f t="shared" si="2"/>
        <v>1444.6</v>
      </c>
    </row>
    <row r="24" spans="2:16" x14ac:dyDescent="0.35">
      <c r="B24" s="1353" t="s">
        <v>1654</v>
      </c>
      <c r="C24" s="1354">
        <v>1526</v>
      </c>
      <c r="D24" s="1354">
        <v>1506</v>
      </c>
      <c r="E24" s="1354">
        <v>1373</v>
      </c>
      <c r="F24" s="1354">
        <v>1169</v>
      </c>
      <c r="G24" s="1354">
        <v>1172</v>
      </c>
      <c r="H24" s="1">
        <f t="shared" si="0"/>
        <v>1498.7</v>
      </c>
      <c r="J24" s="62" t="s">
        <v>1630</v>
      </c>
      <c r="K24" s="747">
        <f t="shared" ref="K24:P32" si="3">+VLOOKUP($J24,$B$7:$H$41,K$21,FALSE)</f>
        <v>1781</v>
      </c>
      <c r="L24" s="747">
        <f t="shared" si="3"/>
        <v>1736</v>
      </c>
      <c r="M24" s="747">
        <f t="shared" si="3"/>
        <v>1531</v>
      </c>
      <c r="N24" s="747">
        <f t="shared" si="3"/>
        <v>1057</v>
      </c>
      <c r="O24" s="747">
        <f t="shared" si="3"/>
        <v>1283</v>
      </c>
      <c r="P24" s="747">
        <f t="shared" si="3"/>
        <v>1728.9999999999998</v>
      </c>
    </row>
    <row r="25" spans="2:16" x14ac:dyDescent="0.35">
      <c r="B25" s="1353" t="s">
        <v>1655</v>
      </c>
      <c r="C25" s="1354">
        <v>1815</v>
      </c>
      <c r="D25" s="1354">
        <v>1762</v>
      </c>
      <c r="E25" s="1354">
        <v>1580</v>
      </c>
      <c r="F25" s="1354">
        <v>1089</v>
      </c>
      <c r="G25" s="1354">
        <v>1406</v>
      </c>
      <c r="H25" s="1">
        <f t="shared" si="0"/>
        <v>1759.7</v>
      </c>
      <c r="J25" s="62" t="s">
        <v>1500</v>
      </c>
      <c r="K25" s="747">
        <f t="shared" si="3"/>
        <v>1579</v>
      </c>
      <c r="L25" s="747">
        <f t="shared" si="3"/>
        <v>1620</v>
      </c>
      <c r="M25" s="747">
        <f t="shared" si="3"/>
        <v>1414</v>
      </c>
      <c r="N25" s="747">
        <f t="shared" si="3"/>
        <v>963</v>
      </c>
      <c r="O25" s="747">
        <f t="shared" si="3"/>
        <v>1019</v>
      </c>
      <c r="P25" s="747">
        <f t="shared" si="3"/>
        <v>1587.1000000000001</v>
      </c>
    </row>
    <row r="26" spans="2:16" x14ac:dyDescent="0.35">
      <c r="B26" s="1353" t="s">
        <v>1656</v>
      </c>
      <c r="C26" s="1354">
        <v>1475</v>
      </c>
      <c r="D26" s="1354">
        <v>1464</v>
      </c>
      <c r="E26" s="1354">
        <v>1330</v>
      </c>
      <c r="F26" s="1354">
        <v>1152</v>
      </c>
      <c r="G26" s="1354">
        <v>1123</v>
      </c>
      <c r="H26" s="1">
        <f t="shared" si="0"/>
        <v>1453.9</v>
      </c>
      <c r="J26" s="62" t="s">
        <v>1502</v>
      </c>
      <c r="K26" s="747">
        <f t="shared" si="3"/>
        <v>1845</v>
      </c>
      <c r="L26" s="747">
        <f t="shared" si="3"/>
        <v>1857</v>
      </c>
      <c r="M26" s="747">
        <f t="shared" si="3"/>
        <v>1666</v>
      </c>
      <c r="N26" s="747">
        <f t="shared" si="3"/>
        <v>1187</v>
      </c>
      <c r="O26" s="747">
        <f t="shared" si="3"/>
        <v>1388</v>
      </c>
      <c r="P26" s="747">
        <f t="shared" si="3"/>
        <v>1834.3000000000002</v>
      </c>
    </row>
    <row r="27" spans="2:16" x14ac:dyDescent="0.35">
      <c r="B27" s="1353" t="s">
        <v>1657</v>
      </c>
      <c r="C27" s="1354">
        <v>1666</v>
      </c>
      <c r="D27" s="1354">
        <v>1685</v>
      </c>
      <c r="E27" s="1354">
        <v>1450</v>
      </c>
      <c r="F27" s="1354">
        <v>1067</v>
      </c>
      <c r="G27" s="1354">
        <v>1216</v>
      </c>
      <c r="H27" s="1">
        <f t="shared" si="0"/>
        <v>1655.8</v>
      </c>
      <c r="J27" s="62" t="s">
        <v>1658</v>
      </c>
      <c r="K27" s="747">
        <f t="shared" si="3"/>
        <v>1764</v>
      </c>
      <c r="L27" s="747">
        <f t="shared" si="3"/>
        <v>1818</v>
      </c>
      <c r="M27" s="747">
        <f t="shared" si="3"/>
        <v>1549</v>
      </c>
      <c r="N27" s="747">
        <f t="shared" si="3"/>
        <v>1332</v>
      </c>
      <c r="O27" s="747">
        <f t="shared" si="3"/>
        <v>1512</v>
      </c>
      <c r="P27" s="747">
        <f t="shared" si="3"/>
        <v>1774.9</v>
      </c>
    </row>
    <row r="28" spans="2:16" x14ac:dyDescent="0.35">
      <c r="B28" s="1353" t="s">
        <v>1650</v>
      </c>
      <c r="C28" s="1354">
        <v>1916</v>
      </c>
      <c r="D28" s="1354">
        <v>1905</v>
      </c>
      <c r="E28" s="1354">
        <v>1718</v>
      </c>
      <c r="F28" s="1354">
        <v>1288</v>
      </c>
      <c r="G28" s="1354">
        <v>1538</v>
      </c>
      <c r="H28" s="1">
        <f t="shared" si="0"/>
        <v>1889.6</v>
      </c>
      <c r="J28" s="62" t="s">
        <v>1659</v>
      </c>
      <c r="K28" s="747">
        <f t="shared" si="3"/>
        <v>1788</v>
      </c>
      <c r="L28" s="747">
        <f t="shared" si="3"/>
        <v>1853</v>
      </c>
      <c r="M28" s="747">
        <f t="shared" si="3"/>
        <v>1580</v>
      </c>
      <c r="N28" s="747">
        <f t="shared" si="3"/>
        <v>1369</v>
      </c>
      <c r="O28" s="747">
        <f t="shared" si="3"/>
        <v>1555</v>
      </c>
      <c r="P28" s="747">
        <f t="shared" si="3"/>
        <v>1806.1999999999998</v>
      </c>
    </row>
    <row r="29" spans="2:16" x14ac:dyDescent="0.35">
      <c r="B29" s="1353" t="s">
        <v>1801</v>
      </c>
      <c r="C29" s="1354">
        <v>2020</v>
      </c>
      <c r="D29" s="1354">
        <v>2050</v>
      </c>
      <c r="E29" s="1354">
        <v>1869</v>
      </c>
      <c r="F29" s="1354">
        <v>1252</v>
      </c>
      <c r="G29" s="1354">
        <v>1363</v>
      </c>
      <c r="H29" s="1">
        <f t="shared" si="0"/>
        <v>2022.9</v>
      </c>
      <c r="J29" s="62" t="s">
        <v>1660</v>
      </c>
      <c r="K29" s="747">
        <f t="shared" si="3"/>
        <v>731</v>
      </c>
      <c r="L29" s="747">
        <f t="shared" si="3"/>
        <v>695</v>
      </c>
      <c r="M29" s="747">
        <f t="shared" si="3"/>
        <v>522</v>
      </c>
      <c r="N29" s="747">
        <f t="shared" si="3"/>
        <v>314</v>
      </c>
      <c r="O29" s="747">
        <f t="shared" si="3"/>
        <v>340</v>
      </c>
      <c r="P29" s="747">
        <f t="shared" si="3"/>
        <v>688.5</v>
      </c>
    </row>
    <row r="30" spans="2:16" x14ac:dyDescent="0.35">
      <c r="B30" s="1353" t="s">
        <v>1802</v>
      </c>
      <c r="C30" s="1354">
        <v>2089</v>
      </c>
      <c r="D30" s="1354">
        <v>2132</v>
      </c>
      <c r="E30" s="1354">
        <v>1960</v>
      </c>
      <c r="F30" s="1354">
        <v>1351</v>
      </c>
      <c r="G30" s="1354">
        <v>1487</v>
      </c>
      <c r="H30" s="1">
        <f t="shared" si="0"/>
        <v>2101.9</v>
      </c>
      <c r="J30" s="62" t="s">
        <v>1661</v>
      </c>
      <c r="K30" s="747">
        <f t="shared" si="3"/>
        <v>1325</v>
      </c>
      <c r="L30" s="747">
        <f t="shared" si="3"/>
        <v>1512</v>
      </c>
      <c r="M30" s="747">
        <f t="shared" si="3"/>
        <v>1232</v>
      </c>
      <c r="N30" s="747">
        <f t="shared" si="3"/>
        <v>1448</v>
      </c>
      <c r="O30" s="747">
        <f t="shared" si="3"/>
        <v>1946</v>
      </c>
      <c r="P30" s="747">
        <f t="shared" si="3"/>
        <v>1427.8999999999999</v>
      </c>
    </row>
    <row r="31" spans="2:16" x14ac:dyDescent="0.35">
      <c r="B31" s="1353" t="s">
        <v>1803</v>
      </c>
      <c r="C31" s="1354">
        <v>1528</v>
      </c>
      <c r="D31" s="1354">
        <v>1558</v>
      </c>
      <c r="E31" s="1354">
        <v>1284</v>
      </c>
      <c r="F31" s="1355">
        <v>759</v>
      </c>
      <c r="G31" s="1355">
        <v>846</v>
      </c>
      <c r="H31" s="1">
        <f t="shared" si="0"/>
        <v>1521.6</v>
      </c>
      <c r="J31" s="62" t="s">
        <v>1498</v>
      </c>
      <c r="K31" s="747">
        <f t="shared" si="3"/>
        <v>1428</v>
      </c>
      <c r="L31" s="747">
        <f t="shared" si="3"/>
        <v>1425</v>
      </c>
      <c r="M31" s="747">
        <f t="shared" si="3"/>
        <v>1132</v>
      </c>
      <c r="N31" s="747">
        <f t="shared" si="3"/>
        <v>692</v>
      </c>
      <c r="O31" s="747">
        <f t="shared" si="3"/>
        <v>793</v>
      </c>
      <c r="P31" s="747">
        <f t="shared" si="3"/>
        <v>1396.6000000000001</v>
      </c>
    </row>
    <row r="32" spans="2:16" x14ac:dyDescent="0.35">
      <c r="B32" s="1353" t="s">
        <v>1669</v>
      </c>
      <c r="C32" s="1354">
        <v>1118</v>
      </c>
      <c r="D32" s="1354">
        <v>1102</v>
      </c>
      <c r="E32" s="1355">
        <v>952</v>
      </c>
      <c r="F32" s="1355">
        <v>505</v>
      </c>
      <c r="G32" s="1355">
        <v>530</v>
      </c>
      <c r="H32" s="1">
        <f t="shared" si="0"/>
        <v>1091.8</v>
      </c>
      <c r="J32" s="62" t="s">
        <v>1497</v>
      </c>
      <c r="K32" s="747">
        <f t="shared" si="3"/>
        <v>1585</v>
      </c>
      <c r="L32" s="747">
        <f t="shared" si="3"/>
        <v>1587</v>
      </c>
      <c r="M32" s="747">
        <f t="shared" si="3"/>
        <v>1342</v>
      </c>
      <c r="N32" s="747">
        <f t="shared" si="3"/>
        <v>855</v>
      </c>
      <c r="O32" s="747">
        <f t="shared" si="3"/>
        <v>950</v>
      </c>
      <c r="P32" s="747">
        <f t="shared" si="3"/>
        <v>1561.8999999999999</v>
      </c>
    </row>
    <row r="33" spans="2:17" x14ac:dyDescent="0.35">
      <c r="B33" s="1353" t="s">
        <v>1498</v>
      </c>
      <c r="C33" s="1354">
        <v>1428</v>
      </c>
      <c r="D33" s="1354">
        <v>1425</v>
      </c>
      <c r="E33" s="1354">
        <v>1132</v>
      </c>
      <c r="F33" s="1355">
        <v>692</v>
      </c>
      <c r="G33" s="1355">
        <v>793</v>
      </c>
      <c r="H33" s="1">
        <f t="shared" si="0"/>
        <v>1396.6000000000001</v>
      </c>
      <c r="J33" s="1121" t="s">
        <v>2612</v>
      </c>
      <c r="K33" s="1390">
        <f>+AVERAGE(K23:K32)</f>
        <v>1535.6</v>
      </c>
      <c r="L33" s="1390">
        <f t="shared" ref="L33:P33" si="4">+AVERAGE(L23:L32)</f>
        <v>1553.3</v>
      </c>
      <c r="M33" s="1390">
        <f t="shared" si="4"/>
        <v>1324.4</v>
      </c>
      <c r="N33" s="1390">
        <f t="shared" si="4"/>
        <v>992.6</v>
      </c>
      <c r="O33" s="1390">
        <f t="shared" si="4"/>
        <v>1163.5</v>
      </c>
      <c r="P33" s="1391">
        <f t="shared" si="4"/>
        <v>1525.1</v>
      </c>
    </row>
    <row r="34" spans="2:17" x14ac:dyDescent="0.35">
      <c r="B34" s="1353" t="s">
        <v>1497</v>
      </c>
      <c r="C34" s="1354">
        <v>1585</v>
      </c>
      <c r="D34" s="1354">
        <v>1587</v>
      </c>
      <c r="E34" s="1354">
        <v>1342</v>
      </c>
      <c r="F34" s="1355">
        <v>855</v>
      </c>
      <c r="G34" s="1355">
        <v>950</v>
      </c>
      <c r="H34" s="1">
        <f t="shared" si="0"/>
        <v>1561.8999999999999</v>
      </c>
      <c r="J34" s="1392" t="s">
        <v>2613</v>
      </c>
    </row>
    <row r="35" spans="2:17" x14ac:dyDescent="0.35">
      <c r="B35" s="1353" t="s">
        <v>1670</v>
      </c>
      <c r="C35" s="1354">
        <v>1603</v>
      </c>
      <c r="D35" s="1354">
        <v>1504</v>
      </c>
      <c r="E35" s="1354">
        <v>1440</v>
      </c>
      <c r="F35" s="1354">
        <v>1054</v>
      </c>
      <c r="G35" s="1354">
        <v>1205</v>
      </c>
      <c r="H35" s="1">
        <f t="shared" si="0"/>
        <v>1527.3</v>
      </c>
    </row>
    <row r="36" spans="2:17" x14ac:dyDescent="0.35">
      <c r="B36" s="1353" t="s">
        <v>1506</v>
      </c>
      <c r="C36" s="1354">
        <v>1350</v>
      </c>
      <c r="D36" s="1354">
        <v>1354</v>
      </c>
      <c r="E36" s="1354">
        <v>1216</v>
      </c>
      <c r="F36" s="1355">
        <v>920</v>
      </c>
      <c r="G36" s="1354">
        <v>1091</v>
      </c>
      <c r="H36" s="1">
        <f t="shared" si="0"/>
        <v>1339</v>
      </c>
    </row>
    <row r="37" spans="2:17" x14ac:dyDescent="0.35">
      <c r="B37" s="1353" t="s">
        <v>1508</v>
      </c>
      <c r="C37" s="1354">
        <v>1392</v>
      </c>
      <c r="D37" s="1354">
        <v>1278</v>
      </c>
      <c r="E37" s="1354">
        <v>1200</v>
      </c>
      <c r="F37" s="1355">
        <v>781</v>
      </c>
      <c r="G37" s="1355">
        <v>891</v>
      </c>
      <c r="H37" s="1">
        <f t="shared" si="0"/>
        <v>1304.3999999999999</v>
      </c>
    </row>
    <row r="38" spans="2:17" x14ac:dyDescent="0.35">
      <c r="B38" s="1353" t="s">
        <v>1507</v>
      </c>
      <c r="C38" s="1354">
        <v>1332</v>
      </c>
      <c r="D38" s="1354">
        <v>1233</v>
      </c>
      <c r="E38" s="1354">
        <v>1090</v>
      </c>
      <c r="F38" s="1355">
        <v>751</v>
      </c>
      <c r="G38" s="1355">
        <v>810</v>
      </c>
      <c r="H38" s="1">
        <f t="shared" si="0"/>
        <v>1248.3999999999999</v>
      </c>
    </row>
    <row r="39" spans="2:17" x14ac:dyDescent="0.35">
      <c r="B39" s="1353" t="s">
        <v>1510</v>
      </c>
      <c r="C39" s="1354">
        <v>1456</v>
      </c>
      <c r="D39" s="1354">
        <v>1357</v>
      </c>
      <c r="E39" s="1354">
        <v>1400</v>
      </c>
      <c r="F39" s="1355">
        <v>875</v>
      </c>
      <c r="G39" s="1354">
        <v>1078</v>
      </c>
      <c r="H39" s="1">
        <f t="shared" si="0"/>
        <v>1391</v>
      </c>
    </row>
    <row r="40" spans="2:17" x14ac:dyDescent="0.35">
      <c r="B40" s="1353" t="s">
        <v>399</v>
      </c>
      <c r="C40" s="1354">
        <v>1553</v>
      </c>
      <c r="D40" s="1354">
        <v>1539</v>
      </c>
      <c r="E40" s="1354">
        <v>1369</v>
      </c>
      <c r="F40" s="1355">
        <v>982</v>
      </c>
      <c r="G40" s="1354">
        <v>1139</v>
      </c>
      <c r="H40" s="1">
        <f t="shared" si="0"/>
        <v>1526.2</v>
      </c>
    </row>
    <row r="41" spans="2:17" x14ac:dyDescent="0.35">
      <c r="B41" s="1360" t="s">
        <v>736</v>
      </c>
      <c r="C41" s="1361">
        <f>AVERAGE(C7:C40)</f>
        <v>1556.0882352941176</v>
      </c>
      <c r="D41" s="1361">
        <f t="shared" ref="D41:H41" si="5">AVERAGE(D7:D40)</f>
        <v>1542.0882352941176</v>
      </c>
      <c r="E41" s="1361">
        <f t="shared" si="5"/>
        <v>1369.9411764705883</v>
      </c>
      <c r="F41" s="1361">
        <f t="shared" si="5"/>
        <v>982.38235294117646</v>
      </c>
      <c r="G41" s="1361">
        <f t="shared" si="5"/>
        <v>1139.6176470588234</v>
      </c>
      <c r="H41" s="1362">
        <f t="shared" si="5"/>
        <v>1529.0735294117651</v>
      </c>
    </row>
    <row r="43" spans="2:17" x14ac:dyDescent="0.35">
      <c r="B43" s="2515" t="s">
        <v>2527</v>
      </c>
      <c r="C43" s="2515"/>
      <c r="D43" s="2515"/>
      <c r="E43" s="2515"/>
      <c r="F43" s="2515"/>
      <c r="G43" s="2515"/>
      <c r="H43" s="2515"/>
      <c r="J43" s="1363" t="s">
        <v>415</v>
      </c>
      <c r="K43" s="1363"/>
      <c r="L43" s="1363"/>
      <c r="M43" s="1363"/>
      <c r="N43" s="1363"/>
      <c r="O43" s="1363"/>
      <c r="P43" s="1363"/>
      <c r="Q43" s="1363"/>
    </row>
    <row r="44" spans="2:17" ht="39" x14ac:dyDescent="0.35">
      <c r="B44" s="1364"/>
      <c r="C44" s="1352" t="s">
        <v>1639</v>
      </c>
      <c r="D44" s="1352" t="s">
        <v>2525</v>
      </c>
      <c r="E44" s="1352" t="s">
        <v>2526</v>
      </c>
      <c r="F44" s="1352" t="s">
        <v>1767</v>
      </c>
      <c r="G44" s="1352" t="s">
        <v>1643</v>
      </c>
      <c r="H44" s="1351" t="s">
        <v>738</v>
      </c>
      <c r="J44" s="1033"/>
      <c r="K44" s="1033"/>
      <c r="L44" s="1033"/>
      <c r="M44" s="1033"/>
      <c r="N44" s="1033"/>
      <c r="O44" s="1033"/>
      <c r="P44" s="1033"/>
      <c r="Q44" s="1033"/>
    </row>
    <row r="45" spans="2:17" x14ac:dyDescent="0.35">
      <c r="B45" s="1360" t="s">
        <v>681</v>
      </c>
      <c r="C45" s="26">
        <f>AVERAGE(C24,C26:C27)</f>
        <v>1555.6666666666667</v>
      </c>
      <c r="D45" s="26">
        <f t="shared" ref="D45:H45" si="6">AVERAGE(D24,D26:D27)</f>
        <v>1551.6666666666667</v>
      </c>
      <c r="E45" s="26">
        <f t="shared" si="6"/>
        <v>1384.3333333333333</v>
      </c>
      <c r="F45" s="26">
        <f t="shared" si="6"/>
        <v>1129.3333333333333</v>
      </c>
      <c r="G45" s="26">
        <f t="shared" si="6"/>
        <v>1170.3333333333333</v>
      </c>
      <c r="H45" s="1">
        <f t="shared" si="6"/>
        <v>1536.1333333333334</v>
      </c>
      <c r="J45" s="44" t="s">
        <v>2528</v>
      </c>
      <c r="K45" s="1365"/>
      <c r="L45" s="1365"/>
      <c r="M45" s="1365"/>
      <c r="N45" s="1365"/>
      <c r="O45" s="1365"/>
      <c r="P45" s="1365"/>
      <c r="Q45" s="1366"/>
    </row>
    <row r="46" spans="2:17" x14ac:dyDescent="0.35">
      <c r="B46" s="1360" t="s">
        <v>2529</v>
      </c>
      <c r="C46" s="26">
        <f t="shared" ref="C46:H46" si="7">+AVERAGE(C8,C14,C16:C19)</f>
        <v>1478.3333333333333</v>
      </c>
      <c r="D46" s="26">
        <f t="shared" si="7"/>
        <v>1524</v>
      </c>
      <c r="E46" s="26">
        <f t="shared" si="7"/>
        <v>1290.5</v>
      </c>
      <c r="F46" s="26">
        <f t="shared" si="7"/>
        <v>1081.5</v>
      </c>
      <c r="G46" s="26">
        <f t="shared" si="7"/>
        <v>1274.8333333333333</v>
      </c>
      <c r="H46" s="26">
        <f t="shared" si="7"/>
        <v>1486.95</v>
      </c>
      <c r="J46" s="808" t="s">
        <v>2530</v>
      </c>
      <c r="K46" s="67"/>
      <c r="L46" s="67"/>
      <c r="M46" s="67"/>
      <c r="N46" s="67"/>
      <c r="O46" s="67"/>
      <c r="P46" s="67"/>
      <c r="Q46" s="1359"/>
    </row>
    <row r="47" spans="2:17" x14ac:dyDescent="0.35">
      <c r="B47" s="1360" t="s">
        <v>2531</v>
      </c>
      <c r="C47" s="26">
        <f t="shared" ref="C47:H47" si="8">+AVERAGE(C29:C34)</f>
        <v>1628</v>
      </c>
      <c r="D47" s="26">
        <f t="shared" si="8"/>
        <v>1642.3333333333333</v>
      </c>
      <c r="E47" s="26">
        <f t="shared" si="8"/>
        <v>1423.1666666666667</v>
      </c>
      <c r="F47" s="26">
        <f t="shared" si="8"/>
        <v>902.33333333333337</v>
      </c>
      <c r="G47" s="26">
        <f t="shared" si="8"/>
        <v>994.83333333333337</v>
      </c>
      <c r="H47" s="26">
        <f t="shared" si="8"/>
        <v>1616.1166666666668</v>
      </c>
      <c r="J47" s="1367" t="s">
        <v>2532</v>
      </c>
      <c r="K47" s="1368"/>
      <c r="L47" s="1368"/>
      <c r="M47" s="1368"/>
      <c r="N47" s="1368"/>
      <c r="O47" s="1368"/>
      <c r="P47" s="1368"/>
      <c r="Q47" s="1358"/>
    </row>
  </sheetData>
  <customSheetViews>
    <customSheetView guid="{11DE45F5-F478-4ED6-8DFF-12002C22A637}" state="hidden">
      <selection activeCell="J23" sqref="J23"/>
      <pageMargins left="0.7" right="0.7" top="0.75" bottom="0.75" header="0.3" footer="0.3"/>
    </customSheetView>
    <customSheetView guid="{ECD6FE6A-9548-414E-B8AA-6998703C57E0}" state="hidden">
      <selection activeCell="J23" sqref="J23"/>
      <pageMargins left="0.7" right="0.7" top="0.75" bottom="0.75" header="0.3" footer="0.3"/>
    </customSheetView>
  </customSheetViews>
  <mergeCells count="3">
    <mergeCell ref="C5:H5"/>
    <mergeCell ref="B43:H43"/>
    <mergeCell ref="J20:P20"/>
  </mergeCells>
  <conditionalFormatting sqref="P23:P32">
    <cfRule type="top10" dxfId="1" priority="1" bottom="1" rank="2"/>
    <cfRule type="top10" dxfId="0" priority="2" rank="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pageSetUpPr fitToPage="1"/>
  </sheetPr>
  <dimension ref="A1:O14"/>
  <sheetViews>
    <sheetView view="pageBreakPreview" zoomScale="60" zoomScaleNormal="100" workbookViewId="0"/>
  </sheetViews>
  <sheetFormatPr defaultRowHeight="14.5" x14ac:dyDescent="0.35"/>
  <cols>
    <col min="1" max="1" width="22.26953125" bestFit="1" customWidth="1"/>
    <col min="2" max="2" width="27.26953125" bestFit="1" customWidth="1"/>
    <col min="3" max="3" width="28.7265625" customWidth="1"/>
    <col min="4" max="4" width="19.26953125" customWidth="1"/>
    <col min="5" max="5" width="12.81640625" bestFit="1" customWidth="1"/>
    <col min="6" max="6" width="16.1796875" bestFit="1" customWidth="1"/>
    <col min="7" max="7" width="12.453125" customWidth="1"/>
    <col min="8" max="9" width="17.1796875" customWidth="1"/>
    <col min="13" max="13" width="10.26953125" customWidth="1"/>
    <col min="15" max="15" width="10" bestFit="1" customWidth="1"/>
  </cols>
  <sheetData>
    <row r="1" spans="1:15" ht="15" customHeight="1" x14ac:dyDescent="0.35">
      <c r="A1" s="1123" t="s">
        <v>323</v>
      </c>
      <c r="B1" s="1124"/>
      <c r="C1" s="1124"/>
      <c r="D1" s="1124"/>
      <c r="E1" s="1125"/>
      <c r="F1" s="1125"/>
      <c r="G1" s="1125"/>
      <c r="H1" s="1125"/>
      <c r="I1" s="1126"/>
      <c r="J1" s="2196" t="s">
        <v>335</v>
      </c>
      <c r="K1" s="2197"/>
      <c r="L1" s="2198"/>
      <c r="M1" s="2196" t="s">
        <v>336</v>
      </c>
      <c r="N1" s="2197"/>
      <c r="O1" s="2198"/>
    </row>
    <row r="2" spans="1:15" s="781" customFormat="1" ht="29" x14ac:dyDescent="0.35">
      <c r="A2" s="1128" t="s">
        <v>338</v>
      </c>
      <c r="B2" s="1128" t="s">
        <v>1</v>
      </c>
      <c r="C2" s="1129" t="s">
        <v>339</v>
      </c>
      <c r="D2" s="1129" t="s">
        <v>688</v>
      </c>
      <c r="E2" s="1128" t="s">
        <v>342</v>
      </c>
      <c r="F2" s="1128" t="s">
        <v>343</v>
      </c>
      <c r="G2" s="1128" t="s">
        <v>344</v>
      </c>
      <c r="H2" s="1128" t="s">
        <v>345</v>
      </c>
      <c r="I2" s="1128" t="s">
        <v>346</v>
      </c>
      <c r="J2" s="1128" t="s">
        <v>347</v>
      </c>
      <c r="K2" s="1128" t="s">
        <v>348</v>
      </c>
      <c r="L2" s="1128" t="s">
        <v>349</v>
      </c>
      <c r="M2" s="1128" t="s">
        <v>347</v>
      </c>
      <c r="N2" s="1128" t="s">
        <v>348</v>
      </c>
      <c r="O2" s="1128" t="s">
        <v>349</v>
      </c>
    </row>
    <row r="3" spans="1:15" s="74" customFormat="1" x14ac:dyDescent="0.35">
      <c r="A3" s="1131" t="s">
        <v>323</v>
      </c>
      <c r="B3" s="1131" t="s">
        <v>1908</v>
      </c>
      <c r="C3" s="1132" t="s">
        <v>148</v>
      </c>
      <c r="D3" s="1133" t="s">
        <v>1306</v>
      </c>
      <c r="E3" s="1168" t="s">
        <v>356</v>
      </c>
      <c r="F3" s="1168">
        <f>+$B$9</f>
        <v>17</v>
      </c>
      <c r="G3" s="1136"/>
      <c r="H3" s="1141" t="s">
        <v>357</v>
      </c>
      <c r="I3" s="1141" t="s">
        <v>357</v>
      </c>
      <c r="J3" s="1169"/>
      <c r="K3" s="1139"/>
      <c r="L3" s="1169">
        <f>+$B$8</f>
        <v>884</v>
      </c>
      <c r="M3" s="1171"/>
      <c r="N3" s="1139"/>
      <c r="O3" s="1171">
        <f>L3*F3</f>
        <v>15028</v>
      </c>
    </row>
    <row r="4" spans="1:15" x14ac:dyDescent="0.35">
      <c r="A4" s="1137"/>
      <c r="B4" s="1137"/>
      <c r="C4" s="1137"/>
      <c r="D4" s="1137"/>
      <c r="E4" s="1137"/>
      <c r="F4" s="1137"/>
      <c r="G4" s="1137"/>
      <c r="H4" s="1137"/>
      <c r="I4" s="1137"/>
      <c r="J4" s="1137"/>
      <c r="K4" s="1137"/>
      <c r="L4" s="1137"/>
      <c r="M4" s="1137"/>
      <c r="N4" s="135"/>
      <c r="O4" s="135"/>
    </row>
    <row r="6" spans="1:15" ht="15" thickBot="1" x14ac:dyDescent="0.4"/>
    <row r="7" spans="1:15" ht="15" thickBot="1" x14ac:dyDescent="0.4">
      <c r="A7" s="88" t="s">
        <v>413</v>
      </c>
      <c r="B7" s="89" t="s">
        <v>414</v>
      </c>
      <c r="C7" s="90" t="s">
        <v>415</v>
      </c>
      <c r="D7" s="79"/>
    </row>
    <row r="8" spans="1:15" x14ac:dyDescent="0.35">
      <c r="A8" s="118" t="s">
        <v>501</v>
      </c>
      <c r="B8" s="101">
        <v>884</v>
      </c>
      <c r="C8" s="94" t="s">
        <v>1732</v>
      </c>
      <c r="D8" s="95"/>
    </row>
    <row r="9" spans="1:15" x14ac:dyDescent="0.35">
      <c r="A9" s="311" t="s">
        <v>443</v>
      </c>
      <c r="B9" s="1012">
        <v>17</v>
      </c>
      <c r="C9" s="67" t="s">
        <v>1732</v>
      </c>
      <c r="D9" s="310"/>
    </row>
    <row r="10" spans="1:15" ht="15" thickBot="1" x14ac:dyDescent="0.4">
      <c r="A10" s="311" t="s">
        <v>344</v>
      </c>
      <c r="B10" s="1012"/>
      <c r="C10" s="67"/>
      <c r="D10" s="310"/>
    </row>
    <row r="11" spans="1:15" ht="29.25" customHeight="1" x14ac:dyDescent="0.35">
      <c r="A11" s="1013" t="s">
        <v>1371</v>
      </c>
      <c r="B11" s="94"/>
      <c r="C11" s="2225" t="s">
        <v>1909</v>
      </c>
      <c r="D11" s="2226"/>
    </row>
    <row r="12" spans="1:15" ht="78.75" customHeight="1" thickBot="1" x14ac:dyDescent="0.4">
      <c r="A12" s="1014" t="s">
        <v>1373</v>
      </c>
      <c r="B12" s="99"/>
      <c r="C12" s="2227" t="s">
        <v>1910</v>
      </c>
      <c r="D12" s="2228"/>
    </row>
    <row r="13" spans="1:15" ht="15" thickBot="1" x14ac:dyDescent="0.4">
      <c r="A13" s="188" t="s">
        <v>2571</v>
      </c>
      <c r="B13" s="1384" t="e">
        <f>+#REF!</f>
        <v>#REF!</v>
      </c>
    </row>
    <row r="14" spans="1:15" ht="15" thickBot="1" x14ac:dyDescent="0.4">
      <c r="A14" s="188" t="s">
        <v>2572</v>
      </c>
      <c r="B14" s="701" t="s">
        <v>2781</v>
      </c>
    </row>
  </sheetData>
  <customSheetViews>
    <customSheetView guid="{11DE45F5-F478-4ED6-8DFF-12002C22A637}" scale="60" showPageBreaks="1" fitToPage="1" view="pageBreakPreview">
      <pageMargins left="0.7" right="0.7" top="0.75" bottom="0.75" header="0.3" footer="0.3"/>
      <pageSetup scale="54" orientation="landscape" verticalDpi="300" r:id="rId1"/>
    </customSheetView>
    <customSheetView guid="{ECD6FE6A-9548-414E-B8AA-6998703C57E0}" scale="60" showPageBreaks="1" fitToPage="1" view="pageBreakPreview">
      <pageMargins left="0.7" right="0.7" top="0.75" bottom="0.75" header="0.3" footer="0.3"/>
      <pageSetup scale="54" orientation="landscape" verticalDpi="300" r:id="rId2"/>
    </customSheetView>
  </customSheetViews>
  <mergeCells count="4">
    <mergeCell ref="J1:L1"/>
    <mergeCell ref="M1:O1"/>
    <mergeCell ref="C11:D11"/>
    <mergeCell ref="C12:D12"/>
  </mergeCells>
  <dataValidations disablePrompts="1" count="1">
    <dataValidation type="list" allowBlank="1" showInputMessage="1" showErrorMessage="1" sqref="D3" xr:uid="{00000000-0002-0000-0500-000000000000}">
      <formula1>MeasureType</formula1>
    </dataValidation>
  </dataValidations>
  <pageMargins left="0.7" right="0.7" top="0.75" bottom="0.75" header="0.3" footer="0.3"/>
  <pageSetup scale="53" orientation="landscape" verticalDpi="3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79998168889431442"/>
    <pageSetUpPr fitToPage="1"/>
  </sheetPr>
  <dimension ref="A1:P60"/>
  <sheetViews>
    <sheetView view="pageBreakPreview" zoomScale="60" zoomScaleNormal="100" workbookViewId="0"/>
  </sheetViews>
  <sheetFormatPr defaultRowHeight="14.5" x14ac:dyDescent="0.35"/>
  <cols>
    <col min="1" max="1" width="21.81640625" customWidth="1"/>
    <col min="2" max="2" width="36.54296875" bestFit="1" customWidth="1"/>
    <col min="3" max="3" width="34.7265625" bestFit="1" customWidth="1"/>
    <col min="4" max="4" width="11.7265625" customWidth="1"/>
    <col min="5" max="5" width="12.26953125" customWidth="1"/>
    <col min="6" max="6" width="48.54296875" bestFit="1" customWidth="1"/>
    <col min="7" max="7" width="16.1796875" bestFit="1" customWidth="1"/>
    <col min="13" max="13" width="10.26953125" customWidth="1"/>
  </cols>
  <sheetData>
    <row r="1" spans="1:16" x14ac:dyDescent="0.35">
      <c r="A1" s="1123" t="s">
        <v>318</v>
      </c>
      <c r="B1" s="1124"/>
      <c r="C1" s="1124"/>
      <c r="D1" s="1124"/>
      <c r="E1" s="1125"/>
      <c r="F1" s="1125"/>
      <c r="G1" s="1125"/>
      <c r="H1" s="1125"/>
      <c r="I1" s="1125"/>
      <c r="J1" s="1125"/>
      <c r="K1" s="2196" t="s">
        <v>335</v>
      </c>
      <c r="L1" s="2197"/>
      <c r="M1" s="2198"/>
      <c r="N1" s="2196" t="s">
        <v>336</v>
      </c>
      <c r="O1" s="2197"/>
      <c r="P1" s="2198"/>
    </row>
    <row r="2" spans="1:16" s="781" customFormat="1" ht="29" x14ac:dyDescent="0.35">
      <c r="A2" s="1128" t="s">
        <v>338</v>
      </c>
      <c r="B2" s="1128" t="s">
        <v>1</v>
      </c>
      <c r="C2" s="1129" t="s">
        <v>339</v>
      </c>
      <c r="D2" s="1129" t="s">
        <v>688</v>
      </c>
      <c r="E2" s="1128" t="s">
        <v>342</v>
      </c>
      <c r="F2" s="1128" t="s">
        <v>343</v>
      </c>
      <c r="G2" s="1128" t="s">
        <v>344</v>
      </c>
      <c r="H2" s="1128" t="s">
        <v>1045</v>
      </c>
      <c r="I2" s="1128" t="s">
        <v>346</v>
      </c>
      <c r="J2" s="1128" t="s">
        <v>345</v>
      </c>
      <c r="K2" s="1128" t="s">
        <v>347</v>
      </c>
      <c r="L2" s="1128" t="s">
        <v>348</v>
      </c>
      <c r="M2" s="1128" t="s">
        <v>349</v>
      </c>
      <c r="N2" s="1128" t="s">
        <v>347</v>
      </c>
      <c r="O2" s="1128" t="s">
        <v>348</v>
      </c>
      <c r="P2" s="1128" t="s">
        <v>349</v>
      </c>
    </row>
    <row r="3" spans="1:16" s="74" customFormat="1" x14ac:dyDescent="0.35">
      <c r="A3" s="1131" t="s">
        <v>318</v>
      </c>
      <c r="B3" s="1131" t="s">
        <v>1911</v>
      </c>
      <c r="C3" s="1132" t="s">
        <v>2657</v>
      </c>
      <c r="D3" s="1133" t="s">
        <v>1306</v>
      </c>
      <c r="E3" s="1168" t="s">
        <v>356</v>
      </c>
      <c r="F3" s="1168">
        <f>+$B$57</f>
        <v>12</v>
      </c>
      <c r="G3" s="1136"/>
      <c r="H3" s="1136"/>
      <c r="I3" s="135"/>
      <c r="J3" s="1141" t="s">
        <v>357</v>
      </c>
      <c r="K3" s="1169"/>
      <c r="L3" s="1139"/>
      <c r="M3" s="1169">
        <f>($C$14+$C$15+$C$16)*$B$21/100000</f>
        <v>353.45688664596281</v>
      </c>
      <c r="N3" s="1171"/>
      <c r="O3" s="1139"/>
      <c r="P3" s="1171">
        <f>M3*F3</f>
        <v>4241.4826397515535</v>
      </c>
    </row>
    <row r="4" spans="1:16" ht="15" thickBot="1" x14ac:dyDescent="0.4"/>
    <row r="5" spans="1:16" ht="15" thickBot="1" x14ac:dyDescent="0.4">
      <c r="A5" s="88" t="s">
        <v>408</v>
      </c>
      <c r="B5" s="78"/>
      <c r="C5" s="78"/>
      <c r="D5" s="78"/>
      <c r="E5" s="78"/>
      <c r="F5" s="78"/>
      <c r="G5" s="79"/>
    </row>
    <row r="6" spans="1:16" x14ac:dyDescent="0.35">
      <c r="A6" s="81" t="s">
        <v>1912</v>
      </c>
      <c r="B6" s="83"/>
      <c r="C6" s="83"/>
      <c r="D6" s="83"/>
      <c r="E6" s="83"/>
      <c r="F6" s="83"/>
      <c r="G6" s="84"/>
    </row>
    <row r="7" spans="1:16" x14ac:dyDescent="0.35">
      <c r="A7" s="81" t="s">
        <v>1913</v>
      </c>
      <c r="B7" s="83"/>
      <c r="C7" s="83"/>
      <c r="D7" s="83"/>
      <c r="E7" s="83"/>
      <c r="F7" s="83"/>
      <c r="G7" s="84"/>
    </row>
    <row r="8" spans="1:16" ht="25.5" customHeight="1" x14ac:dyDescent="0.35">
      <c r="A8" s="2229" t="s">
        <v>1914</v>
      </c>
      <c r="B8" s="2223"/>
      <c r="C8" s="2223"/>
      <c r="D8" s="2223"/>
      <c r="E8" s="2223"/>
      <c r="F8" s="2223"/>
      <c r="G8" s="2230"/>
    </row>
    <row r="9" spans="1:16" ht="15" thickBot="1" x14ac:dyDescent="0.4">
      <c r="A9" s="85" t="s">
        <v>1915</v>
      </c>
      <c r="B9" s="86"/>
      <c r="C9" s="86"/>
      <c r="D9" s="86"/>
      <c r="E9" s="86"/>
      <c r="F9" s="86"/>
      <c r="G9" s="87"/>
    </row>
    <row r="10" spans="1:16" ht="15" thickBot="1" x14ac:dyDescent="0.4">
      <c r="A10" s="188" t="s">
        <v>2571</v>
      </c>
      <c r="B10" s="1384" t="e">
        <f>+#REF!</f>
        <v>#REF!</v>
      </c>
    </row>
    <row r="11" spans="1:16" ht="15" thickBot="1" x14ac:dyDescent="0.4">
      <c r="A11" s="188" t="s">
        <v>2572</v>
      </c>
      <c r="B11" s="701" t="s">
        <v>2782</v>
      </c>
    </row>
    <row r="12" spans="1:16" ht="15" thickBot="1" x14ac:dyDescent="0.4"/>
    <row r="13" spans="1:16" ht="15" thickBot="1" x14ac:dyDescent="0.4">
      <c r="A13" s="88" t="s">
        <v>1916</v>
      </c>
      <c r="B13" s="78"/>
      <c r="C13" s="79"/>
    </row>
    <row r="14" spans="1:16" x14ac:dyDescent="0.35">
      <c r="A14" s="375" t="s">
        <v>1917</v>
      </c>
      <c r="B14" s="83"/>
      <c r="C14" s="1401">
        <f>(B47*B54)-(B45*B51)</f>
        <v>59785.71428571429</v>
      </c>
    </row>
    <row r="15" spans="1:16" x14ac:dyDescent="0.35">
      <c r="A15" s="375" t="s">
        <v>1918</v>
      </c>
      <c r="B15" s="83"/>
      <c r="C15" s="797">
        <f>(B35*B39/60*B43)-(B33*B37/60*B41)</f>
        <v>8000</v>
      </c>
    </row>
    <row r="16" spans="1:16" ht="15" thickBot="1" x14ac:dyDescent="0.4">
      <c r="A16" s="380" t="s">
        <v>1919</v>
      </c>
      <c r="B16" s="201"/>
      <c r="C16" s="1400">
        <f>(B23*B55/B27)-(B23*B55/B25)</f>
        <v>28985.507246376823</v>
      </c>
    </row>
    <row r="17" spans="1:5" ht="15" thickBot="1" x14ac:dyDescent="0.4"/>
    <row r="18" spans="1:5" ht="15" thickBot="1" x14ac:dyDescent="0.4">
      <c r="A18" s="763" t="s">
        <v>413</v>
      </c>
      <c r="B18" s="764" t="s">
        <v>414</v>
      </c>
      <c r="C18" s="765" t="s">
        <v>415</v>
      </c>
      <c r="D18" s="472"/>
      <c r="E18" s="473"/>
    </row>
    <row r="19" spans="1:5" x14ac:dyDescent="0.35">
      <c r="A19" s="1015" t="s">
        <v>1408</v>
      </c>
      <c r="B19" s="435">
        <v>12</v>
      </c>
      <c r="C19" s="93" t="s">
        <v>1920</v>
      </c>
      <c r="D19" s="94"/>
      <c r="E19" s="95"/>
    </row>
    <row r="20" spans="1:5" ht="15" thickBot="1" x14ac:dyDescent="0.4">
      <c r="A20" s="1016"/>
      <c r="B20" s="155"/>
      <c r="C20" s="98" t="s">
        <v>1921</v>
      </c>
      <c r="D20" s="99"/>
      <c r="E20" s="100"/>
    </row>
    <row r="21" spans="1:5" x14ac:dyDescent="0.35">
      <c r="A21" s="1015" t="s">
        <v>1828</v>
      </c>
      <c r="B21" s="435">
        <v>365.25</v>
      </c>
      <c r="C21" s="93" t="s">
        <v>1922</v>
      </c>
      <c r="D21" s="94"/>
      <c r="E21" s="95"/>
    </row>
    <row r="22" spans="1:5" ht="15" thickBot="1" x14ac:dyDescent="0.4">
      <c r="A22" s="1016"/>
      <c r="B22" s="155"/>
      <c r="C22" s="98" t="s">
        <v>1923</v>
      </c>
      <c r="D22" s="99"/>
      <c r="E22" s="100"/>
    </row>
    <row r="23" spans="1:5" x14ac:dyDescent="0.35">
      <c r="A23" s="1015" t="s">
        <v>1924</v>
      </c>
      <c r="B23" s="435">
        <v>100</v>
      </c>
      <c r="C23" s="93" t="s">
        <v>1925</v>
      </c>
      <c r="D23" s="94"/>
      <c r="E23" s="95"/>
    </row>
    <row r="24" spans="1:5" ht="15" thickBot="1" x14ac:dyDescent="0.4">
      <c r="A24" s="1016"/>
      <c r="B24" s="155"/>
      <c r="C24" s="98" t="s">
        <v>1926</v>
      </c>
      <c r="D24" s="99"/>
      <c r="E24" s="100"/>
    </row>
    <row r="25" spans="1:5" x14ac:dyDescent="0.35">
      <c r="A25" s="1015" t="s">
        <v>1927</v>
      </c>
      <c r="B25" s="1017">
        <v>0.46</v>
      </c>
      <c r="C25" s="93" t="s">
        <v>1928</v>
      </c>
      <c r="D25" s="94"/>
      <c r="E25" s="95"/>
    </row>
    <row r="26" spans="1:5" ht="15" thickBot="1" x14ac:dyDescent="0.4">
      <c r="A26" s="1016"/>
      <c r="B26" s="1018"/>
      <c r="C26" s="98" t="s">
        <v>1929</v>
      </c>
      <c r="D26" s="99"/>
      <c r="E26" s="100"/>
    </row>
    <row r="27" spans="1:5" x14ac:dyDescent="0.35">
      <c r="A27" s="1015" t="s">
        <v>1930</v>
      </c>
      <c r="B27" s="1017">
        <v>0.3</v>
      </c>
      <c r="C27" s="93" t="s">
        <v>1931</v>
      </c>
      <c r="D27" s="94"/>
      <c r="E27" s="95"/>
    </row>
    <row r="28" spans="1:5" ht="15" thickBot="1" x14ac:dyDescent="0.4">
      <c r="A28" s="1016"/>
      <c r="B28" s="1018"/>
      <c r="C28" s="98" t="s">
        <v>1932</v>
      </c>
      <c r="D28" s="99"/>
      <c r="E28" s="100"/>
    </row>
    <row r="29" spans="1:5" x14ac:dyDescent="0.35">
      <c r="A29" s="1015" t="s">
        <v>1933</v>
      </c>
      <c r="B29" s="435">
        <v>80</v>
      </c>
      <c r="C29" s="93" t="s">
        <v>1934</v>
      </c>
      <c r="D29" s="94"/>
      <c r="E29" s="95"/>
    </row>
    <row r="30" spans="1:5" ht="15" thickBot="1" x14ac:dyDescent="0.4">
      <c r="A30" s="1016"/>
      <c r="B30" s="155"/>
      <c r="C30" s="98" t="s">
        <v>1935</v>
      </c>
      <c r="D30" s="99"/>
      <c r="E30" s="100"/>
    </row>
    <row r="31" spans="1:5" x14ac:dyDescent="0.35">
      <c r="A31" s="1015" t="s">
        <v>1936</v>
      </c>
      <c r="B31" s="435">
        <v>70</v>
      </c>
      <c r="C31" s="93" t="s">
        <v>1937</v>
      </c>
      <c r="D31" s="94"/>
      <c r="E31" s="95"/>
    </row>
    <row r="32" spans="1:5" ht="15" thickBot="1" x14ac:dyDescent="0.4">
      <c r="A32" s="1016"/>
      <c r="B32" s="155"/>
      <c r="C32" s="98" t="s">
        <v>1938</v>
      </c>
      <c r="D32" s="99"/>
      <c r="E32" s="100"/>
    </row>
    <row r="33" spans="1:5" ht="26.5" x14ac:dyDescent="0.35">
      <c r="A33" s="1015" t="s">
        <v>1939</v>
      </c>
      <c r="B33" s="435">
        <v>1</v>
      </c>
      <c r="C33" s="93" t="s">
        <v>1940</v>
      </c>
      <c r="D33" s="94"/>
      <c r="E33" s="95"/>
    </row>
    <row r="34" spans="1:5" ht="15" thickBot="1" x14ac:dyDescent="0.4">
      <c r="A34" s="1016"/>
      <c r="B34" s="155"/>
      <c r="C34" s="98" t="s">
        <v>1941</v>
      </c>
      <c r="D34" s="99"/>
      <c r="E34" s="100"/>
    </row>
    <row r="35" spans="1:5" x14ac:dyDescent="0.35">
      <c r="A35" s="1015" t="s">
        <v>1942</v>
      </c>
      <c r="B35" s="435">
        <v>1</v>
      </c>
      <c r="C35" s="93" t="s">
        <v>1940</v>
      </c>
      <c r="D35" s="94"/>
      <c r="E35" s="95"/>
    </row>
    <row r="36" spans="1:5" ht="15" thickBot="1" x14ac:dyDescent="0.4">
      <c r="A36" s="1016"/>
      <c r="B36" s="155"/>
      <c r="C36" s="98" t="s">
        <v>1941</v>
      </c>
      <c r="D36" s="99"/>
      <c r="E36" s="100"/>
    </row>
    <row r="37" spans="1:5" x14ac:dyDescent="0.35">
      <c r="A37" s="1015" t="s">
        <v>1943</v>
      </c>
      <c r="B37" s="435">
        <v>15</v>
      </c>
      <c r="C37" s="93" t="s">
        <v>1944</v>
      </c>
      <c r="D37" s="94"/>
      <c r="E37" s="95"/>
    </row>
    <row r="38" spans="1:5" ht="15" thickBot="1" x14ac:dyDescent="0.4">
      <c r="A38" s="1016"/>
      <c r="B38" s="155"/>
      <c r="C38" s="98" t="s">
        <v>1945</v>
      </c>
      <c r="D38" s="99"/>
      <c r="E38" s="100"/>
    </row>
    <row r="39" spans="1:5" x14ac:dyDescent="0.35">
      <c r="A39" s="1015" t="s">
        <v>1946</v>
      </c>
      <c r="B39" s="435">
        <v>15</v>
      </c>
      <c r="C39" s="93" t="s">
        <v>1944</v>
      </c>
      <c r="D39" s="94"/>
      <c r="E39" s="95"/>
    </row>
    <row r="40" spans="1:5" ht="15" thickBot="1" x14ac:dyDescent="0.4">
      <c r="A40" s="1016"/>
      <c r="B40" s="155"/>
      <c r="C40" s="98" t="s">
        <v>1945</v>
      </c>
      <c r="D40" s="99"/>
      <c r="E40" s="100"/>
    </row>
    <row r="41" spans="1:5" x14ac:dyDescent="0.35">
      <c r="A41" s="1015" t="s">
        <v>1947</v>
      </c>
      <c r="B41" s="1019">
        <v>44000</v>
      </c>
      <c r="C41" s="93" t="s">
        <v>1948</v>
      </c>
      <c r="D41" s="94"/>
      <c r="E41" s="95"/>
    </row>
    <row r="42" spans="1:5" ht="15" thickBot="1" x14ac:dyDescent="0.4">
      <c r="A42" s="1016"/>
      <c r="B42" s="1020"/>
      <c r="C42" s="98" t="s">
        <v>1949</v>
      </c>
      <c r="D42" s="99"/>
      <c r="E42" s="100"/>
    </row>
    <row r="43" spans="1:5" x14ac:dyDescent="0.35">
      <c r="A43" s="1015" t="s">
        <v>1950</v>
      </c>
      <c r="B43" s="1019">
        <v>76000</v>
      </c>
      <c r="C43" s="93" t="s">
        <v>1951</v>
      </c>
      <c r="D43" s="94"/>
      <c r="E43" s="95"/>
    </row>
    <row r="44" spans="1:5" ht="15" thickBot="1" x14ac:dyDescent="0.4">
      <c r="A44" s="1016"/>
      <c r="B44" s="1020"/>
      <c r="C44" s="98" t="s">
        <v>1952</v>
      </c>
      <c r="D44" s="99"/>
      <c r="E44" s="100"/>
    </row>
    <row r="45" spans="1:5" x14ac:dyDescent="0.35">
      <c r="A45" s="1015" t="s">
        <v>1953</v>
      </c>
      <c r="B45" s="1019">
        <v>12000</v>
      </c>
      <c r="C45" s="93" t="s">
        <v>1954</v>
      </c>
      <c r="D45" s="94"/>
      <c r="E45" s="95"/>
    </row>
    <row r="46" spans="1:5" ht="15" thickBot="1" x14ac:dyDescent="0.4">
      <c r="A46" s="1016"/>
      <c r="B46" s="1020"/>
      <c r="C46" s="98" t="s">
        <v>1955</v>
      </c>
      <c r="D46" s="99"/>
      <c r="E46" s="100"/>
    </row>
    <row r="47" spans="1:5" x14ac:dyDescent="0.35">
      <c r="A47" s="1015" t="s">
        <v>1956</v>
      </c>
      <c r="B47" s="1019">
        <v>18000</v>
      </c>
      <c r="C47" s="93" t="s">
        <v>1954</v>
      </c>
      <c r="D47" s="94"/>
      <c r="E47" s="95"/>
    </row>
    <row r="48" spans="1:5" ht="15" thickBot="1" x14ac:dyDescent="0.4">
      <c r="A48" s="1016"/>
      <c r="B48" s="1020"/>
      <c r="C48" s="98" t="s">
        <v>1957</v>
      </c>
      <c r="D48" s="99"/>
      <c r="E48" s="100"/>
    </row>
    <row r="49" spans="1:5" ht="27" customHeight="1" x14ac:dyDescent="0.35">
      <c r="A49" s="1015" t="s">
        <v>1958</v>
      </c>
      <c r="B49" s="1021"/>
      <c r="C49" s="93" t="s">
        <v>1959</v>
      </c>
      <c r="D49" s="94"/>
      <c r="E49" s="95"/>
    </row>
    <row r="50" spans="1:5" ht="27" customHeight="1" x14ac:dyDescent="0.35">
      <c r="A50" s="1022"/>
      <c r="B50" s="1023"/>
      <c r="C50" s="309" t="s">
        <v>1960</v>
      </c>
      <c r="D50" s="67"/>
      <c r="E50" s="310"/>
    </row>
    <row r="51" spans="1:5" ht="27" customHeight="1" thickBot="1" x14ac:dyDescent="0.4">
      <c r="A51" s="1016"/>
      <c r="B51" s="1024">
        <f>+B19-B23/B29-B37/60</f>
        <v>10.5</v>
      </c>
      <c r="C51" s="98" t="s">
        <v>1961</v>
      </c>
      <c r="D51" s="99"/>
      <c r="E51" s="100"/>
    </row>
    <row r="52" spans="1:5" x14ac:dyDescent="0.35">
      <c r="A52" s="1015" t="s">
        <v>1962</v>
      </c>
      <c r="B52" s="1021"/>
      <c r="C52" s="93" t="s">
        <v>1963</v>
      </c>
      <c r="D52" s="94"/>
      <c r="E52" s="95"/>
    </row>
    <row r="53" spans="1:5" x14ac:dyDescent="0.35">
      <c r="A53" s="1022"/>
      <c r="B53" s="1023"/>
      <c r="C53" s="309" t="s">
        <v>1964</v>
      </c>
      <c r="D53" s="67"/>
      <c r="E53" s="310"/>
    </row>
    <row r="54" spans="1:5" ht="15" thickBot="1" x14ac:dyDescent="0.4">
      <c r="A54" s="1016"/>
      <c r="B54" s="1024">
        <f>12-(100/70)-(15/60)</f>
        <v>10.321428571428571</v>
      </c>
      <c r="C54" s="98" t="s">
        <v>1961</v>
      </c>
      <c r="D54" s="99"/>
      <c r="E54" s="100"/>
    </row>
    <row r="55" spans="1:5" x14ac:dyDescent="0.35">
      <c r="A55" s="1015" t="s">
        <v>1965</v>
      </c>
      <c r="B55" s="1019">
        <v>250</v>
      </c>
      <c r="C55" s="93" t="s">
        <v>1966</v>
      </c>
      <c r="D55" s="94"/>
      <c r="E55" s="95"/>
    </row>
    <row r="56" spans="1:5" ht="15" thickBot="1" x14ac:dyDescent="0.4">
      <c r="A56" s="111"/>
      <c r="B56" s="99"/>
      <c r="C56" s="98" t="s">
        <v>1237</v>
      </c>
      <c r="D56" s="99"/>
      <c r="E56" s="100"/>
    </row>
    <row r="57" spans="1:5" ht="15" thickBot="1" x14ac:dyDescent="0.4">
      <c r="A57" s="111" t="s">
        <v>443</v>
      </c>
      <c r="B57" s="99">
        <v>12</v>
      </c>
      <c r="C57" s="108" t="s">
        <v>1237</v>
      </c>
      <c r="D57" s="99"/>
      <c r="E57" s="100"/>
    </row>
    <row r="58" spans="1:5" ht="15" thickBot="1" x14ac:dyDescent="0.4">
      <c r="A58" s="119" t="s">
        <v>344</v>
      </c>
      <c r="B58" s="451"/>
      <c r="C58" s="1025"/>
      <c r="D58" s="451"/>
      <c r="E58" s="121"/>
    </row>
    <row r="59" spans="1:5" ht="36" customHeight="1" x14ac:dyDescent="0.35">
      <c r="A59" s="1013" t="s">
        <v>1371</v>
      </c>
      <c r="B59" s="94"/>
      <c r="C59" s="2225" t="s">
        <v>1967</v>
      </c>
      <c r="D59" s="2225"/>
      <c r="E59" s="2226"/>
    </row>
    <row r="60" spans="1:5" ht="30.75" customHeight="1" thickBot="1" x14ac:dyDescent="0.4">
      <c r="A60" s="1014" t="s">
        <v>1373</v>
      </c>
      <c r="B60" s="99"/>
      <c r="C60" s="2227" t="s">
        <v>1968</v>
      </c>
      <c r="D60" s="2227"/>
      <c r="E60" s="2228"/>
    </row>
  </sheetData>
  <customSheetViews>
    <customSheetView guid="{11DE45F5-F478-4ED6-8DFF-12002C22A637}" scale="60" showPageBreaks="1" fitToPage="1" view="pageBreakPreview">
      <pageMargins left="0.7" right="0.7" top="0.75" bottom="0.75" header="0.3" footer="0.3"/>
      <pageSetup scale="47" orientation="landscape" verticalDpi="300" r:id="rId1"/>
    </customSheetView>
    <customSheetView guid="{ECD6FE6A-9548-414E-B8AA-6998703C57E0}" scale="60" showPageBreaks="1" fitToPage="1" view="pageBreakPreview">
      <pageMargins left="0.7" right="0.7" top="0.75" bottom="0.75" header="0.3" footer="0.3"/>
      <pageSetup scale="47" orientation="landscape" verticalDpi="300" r:id="rId2"/>
    </customSheetView>
  </customSheetViews>
  <mergeCells count="5">
    <mergeCell ref="K1:M1"/>
    <mergeCell ref="N1:P1"/>
    <mergeCell ref="A8:G8"/>
    <mergeCell ref="C59:E59"/>
    <mergeCell ref="C60:E60"/>
  </mergeCells>
  <dataValidations count="2">
    <dataValidation type="list" allowBlank="1" showInputMessage="1" showErrorMessage="1" sqref="H3" xr:uid="{00000000-0002-0000-0600-000000000000}">
      <formula1>$A$67:$A$68</formula1>
    </dataValidation>
    <dataValidation type="list" allowBlank="1" showInputMessage="1" showErrorMessage="1" sqref="D3" xr:uid="{00000000-0002-0000-0600-000001000000}">
      <formula1>MeasureType</formula1>
    </dataValidation>
  </dataValidations>
  <pageMargins left="0.7" right="0.7" top="0.75" bottom="0.75" header="0.3" footer="0.3"/>
  <pageSetup scale="46" orientation="landscape" verticalDpi="3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79998168889431442"/>
    <pageSetUpPr fitToPage="1"/>
  </sheetPr>
  <dimension ref="A1:O63"/>
  <sheetViews>
    <sheetView view="pageBreakPreview" zoomScale="60" zoomScaleNormal="100" workbookViewId="0"/>
  </sheetViews>
  <sheetFormatPr defaultRowHeight="14.5" x14ac:dyDescent="0.35"/>
  <cols>
    <col min="1" max="1" width="26.54296875" customWidth="1"/>
    <col min="2" max="2" width="28.26953125" bestFit="1" customWidth="1"/>
    <col min="3" max="3" width="18.54296875" customWidth="1"/>
    <col min="4" max="4" width="19.1796875" customWidth="1"/>
    <col min="5" max="5" width="35.81640625" customWidth="1"/>
    <col min="6" max="6" width="38.453125" bestFit="1" customWidth="1"/>
    <col min="7" max="7" width="16.1796875" bestFit="1" customWidth="1"/>
    <col min="8" max="9" width="23.54296875" customWidth="1"/>
    <col min="10" max="10" width="10.7265625" customWidth="1"/>
    <col min="11" max="11" width="10" bestFit="1" customWidth="1"/>
    <col min="12" max="12" width="9.7265625" bestFit="1" customWidth="1"/>
    <col min="13" max="13" width="10.26953125" customWidth="1"/>
    <col min="14" max="15" width="11.26953125" customWidth="1"/>
  </cols>
  <sheetData>
    <row r="1" spans="1:15" ht="15" customHeight="1" x14ac:dyDescent="0.35">
      <c r="A1" s="1721" t="s">
        <v>321</v>
      </c>
      <c r="B1" s="1124"/>
      <c r="C1" s="1124"/>
      <c r="D1" s="1124"/>
      <c r="E1" s="1125"/>
      <c r="F1" s="1125"/>
      <c r="G1" s="1125"/>
      <c r="H1" s="1125"/>
      <c r="I1" s="1126"/>
      <c r="J1" s="2231" t="s">
        <v>335</v>
      </c>
      <c r="K1" s="2232"/>
      <c r="L1" s="2233"/>
      <c r="M1" s="2231" t="s">
        <v>336</v>
      </c>
      <c r="N1" s="2232"/>
      <c r="O1" s="2233"/>
    </row>
    <row r="2" spans="1:15" s="781" customFormat="1" x14ac:dyDescent="0.35">
      <c r="A2" s="1128" t="s">
        <v>338</v>
      </c>
      <c r="B2" s="1128" t="s">
        <v>1</v>
      </c>
      <c r="C2" s="1129" t="s">
        <v>339</v>
      </c>
      <c r="D2" s="1129" t="s">
        <v>688</v>
      </c>
      <c r="E2" s="1128" t="s">
        <v>342</v>
      </c>
      <c r="F2" s="1128" t="s">
        <v>343</v>
      </c>
      <c r="G2" s="1128" t="s">
        <v>344</v>
      </c>
      <c r="H2" s="1128" t="s">
        <v>345</v>
      </c>
      <c r="I2" s="1128" t="s">
        <v>346</v>
      </c>
      <c r="J2" s="1167" t="s">
        <v>347</v>
      </c>
      <c r="K2" s="1167" t="s">
        <v>348</v>
      </c>
      <c r="L2" s="1167" t="s">
        <v>349</v>
      </c>
      <c r="M2" s="1167" t="s">
        <v>347</v>
      </c>
      <c r="N2" s="1167" t="s">
        <v>348</v>
      </c>
      <c r="O2" s="1167" t="s">
        <v>349</v>
      </c>
    </row>
    <row r="3" spans="1:15" s="74" customFormat="1" x14ac:dyDescent="0.35">
      <c r="A3" s="1131" t="s">
        <v>321</v>
      </c>
      <c r="B3" s="1131" t="s">
        <v>1969</v>
      </c>
      <c r="C3" s="1132" t="s">
        <v>149</v>
      </c>
      <c r="D3" s="1133" t="s">
        <v>1306</v>
      </c>
      <c r="E3" s="1168" t="s">
        <v>356</v>
      </c>
      <c r="F3" s="1168">
        <f>+$B$58</f>
        <v>15</v>
      </c>
      <c r="G3" s="1136"/>
      <c r="H3" s="1141" t="s">
        <v>357</v>
      </c>
      <c r="I3" s="1141"/>
      <c r="J3" s="1169"/>
      <c r="K3" s="1170"/>
      <c r="L3" s="1169">
        <f>(B16+B17+B18)*B24/100000</f>
        <v>505.15881181318684</v>
      </c>
      <c r="M3" s="1171"/>
      <c r="N3" s="1170"/>
      <c r="O3" s="1171">
        <f>L3*F3</f>
        <v>7577.3821771978028</v>
      </c>
    </row>
    <row r="5" spans="1:15" ht="15" thickBot="1" x14ac:dyDescent="0.4"/>
    <row r="6" spans="1:15" ht="15" thickBot="1" x14ac:dyDescent="0.4">
      <c r="A6" s="88" t="s">
        <v>408</v>
      </c>
      <c r="B6" s="78"/>
      <c r="C6" s="78"/>
      <c r="D6" s="78"/>
      <c r="E6" s="78"/>
      <c r="F6" s="79"/>
    </row>
    <row r="7" spans="1:15" x14ac:dyDescent="0.35">
      <c r="A7" s="81" t="s">
        <v>1912</v>
      </c>
      <c r="B7" s="82"/>
      <c r="C7" s="83"/>
      <c r="D7" s="83"/>
      <c r="E7" s="83"/>
      <c r="F7" s="84"/>
    </row>
    <row r="8" spans="1:15" x14ac:dyDescent="0.35">
      <c r="A8" s="81" t="s">
        <v>1970</v>
      </c>
      <c r="B8" s="82"/>
      <c r="C8" s="83"/>
      <c r="D8" s="83"/>
      <c r="E8" s="83"/>
      <c r="F8" s="84"/>
    </row>
    <row r="9" spans="1:15" x14ac:dyDescent="0.35">
      <c r="A9" s="2229" t="s">
        <v>1914</v>
      </c>
      <c r="B9" s="2223"/>
      <c r="C9" s="2223"/>
      <c r="D9" s="2223"/>
      <c r="E9" s="2223"/>
      <c r="F9" s="2230"/>
      <c r="G9" s="63"/>
      <c r="H9" s="63"/>
      <c r="I9" s="63"/>
    </row>
    <row r="10" spans="1:15" ht="15" thickBot="1" x14ac:dyDescent="0.4">
      <c r="A10" s="85" t="s">
        <v>1915</v>
      </c>
      <c r="B10" s="86"/>
      <c r="C10" s="86"/>
      <c r="D10" s="86"/>
      <c r="E10" s="86"/>
      <c r="F10" s="87"/>
    </row>
    <row r="11" spans="1:15" ht="15" thickBot="1" x14ac:dyDescent="0.4">
      <c r="A11" s="188" t="s">
        <v>2571</v>
      </c>
      <c r="B11" s="1384" t="e">
        <f>+#REF!</f>
        <v>#REF!</v>
      </c>
    </row>
    <row r="12" spans="1:15" ht="15" thickBot="1" x14ac:dyDescent="0.4">
      <c r="A12" s="188" t="s">
        <v>2572</v>
      </c>
      <c r="B12" s="701" t="s">
        <v>164</v>
      </c>
    </row>
    <row r="14" spans="1:15" ht="15" thickBot="1" x14ac:dyDescent="0.4"/>
    <row r="15" spans="1:15" ht="15" thickBot="1" x14ac:dyDescent="0.4">
      <c r="A15" s="88" t="s">
        <v>1916</v>
      </c>
      <c r="B15" s="78"/>
    </row>
    <row r="16" spans="1:15" x14ac:dyDescent="0.35">
      <c r="A16" s="372" t="s">
        <v>1917</v>
      </c>
      <c r="B16" s="1026">
        <f>(B50*B55)-(B48*B53)</f>
        <v>64519.230769230766</v>
      </c>
      <c r="C16" s="592"/>
    </row>
    <row r="17" spans="1:5" ht="30" customHeight="1" x14ac:dyDescent="0.35">
      <c r="A17" s="372" t="s">
        <v>1918</v>
      </c>
      <c r="B17" s="1026">
        <f>(B38*B42/60*B46)-(B36*B40/60*B44)</f>
        <v>500</v>
      </c>
    </row>
    <row r="18" spans="1:5" ht="28.5" customHeight="1" x14ac:dyDescent="0.35">
      <c r="A18" s="372" t="s">
        <v>1919</v>
      </c>
      <c r="B18" s="1026">
        <f>(B26*B56/B30)-(B26*B56/B28)</f>
        <v>73285.71428571429</v>
      </c>
    </row>
    <row r="20" spans="1:5" ht="15" thickBot="1" x14ac:dyDescent="0.4"/>
    <row r="21" spans="1:5" ht="15" thickBot="1" x14ac:dyDescent="0.4">
      <c r="A21" s="763" t="s">
        <v>413</v>
      </c>
      <c r="B21" s="764" t="s">
        <v>414</v>
      </c>
      <c r="C21" s="765" t="s">
        <v>415</v>
      </c>
      <c r="D21" s="472"/>
      <c r="E21" s="473"/>
    </row>
    <row r="22" spans="1:5" x14ac:dyDescent="0.35">
      <c r="A22" s="1015" t="s">
        <v>1408</v>
      </c>
      <c r="B22" s="435">
        <v>16</v>
      </c>
      <c r="C22" s="93" t="s">
        <v>1971</v>
      </c>
      <c r="D22" s="94"/>
      <c r="E22" s="95"/>
    </row>
    <row r="23" spans="1:5" ht="15" thickBot="1" x14ac:dyDescent="0.4">
      <c r="A23" s="1016"/>
      <c r="B23" s="155"/>
      <c r="C23" s="98" t="s">
        <v>1972</v>
      </c>
      <c r="D23" s="99"/>
      <c r="E23" s="100"/>
    </row>
    <row r="24" spans="1:5" x14ac:dyDescent="0.35">
      <c r="A24" s="1015" t="s">
        <v>1828</v>
      </c>
      <c r="B24" s="435">
        <v>365.25</v>
      </c>
      <c r="C24" s="93" t="s">
        <v>1922</v>
      </c>
      <c r="D24" s="94"/>
      <c r="E24" s="95"/>
    </row>
    <row r="25" spans="1:5" ht="15" thickBot="1" x14ac:dyDescent="0.4">
      <c r="A25" s="1016"/>
      <c r="B25" s="155"/>
      <c r="C25" s="98" t="s">
        <v>1923</v>
      </c>
      <c r="D25" s="99"/>
      <c r="E25" s="100"/>
    </row>
    <row r="26" spans="1:5" x14ac:dyDescent="0.35">
      <c r="A26" s="1015" t="s">
        <v>1973</v>
      </c>
      <c r="B26" s="435">
        <v>150</v>
      </c>
      <c r="C26" s="93" t="s">
        <v>1925</v>
      </c>
      <c r="D26" s="94"/>
      <c r="E26" s="95"/>
    </row>
    <row r="27" spans="1:5" ht="15" thickBot="1" x14ac:dyDescent="0.4">
      <c r="A27" s="1016"/>
      <c r="B27" s="155"/>
      <c r="C27" s="98" t="s">
        <v>1974</v>
      </c>
      <c r="D27" s="99"/>
      <c r="E27" s="100"/>
    </row>
    <row r="28" spans="1:5" x14ac:dyDescent="0.35">
      <c r="A28" s="1015" t="s">
        <v>1927</v>
      </c>
      <c r="B28" s="1017">
        <v>0.5</v>
      </c>
      <c r="C28" s="93" t="s">
        <v>1975</v>
      </c>
      <c r="D28" s="94"/>
      <c r="E28" s="95"/>
    </row>
    <row r="29" spans="1:5" ht="15" thickBot="1" x14ac:dyDescent="0.4">
      <c r="A29" s="1016"/>
      <c r="B29" s="1018"/>
      <c r="C29" s="98" t="s">
        <v>1976</v>
      </c>
      <c r="D29" s="99"/>
      <c r="E29" s="100"/>
    </row>
    <row r="30" spans="1:5" x14ac:dyDescent="0.35">
      <c r="A30" s="1015" t="s">
        <v>1977</v>
      </c>
      <c r="B30" s="1017">
        <v>0.35</v>
      </c>
      <c r="C30" s="93" t="s">
        <v>1931</v>
      </c>
      <c r="D30" s="94"/>
      <c r="E30" s="95"/>
    </row>
    <row r="31" spans="1:5" ht="15" thickBot="1" x14ac:dyDescent="0.4">
      <c r="A31" s="1016"/>
      <c r="B31" s="1018"/>
      <c r="C31" s="98" t="s">
        <v>1978</v>
      </c>
      <c r="D31" s="99"/>
      <c r="E31" s="100"/>
    </row>
    <row r="32" spans="1:5" x14ac:dyDescent="0.35">
      <c r="A32" s="1015" t="s">
        <v>1979</v>
      </c>
      <c r="B32" s="435">
        <v>65</v>
      </c>
      <c r="C32" s="93" t="s">
        <v>1934</v>
      </c>
      <c r="D32" s="94"/>
      <c r="E32" s="95"/>
    </row>
    <row r="33" spans="1:5" ht="15" thickBot="1" x14ac:dyDescent="0.4">
      <c r="A33" s="1016"/>
      <c r="B33" s="155"/>
      <c r="C33" s="98" t="s">
        <v>1980</v>
      </c>
      <c r="D33" s="99"/>
      <c r="E33" s="100"/>
    </row>
    <row r="34" spans="1:5" x14ac:dyDescent="0.35">
      <c r="A34" s="1015" t="s">
        <v>1981</v>
      </c>
      <c r="B34" s="435">
        <v>60</v>
      </c>
      <c r="C34" s="93" t="s">
        <v>1982</v>
      </c>
      <c r="D34" s="94"/>
      <c r="E34" s="95"/>
    </row>
    <row r="35" spans="1:5" ht="15" thickBot="1" x14ac:dyDescent="0.4">
      <c r="A35" s="1016"/>
      <c r="B35" s="155"/>
      <c r="C35" s="98" t="s">
        <v>1983</v>
      </c>
      <c r="D35" s="99"/>
      <c r="E35" s="100"/>
    </row>
    <row r="36" spans="1:5" x14ac:dyDescent="0.35">
      <c r="A36" s="1015" t="s">
        <v>1939</v>
      </c>
      <c r="B36" s="435">
        <v>1</v>
      </c>
      <c r="C36" s="93" t="s">
        <v>1984</v>
      </c>
      <c r="D36" s="94"/>
      <c r="E36" s="95"/>
    </row>
    <row r="37" spans="1:5" ht="15" thickBot="1" x14ac:dyDescent="0.4">
      <c r="A37" s="1016"/>
      <c r="B37" s="155"/>
      <c r="C37" s="98" t="s">
        <v>1941</v>
      </c>
      <c r="D37" s="99"/>
      <c r="E37" s="100"/>
    </row>
    <row r="38" spans="1:5" x14ac:dyDescent="0.35">
      <c r="A38" s="1015" t="s">
        <v>1942</v>
      </c>
      <c r="B38" s="435">
        <v>1</v>
      </c>
      <c r="C38" s="93" t="s">
        <v>1985</v>
      </c>
      <c r="D38" s="94"/>
      <c r="E38" s="95"/>
    </row>
    <row r="39" spans="1:5" ht="15" thickBot="1" x14ac:dyDescent="0.4">
      <c r="A39" s="1016"/>
      <c r="B39" s="155"/>
      <c r="C39" s="98" t="s">
        <v>1941</v>
      </c>
      <c r="D39" s="99"/>
      <c r="E39" s="100"/>
    </row>
    <row r="40" spans="1:5" x14ac:dyDescent="0.35">
      <c r="A40" s="1015" t="s">
        <v>1943</v>
      </c>
      <c r="B40" s="435">
        <v>15</v>
      </c>
      <c r="C40" s="93" t="s">
        <v>1986</v>
      </c>
      <c r="D40" s="94"/>
      <c r="E40" s="95"/>
    </row>
    <row r="41" spans="1:5" ht="15" thickBot="1" x14ac:dyDescent="0.4">
      <c r="A41" s="1016"/>
      <c r="B41" s="155"/>
      <c r="C41" s="98" t="s">
        <v>1945</v>
      </c>
      <c r="D41" s="99"/>
      <c r="E41" s="100"/>
    </row>
    <row r="42" spans="1:5" x14ac:dyDescent="0.35">
      <c r="A42" s="1015" t="s">
        <v>1987</v>
      </c>
      <c r="B42" s="435">
        <v>15</v>
      </c>
      <c r="C42" s="93" t="s">
        <v>1988</v>
      </c>
      <c r="D42" s="94"/>
      <c r="E42" s="95"/>
    </row>
    <row r="43" spans="1:5" ht="15" thickBot="1" x14ac:dyDescent="0.4">
      <c r="A43" s="1016"/>
      <c r="B43" s="155"/>
      <c r="C43" s="98" t="s">
        <v>1945</v>
      </c>
      <c r="D43" s="99"/>
      <c r="E43" s="100"/>
    </row>
    <row r="44" spans="1:5" x14ac:dyDescent="0.35">
      <c r="A44" s="1015" t="s">
        <v>1947</v>
      </c>
      <c r="B44" s="1019">
        <v>62000</v>
      </c>
      <c r="C44" s="93" t="s">
        <v>1989</v>
      </c>
      <c r="D44" s="94"/>
      <c r="E44" s="95"/>
    </row>
    <row r="45" spans="1:5" ht="15" thickBot="1" x14ac:dyDescent="0.4">
      <c r="A45" s="1016"/>
      <c r="B45" s="1020"/>
      <c r="C45" s="98" t="s">
        <v>1990</v>
      </c>
      <c r="D45" s="99"/>
      <c r="E45" s="100"/>
    </row>
    <row r="46" spans="1:5" x14ac:dyDescent="0.35">
      <c r="A46" s="1015" t="s">
        <v>1950</v>
      </c>
      <c r="B46" s="1019">
        <v>64000</v>
      </c>
      <c r="C46" s="93" t="s">
        <v>1991</v>
      </c>
      <c r="D46" s="94"/>
      <c r="E46" s="95"/>
    </row>
    <row r="47" spans="1:5" ht="15" thickBot="1" x14ac:dyDescent="0.4">
      <c r="A47" s="1016"/>
      <c r="B47" s="1020"/>
      <c r="C47" s="98" t="s">
        <v>1992</v>
      </c>
      <c r="D47" s="99"/>
      <c r="E47" s="100"/>
    </row>
    <row r="48" spans="1:5" x14ac:dyDescent="0.35">
      <c r="A48" s="1015" t="s">
        <v>1953</v>
      </c>
      <c r="B48" s="1019">
        <v>9000</v>
      </c>
      <c r="C48" s="93" t="s">
        <v>1993</v>
      </c>
      <c r="D48" s="94"/>
      <c r="E48" s="95"/>
    </row>
    <row r="49" spans="1:5" ht="15" thickBot="1" x14ac:dyDescent="0.4">
      <c r="A49" s="1016"/>
      <c r="B49" s="1020"/>
      <c r="C49" s="98" t="s">
        <v>1994</v>
      </c>
      <c r="D49" s="99"/>
      <c r="E49" s="100"/>
    </row>
    <row r="50" spans="1:5" x14ac:dyDescent="0.35">
      <c r="A50" s="1015" t="s">
        <v>1956</v>
      </c>
      <c r="B50" s="1019">
        <v>14000</v>
      </c>
      <c r="C50" s="93" t="s">
        <v>1995</v>
      </c>
      <c r="D50" s="94"/>
      <c r="E50" s="95"/>
    </row>
    <row r="51" spans="1:5" ht="15" thickBot="1" x14ac:dyDescent="0.4">
      <c r="A51" s="1016"/>
      <c r="B51" s="1020"/>
      <c r="C51" s="98" t="s">
        <v>1996</v>
      </c>
      <c r="D51" s="99"/>
      <c r="E51" s="100"/>
    </row>
    <row r="52" spans="1:5" x14ac:dyDescent="0.35">
      <c r="A52" s="1015" t="s">
        <v>1997</v>
      </c>
      <c r="B52" s="1021"/>
      <c r="C52" s="93" t="s">
        <v>1998</v>
      </c>
      <c r="D52" s="94"/>
      <c r="E52" s="95"/>
    </row>
    <row r="53" spans="1:5" ht="15" thickBot="1" x14ac:dyDescent="0.4">
      <c r="A53" s="1016"/>
      <c r="B53" s="1024">
        <f>+B22-B26/B32-B40/60</f>
        <v>13.442307692307693</v>
      </c>
      <c r="C53" s="98" t="s">
        <v>1961</v>
      </c>
      <c r="D53" s="99"/>
      <c r="E53" s="100"/>
    </row>
    <row r="54" spans="1:5" x14ac:dyDescent="0.35">
      <c r="A54" s="1015" t="s">
        <v>1962</v>
      </c>
      <c r="B54" s="1021"/>
      <c r="C54" s="93" t="s">
        <v>1999</v>
      </c>
      <c r="D54" s="94"/>
      <c r="E54" s="95"/>
    </row>
    <row r="55" spans="1:5" ht="15" thickBot="1" x14ac:dyDescent="0.4">
      <c r="A55" s="1016"/>
      <c r="B55" s="1024">
        <f>B22-B26/B34-B42/60</f>
        <v>13.25</v>
      </c>
      <c r="C55" s="98" t="s">
        <v>1961</v>
      </c>
      <c r="D55" s="99"/>
      <c r="E55" s="100"/>
    </row>
    <row r="56" spans="1:5" x14ac:dyDescent="0.35">
      <c r="A56" s="1015" t="s">
        <v>2000</v>
      </c>
      <c r="B56" s="1021">
        <v>570</v>
      </c>
      <c r="C56" s="93" t="s">
        <v>1966</v>
      </c>
      <c r="D56" s="94"/>
      <c r="E56" s="95"/>
    </row>
    <row r="57" spans="1:5" ht="15" thickBot="1" x14ac:dyDescent="0.4">
      <c r="A57" s="1016"/>
      <c r="B57" s="1024"/>
      <c r="C57" s="98" t="s">
        <v>2001</v>
      </c>
      <c r="D57" s="99"/>
      <c r="E57" s="100"/>
    </row>
    <row r="58" spans="1:5" ht="15" thickBot="1" x14ac:dyDescent="0.4">
      <c r="A58" s="1027" t="s">
        <v>443</v>
      </c>
      <c r="B58" s="1028">
        <v>15</v>
      </c>
      <c r="C58" s="810" t="s">
        <v>1237</v>
      </c>
      <c r="D58" s="451"/>
      <c r="E58" s="121"/>
    </row>
    <row r="59" spans="1:5" ht="15" thickBot="1" x14ac:dyDescent="0.4">
      <c r="A59" s="119" t="s">
        <v>344</v>
      </c>
      <c r="B59" s="451"/>
      <c r="C59" s="810"/>
      <c r="D59" s="451"/>
      <c r="E59" s="121"/>
    </row>
    <row r="60" spans="1:5" x14ac:dyDescent="0.35">
      <c r="A60" s="1029" t="s">
        <v>1371</v>
      </c>
      <c r="B60" s="94"/>
      <c r="C60" s="115" t="s">
        <v>2002</v>
      </c>
      <c r="D60" s="94"/>
      <c r="E60" s="95"/>
    </row>
    <row r="61" spans="1:5" ht="31.5" customHeight="1" thickBot="1" x14ac:dyDescent="0.4">
      <c r="A61" s="1030" t="s">
        <v>1373</v>
      </c>
      <c r="B61" s="99"/>
      <c r="C61" s="2234" t="s">
        <v>2003</v>
      </c>
      <c r="D61" s="2234"/>
      <c r="E61" s="2235"/>
    </row>
    <row r="62" spans="1:5" x14ac:dyDescent="0.35">
      <c r="A62" s="67"/>
      <c r="B62" s="67"/>
      <c r="C62" s="67"/>
      <c r="D62" s="67"/>
      <c r="E62" s="67"/>
    </row>
    <row r="63" spans="1:5" x14ac:dyDescent="0.35">
      <c r="A63" s="67"/>
      <c r="B63" s="67"/>
      <c r="C63" s="67"/>
      <c r="D63" s="67"/>
      <c r="E63" s="67"/>
    </row>
  </sheetData>
  <customSheetViews>
    <customSheetView guid="{11DE45F5-F478-4ED6-8DFF-12002C22A637}" scale="60" showPageBreaks="1" fitToPage="1" view="pageBreakPreview">
      <pageMargins left="0.7" right="0.7" top="0.75" bottom="0.75" header="0.3" footer="0.3"/>
      <pageSetup scale="42" orientation="landscape" verticalDpi="300" r:id="rId1"/>
    </customSheetView>
    <customSheetView guid="{ECD6FE6A-9548-414E-B8AA-6998703C57E0}" scale="60" showPageBreaks="1" fitToPage="1" view="pageBreakPreview">
      <pageMargins left="0.7" right="0.7" top="0.75" bottom="0.75" header="0.3" footer="0.3"/>
      <pageSetup scale="42" orientation="landscape" verticalDpi="300" r:id="rId2"/>
    </customSheetView>
  </customSheetViews>
  <mergeCells count="4">
    <mergeCell ref="J1:L1"/>
    <mergeCell ref="M1:O1"/>
    <mergeCell ref="A9:F9"/>
    <mergeCell ref="C61:E61"/>
  </mergeCells>
  <dataValidations disablePrompts="1" count="1">
    <dataValidation type="list" allowBlank="1" showInputMessage="1" showErrorMessage="1" sqref="D3" xr:uid="{00000000-0002-0000-0700-000000000000}">
      <formula1>MeasureType</formula1>
    </dataValidation>
  </dataValidations>
  <pageMargins left="0.7" right="0.7" top="0.75" bottom="0.75" header="0.3" footer="0.3"/>
  <pageSetup scale="41" orientation="landscape" verticalDpi="3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79998168889431442"/>
    <pageSetUpPr fitToPage="1"/>
  </sheetPr>
  <dimension ref="A1:Q81"/>
  <sheetViews>
    <sheetView view="pageBreakPreview" zoomScale="60" zoomScaleNormal="100" workbookViewId="0"/>
  </sheetViews>
  <sheetFormatPr defaultRowHeight="14.5" x14ac:dyDescent="0.35"/>
  <cols>
    <col min="1" max="1" width="24.54296875" customWidth="1"/>
    <col min="2" max="2" width="30.54296875" bestFit="1" customWidth="1"/>
    <col min="3" max="3" width="13.81640625" customWidth="1"/>
    <col min="4" max="4" width="15.81640625" customWidth="1"/>
    <col min="5" max="5" width="12.26953125" customWidth="1"/>
    <col min="6" max="6" width="16.1796875" customWidth="1"/>
    <col min="7" max="7" width="11.81640625" customWidth="1"/>
    <col min="8" max="8" width="48.54296875" bestFit="1" customWidth="1"/>
    <col min="9" max="9" width="16.1796875" bestFit="1" customWidth="1"/>
    <col min="10" max="11" width="21.54296875" customWidth="1"/>
    <col min="12" max="12" width="9.7265625" bestFit="1" customWidth="1"/>
    <col min="13" max="13" width="10.26953125" customWidth="1"/>
    <col min="14" max="14" width="12.453125" customWidth="1"/>
    <col min="15" max="15" width="11.26953125" customWidth="1"/>
    <col min="27" max="27" width="12.453125" customWidth="1"/>
  </cols>
  <sheetData>
    <row r="1" spans="1:17" ht="15" customHeight="1" x14ac:dyDescent="0.35">
      <c r="A1" s="1123" t="s">
        <v>322</v>
      </c>
      <c r="B1" s="1124"/>
      <c r="C1" s="1124"/>
      <c r="D1" s="1124"/>
      <c r="E1" s="1125"/>
      <c r="F1" s="1125"/>
      <c r="G1" s="1125"/>
      <c r="H1" s="1125"/>
      <c r="I1" s="1125"/>
      <c r="J1" s="1125"/>
      <c r="K1" s="1126"/>
      <c r="L1" s="2231" t="s">
        <v>335</v>
      </c>
      <c r="M1" s="2232"/>
      <c r="N1" s="2233"/>
      <c r="O1" s="2231" t="s">
        <v>336</v>
      </c>
      <c r="P1" s="2232"/>
      <c r="Q1" s="2233"/>
    </row>
    <row r="2" spans="1:17" s="781" customFormat="1" ht="29" x14ac:dyDescent="0.35">
      <c r="A2" s="1128" t="s">
        <v>338</v>
      </c>
      <c r="B2" s="1128" t="s">
        <v>1</v>
      </c>
      <c r="C2" s="1129" t="s">
        <v>339</v>
      </c>
      <c r="D2" s="1129" t="s">
        <v>688</v>
      </c>
      <c r="E2" s="1128" t="s">
        <v>342</v>
      </c>
      <c r="F2" s="1128" t="s">
        <v>343</v>
      </c>
      <c r="G2" s="1128" t="s">
        <v>2004</v>
      </c>
      <c r="H2" s="1128" t="s">
        <v>1676</v>
      </c>
      <c r="I2" s="1128" t="s">
        <v>344</v>
      </c>
      <c r="J2" s="1128" t="s">
        <v>345</v>
      </c>
      <c r="K2" s="1128" t="s">
        <v>346</v>
      </c>
      <c r="L2" s="1167" t="s">
        <v>347</v>
      </c>
      <c r="M2" s="1167" t="s">
        <v>348</v>
      </c>
      <c r="N2" s="1167" t="s">
        <v>349</v>
      </c>
      <c r="O2" s="1167" t="s">
        <v>347</v>
      </c>
      <c r="P2" s="1167" t="s">
        <v>348</v>
      </c>
      <c r="Q2" s="1167" t="s">
        <v>349</v>
      </c>
    </row>
    <row r="3" spans="1:17" s="74" customFormat="1" ht="26.5" x14ac:dyDescent="0.35">
      <c r="A3" s="1131" t="s">
        <v>322</v>
      </c>
      <c r="B3" s="1131" t="s">
        <v>2005</v>
      </c>
      <c r="C3" s="1132" t="s">
        <v>150</v>
      </c>
      <c r="D3" s="1133" t="s">
        <v>1306</v>
      </c>
      <c r="E3" s="1168" t="s">
        <v>356</v>
      </c>
      <c r="F3" s="1168">
        <f>+$C$62</f>
        <v>12</v>
      </c>
      <c r="G3" s="135" t="s">
        <v>397</v>
      </c>
      <c r="H3" s="1150" t="s">
        <v>2006</v>
      </c>
      <c r="I3" s="1136"/>
      <c r="J3" s="1141" t="s">
        <v>2007</v>
      </c>
      <c r="K3" s="1141"/>
      <c r="L3" s="1169"/>
      <c r="M3" s="1170"/>
      <c r="N3" s="1169">
        <f>IF(G3=B80,(D20+D21+D22)*B28/100000,0)</f>
        <v>148.64153124999993</v>
      </c>
      <c r="O3" s="1171"/>
      <c r="P3" s="1170"/>
      <c r="Q3" s="1171">
        <f>N3*F3</f>
        <v>1783.698374999999</v>
      </c>
    </row>
    <row r="4" spans="1:17" ht="15" thickBot="1" x14ac:dyDescent="0.4"/>
    <row r="5" spans="1:17" ht="15" thickBot="1" x14ac:dyDescent="0.4">
      <c r="A5" s="88" t="s">
        <v>408</v>
      </c>
      <c r="B5" s="78"/>
      <c r="C5" s="78"/>
      <c r="D5" s="78"/>
      <c r="E5" s="78"/>
      <c r="F5" s="78"/>
      <c r="G5" s="78"/>
      <c r="H5" s="78"/>
      <c r="I5" s="78"/>
      <c r="J5" s="79"/>
    </row>
    <row r="6" spans="1:17" ht="15" thickBot="1" x14ac:dyDescent="0.4">
      <c r="A6" s="88" t="s">
        <v>2008</v>
      </c>
      <c r="B6" s="77"/>
      <c r="C6" s="1031"/>
      <c r="D6" s="77"/>
      <c r="E6" s="77"/>
      <c r="F6" s="77"/>
      <c r="G6" s="77"/>
      <c r="H6" s="77"/>
      <c r="I6" s="77"/>
      <c r="J6" s="410"/>
    </row>
    <row r="7" spans="1:17" ht="36.75" customHeight="1" x14ac:dyDescent="0.35">
      <c r="A7" s="2243" t="s">
        <v>2009</v>
      </c>
      <c r="B7" s="2244"/>
      <c r="C7" s="2244"/>
      <c r="D7" s="2244"/>
      <c r="E7" s="2244"/>
      <c r="F7" s="2244"/>
      <c r="G7" s="2244"/>
      <c r="H7" s="2244"/>
      <c r="I7" s="2244"/>
      <c r="J7" s="2245"/>
    </row>
    <row r="8" spans="1:17" x14ac:dyDescent="0.35">
      <c r="A8" s="704" t="s">
        <v>2010</v>
      </c>
      <c r="B8" s="705"/>
      <c r="C8" s="705"/>
      <c r="D8" s="705"/>
      <c r="E8" s="705"/>
      <c r="F8" s="705"/>
      <c r="G8" s="705"/>
      <c r="H8" s="83"/>
      <c r="I8" s="83"/>
      <c r="J8" s="125"/>
    </row>
    <row r="9" spans="1:17" x14ac:dyDescent="0.35">
      <c r="A9" s="375" t="s">
        <v>1915</v>
      </c>
      <c r="B9" s="83"/>
      <c r="C9" s="83"/>
      <c r="D9" s="83"/>
      <c r="E9" s="83"/>
      <c r="F9" s="83"/>
      <c r="G9" s="83"/>
      <c r="H9" s="83"/>
      <c r="I9" s="83"/>
      <c r="J9" s="125"/>
    </row>
    <row r="10" spans="1:17" ht="15" thickBot="1" x14ac:dyDescent="0.4">
      <c r="A10" s="376" t="s">
        <v>2011</v>
      </c>
      <c r="B10" s="83"/>
      <c r="C10" s="82"/>
      <c r="D10" s="83"/>
      <c r="E10" s="83"/>
      <c r="F10" s="83"/>
      <c r="G10" s="83"/>
      <c r="H10" s="83"/>
      <c r="I10" s="83"/>
      <c r="J10" s="125"/>
    </row>
    <row r="11" spans="1:17" ht="15" thickBot="1" x14ac:dyDescent="0.4">
      <c r="A11" s="88" t="s">
        <v>2012</v>
      </c>
      <c r="B11" s="77"/>
      <c r="C11" s="1031"/>
      <c r="D11" s="77"/>
      <c r="E11" s="77"/>
      <c r="F11" s="77"/>
      <c r="G11" s="77"/>
      <c r="H11" s="77"/>
      <c r="I11" s="77"/>
      <c r="J11" s="410"/>
    </row>
    <row r="12" spans="1:17" ht="29.25" customHeight="1" x14ac:dyDescent="0.35">
      <c r="A12" s="2243" t="s">
        <v>2009</v>
      </c>
      <c r="B12" s="2244"/>
      <c r="C12" s="2244"/>
      <c r="D12" s="2244"/>
      <c r="E12" s="2244"/>
      <c r="F12" s="2244"/>
      <c r="G12" s="2244"/>
      <c r="H12" s="2244"/>
      <c r="I12" s="2244"/>
      <c r="J12" s="2245"/>
    </row>
    <row r="13" spans="1:17" x14ac:dyDescent="0.35">
      <c r="A13" s="704" t="s">
        <v>2010</v>
      </c>
      <c r="B13" s="705"/>
      <c r="C13" s="705"/>
      <c r="D13" s="705"/>
      <c r="E13" s="705"/>
      <c r="F13" s="705"/>
      <c r="G13" s="705"/>
      <c r="H13" s="83"/>
      <c r="I13" s="83"/>
      <c r="J13" s="125"/>
    </row>
    <row r="14" spans="1:17" ht="15" thickBot="1" x14ac:dyDescent="0.4">
      <c r="A14" s="380" t="s">
        <v>1915</v>
      </c>
      <c r="B14" s="201"/>
      <c r="C14" s="1032"/>
      <c r="D14" s="201"/>
      <c r="E14" s="201"/>
      <c r="F14" s="201"/>
      <c r="G14" s="201"/>
      <c r="H14" s="201"/>
      <c r="I14" s="201"/>
      <c r="J14" s="203"/>
    </row>
    <row r="15" spans="1:17" ht="15" thickBot="1" x14ac:dyDescent="0.4">
      <c r="A15" s="188" t="s">
        <v>2571</v>
      </c>
      <c r="B15" s="1384" t="e">
        <f>+#REF!</f>
        <v>#REF!</v>
      </c>
      <c r="C15" s="337"/>
    </row>
    <row r="16" spans="1:17" ht="15" thickBot="1" x14ac:dyDescent="0.4">
      <c r="A16" s="188" t="s">
        <v>2572</v>
      </c>
      <c r="B16" s="701" t="s">
        <v>2576</v>
      </c>
      <c r="C16" s="337"/>
    </row>
    <row r="17" spans="1:10" ht="15" thickBot="1" x14ac:dyDescent="0.4">
      <c r="A17" s="69"/>
      <c r="C17" s="337"/>
    </row>
    <row r="18" spans="1:10" ht="15" thickBot="1" x14ac:dyDescent="0.4">
      <c r="A18" s="88" t="s">
        <v>1916</v>
      </c>
      <c r="B18" s="78"/>
      <c r="C18" s="78"/>
      <c r="D18" s="79"/>
    </row>
    <row r="19" spans="1:10" x14ac:dyDescent="0.35">
      <c r="A19" s="1033"/>
      <c r="B19" s="1033"/>
      <c r="C19" s="319" t="str">
        <f>B25</f>
        <v>ΔkWh</v>
      </c>
      <c r="D19" s="319" t="str">
        <f>C25</f>
        <v>ΔTherms</v>
      </c>
    </row>
    <row r="20" spans="1:10" x14ac:dyDescent="0.35">
      <c r="A20" s="1" t="s">
        <v>1917</v>
      </c>
      <c r="B20" s="1"/>
      <c r="C20" s="1034">
        <f>(B58*B32*B34*(B26-(B30/(B42*B32*B34))-(B46*B50/60)))-(B56*B32*B34*(B26-(B30/(B40*B32*B34))-(B44*B48/60)))</f>
        <v>3582.8571428571413</v>
      </c>
      <c r="D20" s="1035">
        <f>(C58*B32*B34*(B26-(B30/(C42*B32*B34))-(B46*B50/60)))-(C56*B32*B34*(B26-(B30/(C40*B32*B34))-(B44*B48/60)))</f>
        <v>11258.333333333314</v>
      </c>
    </row>
    <row r="21" spans="1:10" x14ac:dyDescent="0.35">
      <c r="A21" s="1" t="s">
        <v>1918</v>
      </c>
      <c r="B21" s="1"/>
      <c r="C21" s="1036">
        <f>(B46*B50/60*B54*B32*B34)-(B44*B48/60*B52*B32*B34)</f>
        <v>2000</v>
      </c>
      <c r="D21" s="290">
        <f>(B46*B50/60*C54*B32*B34)-(B44*B48/60*C52*B32*B34)</f>
        <v>6000</v>
      </c>
      <c r="F21" s="368"/>
      <c r="G21" s="368"/>
    </row>
    <row r="22" spans="1:10" x14ac:dyDescent="0.35">
      <c r="A22" s="1" t="s">
        <v>1919</v>
      </c>
      <c r="B22" s="1"/>
      <c r="C22" s="1036">
        <f>(B30*B60/B38)-(B30*B60/B36)</f>
        <v>1527.4725274725242</v>
      </c>
      <c r="D22" s="290">
        <f>(B30*C60/C38)-(B30*C60/C36)</f>
        <v>23437.5</v>
      </c>
      <c r="F22" s="368"/>
      <c r="G22" s="368"/>
    </row>
    <row r="23" spans="1:10" ht="15" thickBot="1" x14ac:dyDescent="0.4"/>
    <row r="24" spans="1:10" ht="15" thickBot="1" x14ac:dyDescent="0.4">
      <c r="A24" s="88" t="s">
        <v>413</v>
      </c>
      <c r="B24" s="89" t="s">
        <v>414</v>
      </c>
      <c r="C24" s="89" t="s">
        <v>414</v>
      </c>
      <c r="D24" s="90" t="s">
        <v>415</v>
      </c>
      <c r="E24" s="78"/>
      <c r="F24" s="78"/>
      <c r="G24" s="79"/>
      <c r="J24" s="592"/>
    </row>
    <row r="25" spans="1:10" ht="15.75" customHeight="1" thickBot="1" x14ac:dyDescent="0.4">
      <c r="A25" s="1174"/>
      <c r="B25" s="1038" t="str">
        <f>L2</f>
        <v>ΔkWh</v>
      </c>
      <c r="C25" s="1038" t="str">
        <f>N2</f>
        <v>ΔTherms</v>
      </c>
      <c r="D25" s="1037"/>
      <c r="E25" s="1037"/>
      <c r="F25" s="1037"/>
      <c r="G25" s="1175"/>
      <c r="J25" s="592"/>
    </row>
    <row r="26" spans="1:10" x14ac:dyDescent="0.35">
      <c r="A26" s="1015" t="s">
        <v>1408</v>
      </c>
      <c r="B26" s="435">
        <v>12</v>
      </c>
      <c r="C26" s="94"/>
      <c r="D26" s="93" t="s">
        <v>1971</v>
      </c>
      <c r="E26" s="94"/>
      <c r="F26" s="94"/>
      <c r="G26" s="95"/>
    </row>
    <row r="27" spans="1:10" ht="15" thickBot="1" x14ac:dyDescent="0.4">
      <c r="A27" s="1016"/>
      <c r="B27" s="155"/>
      <c r="C27" s="99"/>
      <c r="D27" s="98" t="s">
        <v>1921</v>
      </c>
      <c r="E27" s="99"/>
      <c r="F27" s="99"/>
      <c r="G27" s="100"/>
    </row>
    <row r="28" spans="1:10" x14ac:dyDescent="0.35">
      <c r="A28" s="1015" t="s">
        <v>2014</v>
      </c>
      <c r="B28" s="435">
        <v>365.25</v>
      </c>
      <c r="C28" s="94"/>
      <c r="D28" s="93" t="s">
        <v>1922</v>
      </c>
      <c r="E28" s="94"/>
      <c r="F28" s="94"/>
      <c r="G28" s="95"/>
    </row>
    <row r="29" spans="1:10" ht="15" thickBot="1" x14ac:dyDescent="0.4">
      <c r="A29" s="1016"/>
      <c r="B29" s="155"/>
      <c r="C29" s="99"/>
      <c r="D29" s="98" t="s">
        <v>1923</v>
      </c>
      <c r="E29" s="99"/>
      <c r="F29" s="99"/>
      <c r="G29" s="100"/>
    </row>
    <row r="30" spans="1:10" x14ac:dyDescent="0.35">
      <c r="A30" s="1015" t="s">
        <v>1924</v>
      </c>
      <c r="B30" s="435">
        <v>100</v>
      </c>
      <c r="C30" s="94"/>
      <c r="D30" s="93" t="s">
        <v>2015</v>
      </c>
      <c r="E30" s="94"/>
      <c r="F30" s="94"/>
      <c r="G30" s="95"/>
    </row>
    <row r="31" spans="1:10" ht="15" thickBot="1" x14ac:dyDescent="0.4">
      <c r="A31" s="1016"/>
      <c r="B31" s="155"/>
      <c r="C31" s="99"/>
      <c r="D31" s="98" t="s">
        <v>1926</v>
      </c>
      <c r="E31" s="99"/>
      <c r="F31" s="99"/>
      <c r="G31" s="100"/>
    </row>
    <row r="32" spans="1:10" x14ac:dyDescent="0.35">
      <c r="A32" s="1015" t="s">
        <v>2016</v>
      </c>
      <c r="B32" s="435">
        <v>3</v>
      </c>
      <c r="C32" s="94"/>
      <c r="D32" s="93" t="s">
        <v>2017</v>
      </c>
      <c r="E32" s="94"/>
      <c r="F32" s="94"/>
      <c r="G32" s="95"/>
    </row>
    <row r="33" spans="1:7" ht="15" thickBot="1" x14ac:dyDescent="0.4">
      <c r="A33" s="1016"/>
      <c r="B33" s="155"/>
      <c r="C33" s="99"/>
      <c r="D33" s="98" t="s">
        <v>2018</v>
      </c>
      <c r="E33" s="99"/>
      <c r="F33" s="99"/>
      <c r="G33" s="100"/>
    </row>
    <row r="34" spans="1:7" x14ac:dyDescent="0.35">
      <c r="A34" s="1015" t="s">
        <v>2013</v>
      </c>
      <c r="B34" s="435">
        <v>2</v>
      </c>
      <c r="C34" s="94"/>
      <c r="D34" s="93" t="s">
        <v>2019</v>
      </c>
      <c r="E34" s="94"/>
      <c r="F34" s="94"/>
      <c r="G34" s="95"/>
    </row>
    <row r="35" spans="1:7" ht="15" thickBot="1" x14ac:dyDescent="0.4">
      <c r="A35" s="1016"/>
      <c r="B35" s="155"/>
      <c r="C35" s="99"/>
      <c r="D35" s="98" t="s">
        <v>2020</v>
      </c>
      <c r="E35" s="99"/>
      <c r="F35" s="99"/>
      <c r="G35" s="100"/>
    </row>
    <row r="36" spans="1:7" x14ac:dyDescent="0.35">
      <c r="A36" s="1015" t="s">
        <v>2021</v>
      </c>
      <c r="B36" s="1017">
        <v>0.7</v>
      </c>
      <c r="C36" s="1017">
        <v>0.38</v>
      </c>
      <c r="D36" s="93" t="s">
        <v>1975</v>
      </c>
      <c r="E36" s="94"/>
      <c r="F36" s="94"/>
      <c r="G36" s="95"/>
    </row>
    <row r="37" spans="1:7" ht="15" thickBot="1" x14ac:dyDescent="0.4">
      <c r="A37" s="1016"/>
      <c r="B37" s="1018"/>
      <c r="C37" s="1018"/>
      <c r="D37" s="98" t="s">
        <v>2022</v>
      </c>
      <c r="E37" s="99"/>
      <c r="F37" s="99"/>
      <c r="G37" s="100"/>
    </row>
    <row r="38" spans="1:7" x14ac:dyDescent="0.35">
      <c r="A38" s="1015" t="s">
        <v>1930</v>
      </c>
      <c r="B38" s="1017">
        <v>0.65</v>
      </c>
      <c r="C38" s="1017">
        <v>0.32</v>
      </c>
      <c r="D38" s="93" t="s">
        <v>1931</v>
      </c>
      <c r="E38" s="94"/>
      <c r="F38" s="94"/>
      <c r="G38" s="95"/>
    </row>
    <row r="39" spans="1:7" ht="15" thickBot="1" x14ac:dyDescent="0.4">
      <c r="A39" s="1016"/>
      <c r="B39" s="1018"/>
      <c r="C39" s="1018"/>
      <c r="D39" s="98" t="s">
        <v>2023</v>
      </c>
      <c r="E39" s="99"/>
      <c r="F39" s="99"/>
      <c r="G39" s="100"/>
    </row>
    <row r="40" spans="1:7" x14ac:dyDescent="0.35">
      <c r="A40" s="1029" t="s">
        <v>1933</v>
      </c>
      <c r="B40" s="1039">
        <f>40/6</f>
        <v>6.666666666666667</v>
      </c>
      <c r="C40" s="104">
        <f>45/6</f>
        <v>7.5</v>
      </c>
      <c r="D40" s="115" t="s">
        <v>1934</v>
      </c>
      <c r="E40" s="104"/>
      <c r="F40" s="104"/>
      <c r="G40" s="105"/>
    </row>
    <row r="41" spans="1:7" ht="15" thickBot="1" x14ac:dyDescent="0.4">
      <c r="A41" s="1030"/>
      <c r="B41" s="346"/>
      <c r="C41" s="109"/>
      <c r="D41" s="108" t="s">
        <v>2024</v>
      </c>
      <c r="E41" s="109"/>
      <c r="F41" s="109"/>
      <c r="G41" s="110"/>
    </row>
    <row r="42" spans="1:7" x14ac:dyDescent="0.35">
      <c r="A42" s="1029" t="s">
        <v>1936</v>
      </c>
      <c r="B42" s="1039">
        <f>35/6</f>
        <v>5.833333333333333</v>
      </c>
      <c r="C42" s="488">
        <f>25/6</f>
        <v>4.166666666666667</v>
      </c>
      <c r="D42" s="115" t="s">
        <v>2025</v>
      </c>
      <c r="E42" s="104"/>
      <c r="F42" s="104"/>
      <c r="G42" s="105"/>
    </row>
    <row r="43" spans="1:7" ht="15" thickBot="1" x14ac:dyDescent="0.4">
      <c r="A43" s="1030"/>
      <c r="B43" s="346"/>
      <c r="C43" s="109"/>
      <c r="D43" s="108" t="s">
        <v>2026</v>
      </c>
      <c r="E43" s="109"/>
      <c r="F43" s="109"/>
      <c r="G43" s="110"/>
    </row>
    <row r="44" spans="1:7" x14ac:dyDescent="0.35">
      <c r="A44" s="1015" t="s">
        <v>1939</v>
      </c>
      <c r="B44" s="435">
        <v>1</v>
      </c>
      <c r="C44" s="94"/>
      <c r="D44" s="93" t="s">
        <v>1940</v>
      </c>
      <c r="E44" s="94"/>
      <c r="F44" s="94"/>
      <c r="G44" s="95"/>
    </row>
    <row r="45" spans="1:7" ht="15" thickBot="1" x14ac:dyDescent="0.4">
      <c r="A45" s="1016"/>
      <c r="B45" s="155"/>
      <c r="C45" s="99"/>
      <c r="D45" s="98" t="s">
        <v>1941</v>
      </c>
      <c r="E45" s="99"/>
      <c r="F45" s="99"/>
      <c r="G45" s="100"/>
    </row>
    <row r="46" spans="1:7" ht="29.25" customHeight="1" x14ac:dyDescent="0.35">
      <c r="A46" s="1015" t="s">
        <v>1942</v>
      </c>
      <c r="B46" s="435">
        <v>1</v>
      </c>
      <c r="C46" s="94"/>
      <c r="D46" s="93" t="s">
        <v>1940</v>
      </c>
      <c r="E46" s="94"/>
      <c r="F46" s="94"/>
      <c r="G46" s="95"/>
    </row>
    <row r="47" spans="1:7" ht="29.25" customHeight="1" thickBot="1" x14ac:dyDescent="0.4">
      <c r="A47" s="1016"/>
      <c r="B47" s="155"/>
      <c r="C47" s="99"/>
      <c r="D47" s="98" t="s">
        <v>1941</v>
      </c>
      <c r="E47" s="99"/>
      <c r="F47" s="99"/>
      <c r="G47" s="100"/>
    </row>
    <row r="48" spans="1:7" x14ac:dyDescent="0.35">
      <c r="A48" s="1015" t="s">
        <v>1943</v>
      </c>
      <c r="B48" s="435">
        <v>15</v>
      </c>
      <c r="C48" s="94"/>
      <c r="D48" s="93" t="s">
        <v>1944</v>
      </c>
      <c r="E48" s="94"/>
      <c r="F48" s="94"/>
      <c r="G48" s="95"/>
    </row>
    <row r="49" spans="1:12" ht="15" thickBot="1" x14ac:dyDescent="0.4">
      <c r="A49" s="1016"/>
      <c r="B49" s="155"/>
      <c r="C49" s="99"/>
      <c r="D49" s="98" t="s">
        <v>1945</v>
      </c>
      <c r="E49" s="99"/>
      <c r="F49" s="99"/>
      <c r="G49" s="100"/>
    </row>
    <row r="50" spans="1:12" x14ac:dyDescent="0.35">
      <c r="A50" s="1015" t="s">
        <v>1946</v>
      </c>
      <c r="B50" s="435">
        <v>15</v>
      </c>
      <c r="C50" s="94"/>
      <c r="D50" s="93" t="s">
        <v>1944</v>
      </c>
      <c r="E50" s="94"/>
      <c r="F50" s="94"/>
      <c r="G50" s="95"/>
    </row>
    <row r="51" spans="1:12" ht="15" thickBot="1" x14ac:dyDescent="0.4">
      <c r="A51" s="1016"/>
      <c r="B51" s="155"/>
      <c r="C51" s="99"/>
      <c r="D51" s="98" t="s">
        <v>1945</v>
      </c>
      <c r="E51" s="99"/>
      <c r="F51" s="99"/>
      <c r="G51" s="100"/>
    </row>
    <row r="52" spans="1:12" x14ac:dyDescent="0.35">
      <c r="A52" s="1029" t="s">
        <v>1947</v>
      </c>
      <c r="B52" s="1040">
        <f>8000/6</f>
        <v>1333.3333333333333</v>
      </c>
      <c r="C52" s="114">
        <f>60000/6</f>
        <v>10000</v>
      </c>
      <c r="D52" s="2236" t="s">
        <v>2027</v>
      </c>
      <c r="E52" s="2236"/>
      <c r="F52" s="104"/>
      <c r="G52" s="105"/>
    </row>
    <row r="53" spans="1:12" ht="15" thickBot="1" x14ac:dyDescent="0.4">
      <c r="A53" s="1030"/>
      <c r="B53" s="1041"/>
      <c r="C53" s="116"/>
      <c r="D53" s="1042" t="s">
        <v>2028</v>
      </c>
      <c r="E53" s="1043"/>
      <c r="F53" s="109"/>
      <c r="G53" s="110"/>
    </row>
    <row r="54" spans="1:12" ht="26.25" customHeight="1" x14ac:dyDescent="0.35">
      <c r="A54" s="1029" t="s">
        <v>1950</v>
      </c>
      <c r="B54" s="1040">
        <f>16000/6</f>
        <v>2666.6666666666665</v>
      </c>
      <c r="C54" s="114">
        <f>84000/6</f>
        <v>14000</v>
      </c>
      <c r="D54" s="2236" t="s">
        <v>2029</v>
      </c>
      <c r="E54" s="2236"/>
      <c r="F54" s="2236"/>
      <c r="G54" s="105"/>
    </row>
    <row r="55" spans="1:12" ht="26.25" customHeight="1" thickBot="1" x14ac:dyDescent="0.4">
      <c r="A55" s="1030"/>
      <c r="B55" s="1041"/>
      <c r="C55" s="116"/>
      <c r="D55" s="1042" t="s">
        <v>2030</v>
      </c>
      <c r="E55" s="1043"/>
      <c r="F55" s="1043"/>
      <c r="G55" s="110"/>
    </row>
    <row r="56" spans="1:12" x14ac:dyDescent="0.35">
      <c r="A56" s="1029" t="s">
        <v>2031</v>
      </c>
      <c r="B56" s="1040">
        <v>320</v>
      </c>
      <c r="C56" s="114">
        <v>2650</v>
      </c>
      <c r="D56" s="2236" t="s">
        <v>2032</v>
      </c>
      <c r="E56" s="2236"/>
      <c r="F56" s="2236"/>
      <c r="G56" s="105"/>
    </row>
    <row r="57" spans="1:12" ht="15" thickBot="1" x14ac:dyDescent="0.4">
      <c r="A57" s="1030"/>
      <c r="B57" s="1041"/>
      <c r="C57" s="116"/>
      <c r="D57" s="1042" t="s">
        <v>2033</v>
      </c>
      <c r="E57" s="1043"/>
      <c r="F57" s="1043"/>
      <c r="G57" s="110"/>
    </row>
    <row r="58" spans="1:12" x14ac:dyDescent="0.35">
      <c r="A58" s="1029" t="s">
        <v>1956</v>
      </c>
      <c r="B58" s="1040">
        <v>400</v>
      </c>
      <c r="C58" s="114">
        <v>3500</v>
      </c>
      <c r="D58" s="115" t="s">
        <v>2034</v>
      </c>
      <c r="E58" s="104"/>
      <c r="F58" s="104"/>
      <c r="G58" s="105"/>
    </row>
    <row r="59" spans="1:12" ht="15" thickBot="1" x14ac:dyDescent="0.4">
      <c r="A59" s="1030"/>
      <c r="B59" s="1041"/>
      <c r="C59" s="116"/>
      <c r="D59" s="108" t="s">
        <v>2035</v>
      </c>
      <c r="E59" s="109"/>
      <c r="F59" s="109"/>
      <c r="G59" s="110"/>
    </row>
    <row r="60" spans="1:12" x14ac:dyDescent="0.35">
      <c r="A60" s="1015" t="s">
        <v>2000</v>
      </c>
      <c r="B60" s="433">
        <v>139</v>
      </c>
      <c r="C60" s="101">
        <v>475</v>
      </c>
      <c r="D60" s="93" t="s">
        <v>2036</v>
      </c>
      <c r="E60" s="94"/>
      <c r="F60" s="94"/>
      <c r="G60" s="95"/>
    </row>
    <row r="61" spans="1:12" ht="15" thickBot="1" x14ac:dyDescent="0.4">
      <c r="A61" s="111"/>
      <c r="B61" s="99"/>
      <c r="C61" s="99"/>
      <c r="D61" s="98" t="s">
        <v>2037</v>
      </c>
      <c r="E61" s="99"/>
      <c r="F61" s="99"/>
      <c r="G61" s="100"/>
    </row>
    <row r="62" spans="1:12" ht="15" thickBot="1" x14ac:dyDescent="0.4">
      <c r="A62" s="118" t="s">
        <v>443</v>
      </c>
      <c r="B62" s="94">
        <v>12</v>
      </c>
      <c r="C62" s="94">
        <f>+B62</f>
        <v>12</v>
      </c>
      <c r="D62" s="93" t="s">
        <v>1237</v>
      </c>
      <c r="E62" s="94"/>
      <c r="F62" s="94"/>
      <c r="G62" s="95"/>
      <c r="J62" s="67"/>
      <c r="K62" s="67"/>
    </row>
    <row r="63" spans="1:12" x14ac:dyDescent="0.35">
      <c r="A63" s="1029" t="s">
        <v>344</v>
      </c>
      <c r="B63" s="94"/>
      <c r="C63" s="94"/>
      <c r="D63" s="2237"/>
      <c r="E63" s="2237"/>
      <c r="F63" s="2237"/>
      <c r="G63" s="2238"/>
      <c r="J63" s="67"/>
      <c r="K63" s="67"/>
    </row>
    <row r="64" spans="1:12" ht="15" thickBot="1" x14ac:dyDescent="0.4">
      <c r="A64" s="111"/>
      <c r="B64" s="99"/>
      <c r="C64" s="99"/>
      <c r="D64" s="2239"/>
      <c r="E64" s="2239"/>
      <c r="F64" s="2239"/>
      <c r="G64" s="2240"/>
      <c r="J64" s="99"/>
      <c r="K64" s="67"/>
      <c r="L64" s="67"/>
    </row>
    <row r="65" spans="1:11" x14ac:dyDescent="0.35">
      <c r="A65" s="858" t="s">
        <v>2038</v>
      </c>
      <c r="B65" s="94"/>
      <c r="C65" s="94"/>
      <c r="D65" s="115" t="s">
        <v>2039</v>
      </c>
      <c r="E65" s="94"/>
      <c r="F65" s="94"/>
      <c r="G65" s="94"/>
      <c r="H65" s="94"/>
      <c r="I65" s="94"/>
      <c r="J65" s="95"/>
      <c r="K65" s="67"/>
    </row>
    <row r="66" spans="1:11" x14ac:dyDescent="0.35">
      <c r="A66" s="345" t="s">
        <v>1373</v>
      </c>
      <c r="B66" s="67"/>
      <c r="C66" s="67"/>
      <c r="D66" s="2241" t="s">
        <v>2040</v>
      </c>
      <c r="E66" s="2241"/>
      <c r="F66" s="2241"/>
      <c r="G66" s="2241"/>
      <c r="H66" s="2241"/>
      <c r="I66" s="2241"/>
      <c r="J66" s="2242"/>
      <c r="K66" s="1044"/>
    </row>
    <row r="67" spans="1:11" ht="37.5" customHeight="1" thickBot="1" x14ac:dyDescent="0.4">
      <c r="A67" s="111"/>
      <c r="B67" s="99"/>
      <c r="C67" s="99"/>
      <c r="D67" s="2234"/>
      <c r="E67" s="2234"/>
      <c r="F67" s="2234"/>
      <c r="G67" s="2234"/>
      <c r="H67" s="2234"/>
      <c r="I67" s="2234"/>
      <c r="J67" s="2235"/>
      <c r="K67" s="1044"/>
    </row>
    <row r="68" spans="1:11" ht="15" thickBot="1" x14ac:dyDescent="0.4"/>
    <row r="69" spans="1:11" ht="15" thickBot="1" x14ac:dyDescent="0.4">
      <c r="A69" s="122" t="s">
        <v>539</v>
      </c>
      <c r="B69" s="123"/>
      <c r="C69" s="78"/>
      <c r="D69" s="78"/>
      <c r="E69" s="79"/>
    </row>
    <row r="70" spans="1:11" x14ac:dyDescent="0.35">
      <c r="A70" s="124"/>
      <c r="B70" s="1045" t="s">
        <v>1676</v>
      </c>
      <c r="C70" s="138" t="s">
        <v>615</v>
      </c>
      <c r="D70" s="83"/>
      <c r="E70" s="125"/>
    </row>
    <row r="71" spans="1:11" x14ac:dyDescent="0.35">
      <c r="A71" s="124"/>
      <c r="B71" s="315" t="s">
        <v>2041</v>
      </c>
      <c r="C71" s="315">
        <v>0.32</v>
      </c>
      <c r="D71" s="83"/>
      <c r="E71" s="125"/>
    </row>
    <row r="72" spans="1:11" x14ac:dyDescent="0.35">
      <c r="A72" s="124"/>
      <c r="B72" s="315" t="s">
        <v>2006</v>
      </c>
      <c r="C72" s="315">
        <v>0.41</v>
      </c>
      <c r="D72" s="83"/>
      <c r="E72" s="125"/>
    </row>
    <row r="73" spans="1:11" x14ac:dyDescent="0.35">
      <c r="A73" s="124"/>
      <c r="B73" s="315" t="s">
        <v>1395</v>
      </c>
      <c r="C73" s="315">
        <v>0.46</v>
      </c>
      <c r="D73" s="83"/>
      <c r="E73" s="125"/>
    </row>
    <row r="74" spans="1:11" x14ac:dyDescent="0.35">
      <c r="A74" s="124"/>
      <c r="B74" s="315" t="s">
        <v>2042</v>
      </c>
      <c r="C74" s="315">
        <v>0.51</v>
      </c>
      <c r="D74" s="83"/>
      <c r="E74" s="125"/>
    </row>
    <row r="75" spans="1:11" x14ac:dyDescent="0.35">
      <c r="A75" s="124"/>
      <c r="B75" s="315" t="s">
        <v>2043</v>
      </c>
      <c r="C75" s="315">
        <v>0.36</v>
      </c>
      <c r="D75" s="83"/>
      <c r="E75" s="125"/>
    </row>
    <row r="76" spans="1:11" x14ac:dyDescent="0.35">
      <c r="A76" s="124"/>
      <c r="B76" s="315" t="s">
        <v>1399</v>
      </c>
      <c r="C76" s="315">
        <v>0.36</v>
      </c>
      <c r="D76" s="83"/>
      <c r="E76" s="125"/>
    </row>
    <row r="77" spans="1:11" x14ac:dyDescent="0.35">
      <c r="A77" s="124"/>
      <c r="B77" s="83"/>
      <c r="C77" s="83"/>
      <c r="D77" s="83"/>
      <c r="E77" s="125"/>
    </row>
    <row r="78" spans="1:11" x14ac:dyDescent="0.35">
      <c r="A78" s="124"/>
      <c r="B78" s="222" t="s">
        <v>939</v>
      </c>
      <c r="C78" s="83"/>
      <c r="D78" s="83"/>
      <c r="E78" s="125"/>
    </row>
    <row r="79" spans="1:11" x14ac:dyDescent="0.35">
      <c r="A79" s="124"/>
      <c r="B79" s="62" t="s">
        <v>451</v>
      </c>
      <c r="C79" s="83"/>
      <c r="D79" s="83"/>
      <c r="E79" s="125"/>
    </row>
    <row r="80" spans="1:11" x14ac:dyDescent="0.35">
      <c r="A80" s="124"/>
      <c r="B80" s="62" t="s">
        <v>397</v>
      </c>
      <c r="C80" s="83"/>
      <c r="D80" s="83"/>
      <c r="E80" s="125"/>
    </row>
    <row r="81" spans="1:5" ht="15" thickBot="1" x14ac:dyDescent="0.4">
      <c r="A81" s="321"/>
      <c r="B81" s="201"/>
      <c r="C81" s="201"/>
      <c r="D81" s="201"/>
      <c r="E81" s="203"/>
    </row>
  </sheetData>
  <customSheetViews>
    <customSheetView guid="{11DE45F5-F478-4ED6-8DFF-12002C22A637}" scale="60" showPageBreaks="1" fitToPage="1" view="pageBreakPreview">
      <pageMargins left="0.7" right="0.7" top="0.75" bottom="0.75" header="0.3" footer="0.3"/>
      <pageSetup scale="37" orientation="landscape" verticalDpi="300" r:id="rId1"/>
    </customSheetView>
    <customSheetView guid="{ECD6FE6A-9548-414E-B8AA-6998703C57E0}" scale="60" showPageBreaks="1" fitToPage="1" view="pageBreakPreview">
      <pageMargins left="0.7" right="0.7" top="0.75" bottom="0.75" header="0.3" footer="0.3"/>
      <pageSetup scale="37" orientation="landscape" verticalDpi="300" r:id="rId2"/>
    </customSheetView>
  </customSheetViews>
  <mergeCells count="10">
    <mergeCell ref="L1:N1"/>
    <mergeCell ref="O1:Q1"/>
    <mergeCell ref="A7:J7"/>
    <mergeCell ref="A12:J12"/>
    <mergeCell ref="D52:E52"/>
    <mergeCell ref="D54:F54"/>
    <mergeCell ref="D56:F56"/>
    <mergeCell ref="D63:G63"/>
    <mergeCell ref="D64:G64"/>
    <mergeCell ref="D66:J67"/>
  </mergeCells>
  <dataValidations disablePrompts="1" count="3">
    <dataValidation type="list" allowBlank="1" showInputMessage="1" showErrorMessage="1" sqref="D3" xr:uid="{00000000-0002-0000-0800-000000000000}">
      <formula1>MeasureType</formula1>
    </dataValidation>
    <dataValidation type="list" allowBlank="1" showInputMessage="1" showErrorMessage="1" sqref="H3" xr:uid="{00000000-0002-0000-0800-000001000000}">
      <formula1>EStarG1</formula1>
    </dataValidation>
    <dataValidation type="list" allowBlank="1" showInputMessage="1" showErrorMessage="1" sqref="G3" xr:uid="{00000000-0002-0000-0800-000002000000}">
      <formula1>Fuel1</formula1>
    </dataValidation>
  </dataValidations>
  <pageMargins left="0.7" right="0.7" top="0.75" bottom="0.75" header="0.3" footer="0.3"/>
  <pageSetup scale="37" orientation="landscape" verticalDpi="300"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51</vt:i4>
      </vt:variant>
      <vt:variant>
        <vt:lpstr>Named Ranges</vt:lpstr>
      </vt:variant>
      <vt:variant>
        <vt:i4>71</vt:i4>
      </vt:variant>
    </vt:vector>
  </HeadingPairs>
  <TitlesOfParts>
    <vt:vector size="122" baseType="lpstr">
      <vt:lpstr>Guidelines</vt:lpstr>
      <vt:lpstr>Program-Level Adjustments</vt:lpstr>
      <vt:lpstr>Measure-Level Adjustments</vt:lpstr>
      <vt:lpstr>4.2.1</vt:lpstr>
      <vt:lpstr>4.2.3</vt:lpstr>
      <vt:lpstr>4.2.4</vt:lpstr>
      <vt:lpstr>4.2.5</vt:lpstr>
      <vt:lpstr>4.2.7</vt:lpstr>
      <vt:lpstr>4.2.8</vt:lpstr>
      <vt:lpstr>4.2.11</vt:lpstr>
      <vt:lpstr>4.2.12</vt:lpstr>
      <vt:lpstr>4.2.13</vt:lpstr>
      <vt:lpstr>4.2.14</vt:lpstr>
      <vt:lpstr>4.2.15</vt:lpstr>
      <vt:lpstr>4.2.17</vt:lpstr>
      <vt:lpstr>4.2.18</vt:lpstr>
      <vt:lpstr>4.3.1</vt:lpstr>
      <vt:lpstr>4.3.2</vt:lpstr>
      <vt:lpstr>4.3.3</vt:lpstr>
      <vt:lpstr>4.3.4</vt:lpstr>
      <vt:lpstr>4.3.6</vt:lpstr>
      <vt:lpstr>4.4.2</vt:lpstr>
      <vt:lpstr>4.4.3</vt:lpstr>
      <vt:lpstr>4.4.4</vt:lpstr>
      <vt:lpstr>4.4.5</vt:lpstr>
      <vt:lpstr>4.4.10</vt:lpstr>
      <vt:lpstr>4.4.11</vt:lpstr>
      <vt:lpstr>4.4.12</vt:lpstr>
      <vt:lpstr>4.4.14</vt:lpstr>
      <vt:lpstr>4.4.16</vt:lpstr>
      <vt:lpstr>4.4.18</vt:lpstr>
      <vt:lpstr>4.4.19</vt:lpstr>
      <vt:lpstr>4.4.24 </vt:lpstr>
      <vt:lpstr>4.8.4</vt:lpstr>
      <vt:lpstr>5.3.4</vt:lpstr>
      <vt:lpstr>5.3.6</vt:lpstr>
      <vt:lpstr>5.3.7</vt:lpstr>
      <vt:lpstr>5.3.11</vt:lpstr>
      <vt:lpstr>5.3.13</vt:lpstr>
      <vt:lpstr>5.3.16</vt:lpstr>
      <vt:lpstr>5.4.1</vt:lpstr>
      <vt:lpstr>5.4.2</vt:lpstr>
      <vt:lpstr>5.4.4</vt:lpstr>
      <vt:lpstr>5.4.5</vt:lpstr>
      <vt:lpstr>5.4.6</vt:lpstr>
      <vt:lpstr>5.6.1</vt:lpstr>
      <vt:lpstr>5.6.2</vt:lpstr>
      <vt:lpstr>5.6.3</vt:lpstr>
      <vt:lpstr>5.6.4 &amp; 5.6.5</vt:lpstr>
      <vt:lpstr>Kits</vt:lpstr>
      <vt:lpstr>List</vt:lpstr>
      <vt:lpstr>'4.3.1'!_ftn2</vt:lpstr>
      <vt:lpstr>'5.3.16'!_ftn3</vt:lpstr>
      <vt:lpstr>'5.4.5'!_ftn4</vt:lpstr>
      <vt:lpstr>'5.4.4'!_ftnref2</vt:lpstr>
      <vt:lpstr>'4.3.2'!_ftnref3</vt:lpstr>
      <vt:lpstr>'5.4.4'!_ftnref3</vt:lpstr>
      <vt:lpstr>'5.4.5'!_ftnref4</vt:lpstr>
      <vt:lpstr>'4.4.12'!_Ref325899123</vt:lpstr>
      <vt:lpstr>BLRCtl1</vt:lpstr>
      <vt:lpstr>'4.4.14'!Building1</vt:lpstr>
      <vt:lpstr>'4.4.24 '!Building1</vt:lpstr>
      <vt:lpstr>'4.4.14'!Building2</vt:lpstr>
      <vt:lpstr>'4.4.24 '!Building2</vt:lpstr>
      <vt:lpstr>'5.3.6'!Custom_Climate</vt:lpstr>
      <vt:lpstr>'5.3.4'!DISl1</vt:lpstr>
      <vt:lpstr>'5.3.4'!DISl2</vt:lpstr>
      <vt:lpstr>'5.3.4'!DISl3</vt:lpstr>
      <vt:lpstr>'5.3.4'!DISl4</vt:lpstr>
      <vt:lpstr>'5.3.4'!DISl5</vt:lpstr>
      <vt:lpstr>EStarG1</vt:lpstr>
      <vt:lpstr>'5.6.3'!FIAC1</vt:lpstr>
      <vt:lpstr>'5.4.1'!Fuel2</vt:lpstr>
      <vt:lpstr>'4.3.4'!Fuel3</vt:lpstr>
      <vt:lpstr>Fuel3</vt:lpstr>
      <vt:lpstr>'5.3.7'!GHEF1</vt:lpstr>
      <vt:lpstr>'5.3.7'!GHEF2</vt:lpstr>
      <vt:lpstr>'5.4.2'!GWHr1</vt:lpstr>
      <vt:lpstr>'5.4.2'!GWHr2</vt:lpstr>
      <vt:lpstr>HEFr3</vt:lpstr>
      <vt:lpstr>HEFr4</vt:lpstr>
      <vt:lpstr>Indoor_Outdoor</vt:lpstr>
      <vt:lpstr>'5.4.4'!LFFA1</vt:lpstr>
      <vt:lpstr>LFFA1</vt:lpstr>
      <vt:lpstr>'5.4.4'!LFFA2</vt:lpstr>
      <vt:lpstr>LFFA2</vt:lpstr>
      <vt:lpstr>'4.3.4'!LFSh1</vt:lpstr>
      <vt:lpstr>'5.4.5'!LFSh1</vt:lpstr>
      <vt:lpstr>'5.4.5'!LFSh2</vt:lpstr>
      <vt:lpstr>'4.2.1'!OLE_LINK1</vt:lpstr>
      <vt:lpstr>'4.4.18'!PgTs1</vt:lpstr>
      <vt:lpstr>'5.3.16'!PgTs1</vt:lpstr>
      <vt:lpstr>'5.3.16'!PgTs2</vt:lpstr>
      <vt:lpstr>'5.3.16'!PgTs3</vt:lpstr>
      <vt:lpstr>'4.2.11'!Print_Area</vt:lpstr>
      <vt:lpstr>'4.3.1'!Print_Area</vt:lpstr>
      <vt:lpstr>'4.3.2'!Print_Area</vt:lpstr>
      <vt:lpstr>'4.3.3'!Print_Area</vt:lpstr>
      <vt:lpstr>'4.3.4'!Print_Area</vt:lpstr>
      <vt:lpstr>'4.3.6'!Print_Area</vt:lpstr>
      <vt:lpstr>'4.4.16'!Print_Area</vt:lpstr>
      <vt:lpstr>'4.4.3'!Print_Area</vt:lpstr>
      <vt:lpstr>'4.4.4'!Print_Area</vt:lpstr>
      <vt:lpstr>'5.6.4 &amp; 5.6.5'!Print_Area</vt:lpstr>
      <vt:lpstr>Kits!Print_Area</vt:lpstr>
      <vt:lpstr>'Measure-Level Adjustments'!Print_Area</vt:lpstr>
      <vt:lpstr>'Program-Level Adjustments'!Print_Area</vt:lpstr>
      <vt:lpstr>'Measure-Level Adjustments'!Print_Titles</vt:lpstr>
      <vt:lpstr>'Program-Level Adjustments'!Print_Titles</vt:lpstr>
      <vt:lpstr>'5.3.7'!retire_furnace</vt:lpstr>
      <vt:lpstr>STRRr1</vt:lpstr>
      <vt:lpstr>'4.4.16'!STRRr2</vt:lpstr>
      <vt:lpstr>SWHr1</vt:lpstr>
      <vt:lpstr>SWHr3</vt:lpstr>
      <vt:lpstr>SWHr4</vt:lpstr>
      <vt:lpstr>'4.4.24 '!System1</vt:lpstr>
      <vt:lpstr>'4.4.14'!System2</vt:lpstr>
      <vt:lpstr>'4.4.24 '!System2</vt:lpstr>
      <vt:lpstr>'4.4.14'!System3</vt:lpstr>
      <vt:lpstr>'4.4.24 '!System3</vt:lpstr>
      <vt:lpstr>'4.4.14'!System4</vt:lpstr>
      <vt:lpstr>'4.4.24 '!System4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2019-01-11T14:26:36Z</cp:lastPrinted>
  <dcterms:created xsi:type="dcterms:W3CDTF">2015-06-27T00:40:35Z</dcterms:created>
  <dcterms:modified xsi:type="dcterms:W3CDTF">2019-01-14T12:17:11Z</dcterms:modified>
</cp:coreProperties>
</file>