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6" yWindow="-216" windowWidth="19416" windowHeight="9528" activeTab="1"/>
  </bookViews>
  <sheets>
    <sheet name="Prelim Budget by Util wo HIR" sheetId="9" r:id="rId1"/>
    <sheet name="Prelim Budget by Util with HIR" sheetId="10" r:id="rId2"/>
    <sheet name="PY7 Actual" sheetId="7" r:id="rId3"/>
  </sheets>
  <calcPr calcId="145621"/>
</workbook>
</file>

<file path=xl/calcChain.xml><?xml version="1.0" encoding="utf-8"?>
<calcChain xmlns="http://schemas.openxmlformats.org/spreadsheetml/2006/main">
  <c r="H6" i="10" l="1"/>
  <c r="H8" i="10" s="1"/>
  <c r="H13" i="10" s="1"/>
  <c r="H7" i="10"/>
  <c r="G11" i="10"/>
  <c r="F11" i="10"/>
  <c r="E11" i="10"/>
  <c r="D11" i="10"/>
  <c r="C11" i="10"/>
  <c r="I11" i="10" s="1"/>
  <c r="J11" i="10" s="1"/>
  <c r="G10" i="10"/>
  <c r="F10" i="10"/>
  <c r="E10" i="10"/>
  <c r="D10" i="10"/>
  <c r="D13" i="10" s="1"/>
  <c r="C10" i="10"/>
  <c r="G8" i="10"/>
  <c r="F8" i="10"/>
  <c r="E8" i="10"/>
  <c r="D8" i="10"/>
  <c r="C8" i="10"/>
  <c r="G7" i="10"/>
  <c r="F7" i="10"/>
  <c r="E7" i="10"/>
  <c r="D7" i="10"/>
  <c r="C7" i="10"/>
  <c r="I7" i="10" s="1"/>
  <c r="J7" i="10" s="1"/>
  <c r="G6" i="10"/>
  <c r="G12" i="10" s="1"/>
  <c r="G13" i="10" s="1"/>
  <c r="F6" i="10"/>
  <c r="E6" i="10"/>
  <c r="E12" i="10" s="1"/>
  <c r="D6" i="10"/>
  <c r="D12" i="10" s="1"/>
  <c r="C6" i="10"/>
  <c r="I4" i="10"/>
  <c r="I8" i="10" l="1"/>
  <c r="J8" i="10" s="1"/>
  <c r="I6" i="10"/>
  <c r="I5" i="10" s="1"/>
  <c r="E13" i="10"/>
  <c r="I10" i="10"/>
  <c r="F12" i="10"/>
  <c r="F13" i="10" s="1"/>
  <c r="C12" i="10"/>
  <c r="G6" i="9"/>
  <c r="F6" i="9"/>
  <c r="E6" i="9"/>
  <c r="D6" i="9"/>
  <c r="C6" i="9"/>
  <c r="J6" i="10" l="1"/>
  <c r="J5" i="10" s="1"/>
  <c r="I12" i="10"/>
  <c r="J12" i="10" s="1"/>
  <c r="C13" i="10"/>
  <c r="J10" i="10"/>
  <c r="C10" i="9"/>
  <c r="G10" i="9"/>
  <c r="F10" i="9"/>
  <c r="E10" i="9"/>
  <c r="I10" i="9" s="1"/>
  <c r="D10" i="9"/>
  <c r="G8" i="9"/>
  <c r="F8" i="9"/>
  <c r="E8" i="9"/>
  <c r="D8" i="9"/>
  <c r="C8" i="9"/>
  <c r="G11" i="9"/>
  <c r="F11" i="9"/>
  <c r="E11" i="9"/>
  <c r="D11" i="9"/>
  <c r="C11" i="9"/>
  <c r="H8" i="9"/>
  <c r="H6" i="9"/>
  <c r="H7" i="9"/>
  <c r="G7" i="9"/>
  <c r="F7" i="9"/>
  <c r="E7" i="9"/>
  <c r="D7" i="9"/>
  <c r="C7" i="9"/>
  <c r="I4" i="9"/>
  <c r="J9" i="10" l="1"/>
  <c r="J13" i="10" s="1"/>
  <c r="I13" i="10"/>
  <c r="I9" i="10"/>
  <c r="D12" i="9"/>
  <c r="D13" i="9" s="1"/>
  <c r="F12" i="9"/>
  <c r="F13" i="9" s="1"/>
  <c r="E12" i="9"/>
  <c r="E13" i="9" s="1"/>
  <c r="C12" i="9"/>
  <c r="G12" i="9"/>
  <c r="G13" i="9" s="1"/>
  <c r="H13" i="9"/>
  <c r="I11" i="9"/>
  <c r="J11" i="9" s="1"/>
  <c r="I8" i="9"/>
  <c r="J8" i="9" s="1"/>
  <c r="I6" i="9"/>
  <c r="I7" i="9"/>
  <c r="J7" i="9" s="1"/>
  <c r="I5" i="9" l="1"/>
  <c r="J6" i="9"/>
  <c r="J5" i="9" s="1"/>
  <c r="J10" i="9"/>
  <c r="I12" i="9"/>
  <c r="J12" i="9" s="1"/>
  <c r="C13" i="9"/>
  <c r="I13" i="9" l="1"/>
  <c r="I9" i="9"/>
  <c r="J9" i="9"/>
  <c r="J13" i="9" s="1"/>
  <c r="D2" i="7" l="1"/>
  <c r="D9" i="7" s="1"/>
</calcChain>
</file>

<file path=xl/sharedStrings.xml><?xml version="1.0" encoding="utf-8"?>
<sst xmlns="http://schemas.openxmlformats.org/spreadsheetml/2006/main" count="57" uniqueCount="30">
  <si>
    <t>ComEd</t>
  </si>
  <si>
    <t>Peoples</t>
  </si>
  <si>
    <t>Nicor</t>
  </si>
  <si>
    <t>TOTAL</t>
  </si>
  <si>
    <t>Total</t>
  </si>
  <si>
    <t>Department of Commerce EEPS</t>
  </si>
  <si>
    <t>Utility Allocations @ 25%</t>
  </si>
  <si>
    <t>Public</t>
  </si>
  <si>
    <t>Low Income</t>
  </si>
  <si>
    <t>Market Transformation</t>
  </si>
  <si>
    <t>EM&amp;V</t>
  </si>
  <si>
    <t>Marketing</t>
  </si>
  <si>
    <t>Portfolio (non-Program/Admin)</t>
  </si>
  <si>
    <t>Portfolio Adminstrative</t>
  </si>
  <si>
    <t>Program</t>
  </si>
  <si>
    <t>Ameren Gas</t>
  </si>
  <si>
    <t>Ameren Elec</t>
  </si>
  <si>
    <t>North Shore</t>
  </si>
  <si>
    <t>7.72% of total EEPS</t>
  </si>
  <si>
    <t>4% for People, 9% for all others</t>
  </si>
  <si>
    <t>0% for Peoples, 2.7% for all others</t>
  </si>
  <si>
    <t>0% for Peoples, 2% for all others</t>
  </si>
  <si>
    <t>50% for Peoples, 51.4% for all others</t>
  </si>
  <si>
    <t>8% of all EEPS</t>
  </si>
  <si>
    <t>0% for Peoples, 1.1% for all others</t>
  </si>
  <si>
    <t>0% for Peoples, 2.5% for all others</t>
  </si>
  <si>
    <t>Utility Allocations @ 25%*</t>
  </si>
  <si>
    <t>*Department expects adjustments to these #s</t>
  </si>
  <si>
    <t>46% for Peoples, 51.4% for all others</t>
  </si>
  <si>
    <t>0% for People, 8% for all others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</si>
</sst>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0.0%"/>
    <numFmt numFmtId="166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0" fillId="0" borderId="0" xfId="0"/>
    <xf numFmtId="164" fontId="0" fillId="0" borderId="1" xfId="0" applyNumberFormat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2" fillId="0" borderId="0" xfId="0" applyFont="1"/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/>
    <xf numFmtId="0" fontId="1" fillId="2" borderId="3" xfId="0" applyFont="1" applyFill="1" applyBorder="1" applyAlignment="1">
      <alignment horizontal="right"/>
    </xf>
    <xf numFmtId="0" fontId="0" fillId="0" borderId="3" xfId="0" applyBorder="1" applyAlignment="1">
      <alignment horizontal="right"/>
    </xf>
    <xf numFmtId="9" fontId="1" fillId="0" borderId="3" xfId="0" applyNumberFormat="1" applyFont="1" applyBorder="1" applyAlignment="1">
      <alignment horizontal="right"/>
    </xf>
    <xf numFmtId="9" fontId="0" fillId="0" borderId="3" xfId="0" applyNumberFormat="1" applyBorder="1" applyAlignment="1">
      <alignment horizontal="right"/>
    </xf>
    <xf numFmtId="0" fontId="0" fillId="0" borderId="0" xfId="0" applyAlignment="1">
      <alignment horizontal="right"/>
    </xf>
    <xf numFmtId="9" fontId="0" fillId="0" borderId="3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4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165" fontId="1" fillId="0" borderId="3" xfId="0" applyNumberFormat="1" applyFont="1" applyBorder="1" applyAlignment="1">
      <alignment horizontal="right"/>
    </xf>
    <xf numFmtId="165" fontId="0" fillId="0" borderId="3" xfId="0" applyNumberFormat="1" applyFont="1" applyBorder="1" applyAlignment="1">
      <alignment horizontal="right"/>
    </xf>
    <xf numFmtId="165" fontId="0" fillId="0" borderId="3" xfId="0" applyNumberFormat="1" applyBorder="1" applyAlignment="1">
      <alignment horizontal="right"/>
    </xf>
    <xf numFmtId="10" fontId="2" fillId="0" borderId="0" xfId="0" applyNumberFormat="1" applyFont="1"/>
    <xf numFmtId="164" fontId="1" fillId="0" borderId="3" xfId="0" applyNumberFormat="1" applyFont="1" applyBorder="1" applyAlignment="1">
      <alignment horizontal="right"/>
    </xf>
    <xf numFmtId="0" fontId="0" fillId="0" borderId="1" xfId="0" applyBorder="1" applyAlignment="1">
      <alignment horizontal="left"/>
    </xf>
    <xf numFmtId="166" fontId="2" fillId="0" borderId="0" xfId="0" applyNumberFormat="1" applyFont="1"/>
    <xf numFmtId="10" fontId="0" fillId="0" borderId="0" xfId="0" applyNumberForma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4"/>
  <sheetViews>
    <sheetView workbookViewId="0">
      <selection activeCell="B22" sqref="B22"/>
    </sheetView>
  </sheetViews>
  <sheetFormatPr defaultColWidth="9.109375" defaultRowHeight="14.4" x14ac:dyDescent="0.3"/>
  <cols>
    <col min="1" max="1" width="15.109375" style="2" customWidth="1"/>
    <col min="2" max="2" width="23.88671875" style="2" customWidth="1"/>
    <col min="3" max="3" width="15.109375" style="12" customWidth="1"/>
    <col min="4" max="9" width="15.109375" style="2" customWidth="1"/>
    <col min="10" max="10" width="8.33203125" style="2" customWidth="1"/>
    <col min="11" max="11" width="20.33203125" style="2" customWidth="1"/>
    <col min="12" max="16384" width="9.109375" style="2"/>
  </cols>
  <sheetData>
    <row r="2" spans="1:11" x14ac:dyDescent="0.25">
      <c r="A2" s="29" t="s">
        <v>5</v>
      </c>
      <c r="B2" s="29"/>
      <c r="C2" s="29"/>
      <c r="D2" s="29"/>
      <c r="E2" s="29"/>
      <c r="F2" s="29"/>
      <c r="G2" s="29"/>
      <c r="H2" s="29"/>
      <c r="I2" s="29"/>
      <c r="J2" s="29"/>
    </row>
    <row r="3" spans="1:11" x14ac:dyDescent="0.25">
      <c r="A3" s="30"/>
      <c r="B3" s="31"/>
      <c r="C3" s="4" t="s">
        <v>0</v>
      </c>
      <c r="D3" s="4" t="s">
        <v>16</v>
      </c>
      <c r="E3" s="4" t="s">
        <v>15</v>
      </c>
      <c r="F3" s="4" t="s">
        <v>2</v>
      </c>
      <c r="G3" s="4" t="s">
        <v>17</v>
      </c>
      <c r="H3" s="4" t="s">
        <v>1</v>
      </c>
      <c r="I3" s="4" t="s">
        <v>4</v>
      </c>
      <c r="J3" s="8"/>
    </row>
    <row r="4" spans="1:11" x14ac:dyDescent="0.25">
      <c r="A4" s="32" t="s">
        <v>26</v>
      </c>
      <c r="B4" s="32"/>
      <c r="C4" s="3">
        <v>39250000</v>
      </c>
      <c r="D4" s="3">
        <v>14250000</v>
      </c>
      <c r="E4" s="3">
        <v>4100000</v>
      </c>
      <c r="F4" s="3">
        <v>9860000</v>
      </c>
      <c r="G4" s="3">
        <v>990000</v>
      </c>
      <c r="H4" s="3">
        <v>6810000</v>
      </c>
      <c r="I4" s="3">
        <f>SUM(C4:H4)</f>
        <v>75260000</v>
      </c>
      <c r="J4" s="9"/>
    </row>
    <row r="5" spans="1:11" s="1" customFormat="1" x14ac:dyDescent="0.25">
      <c r="A5" s="16" t="s">
        <v>14</v>
      </c>
      <c r="B5" s="16"/>
      <c r="C5" s="6"/>
      <c r="D5" s="6"/>
      <c r="E5" s="6"/>
      <c r="F5" s="6"/>
      <c r="G5" s="6"/>
      <c r="H5" s="6"/>
      <c r="I5" s="25">
        <f>I6+I7+I8</f>
        <v>68287710</v>
      </c>
      <c r="J5" s="21">
        <f>J6+J7+J8</f>
        <v>0.90735729471166626</v>
      </c>
    </row>
    <row r="6" spans="1:11" s="5" customFormat="1" x14ac:dyDescent="0.25">
      <c r="A6" s="17"/>
      <c r="B6" s="17" t="s">
        <v>7</v>
      </c>
      <c r="C6" s="14">
        <f>C4*51.4%</f>
        <v>20174500</v>
      </c>
      <c r="D6" s="14">
        <f t="shared" ref="D6:G6" si="0">D4*51.4%</f>
        <v>7324500</v>
      </c>
      <c r="E6" s="14">
        <f t="shared" si="0"/>
        <v>2107400</v>
      </c>
      <c r="F6" s="14">
        <f t="shared" si="0"/>
        <v>5068040</v>
      </c>
      <c r="G6" s="14">
        <f t="shared" si="0"/>
        <v>508860</v>
      </c>
      <c r="H6" s="14">
        <f>H4*0.5</f>
        <v>3405000</v>
      </c>
      <c r="I6" s="3">
        <f t="shared" ref="I6:I12" si="1">SUM(C6:H6)</f>
        <v>38588300</v>
      </c>
      <c r="J6" s="22">
        <f>I6/I4</f>
        <v>0.5127331916024449</v>
      </c>
      <c r="K6" s="5" t="s">
        <v>22</v>
      </c>
    </row>
    <row r="7" spans="1:11" s="5" customFormat="1" x14ac:dyDescent="0.25">
      <c r="A7" s="17"/>
      <c r="B7" s="17" t="s">
        <v>8</v>
      </c>
      <c r="C7" s="14">
        <f>C4*0.303</f>
        <v>11892750</v>
      </c>
      <c r="D7" s="14">
        <f>D4*0.332</f>
        <v>4731000</v>
      </c>
      <c r="E7" s="14">
        <f>E4*0.311</f>
        <v>1275100</v>
      </c>
      <c r="F7" s="14">
        <f>F4*0.207</f>
        <v>2041020</v>
      </c>
      <c r="G7" s="14">
        <f>G4*0.196</f>
        <v>194040</v>
      </c>
      <c r="H7" s="14">
        <f>H4*0.458</f>
        <v>3118980</v>
      </c>
      <c r="I7" s="3">
        <f t="shared" si="1"/>
        <v>23252890</v>
      </c>
      <c r="J7" s="22">
        <f>I7/I4</f>
        <v>0.30896744618655331</v>
      </c>
      <c r="K7" s="24" t="s">
        <v>18</v>
      </c>
    </row>
    <row r="8" spans="1:11" s="5" customFormat="1" x14ac:dyDescent="0.25">
      <c r="A8" s="17"/>
      <c r="B8" s="17" t="s">
        <v>9</v>
      </c>
      <c r="C8" s="14">
        <f>C4*9%</f>
        <v>3532500</v>
      </c>
      <c r="D8" s="14">
        <f t="shared" ref="D8:G8" si="2">D4*9%</f>
        <v>1282500</v>
      </c>
      <c r="E8" s="14">
        <f t="shared" si="2"/>
        <v>369000</v>
      </c>
      <c r="F8" s="14">
        <f t="shared" si="2"/>
        <v>887400</v>
      </c>
      <c r="G8" s="14">
        <f t="shared" si="2"/>
        <v>89100</v>
      </c>
      <c r="H8" s="14">
        <f>H4-H6-H7</f>
        <v>286020</v>
      </c>
      <c r="I8" s="3">
        <f t="shared" ref="I8" si="3">SUM(C8:H8)</f>
        <v>6446520</v>
      </c>
      <c r="J8" s="22">
        <f>I8/I4</f>
        <v>8.5656656922668079E-2</v>
      </c>
      <c r="K8" s="5" t="s">
        <v>19</v>
      </c>
    </row>
    <row r="9" spans="1:11" s="1" customFormat="1" x14ac:dyDescent="0.25">
      <c r="A9" s="16" t="s">
        <v>12</v>
      </c>
      <c r="B9" s="16"/>
      <c r="C9" s="7"/>
      <c r="D9" s="7"/>
      <c r="E9" s="7"/>
      <c r="F9" s="7"/>
      <c r="G9" s="7"/>
      <c r="H9" s="7"/>
      <c r="I9" s="25">
        <f>I10+I11+I12</f>
        <v>6972290</v>
      </c>
      <c r="J9" s="21">
        <f>SUM(J10:J12)</f>
        <v>9.2642705288333779E-2</v>
      </c>
    </row>
    <row r="10" spans="1:11" x14ac:dyDescent="0.25">
      <c r="A10" s="18"/>
      <c r="B10" s="20" t="s">
        <v>10</v>
      </c>
      <c r="C10" s="14">
        <f>C4*2.7%</f>
        <v>1059750.0000000002</v>
      </c>
      <c r="D10" s="14">
        <f t="shared" ref="D10:G10" si="4">D4*2.7%</f>
        <v>384750.00000000006</v>
      </c>
      <c r="E10" s="14">
        <f t="shared" si="4"/>
        <v>110700.00000000001</v>
      </c>
      <c r="F10" s="14">
        <f t="shared" si="4"/>
        <v>266220.00000000006</v>
      </c>
      <c r="G10" s="14">
        <f t="shared" si="4"/>
        <v>26730.000000000004</v>
      </c>
      <c r="H10" s="14">
        <v>0</v>
      </c>
      <c r="I10" s="3">
        <f>SUM(C10:H10)</f>
        <v>1848150.0000000002</v>
      </c>
      <c r="J10" s="23">
        <f>I10/I4</f>
        <v>2.4556869519000799E-2</v>
      </c>
      <c r="K10" s="2" t="s">
        <v>20</v>
      </c>
    </row>
    <row r="11" spans="1:11" x14ac:dyDescent="0.25">
      <c r="A11" s="20"/>
      <c r="B11" s="20" t="s">
        <v>11</v>
      </c>
      <c r="C11" s="14">
        <f>C4*2%</f>
        <v>785000</v>
      </c>
      <c r="D11" s="14">
        <f>D4*2%</f>
        <v>285000</v>
      </c>
      <c r="E11" s="14">
        <f t="shared" ref="E11:G11" si="5">E4*2%</f>
        <v>82000</v>
      </c>
      <c r="F11" s="14">
        <f t="shared" si="5"/>
        <v>197200</v>
      </c>
      <c r="G11" s="14">
        <f t="shared" si="5"/>
        <v>19800</v>
      </c>
      <c r="H11" s="14">
        <v>0</v>
      </c>
      <c r="I11" s="3">
        <f t="shared" si="1"/>
        <v>1369000</v>
      </c>
      <c r="J11" s="23">
        <f>I11/I4</f>
        <v>1.8190273717778368E-2</v>
      </c>
      <c r="K11" s="2" t="s">
        <v>21</v>
      </c>
    </row>
    <row r="12" spans="1:11" x14ac:dyDescent="0.25">
      <c r="A12" s="20"/>
      <c r="B12" s="20" t="s">
        <v>13</v>
      </c>
      <c r="C12" s="14">
        <f>C4-SUM(C6:C11)</f>
        <v>1805500</v>
      </c>
      <c r="D12" s="14">
        <f t="shared" ref="D12:G12" si="6">D4-SUM(D6:D11)</f>
        <v>242250</v>
      </c>
      <c r="E12" s="14">
        <f t="shared" si="6"/>
        <v>155800</v>
      </c>
      <c r="F12" s="14">
        <f t="shared" si="6"/>
        <v>1400120</v>
      </c>
      <c r="G12" s="14">
        <f t="shared" si="6"/>
        <v>151470</v>
      </c>
      <c r="H12" s="14">
        <v>0</v>
      </c>
      <c r="I12" s="3">
        <f t="shared" si="1"/>
        <v>3755140</v>
      </c>
      <c r="J12" s="23">
        <f>I12/I4</f>
        <v>4.9895562051554612E-2</v>
      </c>
    </row>
    <row r="13" spans="1:11" x14ac:dyDescent="0.25">
      <c r="A13" s="33" t="s">
        <v>3</v>
      </c>
      <c r="B13" s="33"/>
      <c r="C13" s="3">
        <f t="shared" ref="C13:H13" si="7">SUM(C6:C8)+SUM(C10:C12)</f>
        <v>39250000</v>
      </c>
      <c r="D13" s="3">
        <f t="shared" si="7"/>
        <v>14250000</v>
      </c>
      <c r="E13" s="3">
        <f t="shared" si="7"/>
        <v>4100000</v>
      </c>
      <c r="F13" s="3">
        <f t="shared" si="7"/>
        <v>9860000</v>
      </c>
      <c r="G13" s="3">
        <f t="shared" si="7"/>
        <v>990000</v>
      </c>
      <c r="H13" s="3">
        <f t="shared" si="7"/>
        <v>6810000</v>
      </c>
      <c r="I13" s="3">
        <f>I6+I7+I8+I10+I11+I12</f>
        <v>75260000</v>
      </c>
      <c r="J13" s="21">
        <f>SUM(J5+J9)</f>
        <v>1</v>
      </c>
    </row>
    <row r="14" spans="1:11" x14ac:dyDescent="0.25">
      <c r="A14" s="2" t="s">
        <v>27</v>
      </c>
    </row>
  </sheetData>
  <mergeCells count="4">
    <mergeCell ref="A2:J2"/>
    <mergeCell ref="A3:B3"/>
    <mergeCell ref="A4:B4"/>
    <mergeCell ref="A13:B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3"/>
  <sheetViews>
    <sheetView tabSelected="1" workbookViewId="0">
      <selection activeCell="D21" sqref="D21"/>
    </sheetView>
  </sheetViews>
  <sheetFormatPr defaultColWidth="9.109375" defaultRowHeight="14.4" x14ac:dyDescent="0.3"/>
  <cols>
    <col min="1" max="1" width="15.109375" style="2" customWidth="1"/>
    <col min="2" max="2" width="23.88671875" style="2" customWidth="1"/>
    <col min="3" max="3" width="15.109375" style="12" customWidth="1"/>
    <col min="4" max="9" width="15.109375" style="2" customWidth="1"/>
    <col min="10" max="10" width="8.33203125" style="2" customWidth="1"/>
    <col min="11" max="11" width="20.33203125" style="2" customWidth="1"/>
    <col min="12" max="16384" width="9.109375" style="2"/>
  </cols>
  <sheetData>
    <row r="2" spans="1:12" x14ac:dyDescent="0.25">
      <c r="A2" s="29" t="s">
        <v>5</v>
      </c>
      <c r="B2" s="29"/>
      <c r="C2" s="29"/>
      <c r="D2" s="29"/>
      <c r="E2" s="29"/>
      <c r="F2" s="29"/>
      <c r="G2" s="29"/>
      <c r="H2" s="29"/>
      <c r="I2" s="29"/>
      <c r="J2" s="29"/>
    </row>
    <row r="3" spans="1:12" x14ac:dyDescent="0.25">
      <c r="A3" s="30"/>
      <c r="B3" s="31"/>
      <c r="C3" s="4" t="s">
        <v>0</v>
      </c>
      <c r="D3" s="4" t="s">
        <v>16</v>
      </c>
      <c r="E3" s="4" t="s">
        <v>15</v>
      </c>
      <c r="F3" s="4" t="s">
        <v>2</v>
      </c>
      <c r="G3" s="4" t="s">
        <v>17</v>
      </c>
      <c r="H3" s="4" t="s">
        <v>1</v>
      </c>
      <c r="I3" s="4" t="s">
        <v>4</v>
      </c>
      <c r="J3" s="8"/>
    </row>
    <row r="4" spans="1:12" x14ac:dyDescent="0.25">
      <c r="A4" s="32" t="s">
        <v>6</v>
      </c>
      <c r="B4" s="32"/>
      <c r="C4" s="3">
        <v>39250000</v>
      </c>
      <c r="D4" s="3">
        <v>14250000</v>
      </c>
      <c r="E4" s="3">
        <v>4100000</v>
      </c>
      <c r="F4" s="3">
        <v>9860000</v>
      </c>
      <c r="G4" s="3">
        <v>990000</v>
      </c>
      <c r="H4" s="3">
        <v>6810000</v>
      </c>
      <c r="I4" s="3">
        <f>SUM(C4:H4)</f>
        <v>75260000</v>
      </c>
      <c r="J4" s="9"/>
    </row>
    <row r="5" spans="1:12" s="1" customFormat="1" x14ac:dyDescent="0.25">
      <c r="A5" s="16" t="s">
        <v>14</v>
      </c>
      <c r="B5" s="16"/>
      <c r="C5" s="6"/>
      <c r="D5" s="6"/>
      <c r="E5" s="6"/>
      <c r="F5" s="6"/>
      <c r="G5" s="6"/>
      <c r="H5" s="6"/>
      <c r="I5" s="25">
        <f>I6+I7+I8</f>
        <v>68955381</v>
      </c>
      <c r="J5" s="21">
        <f>J6+J7+J8</f>
        <v>0.91622882009035345</v>
      </c>
    </row>
    <row r="6" spans="1:12" s="5" customFormat="1" x14ac:dyDescent="0.25">
      <c r="A6" s="17"/>
      <c r="B6" s="17" t="s">
        <v>7</v>
      </c>
      <c r="C6" s="14">
        <f>C4*51.4%</f>
        <v>20174500</v>
      </c>
      <c r="D6" s="14">
        <f t="shared" ref="D6:G6" si="0">D4*51.4%</f>
        <v>7324500</v>
      </c>
      <c r="E6" s="14">
        <f t="shared" si="0"/>
        <v>2107400</v>
      </c>
      <c r="F6" s="14">
        <f t="shared" si="0"/>
        <v>5068040</v>
      </c>
      <c r="G6" s="14">
        <f t="shared" si="0"/>
        <v>508860</v>
      </c>
      <c r="H6" s="14">
        <f>H4*45.84%</f>
        <v>3121704</v>
      </c>
      <c r="I6" s="3">
        <f t="shared" ref="I6:I12" si="1">SUM(C6:H6)</f>
        <v>38305004</v>
      </c>
      <c r="J6" s="22">
        <f>I6/I4</f>
        <v>0.50896896093542388</v>
      </c>
      <c r="K6" s="5" t="s">
        <v>28</v>
      </c>
    </row>
    <row r="7" spans="1:12" s="5" customFormat="1" x14ac:dyDescent="0.25">
      <c r="A7" s="17"/>
      <c r="B7" s="17" t="s">
        <v>8</v>
      </c>
      <c r="C7" s="14">
        <f>C4*0.3205</f>
        <v>12579625</v>
      </c>
      <c r="D7" s="14">
        <f>D4*0.3506</f>
        <v>4996050</v>
      </c>
      <c r="E7" s="14">
        <f>E4*0.334</f>
        <v>1369400</v>
      </c>
      <c r="F7" s="14">
        <f>F4*0.2358</f>
        <v>2324988</v>
      </c>
      <c r="G7" s="14">
        <f>G4*0.2182</f>
        <v>216018</v>
      </c>
      <c r="H7" s="14">
        <f>H4*0.5416</f>
        <v>3688296</v>
      </c>
      <c r="I7" s="3">
        <f t="shared" si="1"/>
        <v>25174377</v>
      </c>
      <c r="J7" s="22">
        <f>I7/I4</f>
        <v>0.33449876428381609</v>
      </c>
      <c r="K7" s="24" t="s">
        <v>23</v>
      </c>
      <c r="L7" s="27"/>
    </row>
    <row r="8" spans="1:12" s="5" customFormat="1" x14ac:dyDescent="0.25">
      <c r="A8" s="17"/>
      <c r="B8" s="17" t="s">
        <v>9</v>
      </c>
      <c r="C8" s="14">
        <f>C4*8%</f>
        <v>3140000</v>
      </c>
      <c r="D8" s="14">
        <f t="shared" ref="D8:G8" si="2">D4*8%</f>
        <v>1140000</v>
      </c>
      <c r="E8" s="14">
        <f t="shared" si="2"/>
        <v>328000</v>
      </c>
      <c r="F8" s="14">
        <f t="shared" si="2"/>
        <v>788800</v>
      </c>
      <c r="G8" s="14">
        <f t="shared" si="2"/>
        <v>79200</v>
      </c>
      <c r="H8" s="14">
        <f>H4-H6-H7</f>
        <v>0</v>
      </c>
      <c r="I8" s="3">
        <f t="shared" si="1"/>
        <v>5476000</v>
      </c>
      <c r="J8" s="22">
        <f>I8/I4</f>
        <v>7.2761094871113471E-2</v>
      </c>
      <c r="K8" s="5" t="s">
        <v>29</v>
      </c>
    </row>
    <row r="9" spans="1:12" s="1" customFormat="1" x14ac:dyDescent="0.25">
      <c r="A9" s="16" t="s">
        <v>12</v>
      </c>
      <c r="B9" s="16"/>
      <c r="C9" s="7"/>
      <c r="D9" s="7"/>
      <c r="E9" s="7"/>
      <c r="F9" s="7"/>
      <c r="G9" s="7"/>
      <c r="H9" s="7"/>
      <c r="I9" s="25">
        <f>I10+I11+I12</f>
        <v>6304619</v>
      </c>
      <c r="J9" s="21">
        <f>SUM(J10:J12)</f>
        <v>8.3771179909646554E-2</v>
      </c>
    </row>
    <row r="10" spans="1:12" x14ac:dyDescent="0.25">
      <c r="A10" s="18"/>
      <c r="B10" s="26" t="s">
        <v>10</v>
      </c>
      <c r="C10" s="14">
        <f>C4*2.7%</f>
        <v>1059750.0000000002</v>
      </c>
      <c r="D10" s="14">
        <f t="shared" ref="D10:G10" si="3">D4*2.7%</f>
        <v>384750.00000000006</v>
      </c>
      <c r="E10" s="14">
        <f t="shared" si="3"/>
        <v>110700.00000000001</v>
      </c>
      <c r="F10" s="14">
        <f t="shared" si="3"/>
        <v>266220.00000000006</v>
      </c>
      <c r="G10" s="14">
        <f t="shared" si="3"/>
        <v>26730.000000000004</v>
      </c>
      <c r="H10" s="14">
        <v>0</v>
      </c>
      <c r="I10" s="3">
        <f>SUM(C10:H10)</f>
        <v>1848150.0000000002</v>
      </c>
      <c r="J10" s="23">
        <f>I10/I4</f>
        <v>2.4556869519000799E-2</v>
      </c>
      <c r="K10" s="2" t="s">
        <v>20</v>
      </c>
    </row>
    <row r="11" spans="1:12" x14ac:dyDescent="0.25">
      <c r="A11" s="26"/>
      <c r="B11" s="26" t="s">
        <v>11</v>
      </c>
      <c r="C11" s="14">
        <f>C4*1.1%</f>
        <v>431750.00000000006</v>
      </c>
      <c r="D11" s="14">
        <f t="shared" ref="D11:G11" si="4">D4*1.1%</f>
        <v>156750.00000000003</v>
      </c>
      <c r="E11" s="14">
        <f t="shared" si="4"/>
        <v>45100.000000000007</v>
      </c>
      <c r="F11" s="14">
        <f t="shared" si="4"/>
        <v>108460.00000000001</v>
      </c>
      <c r="G11" s="14">
        <f t="shared" si="4"/>
        <v>10890.000000000002</v>
      </c>
      <c r="H11" s="14">
        <v>0</v>
      </c>
      <c r="I11" s="3">
        <f t="shared" si="1"/>
        <v>752950.00000000012</v>
      </c>
      <c r="J11" s="23">
        <f>I11/I4</f>
        <v>1.0004650544778105E-2</v>
      </c>
      <c r="K11" s="2" t="s">
        <v>24</v>
      </c>
    </row>
    <row r="12" spans="1:12" x14ac:dyDescent="0.25">
      <c r="A12" s="26"/>
      <c r="B12" s="26" t="s">
        <v>13</v>
      </c>
      <c r="C12" s="14">
        <f>C4-SUM(C6:C11)</f>
        <v>1864375</v>
      </c>
      <c r="D12" s="14">
        <f t="shared" ref="D12:G12" si="5">D4-SUM(D6:D11)</f>
        <v>247950</v>
      </c>
      <c r="E12" s="14">
        <f t="shared" si="5"/>
        <v>139400</v>
      </c>
      <c r="F12" s="14">
        <f t="shared" si="5"/>
        <v>1303492</v>
      </c>
      <c r="G12" s="14">
        <f t="shared" si="5"/>
        <v>148302</v>
      </c>
      <c r="H12" s="14">
        <v>0</v>
      </c>
      <c r="I12" s="3">
        <f t="shared" si="1"/>
        <v>3703519</v>
      </c>
      <c r="J12" s="23">
        <f>I12/I4</f>
        <v>4.9209659845867657E-2</v>
      </c>
      <c r="K12" s="2" t="s">
        <v>25</v>
      </c>
    </row>
    <row r="13" spans="1:12" x14ac:dyDescent="0.25">
      <c r="A13" s="33" t="s">
        <v>3</v>
      </c>
      <c r="B13" s="33"/>
      <c r="C13" s="3">
        <f t="shared" ref="C13:H13" si="6">SUM(C6:C8)+SUM(C10:C12)</f>
        <v>39250000</v>
      </c>
      <c r="D13" s="3">
        <f t="shared" si="6"/>
        <v>14250000</v>
      </c>
      <c r="E13" s="3">
        <f t="shared" si="6"/>
        <v>4100000</v>
      </c>
      <c r="F13" s="3">
        <f t="shared" si="6"/>
        <v>9860000</v>
      </c>
      <c r="G13" s="3">
        <f t="shared" si="6"/>
        <v>990000</v>
      </c>
      <c r="H13" s="3">
        <f t="shared" si="6"/>
        <v>6810000</v>
      </c>
      <c r="I13" s="3">
        <f>I6+I7+I8+I10+I11+I12</f>
        <v>75260000</v>
      </c>
      <c r="J13" s="21">
        <f>SUM(J5+J9)</f>
        <v>1</v>
      </c>
    </row>
    <row r="17" spans="7:8" x14ac:dyDescent="0.25">
      <c r="G17" s="28"/>
      <c r="H17" s="28"/>
    </row>
    <row r="18" spans="7:8" x14ac:dyDescent="0.25">
      <c r="G18" s="28"/>
      <c r="H18" s="28"/>
    </row>
    <row r="19" spans="7:8" x14ac:dyDescent="0.25">
      <c r="G19" s="28"/>
      <c r="H19" s="28"/>
    </row>
    <row r="20" spans="7:8" x14ac:dyDescent="0.25">
      <c r="G20" s="28"/>
      <c r="H20" s="28"/>
    </row>
    <row r="21" spans="7:8" x14ac:dyDescent="0.25">
      <c r="G21" s="28"/>
      <c r="H21" s="28"/>
    </row>
    <row r="22" spans="7:8" x14ac:dyDescent="0.25">
      <c r="G22" s="28"/>
      <c r="H22" s="28"/>
    </row>
    <row r="23" spans="7:8" x14ac:dyDescent="0.25">
      <c r="G23" s="28"/>
      <c r="H23" s="28"/>
    </row>
  </sheetData>
  <mergeCells count="4">
    <mergeCell ref="A2:J2"/>
    <mergeCell ref="A3:B3"/>
    <mergeCell ref="A4:B4"/>
    <mergeCell ref="A13:B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A11" sqref="A11"/>
    </sheetView>
  </sheetViews>
  <sheetFormatPr defaultColWidth="9.109375" defaultRowHeight="14.4" x14ac:dyDescent="0.3"/>
  <cols>
    <col min="1" max="1" width="15.109375" style="2" customWidth="1"/>
    <col min="2" max="2" width="23.88671875" style="2" customWidth="1"/>
    <col min="3" max="3" width="15.44140625" style="2" customWidth="1"/>
    <col min="4" max="4" width="5.6640625" style="12" customWidth="1"/>
    <col min="5" max="16384" width="9.109375" style="2"/>
  </cols>
  <sheetData>
    <row r="1" spans="1:4" x14ac:dyDescent="0.25">
      <c r="A1" s="29" t="s">
        <v>5</v>
      </c>
      <c r="B1" s="29"/>
      <c r="C1" s="29"/>
      <c r="D1" s="29"/>
    </row>
    <row r="2" spans="1:4" s="1" customFormat="1" x14ac:dyDescent="0.25">
      <c r="A2" s="16" t="s">
        <v>14</v>
      </c>
      <c r="B2" s="16"/>
      <c r="C2" s="16"/>
      <c r="D2" s="10">
        <f>D3+D4+D5</f>
        <v>0.92</v>
      </c>
    </row>
    <row r="3" spans="1:4" s="5" customFormat="1" x14ac:dyDescent="0.25">
      <c r="A3" s="17"/>
      <c r="B3" s="17" t="s">
        <v>7</v>
      </c>
      <c r="C3" s="17"/>
      <c r="D3" s="13">
        <v>0.54</v>
      </c>
    </row>
    <row r="4" spans="1:4" s="5" customFormat="1" x14ac:dyDescent="0.25">
      <c r="A4" s="17"/>
      <c r="B4" s="17" t="s">
        <v>8</v>
      </c>
      <c r="C4" s="17"/>
      <c r="D4" s="13">
        <v>0.26</v>
      </c>
    </row>
    <row r="5" spans="1:4" s="5" customFormat="1" x14ac:dyDescent="0.25">
      <c r="A5" s="17"/>
      <c r="B5" s="17" t="s">
        <v>9</v>
      </c>
      <c r="C5" s="17"/>
      <c r="D5" s="13">
        <v>0.12</v>
      </c>
    </row>
    <row r="6" spans="1:4" s="1" customFormat="1" x14ac:dyDescent="0.25">
      <c r="A6" s="16" t="s">
        <v>12</v>
      </c>
      <c r="B6" s="16"/>
      <c r="C6" s="16"/>
      <c r="D6" s="10">
        <v>0.08</v>
      </c>
    </row>
    <row r="7" spans="1:4" x14ac:dyDescent="0.25">
      <c r="A7" s="18"/>
      <c r="B7" s="15" t="s">
        <v>10</v>
      </c>
      <c r="C7" s="15"/>
      <c r="D7" s="11">
        <v>0.03</v>
      </c>
    </row>
    <row r="8" spans="1:4" x14ac:dyDescent="0.25">
      <c r="A8" s="15"/>
      <c r="B8" s="15" t="s">
        <v>13</v>
      </c>
      <c r="C8" s="15"/>
      <c r="D8" s="11">
        <v>0.05</v>
      </c>
    </row>
    <row r="9" spans="1:4" x14ac:dyDescent="0.25">
      <c r="A9" s="33" t="s">
        <v>3</v>
      </c>
      <c r="B9" s="33"/>
      <c r="C9" s="19"/>
      <c r="D9" s="10">
        <f>SUM(D2+D6)</f>
        <v>1</v>
      </c>
    </row>
  </sheetData>
  <mergeCells count="2">
    <mergeCell ref="A1:D1"/>
    <mergeCell ref="A9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Prelim Budget by Util wo HIR</vt:lpstr>
      <vt:lpstr>Prelim Budget by Util with HIR</vt:lpstr>
      <vt:lpstr>PY7 Actual</vt:lpstr>
    </vt:vector>
  </TitlesOfParts>
  <Company>State of Illinois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Lunn, Marion</dc:creator>
  <cp:lastModifiedBy>Celia Christensen</cp:lastModifiedBy>
  <dcterms:created xsi:type="dcterms:W3CDTF">2015-11-20T22:57:32Z</dcterms:created>
  <dcterms:modified xsi:type="dcterms:W3CDTF">2016-01-26T17:06:57Z</dcterms:modified>
</cp:coreProperties>
</file>