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460" activeTab="2"/>
  </bookViews>
  <sheets>
    <sheet name="8-103" sheetId="1" r:id="rId1"/>
    <sheet name="8-104" sheetId="2" r:id="rId2"/>
    <sheet name="Comparison PY9-PY10" sheetId="3" r:id="rId3"/>
  </sheets>
  <definedNames>
    <definedName name="_xlnm.Print_Area" localSheetId="0">'8-103'!$A$2:$H$51</definedName>
    <definedName name="program_typ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E7" i="3"/>
  <c r="C27" i="3" l="1"/>
  <c r="C37" i="3"/>
  <c r="D37" i="3" s="1"/>
  <c r="E37" i="3"/>
  <c r="F37" i="3" s="1"/>
  <c r="E28" i="3"/>
  <c r="E17" i="3"/>
  <c r="F17" i="3" s="1"/>
  <c r="E8" i="3"/>
  <c r="E10" i="3"/>
  <c r="F10" i="3" s="1"/>
  <c r="C17" i="3"/>
  <c r="D17" i="3" s="1"/>
  <c r="C8" i="3"/>
  <c r="C12" i="3" s="1"/>
  <c r="D12" i="3" s="1"/>
  <c r="C11" i="3"/>
  <c r="D11" i="3" s="1"/>
  <c r="C10" i="3"/>
  <c r="D10" i="3" s="1"/>
  <c r="C9" i="3"/>
  <c r="E32" i="3" l="1"/>
  <c r="F32" i="3" s="1"/>
  <c r="E31" i="3"/>
  <c r="F31" i="3" s="1"/>
  <c r="E9" i="3"/>
  <c r="F9" i="3" s="1"/>
  <c r="E12" i="3"/>
  <c r="E11" i="3"/>
  <c r="F11" i="3" s="1"/>
  <c r="E29" i="3"/>
  <c r="F29" i="3" s="1"/>
  <c r="E30" i="3"/>
  <c r="F30" i="3" s="1"/>
  <c r="C29" i="3"/>
  <c r="C30" i="3"/>
  <c r="D30" i="3" s="1"/>
  <c r="C31" i="3"/>
  <c r="D31" i="3" s="1"/>
  <c r="C32" i="3"/>
  <c r="D32" i="3" s="1"/>
  <c r="C14" i="3"/>
  <c r="C15" i="3" s="1"/>
  <c r="D9" i="3"/>
  <c r="E14" i="3" l="1"/>
  <c r="F14" i="3" s="1"/>
  <c r="F12" i="3"/>
  <c r="E34" i="3"/>
  <c r="F34" i="3" s="1"/>
  <c r="C34" i="3"/>
  <c r="D29" i="3"/>
  <c r="D20" i="3"/>
  <c r="D19" i="3"/>
  <c r="D14" i="3"/>
  <c r="E15" i="3"/>
  <c r="C16" i="3"/>
  <c r="D16" i="3" s="1"/>
  <c r="E16" i="3" l="1"/>
  <c r="E20" i="3"/>
  <c r="F20" i="3" s="1"/>
  <c r="E19" i="3"/>
  <c r="F19" i="3" s="1"/>
  <c r="D34" i="3"/>
  <c r="C35" i="3"/>
  <c r="E35" i="3"/>
  <c r="C18" i="3"/>
  <c r="D18" i="3" s="1"/>
  <c r="E36" i="3" l="1"/>
  <c r="E38" i="3" s="1"/>
  <c r="F38" i="3" s="1"/>
  <c r="E40" i="3"/>
  <c r="F40" i="3" s="1"/>
  <c r="E39" i="3"/>
  <c r="F39" i="3" s="1"/>
  <c r="E18" i="3"/>
  <c r="F18" i="3" s="1"/>
  <c r="F16" i="3"/>
  <c r="D40" i="3"/>
  <c r="D39" i="3"/>
  <c r="C36" i="3"/>
  <c r="F36" i="3" l="1"/>
  <c r="C38" i="3"/>
  <c r="D38" i="3" s="1"/>
  <c r="D36" i="3"/>
  <c r="C6" i="2" l="1"/>
  <c r="E6" i="2"/>
  <c r="E7" i="2" s="1"/>
  <c r="F6" i="2"/>
  <c r="F7" i="2" s="1"/>
  <c r="F8" i="2"/>
  <c r="G11" i="2"/>
  <c r="C15" i="2"/>
  <c r="D15" i="2"/>
  <c r="E15" i="2"/>
  <c r="F15" i="2"/>
  <c r="G17" i="2"/>
  <c r="H23" i="2"/>
  <c r="E26" i="2"/>
  <c r="F23" i="2" s="1"/>
  <c r="G26" i="2"/>
  <c r="H24" i="2" s="1"/>
  <c r="E30" i="2"/>
  <c r="E34" i="2"/>
  <c r="E35" i="2" s="1"/>
  <c r="G34" i="2"/>
  <c r="C7" i="2" l="1"/>
  <c r="D7" i="2" s="1"/>
  <c r="G7" i="2" s="1"/>
  <c r="C9" i="2"/>
  <c r="C10" i="2"/>
  <c r="D10" i="2" s="1"/>
  <c r="C8" i="2"/>
  <c r="D8" i="2" s="1"/>
  <c r="F12" i="2"/>
  <c r="C12" i="2"/>
  <c r="D12" i="2" s="1"/>
  <c r="G15" i="2"/>
  <c r="G6" i="2"/>
  <c r="F13" i="2"/>
  <c r="F14" i="2" s="1"/>
  <c r="F16" i="2" s="1"/>
  <c r="H25" i="2"/>
  <c r="H26" i="2" s="1"/>
  <c r="G10" i="2"/>
  <c r="D9" i="2"/>
  <c r="G9" i="2" s="1"/>
  <c r="E8" i="2"/>
  <c r="F25" i="2"/>
  <c r="F26" i="2" s="1"/>
  <c r="F24" i="2"/>
  <c r="K25" i="1"/>
  <c r="I26" i="1"/>
  <c r="J23" i="1" s="1"/>
  <c r="G26" i="1"/>
  <c r="H23" i="1" s="1"/>
  <c r="E26" i="1"/>
  <c r="F23" i="1" s="1"/>
  <c r="G8" i="2" l="1"/>
  <c r="E12" i="2"/>
  <c r="E13" i="2" s="1"/>
  <c r="G30" i="2" s="1"/>
  <c r="G35" i="2" s="1"/>
  <c r="C13" i="2"/>
  <c r="G12" i="2"/>
  <c r="C14" i="2"/>
  <c r="I34" i="1"/>
  <c r="E34" i="1"/>
  <c r="G34" i="1"/>
  <c r="J25" i="1"/>
  <c r="J24" i="1"/>
  <c r="J26" i="1" s="1"/>
  <c r="H25" i="1"/>
  <c r="H24" i="1"/>
  <c r="F24" i="1"/>
  <c r="F25" i="1"/>
  <c r="C15" i="1"/>
  <c r="D15" i="1" s="1"/>
  <c r="G11" i="1"/>
  <c r="G13" i="2" l="1"/>
  <c r="E14" i="2"/>
  <c r="E16" i="2" s="1"/>
  <c r="C32" i="2"/>
  <c r="C23" i="2"/>
  <c r="C31" i="2"/>
  <c r="C30" i="2"/>
  <c r="C33" i="2"/>
  <c r="C25" i="2"/>
  <c r="C16" i="2"/>
  <c r="D14" i="2"/>
  <c r="G14" i="2" s="1"/>
  <c r="H26" i="1"/>
  <c r="F26" i="1"/>
  <c r="E15" i="1"/>
  <c r="F15" i="1"/>
  <c r="E6" i="1"/>
  <c r="E7" i="1" s="1"/>
  <c r="F6" i="1"/>
  <c r="F7" i="1" s="1"/>
  <c r="C6" i="1"/>
  <c r="C9" i="1" l="1"/>
  <c r="G9" i="1" s="1"/>
  <c r="C10" i="1"/>
  <c r="C35" i="2"/>
  <c r="D16" i="2"/>
  <c r="G16" i="2" s="1"/>
  <c r="C26" i="2"/>
  <c r="D25" i="2" s="1"/>
  <c r="C7" i="1"/>
  <c r="D7" i="1" s="1"/>
  <c r="D9" i="1"/>
  <c r="G17" i="1"/>
  <c r="F8" i="1"/>
  <c r="G7" i="1" l="1"/>
  <c r="D23" i="2"/>
  <c r="D26" i="2" s="1"/>
  <c r="D35" i="2"/>
  <c r="D31" i="2"/>
  <c r="D30" i="2"/>
  <c r="D33" i="2"/>
  <c r="D32" i="2"/>
  <c r="D10" i="1"/>
  <c r="G10" i="1"/>
  <c r="F12" i="1"/>
  <c r="F13" i="1" s="1"/>
  <c r="I30" i="1" s="1"/>
  <c r="I35" i="1" s="1"/>
  <c r="G15" i="1"/>
  <c r="G6" i="1"/>
  <c r="E8" i="1"/>
  <c r="C8" i="1"/>
  <c r="C12" i="1" l="1"/>
  <c r="D12" i="1" s="1"/>
  <c r="D8" i="1"/>
  <c r="F14" i="1"/>
  <c r="F16" i="1" s="1"/>
  <c r="E30" i="1"/>
  <c r="E35" i="1" s="1"/>
  <c r="E12" i="1"/>
  <c r="E13" i="1" s="1"/>
  <c r="G30" i="1" s="1"/>
  <c r="G35" i="1" s="1"/>
  <c r="C13" i="1"/>
  <c r="G8" i="1"/>
  <c r="C32" i="1" l="1"/>
  <c r="C23" i="1"/>
  <c r="C31" i="1"/>
  <c r="C30" i="1"/>
  <c r="C33" i="1"/>
  <c r="C25" i="1"/>
  <c r="C14" i="1"/>
  <c r="E14" i="1"/>
  <c r="E16" i="1" s="1"/>
  <c r="G13" i="1"/>
  <c r="K30" i="1" s="1"/>
  <c r="G12" i="1"/>
  <c r="C26" i="1" l="1"/>
  <c r="K24" i="1"/>
  <c r="D14" i="1"/>
  <c r="G14" i="1" s="1"/>
  <c r="C16" i="1"/>
  <c r="C35" i="1" l="1"/>
  <c r="D32" i="1" s="1"/>
  <c r="D16" i="1"/>
  <c r="G16" i="1" s="1"/>
  <c r="D30" i="1"/>
  <c r="K23" i="1"/>
  <c r="D25" i="1"/>
  <c r="D23" i="1"/>
  <c r="D26" i="1" s="1"/>
  <c r="D34" i="1" l="1"/>
  <c r="D35" i="1"/>
  <c r="K26" i="1"/>
  <c r="D33" i="1"/>
  <c r="D31" i="1"/>
  <c r="K34" i="1" l="1"/>
  <c r="K35" i="1" s="1"/>
  <c r="L25" i="1"/>
  <c r="L24" i="1"/>
  <c r="L23" i="1"/>
  <c r="L26" i="1" s="1"/>
</calcChain>
</file>

<file path=xl/sharedStrings.xml><?xml version="1.0" encoding="utf-8"?>
<sst xmlns="http://schemas.openxmlformats.org/spreadsheetml/2006/main" count="138" uniqueCount="49">
  <si>
    <t>EPY11/GPY8</t>
  </si>
  <si>
    <t>EPY12/GPY9</t>
  </si>
  <si>
    <t>Total</t>
  </si>
  <si>
    <t>EPY13/GPY10</t>
  </si>
  <si>
    <t>EM&amp;V Implementation</t>
  </si>
  <si>
    <t>Budget Cap</t>
  </si>
  <si>
    <t>Research &amp; Development (Emerging Technologies)</t>
  </si>
  <si>
    <t>Utility Allocation @</t>
  </si>
  <si>
    <t>DCEO Allocation @</t>
  </si>
  <si>
    <t>Total Portfolio Costs</t>
  </si>
  <si>
    <t>Portfolio Marketing &amp; Education</t>
  </si>
  <si>
    <t>Portfolio Adminstration (Including Planning)</t>
  </si>
  <si>
    <t>Available Program Budget</t>
  </si>
  <si>
    <t>Studies (ie Potential Studies) (External costs)</t>
  </si>
  <si>
    <t>OBF - Program Management &amp; EM&amp;V (incl in Admin above)</t>
  </si>
  <si>
    <t>Est $</t>
  </si>
  <si>
    <t>% of Total</t>
  </si>
  <si>
    <t>Delta</t>
  </si>
  <si>
    <t>Ameren Illinois 8-103</t>
  </si>
  <si>
    <t>PY10</t>
  </si>
  <si>
    <t>AIC Subtotal</t>
  </si>
  <si>
    <t>AIC w/DCEO Subtotal</t>
  </si>
  <si>
    <t>% of Utility Budget</t>
  </si>
  <si>
    <t>Residential Programs</t>
  </si>
  <si>
    <t>Business Program</t>
  </si>
  <si>
    <t>Spend by Rate at 2% Rate Cap</t>
  </si>
  <si>
    <t>DS1 Residential</t>
  </si>
  <si>
    <t>DS2 Business less than 150 Kw</t>
  </si>
  <si>
    <t>DS3 Business 150 Kw - 1,000 Kw</t>
  </si>
  <si>
    <t>DS4 Business great than 1,000 Kw</t>
  </si>
  <si>
    <t>DS5 Lighting</t>
  </si>
  <si>
    <t>---- Income Qualified</t>
  </si>
  <si>
    <t>Ameren Illinois</t>
  </si>
  <si>
    <t>8-103 Electric</t>
  </si>
  <si>
    <t>Ameren Illinois 8-104</t>
  </si>
  <si>
    <t>8-104 Gas</t>
  </si>
  <si>
    <t>GDS1 Residential</t>
  </si>
  <si>
    <t>GDS2 Business AVD less than 200 therms</t>
  </si>
  <si>
    <t>GDS3 Business AVD between 200 and  1,000 therms</t>
  </si>
  <si>
    <t>GDS4 Business AVD greater than 1,000 therms</t>
  </si>
  <si>
    <t>ww</t>
  </si>
  <si>
    <t>Approved Plan PY9</t>
  </si>
  <si>
    <t>Estimated Plan PY10</t>
  </si>
  <si>
    <t>Residential Budget</t>
  </si>
  <si>
    <t>Business Budget</t>
  </si>
  <si>
    <t>Comparison PY9 to PY10</t>
  </si>
  <si>
    <t>Electric</t>
  </si>
  <si>
    <t xml:space="preserve">Ameren Illinois 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</si>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</sst>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6" fontId="0" fillId="2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2" xfId="0" applyBorder="1"/>
    <xf numFmtId="0" fontId="0" fillId="0" borderId="2" xfId="0" applyBorder="1" applyAlignment="1"/>
    <xf numFmtId="9" fontId="0" fillId="2" borderId="1" xfId="0" applyNumberFormat="1" applyFill="1" applyBorder="1" applyAlignment="1"/>
    <xf numFmtId="0" fontId="0" fillId="0" borderId="14" xfId="0" applyBorder="1"/>
    <xf numFmtId="0" fontId="0" fillId="0" borderId="16" xfId="0" applyBorder="1"/>
    <xf numFmtId="0" fontId="0" fillId="0" borderId="13" xfId="0" applyBorder="1"/>
    <xf numFmtId="0" fontId="0" fillId="0" borderId="15" xfId="0" applyBorder="1"/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0" fontId="0" fillId="0" borderId="0" xfId="0" applyBorder="1"/>
    <xf numFmtId="0" fontId="0" fillId="3" borderId="19" xfId="0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0" fillId="0" borderId="25" xfId="0" applyBorder="1"/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24" xfId="0" applyNumberFormat="1" applyBorder="1" applyAlignment="1">
      <alignment horizontal="center"/>
    </xf>
    <xf numFmtId="9" fontId="0" fillId="0" borderId="1" xfId="2" applyFont="1" applyBorder="1"/>
    <xf numFmtId="10" fontId="0" fillId="0" borderId="1" xfId="2" applyNumberFormat="1" applyFont="1" applyBorder="1"/>
    <xf numFmtId="9" fontId="0" fillId="0" borderId="1" xfId="2" applyNumberFormat="1" applyFont="1" applyBorder="1"/>
    <xf numFmtId="0" fontId="0" fillId="0" borderId="26" xfId="0" applyBorder="1"/>
    <xf numFmtId="165" fontId="0" fillId="0" borderId="3" xfId="2" applyNumberFormat="1" applyFont="1" applyBorder="1" applyAlignment="1">
      <alignment horizontal="right"/>
    </xf>
    <xf numFmtId="0" fontId="0" fillId="2" borderId="3" xfId="0" applyFill="1" applyBorder="1"/>
    <xf numFmtId="49" fontId="0" fillId="2" borderId="2" xfId="0" applyNumberFormat="1" applyFill="1" applyBorder="1"/>
    <xf numFmtId="166" fontId="0" fillId="0" borderId="0" xfId="1" applyNumberFormat="1" applyFont="1"/>
    <xf numFmtId="5" fontId="0" fillId="0" borderId="0" xfId="1" applyNumberFormat="1" applyFont="1"/>
    <xf numFmtId="0" fontId="0" fillId="2" borderId="1" xfId="0" applyFill="1" applyBorder="1" applyAlignment="1">
      <alignment horizontal="center" wrapText="1"/>
    </xf>
    <xf numFmtId="166" fontId="0" fillId="2" borderId="1" xfId="1" applyNumberFormat="1" applyFont="1" applyFill="1" applyBorder="1" applyAlignment="1">
      <alignment horizontal="center" wrapText="1"/>
    </xf>
    <xf numFmtId="166" fontId="0" fillId="0" borderId="0" xfId="0" applyNumberFormat="1"/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9" xfId="0" applyFont="1" applyBorder="1" applyAlignment="1"/>
    <xf numFmtId="0" fontId="4" fillId="0" borderId="30" xfId="0" applyFont="1" applyBorder="1" applyAlignment="1"/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164" fontId="0" fillId="0" borderId="2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showWhiteSpace="0" zoomScale="80" zoomScaleNormal="80" workbookViewId="0">
      <selection activeCell="N10" sqref="N10"/>
    </sheetView>
  </sheetViews>
  <sheetFormatPr defaultRowHeight="14.4" x14ac:dyDescent="0.3"/>
  <cols>
    <col min="1" max="1" width="38.33203125" customWidth="1"/>
    <col min="2" max="2" width="14.33203125" customWidth="1"/>
    <col min="3" max="3" width="18.88671875" customWidth="1"/>
    <col min="4" max="4" width="18.5546875" customWidth="1"/>
    <col min="5" max="6" width="14.109375" hidden="1" customWidth="1"/>
    <col min="7" max="7" width="14.5546875" hidden="1" customWidth="1"/>
    <col min="8" max="12" width="14.109375" hidden="1" customWidth="1"/>
    <col min="13" max="13" width="14.109375" customWidth="1"/>
  </cols>
  <sheetData>
    <row r="1" spans="1:29" ht="23.25" x14ac:dyDescent="0.35">
      <c r="A1" s="49" t="s">
        <v>32</v>
      </c>
      <c r="B1" s="50"/>
      <c r="C1" s="50"/>
      <c r="D1" s="5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3.25" x14ac:dyDescent="0.35">
      <c r="A2" s="52" t="s">
        <v>33</v>
      </c>
      <c r="B2" s="53"/>
      <c r="C2" s="53"/>
      <c r="D2" s="54"/>
      <c r="E2" s="3"/>
      <c r="F2" s="3"/>
      <c r="G2" s="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 x14ac:dyDescent="0.25">
      <c r="A3" s="4"/>
      <c r="B3" s="4"/>
      <c r="C3" s="4"/>
      <c r="D3" s="4"/>
      <c r="E3" s="4"/>
      <c r="F3" s="4"/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3">
      <c r="A4" s="70" t="s">
        <v>18</v>
      </c>
      <c r="B4" s="70"/>
      <c r="C4" s="70"/>
      <c r="D4" s="70"/>
      <c r="E4" s="70"/>
      <c r="F4" s="70"/>
      <c r="G4" s="70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12" t="s">
        <v>5</v>
      </c>
      <c r="B5" s="11">
        <v>57000000</v>
      </c>
      <c r="C5" s="13" t="s">
        <v>19</v>
      </c>
      <c r="D5" s="13" t="s">
        <v>22</v>
      </c>
      <c r="E5" s="13" t="s">
        <v>1</v>
      </c>
      <c r="F5" s="13" t="s">
        <v>3</v>
      </c>
      <c r="G5" s="13" t="s">
        <v>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15" t="s">
        <v>7</v>
      </c>
      <c r="B6" s="16">
        <v>0.75</v>
      </c>
      <c r="C6" s="2">
        <f>+$B$5*$B$6</f>
        <v>42750000</v>
      </c>
      <c r="D6" s="2"/>
      <c r="E6" s="2">
        <f t="shared" ref="E6:F6" si="0">+$B$5*$B$6</f>
        <v>42750000</v>
      </c>
      <c r="F6" s="2">
        <f t="shared" si="0"/>
        <v>42750000</v>
      </c>
      <c r="G6" s="2">
        <f>SUM(C6:F6)</f>
        <v>128250000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71" t="s">
        <v>6</v>
      </c>
      <c r="B7" s="72"/>
      <c r="C7" s="1">
        <f>+C6*0.03</f>
        <v>1282500</v>
      </c>
      <c r="D7" s="37">
        <f>+C7/C6</f>
        <v>0.03</v>
      </c>
      <c r="E7" s="1">
        <f t="shared" ref="E7:F7" si="1">+E6*0.02</f>
        <v>855000</v>
      </c>
      <c r="F7" s="1">
        <f t="shared" si="1"/>
        <v>855000</v>
      </c>
      <c r="G7" s="2">
        <f t="shared" ref="G7:G17" si="2">SUM(C7:F7)</f>
        <v>2992500.0300000003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71" t="s">
        <v>4</v>
      </c>
      <c r="B8" s="72"/>
      <c r="C8" s="1">
        <f>+C6*(1-0.97)</f>
        <v>1282500.0000000012</v>
      </c>
      <c r="D8" s="37">
        <f>+C8/C6</f>
        <v>3.0000000000000027E-2</v>
      </c>
      <c r="E8" s="1">
        <f>+E6*(1-0.97)</f>
        <v>1282500.0000000012</v>
      </c>
      <c r="F8" s="1">
        <f>+F6*(1-0.97)</f>
        <v>1282500.0000000012</v>
      </c>
      <c r="G8" s="2">
        <f t="shared" si="2"/>
        <v>3847500.0300000031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71" t="s">
        <v>11</v>
      </c>
      <c r="B9" s="72"/>
      <c r="C9" s="1">
        <f>+C6*0.05</f>
        <v>2137500</v>
      </c>
      <c r="D9" s="37">
        <f>+C9/C6</f>
        <v>0.05</v>
      </c>
      <c r="E9" s="1">
        <v>650000</v>
      </c>
      <c r="F9" s="1">
        <v>650000</v>
      </c>
      <c r="G9" s="2">
        <f t="shared" si="2"/>
        <v>3437500.05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71" t="s">
        <v>10</v>
      </c>
      <c r="B10" s="72"/>
      <c r="C10" s="1">
        <f>+C6*0.035</f>
        <v>1496250.0000000002</v>
      </c>
      <c r="D10" s="37">
        <f>+C10/C6</f>
        <v>3.5000000000000003E-2</v>
      </c>
      <c r="E10" s="1">
        <v>500000</v>
      </c>
      <c r="F10" s="1">
        <v>500000</v>
      </c>
      <c r="G10" s="2">
        <f t="shared" si="2"/>
        <v>2496250.0350000001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71" t="s">
        <v>13</v>
      </c>
      <c r="B11" s="72"/>
      <c r="C11" s="1"/>
      <c r="D11" s="1"/>
      <c r="E11" s="1">
        <v>500000</v>
      </c>
      <c r="F11" s="1"/>
      <c r="G11" s="2">
        <f t="shared" si="2"/>
        <v>500000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71" t="s">
        <v>9</v>
      </c>
      <c r="B12" s="72"/>
      <c r="C12" s="1">
        <f>SUM(C7:C11)</f>
        <v>6198750.0000000009</v>
      </c>
      <c r="D12" s="37">
        <f>+C12/C6</f>
        <v>0.14500000000000002</v>
      </c>
      <c r="E12" s="1">
        <f>SUM(E7:E11)</f>
        <v>3787500.0000000009</v>
      </c>
      <c r="F12" s="1">
        <f>SUM(F7:F11)</f>
        <v>3287500.0000000009</v>
      </c>
      <c r="G12" s="2">
        <f t="shared" si="2"/>
        <v>13273750.145000003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58" t="s">
        <v>12</v>
      </c>
      <c r="B13" s="59"/>
      <c r="C13" s="22">
        <f>+C6-C12</f>
        <v>36551250</v>
      </c>
      <c r="D13" s="22"/>
      <c r="E13" s="22">
        <f>+E6-E12</f>
        <v>38962500</v>
      </c>
      <c r="F13" s="22">
        <f>+F6-F12</f>
        <v>39462500</v>
      </c>
      <c r="G13" s="21">
        <f t="shared" si="2"/>
        <v>114976250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75" t="s">
        <v>20</v>
      </c>
      <c r="B14" s="65"/>
      <c r="C14" s="1">
        <f>+C12+C13</f>
        <v>42750000</v>
      </c>
      <c r="D14" s="38">
        <f>+C14/B5</f>
        <v>0.75</v>
      </c>
      <c r="E14" s="1">
        <f t="shared" ref="E14:F14" si="3">+E12+E13</f>
        <v>42750000</v>
      </c>
      <c r="F14" s="1">
        <f t="shared" si="3"/>
        <v>42750000</v>
      </c>
      <c r="G14" s="2">
        <f t="shared" si="2"/>
        <v>128250000.75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15" t="s">
        <v>8</v>
      </c>
      <c r="B15" s="16">
        <v>0.25</v>
      </c>
      <c r="C15" s="1">
        <f>+$B$5*$B$15</f>
        <v>14250000</v>
      </c>
      <c r="D15" s="38">
        <f>+C15/B5</f>
        <v>0.25</v>
      </c>
      <c r="E15" s="1">
        <f>+$B$5*$B$15</f>
        <v>14250000</v>
      </c>
      <c r="F15" s="1">
        <f>+$B$5*$B$15</f>
        <v>14250000</v>
      </c>
      <c r="G15" s="2">
        <f t="shared" si="2"/>
        <v>42750000.25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75" t="s">
        <v>21</v>
      </c>
      <c r="B16" s="65"/>
      <c r="C16" s="1">
        <f>+C14+C15</f>
        <v>57000000</v>
      </c>
      <c r="D16" s="36">
        <f>+C16/B5</f>
        <v>1</v>
      </c>
      <c r="E16" s="1">
        <f t="shared" ref="E16:F16" si="4">+E14+E15</f>
        <v>57000000</v>
      </c>
      <c r="F16" s="1">
        <f t="shared" si="4"/>
        <v>57000000</v>
      </c>
      <c r="G16" s="2">
        <f t="shared" si="2"/>
        <v>171000001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73" t="s">
        <v>14</v>
      </c>
      <c r="B17" s="74"/>
      <c r="C17" s="1"/>
      <c r="D17" s="1"/>
      <c r="E17" s="1"/>
      <c r="F17" s="1"/>
      <c r="G17" s="2">
        <f t="shared" si="2"/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x14ac:dyDescent="0.3">
      <c r="A21" s="7"/>
      <c r="B21" s="7"/>
      <c r="C21" s="55" t="s">
        <v>19</v>
      </c>
      <c r="D21" s="55"/>
      <c r="E21" s="55" t="s">
        <v>0</v>
      </c>
      <c r="F21" s="55"/>
      <c r="G21" s="55" t="s">
        <v>1</v>
      </c>
      <c r="H21" s="55"/>
      <c r="I21" s="55" t="s">
        <v>3</v>
      </c>
      <c r="J21" s="55"/>
      <c r="K21" s="55" t="s">
        <v>2</v>
      </c>
      <c r="L21" s="55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23"/>
      <c r="AC21" s="23"/>
    </row>
    <row r="22" spans="1:29" x14ac:dyDescent="0.3">
      <c r="A22" s="7"/>
      <c r="B22" s="7"/>
      <c r="C22" s="24" t="s">
        <v>15</v>
      </c>
      <c r="D22" s="24" t="s">
        <v>16</v>
      </c>
      <c r="E22" s="24" t="s">
        <v>15</v>
      </c>
      <c r="F22" s="24" t="s">
        <v>16</v>
      </c>
      <c r="G22" s="24" t="s">
        <v>15</v>
      </c>
      <c r="H22" s="24" t="s">
        <v>16</v>
      </c>
      <c r="I22" s="24" t="s">
        <v>15</v>
      </c>
      <c r="J22" s="24" t="s">
        <v>16</v>
      </c>
      <c r="K22" s="24" t="s">
        <v>15</v>
      </c>
      <c r="L22" s="24" t="s">
        <v>16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23"/>
      <c r="AC22" s="23"/>
    </row>
    <row r="23" spans="1:29" ht="15" x14ac:dyDescent="0.25">
      <c r="A23" s="62" t="s">
        <v>23</v>
      </c>
      <c r="B23" s="63"/>
      <c r="C23" s="2">
        <f>+C13*0.4</f>
        <v>14620500</v>
      </c>
      <c r="D23" s="25">
        <f>+C23/C26</f>
        <v>0.4</v>
      </c>
      <c r="E23" s="2">
        <v>9200000</v>
      </c>
      <c r="F23" s="25">
        <f>+E23/E26</f>
        <v>0.2668600435097897</v>
      </c>
      <c r="G23" s="2">
        <v>9700000</v>
      </c>
      <c r="H23" s="25">
        <f>+G23/G26</f>
        <v>0.28550404709345106</v>
      </c>
      <c r="I23" s="2">
        <v>9200000</v>
      </c>
      <c r="J23" s="25">
        <f>+I23/I26</f>
        <v>0.2668600435097897</v>
      </c>
      <c r="K23" s="2">
        <f>+C23+E23+G23+I23</f>
        <v>42720500</v>
      </c>
      <c r="L23" s="25" t="e">
        <f>+K23/K26</f>
        <v>#REF!</v>
      </c>
      <c r="M23" s="18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23"/>
      <c r="AC23" s="23"/>
    </row>
    <row r="24" spans="1:29" ht="15" x14ac:dyDescent="0.25">
      <c r="A24" s="42" t="s">
        <v>31</v>
      </c>
      <c r="B24" s="41"/>
      <c r="C24" s="44">
        <v>9000000</v>
      </c>
      <c r="E24" s="2">
        <v>10000000</v>
      </c>
      <c r="F24" s="25">
        <f>+E24/E26</f>
        <v>0.29006526468455401</v>
      </c>
      <c r="G24" s="2">
        <v>9500000</v>
      </c>
      <c r="H24" s="25">
        <f>+G24/G26</f>
        <v>0.27961736571008095</v>
      </c>
      <c r="I24" s="2">
        <v>10000000</v>
      </c>
      <c r="J24" s="25">
        <f>+I24/I26</f>
        <v>0.29006526468455401</v>
      </c>
      <c r="K24" s="2">
        <f>+C25+E24+G24+I24</f>
        <v>51430750</v>
      </c>
      <c r="L24" s="25" t="e">
        <f>+K24/K26</f>
        <v>#REF!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9" ht="14.4" customHeight="1" x14ac:dyDescent="0.25">
      <c r="A25" s="58" t="s">
        <v>24</v>
      </c>
      <c r="B25" s="59"/>
      <c r="C25" s="2">
        <f>+C13*0.6</f>
        <v>21930750</v>
      </c>
      <c r="D25" s="25">
        <f>+C25/C26</f>
        <v>0.6</v>
      </c>
      <c r="E25" s="2">
        <v>15275000</v>
      </c>
      <c r="F25" s="25">
        <f>+E25/E26</f>
        <v>0.44307469180565628</v>
      </c>
      <c r="G25" s="2">
        <v>14775000</v>
      </c>
      <c r="H25" s="25">
        <f>+G25/G26</f>
        <v>0.43487858719646799</v>
      </c>
      <c r="I25" s="2">
        <v>15275000</v>
      </c>
      <c r="J25" s="25">
        <f>+I25/I26</f>
        <v>0.44307469180565628</v>
      </c>
      <c r="K25" s="2" t="e">
        <f>+#REF!+E25+G25+I25</f>
        <v>#REF!</v>
      </c>
      <c r="L25" s="25" t="e">
        <f>+K25/K26</f>
        <v>#REF!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9" ht="15" x14ac:dyDescent="0.25">
      <c r="A26" s="66" t="s">
        <v>2</v>
      </c>
      <c r="B26" s="67"/>
      <c r="C26" s="26">
        <f>+C23+C25</f>
        <v>36551250</v>
      </c>
      <c r="D26" s="27">
        <f>SUM(D23:D25)</f>
        <v>1</v>
      </c>
      <c r="E26" s="26">
        <f t="shared" ref="E26:L26" si="5">SUM(E23:E25)</f>
        <v>34475000</v>
      </c>
      <c r="F26" s="27">
        <f t="shared" si="5"/>
        <v>1</v>
      </c>
      <c r="G26" s="26">
        <f t="shared" si="5"/>
        <v>33975000</v>
      </c>
      <c r="H26" s="27">
        <f t="shared" si="5"/>
        <v>1</v>
      </c>
      <c r="I26" s="26">
        <f t="shared" si="5"/>
        <v>34475000</v>
      </c>
      <c r="J26" s="27">
        <f t="shared" si="5"/>
        <v>1</v>
      </c>
      <c r="K26" s="26" t="e">
        <f t="shared" si="5"/>
        <v>#REF!</v>
      </c>
      <c r="L26" s="27" t="e">
        <f t="shared" si="5"/>
        <v>#REF!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9" x14ac:dyDescent="0.3">
      <c r="A27" s="14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9" x14ac:dyDescent="0.3">
      <c r="A28" s="7"/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9" ht="18.75" x14ac:dyDescent="0.3">
      <c r="A29" s="68" t="s">
        <v>25</v>
      </c>
      <c r="B29" s="69"/>
      <c r="C29" s="55" t="s">
        <v>19</v>
      </c>
      <c r="D29" s="55"/>
      <c r="E29" s="55" t="s">
        <v>0</v>
      </c>
      <c r="F29" s="55"/>
      <c r="G29" s="55" t="s">
        <v>1</v>
      </c>
      <c r="H29" s="55"/>
      <c r="I29" s="55" t="s">
        <v>3</v>
      </c>
      <c r="J29" s="55"/>
      <c r="K29" s="55" t="s">
        <v>2</v>
      </c>
      <c r="L29" s="5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9" ht="14.4" customHeight="1" x14ac:dyDescent="0.25">
      <c r="A30" s="19" t="s">
        <v>26</v>
      </c>
      <c r="B30" s="17"/>
      <c r="C30" s="32">
        <f>+C13*0.4</f>
        <v>14620500</v>
      </c>
      <c r="D30" s="40">
        <f>+C30/$C$35</f>
        <v>0.4</v>
      </c>
      <c r="E30" s="60">
        <f>+D13</f>
        <v>0</v>
      </c>
      <c r="F30" s="61"/>
      <c r="G30" s="60">
        <f>+E13</f>
        <v>38962500</v>
      </c>
      <c r="H30" s="61"/>
      <c r="I30" s="60">
        <f>+F13</f>
        <v>39462500</v>
      </c>
      <c r="J30" s="61"/>
      <c r="K30" s="60">
        <f>+G13</f>
        <v>114976250</v>
      </c>
      <c r="L30" s="61"/>
      <c r="M30" s="18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9" ht="15" x14ac:dyDescent="0.25">
      <c r="A31" s="39" t="s">
        <v>27</v>
      </c>
      <c r="B31" s="17"/>
      <c r="C31" s="32">
        <f>+C13*0.2</f>
        <v>7310250</v>
      </c>
      <c r="D31" s="40">
        <f t="shared" ref="D31:D35" si="6">+C31/$C$35</f>
        <v>0.2</v>
      </c>
      <c r="E31" s="35"/>
      <c r="F31" s="33"/>
      <c r="G31" s="32"/>
      <c r="H31" s="33"/>
      <c r="I31" s="32"/>
      <c r="J31" s="33"/>
      <c r="K31" s="32"/>
      <c r="L31" s="33"/>
      <c r="M31" s="18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9" ht="15" x14ac:dyDescent="0.25">
      <c r="A32" s="39" t="s">
        <v>28</v>
      </c>
      <c r="B32" s="17"/>
      <c r="C32" s="32">
        <f>+C13*0.15</f>
        <v>5482687.5</v>
      </c>
      <c r="D32" s="40">
        <f t="shared" si="6"/>
        <v>0.15</v>
      </c>
      <c r="E32" s="35"/>
      <c r="F32" s="33"/>
      <c r="G32" s="32"/>
      <c r="H32" s="33"/>
      <c r="I32" s="32"/>
      <c r="J32" s="33"/>
      <c r="K32" s="32"/>
      <c r="L32" s="33"/>
      <c r="M32" s="18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" x14ac:dyDescent="0.25">
      <c r="A33" s="39" t="s">
        <v>29</v>
      </c>
      <c r="B33" s="17"/>
      <c r="C33" s="32">
        <f>+C13*0.25-C34</f>
        <v>9037812.5</v>
      </c>
      <c r="D33" s="40">
        <f t="shared" si="6"/>
        <v>0.24726411545432783</v>
      </c>
      <c r="E33" s="35"/>
      <c r="F33" s="33"/>
      <c r="G33" s="32"/>
      <c r="H33" s="33"/>
      <c r="I33" s="32"/>
      <c r="J33" s="33"/>
      <c r="K33" s="32"/>
      <c r="L33" s="33"/>
      <c r="M33" s="18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4.4" customHeight="1" x14ac:dyDescent="0.25">
      <c r="A34" s="20" t="s">
        <v>30</v>
      </c>
      <c r="B34" s="17"/>
      <c r="C34" s="32">
        <v>100000</v>
      </c>
      <c r="D34" s="40">
        <f t="shared" si="6"/>
        <v>2.7358845456721724E-3</v>
      </c>
      <c r="E34" s="64">
        <f>+E26</f>
        <v>34475000</v>
      </c>
      <c r="F34" s="61"/>
      <c r="G34" s="60">
        <f>+G26</f>
        <v>33975000</v>
      </c>
      <c r="H34" s="61"/>
      <c r="I34" s="60">
        <f>+I26</f>
        <v>34475000</v>
      </c>
      <c r="J34" s="61"/>
      <c r="K34" s="60" t="e">
        <f>+K26</f>
        <v>#REF!</v>
      </c>
      <c r="L34" s="61"/>
      <c r="M34" s="18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4.4" customHeight="1" x14ac:dyDescent="0.25">
      <c r="A35" s="56" t="s">
        <v>2</v>
      </c>
      <c r="B35" s="57"/>
      <c r="C35" s="32">
        <f>SUM(C30:C34)</f>
        <v>36551250</v>
      </c>
      <c r="D35" s="40">
        <f t="shared" si="6"/>
        <v>1</v>
      </c>
      <c r="E35" s="60">
        <f>+E30-E34</f>
        <v>-34475000</v>
      </c>
      <c r="F35" s="65"/>
      <c r="G35" s="60">
        <f>+G30-G34</f>
        <v>4987500</v>
      </c>
      <c r="H35" s="65"/>
      <c r="I35" s="60">
        <f>+I30-I34</f>
        <v>4987500</v>
      </c>
      <c r="J35" s="65"/>
      <c r="K35" s="60" t="e">
        <f>+K30-K34</f>
        <v>#REF!</v>
      </c>
      <c r="L35" s="65"/>
      <c r="M35" s="18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" x14ac:dyDescent="0.25">
      <c r="A36" s="14"/>
      <c r="B36" s="14"/>
      <c r="C36" s="14"/>
      <c r="D36" s="14"/>
      <c r="E36" s="14"/>
      <c r="F36" s="14"/>
      <c r="G36" s="14"/>
      <c r="H36" s="28"/>
      <c r="I36" s="28"/>
      <c r="J36" s="28"/>
      <c r="K36" s="28"/>
      <c r="L36" s="2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x14ac:dyDescent="0.3">
      <c r="A37" s="9"/>
      <c r="B37" s="9"/>
      <c r="C37" s="9"/>
      <c r="D37" s="9"/>
      <c r="E37" s="9"/>
      <c r="F37" s="9"/>
      <c r="G37" s="9"/>
      <c r="H37" s="10"/>
      <c r="I37" s="10"/>
      <c r="J37" s="10"/>
      <c r="K37" s="10"/>
      <c r="L37" s="1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.4" customHeight="1" x14ac:dyDescent="0.3">
      <c r="A38" s="9"/>
      <c r="B38" s="9"/>
      <c r="C38" s="9"/>
      <c r="D38" s="9"/>
      <c r="E38" s="9"/>
      <c r="F38" s="9"/>
      <c r="G38" s="9"/>
      <c r="H38" s="10"/>
      <c r="I38" s="10"/>
      <c r="J38" s="10"/>
      <c r="K38" s="10"/>
      <c r="L38" s="10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x14ac:dyDescent="0.3">
      <c r="A39" s="9"/>
      <c r="B39" s="9"/>
      <c r="C39" s="9"/>
      <c r="D39" s="9"/>
      <c r="E39" s="9"/>
      <c r="F39" s="9"/>
      <c r="G39" s="9"/>
      <c r="H39" s="10"/>
      <c r="I39" s="10"/>
      <c r="J39" s="10"/>
      <c r="K39" s="10"/>
      <c r="L39" s="10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4" customHeight="1" x14ac:dyDescent="0.3">
      <c r="A40" s="9"/>
      <c r="B40" s="9"/>
      <c r="C40" s="9"/>
      <c r="D40" s="9"/>
      <c r="E40" s="9"/>
      <c r="F40" s="9"/>
      <c r="G40" s="9"/>
      <c r="H40" s="10"/>
      <c r="I40" s="10"/>
      <c r="J40" s="10"/>
      <c r="K40" s="10"/>
      <c r="L40" s="10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" x14ac:dyDescent="0.25">
      <c r="A41" s="9"/>
      <c r="B41" s="9"/>
      <c r="C41" s="9"/>
      <c r="D41" s="9"/>
      <c r="E41" s="9"/>
      <c r="F41" s="9"/>
      <c r="G41" s="9"/>
      <c r="H41" s="10"/>
      <c r="I41" s="10"/>
      <c r="J41" s="10"/>
      <c r="K41" s="10"/>
      <c r="L41" s="10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4.4" customHeight="1" x14ac:dyDescent="0.25">
      <c r="A42" s="9"/>
      <c r="B42" s="9"/>
      <c r="C42" s="9"/>
      <c r="D42" s="9"/>
      <c r="E42" s="9"/>
      <c r="F42" s="9"/>
      <c r="G42" s="9"/>
      <c r="H42" s="10"/>
      <c r="I42" s="10"/>
      <c r="J42" s="10"/>
      <c r="K42" s="10"/>
      <c r="L42" s="10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" x14ac:dyDescent="0.25">
      <c r="A43" s="9"/>
      <c r="B43" s="9"/>
      <c r="C43" s="9"/>
      <c r="D43" s="9"/>
      <c r="E43" s="9"/>
      <c r="F43" s="9"/>
      <c r="G43" s="9"/>
      <c r="H43" s="10"/>
      <c r="I43" s="10"/>
      <c r="J43" s="10"/>
      <c r="K43" s="10"/>
      <c r="L43" s="10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" x14ac:dyDescent="0.25">
      <c r="A44" s="9"/>
      <c r="B44" s="9"/>
      <c r="C44" s="9"/>
      <c r="D44" s="9"/>
      <c r="E44" s="9"/>
      <c r="F44" s="9"/>
      <c r="G44" s="9"/>
      <c r="H44" s="10"/>
      <c r="I44" s="10"/>
      <c r="J44" s="10"/>
      <c r="K44" s="10"/>
      <c r="L44" s="10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x14ac:dyDescent="0.3">
      <c r="A45" s="9"/>
      <c r="B45" s="9"/>
      <c r="C45" s="9"/>
      <c r="D45" s="9"/>
      <c r="E45" s="9"/>
      <c r="F45" s="9"/>
      <c r="G45" s="9"/>
      <c r="H45" s="10"/>
      <c r="I45" s="10"/>
      <c r="J45" s="10"/>
      <c r="K45" s="10"/>
      <c r="L45" s="10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x14ac:dyDescent="0.3">
      <c r="A46" s="9"/>
      <c r="B46" s="9"/>
      <c r="C46" s="9"/>
      <c r="D46" s="9"/>
      <c r="E46" s="9"/>
      <c r="F46" s="9"/>
      <c r="G46" s="9"/>
      <c r="H46" s="10"/>
      <c r="I46" s="10"/>
      <c r="J46" s="10"/>
      <c r="K46" s="10"/>
      <c r="L46" s="10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x14ac:dyDescent="0.3">
      <c r="A47" s="9"/>
      <c r="B47" s="9"/>
      <c r="C47" s="9"/>
      <c r="D47" s="9"/>
      <c r="E47" s="9"/>
      <c r="F47" s="9"/>
      <c r="G47" s="9"/>
      <c r="H47" s="10"/>
      <c r="I47" s="10"/>
      <c r="J47" s="10"/>
      <c r="K47" s="10"/>
      <c r="L47" s="1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x14ac:dyDescent="0.3">
      <c r="A48" s="9"/>
      <c r="B48" s="9"/>
      <c r="C48" s="9"/>
      <c r="D48" s="9"/>
      <c r="E48" s="9"/>
      <c r="F48" s="9"/>
      <c r="G48" s="9"/>
      <c r="H48" s="10"/>
      <c r="I48" s="10"/>
      <c r="J48" s="10"/>
      <c r="K48" s="10"/>
      <c r="L48" s="10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x14ac:dyDescent="0.3">
      <c r="A49" s="9"/>
      <c r="B49" s="9"/>
      <c r="C49" s="9"/>
      <c r="D49" s="9"/>
      <c r="E49" s="9"/>
      <c r="F49" s="9"/>
      <c r="G49" s="9"/>
      <c r="H49" s="10"/>
      <c r="I49" s="10"/>
      <c r="J49" s="10"/>
      <c r="K49" s="10"/>
      <c r="L49" s="10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x14ac:dyDescent="0.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x14ac:dyDescent="0.3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x14ac:dyDescent="0.3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x14ac:dyDescent="0.3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x14ac:dyDescent="0.3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x14ac:dyDescent="0.3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x14ac:dyDescent="0.3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x14ac:dyDescent="0.3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x14ac:dyDescent="0.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x14ac:dyDescent="0.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</sheetData>
  <mergeCells count="40">
    <mergeCell ref="E29:F29"/>
    <mergeCell ref="G29:H29"/>
    <mergeCell ref="I29:J29"/>
    <mergeCell ref="G35:H35"/>
    <mergeCell ref="K29:L29"/>
    <mergeCell ref="G30:H30"/>
    <mergeCell ref="I30:J30"/>
    <mergeCell ref="G34:H34"/>
    <mergeCell ref="I34:J34"/>
    <mergeCell ref="K30:L30"/>
    <mergeCell ref="K34:L34"/>
    <mergeCell ref="I35:J35"/>
    <mergeCell ref="K35:L35"/>
    <mergeCell ref="A7:B7"/>
    <mergeCell ref="A8:B8"/>
    <mergeCell ref="A10:B10"/>
    <mergeCell ref="A9:B9"/>
    <mergeCell ref="C29:D29"/>
    <mergeCell ref="A11:B11"/>
    <mergeCell ref="A12:B12"/>
    <mergeCell ref="A13:B13"/>
    <mergeCell ref="A17:B17"/>
    <mergeCell ref="A14:B14"/>
    <mergeCell ref="A16:B16"/>
    <mergeCell ref="A1:D1"/>
    <mergeCell ref="A2:D2"/>
    <mergeCell ref="K21:L21"/>
    <mergeCell ref="A35:B35"/>
    <mergeCell ref="A25:B25"/>
    <mergeCell ref="E30:F30"/>
    <mergeCell ref="A23:B23"/>
    <mergeCell ref="C21:D21"/>
    <mergeCell ref="E21:F21"/>
    <mergeCell ref="G21:H21"/>
    <mergeCell ref="I21:J21"/>
    <mergeCell ref="E34:F34"/>
    <mergeCell ref="E35:F35"/>
    <mergeCell ref="A26:B26"/>
    <mergeCell ref="A29:B29"/>
    <mergeCell ref="A4:G4"/>
  </mergeCells>
  <pageMargins left="0.7" right="0.7" top="0.75" bottom="0.75" header="0.3" footer="0.3"/>
  <pageSetup scale="95" orientation="portrait" r:id="rId1"/>
  <rowBreaks count="1" manualBreakCount="1">
    <brk id="18" max="16383" man="1"/>
  </rowBreaks>
  <ignoredErrors>
    <ignoredError sqref="C15 E15:F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8" sqref="J8"/>
    </sheetView>
  </sheetViews>
  <sheetFormatPr defaultRowHeight="14.4" x14ac:dyDescent="0.3"/>
  <cols>
    <col min="1" max="1" width="27" customWidth="1"/>
    <col min="2" max="2" width="19" customWidth="1"/>
    <col min="3" max="3" width="15.33203125" customWidth="1"/>
    <col min="4" max="4" width="17.33203125" customWidth="1"/>
    <col min="5" max="6" width="0" hidden="1" customWidth="1"/>
    <col min="7" max="7" width="0.109375" hidden="1" customWidth="1"/>
    <col min="8" max="9" width="0" hidden="1" customWidth="1"/>
  </cols>
  <sheetData>
    <row r="1" spans="1:8" ht="19.5" customHeight="1" x14ac:dyDescent="0.35">
      <c r="A1" s="49" t="s">
        <v>32</v>
      </c>
      <c r="B1" s="50"/>
      <c r="C1" s="50"/>
      <c r="D1" s="51"/>
      <c r="E1" s="9"/>
      <c r="F1" s="9"/>
      <c r="G1" s="9"/>
      <c r="H1" s="9"/>
    </row>
    <row r="2" spans="1:8" ht="25.5" customHeight="1" x14ac:dyDescent="0.35">
      <c r="A2" s="52" t="s">
        <v>35</v>
      </c>
      <c r="B2" s="78"/>
      <c r="C2" s="78"/>
      <c r="D2" s="79"/>
      <c r="E2" s="3"/>
      <c r="F2" s="3"/>
      <c r="G2" s="5"/>
      <c r="H2" s="9"/>
    </row>
    <row r="3" spans="1:8" ht="15" customHeight="1" x14ac:dyDescent="0.25">
      <c r="A3" s="4"/>
      <c r="B3" s="4"/>
      <c r="C3" s="4"/>
      <c r="D3" s="4"/>
      <c r="E3" s="4"/>
      <c r="F3" s="4"/>
      <c r="G3" s="6"/>
      <c r="H3" s="9"/>
    </row>
    <row r="4" spans="1:8" ht="15" customHeight="1" x14ac:dyDescent="0.25">
      <c r="A4" s="80" t="s">
        <v>34</v>
      </c>
      <c r="B4" s="81"/>
      <c r="C4" s="81"/>
      <c r="D4" s="81"/>
      <c r="E4" s="81"/>
      <c r="F4" s="81"/>
      <c r="G4" s="82"/>
      <c r="H4" s="8"/>
    </row>
    <row r="5" spans="1:8" ht="15" x14ac:dyDescent="0.25">
      <c r="A5" s="31" t="s">
        <v>5</v>
      </c>
      <c r="B5" s="11">
        <v>15700000</v>
      </c>
      <c r="C5" s="29" t="s">
        <v>19</v>
      </c>
      <c r="D5" s="29" t="s">
        <v>22</v>
      </c>
      <c r="E5" s="29" t="s">
        <v>1</v>
      </c>
      <c r="F5" s="29" t="s">
        <v>3</v>
      </c>
      <c r="G5" s="29" t="s">
        <v>2</v>
      </c>
      <c r="H5" s="8"/>
    </row>
    <row r="6" spans="1:8" ht="15" x14ac:dyDescent="0.25">
      <c r="A6" s="15" t="s">
        <v>7</v>
      </c>
      <c r="B6" s="16">
        <v>0.75</v>
      </c>
      <c r="C6" s="2">
        <f>+$B$5*$B$6</f>
        <v>11775000</v>
      </c>
      <c r="D6" s="2"/>
      <c r="E6" s="2">
        <f t="shared" ref="E6:F6" si="0">+$B$5*$B$6</f>
        <v>11775000</v>
      </c>
      <c r="F6" s="2">
        <f t="shared" si="0"/>
        <v>11775000</v>
      </c>
      <c r="G6" s="2">
        <f>SUM(C6:F6)</f>
        <v>35325000</v>
      </c>
      <c r="H6" s="8"/>
    </row>
    <row r="7" spans="1:8" ht="15" x14ac:dyDescent="0.25">
      <c r="A7" s="71" t="s">
        <v>6</v>
      </c>
      <c r="B7" s="72"/>
      <c r="C7" s="1">
        <f>+C6*0.03</f>
        <v>353250</v>
      </c>
      <c r="D7" s="37">
        <f>+C7/C6</f>
        <v>0.03</v>
      </c>
      <c r="E7" s="1">
        <f t="shared" ref="E7:F7" si="1">+E6*0.02</f>
        <v>235500</v>
      </c>
      <c r="F7" s="1">
        <f t="shared" si="1"/>
        <v>235500</v>
      </c>
      <c r="G7" s="2">
        <f t="shared" ref="G7:G17" si="2">SUM(C7:F7)</f>
        <v>824250.03</v>
      </c>
      <c r="H7" s="8"/>
    </row>
    <row r="8" spans="1:8" ht="15" x14ac:dyDescent="0.25">
      <c r="A8" s="71" t="s">
        <v>4</v>
      </c>
      <c r="B8" s="72"/>
      <c r="C8" s="1">
        <f>+C6*(1-0.97)</f>
        <v>353250.00000000029</v>
      </c>
      <c r="D8" s="37">
        <f>+C8/C6</f>
        <v>3.0000000000000023E-2</v>
      </c>
      <c r="E8" s="1">
        <f>+E6*(1-0.97)</f>
        <v>353250.00000000029</v>
      </c>
      <c r="F8" s="1">
        <f>+F6*(1-0.97)</f>
        <v>353250.00000000029</v>
      </c>
      <c r="G8" s="2">
        <f t="shared" si="2"/>
        <v>1059750.030000001</v>
      </c>
      <c r="H8" s="8"/>
    </row>
    <row r="9" spans="1:8" ht="15" x14ac:dyDescent="0.25">
      <c r="A9" s="71" t="s">
        <v>11</v>
      </c>
      <c r="B9" s="72"/>
      <c r="C9" s="1">
        <f>+C6*0.05</f>
        <v>588750</v>
      </c>
      <c r="D9" s="37">
        <f>+C9/C6</f>
        <v>0.05</v>
      </c>
      <c r="E9" s="1">
        <v>650000</v>
      </c>
      <c r="F9" s="1">
        <v>650000</v>
      </c>
      <c r="G9" s="2">
        <f t="shared" si="2"/>
        <v>1888750.05</v>
      </c>
      <c r="H9" s="8"/>
    </row>
    <row r="10" spans="1:8" ht="15" x14ac:dyDescent="0.25">
      <c r="A10" s="71" t="s">
        <v>10</v>
      </c>
      <c r="B10" s="72"/>
      <c r="C10" s="1">
        <f>+C6*0.035</f>
        <v>412125.00000000006</v>
      </c>
      <c r="D10" s="37">
        <f>+C10/C6</f>
        <v>3.5000000000000003E-2</v>
      </c>
      <c r="E10" s="1">
        <v>500000</v>
      </c>
      <c r="F10" s="1">
        <v>500000</v>
      </c>
      <c r="G10" s="2">
        <f t="shared" si="2"/>
        <v>1412125.0350000001</v>
      </c>
      <c r="H10" s="8"/>
    </row>
    <row r="11" spans="1:8" ht="15" x14ac:dyDescent="0.25">
      <c r="A11" s="71" t="s">
        <v>13</v>
      </c>
      <c r="B11" s="72"/>
      <c r="C11" s="1"/>
      <c r="D11" s="1"/>
      <c r="E11" s="1">
        <v>500000</v>
      </c>
      <c r="F11" s="1"/>
      <c r="G11" s="2">
        <f t="shared" si="2"/>
        <v>500000</v>
      </c>
      <c r="H11" s="8"/>
    </row>
    <row r="12" spans="1:8" ht="15" x14ac:dyDescent="0.25">
      <c r="A12" s="71" t="s">
        <v>9</v>
      </c>
      <c r="B12" s="72"/>
      <c r="C12" s="1">
        <f>SUM(C7:C11)</f>
        <v>1707375.0000000002</v>
      </c>
      <c r="D12" s="37">
        <f>+C12/C6</f>
        <v>0.14500000000000002</v>
      </c>
      <c r="E12" s="1">
        <f>SUM(E7:E11)</f>
        <v>2238750</v>
      </c>
      <c r="F12" s="1">
        <f>SUM(F7:F11)</f>
        <v>1738750.0000000002</v>
      </c>
      <c r="G12" s="2">
        <f t="shared" si="2"/>
        <v>5684875.1450000005</v>
      </c>
      <c r="H12" s="8"/>
    </row>
    <row r="13" spans="1:8" ht="15" x14ac:dyDescent="0.25">
      <c r="A13" s="58" t="s">
        <v>12</v>
      </c>
      <c r="B13" s="59"/>
      <c r="C13" s="22">
        <f>+C6-C12</f>
        <v>10067625</v>
      </c>
      <c r="D13" s="22"/>
      <c r="E13" s="22">
        <f>+E6-E12</f>
        <v>9536250</v>
      </c>
      <c r="F13" s="22">
        <f>+F6-F12</f>
        <v>10036250</v>
      </c>
      <c r="G13" s="21">
        <f t="shared" si="2"/>
        <v>29640125</v>
      </c>
      <c r="H13" s="8"/>
    </row>
    <row r="14" spans="1:8" ht="15" x14ac:dyDescent="0.25">
      <c r="A14" s="75" t="s">
        <v>20</v>
      </c>
      <c r="B14" s="65"/>
      <c r="C14" s="1">
        <f>+C12+C13</f>
        <v>11775000</v>
      </c>
      <c r="D14" s="38">
        <f>+C14/B5</f>
        <v>0.75</v>
      </c>
      <c r="E14" s="1">
        <f t="shared" ref="E14:F14" si="3">+E12+E13</f>
        <v>11775000</v>
      </c>
      <c r="F14" s="1">
        <f t="shared" si="3"/>
        <v>11775000</v>
      </c>
      <c r="G14" s="2">
        <f t="shared" si="2"/>
        <v>35325000.75</v>
      </c>
      <c r="H14" s="8"/>
    </row>
    <row r="15" spans="1:8" ht="15" x14ac:dyDescent="0.25">
      <c r="A15" s="15" t="s">
        <v>8</v>
      </c>
      <c r="B15" s="16">
        <v>0.25</v>
      </c>
      <c r="C15" s="1">
        <f>+$B$5*$B$15</f>
        <v>3925000</v>
      </c>
      <c r="D15" s="38">
        <f>+C15/B5</f>
        <v>0.25</v>
      </c>
      <c r="E15" s="1">
        <f>+$B$5*$B$15</f>
        <v>3925000</v>
      </c>
      <c r="F15" s="1">
        <f>+$B$5*$B$15</f>
        <v>3925000</v>
      </c>
      <c r="G15" s="2">
        <f t="shared" si="2"/>
        <v>11775000.25</v>
      </c>
      <c r="H15" s="8"/>
    </row>
    <row r="16" spans="1:8" ht="15" x14ac:dyDescent="0.25">
      <c r="A16" s="75" t="s">
        <v>21</v>
      </c>
      <c r="B16" s="65"/>
      <c r="C16" s="1">
        <f>+C14+C15</f>
        <v>15700000</v>
      </c>
      <c r="D16" s="36">
        <f>+C16/B5</f>
        <v>1</v>
      </c>
      <c r="E16" s="1">
        <f t="shared" ref="E16:F16" si="4">+E14+E15</f>
        <v>15700000</v>
      </c>
      <c r="F16" s="1">
        <f t="shared" si="4"/>
        <v>15700000</v>
      </c>
      <c r="G16" s="2">
        <f t="shared" si="2"/>
        <v>47100001</v>
      </c>
      <c r="H16" s="8"/>
    </row>
    <row r="17" spans="1:8" ht="15" x14ac:dyDescent="0.25">
      <c r="A17" s="73" t="s">
        <v>14</v>
      </c>
      <c r="B17" s="74"/>
      <c r="C17" s="1"/>
      <c r="D17" s="1"/>
      <c r="E17" s="1"/>
      <c r="F17" s="1"/>
      <c r="G17" s="2">
        <f t="shared" si="2"/>
        <v>0</v>
      </c>
      <c r="H17" s="8"/>
    </row>
    <row r="18" spans="1:8" ht="15" x14ac:dyDescent="0.25">
      <c r="A18" s="7"/>
      <c r="B18" s="7"/>
      <c r="C18" s="7"/>
      <c r="D18" s="7"/>
      <c r="E18" s="7"/>
      <c r="F18" s="7"/>
      <c r="G18" s="7"/>
      <c r="H18" s="7"/>
    </row>
    <row r="19" spans="1:8" ht="15" x14ac:dyDescent="0.25">
      <c r="A19" s="7"/>
      <c r="B19" s="7"/>
      <c r="C19" s="7"/>
      <c r="D19" s="7"/>
      <c r="E19" s="7"/>
      <c r="F19" s="7"/>
      <c r="G19" s="7"/>
      <c r="H19" s="7"/>
    </row>
    <row r="20" spans="1:8" ht="15" x14ac:dyDescent="0.25">
      <c r="A20" s="7"/>
      <c r="B20" s="7"/>
      <c r="C20" s="7"/>
      <c r="D20" s="7"/>
      <c r="E20" s="7"/>
      <c r="F20" s="7"/>
      <c r="G20" s="7"/>
      <c r="H20" s="7"/>
    </row>
    <row r="21" spans="1:8" ht="15" x14ac:dyDescent="0.25">
      <c r="A21" s="7"/>
      <c r="B21" s="7"/>
      <c r="C21" s="76" t="s">
        <v>19</v>
      </c>
      <c r="D21" s="77"/>
      <c r="E21" s="76" t="s">
        <v>0</v>
      </c>
      <c r="F21" s="77"/>
      <c r="G21" s="76" t="s">
        <v>1</v>
      </c>
      <c r="H21" s="77"/>
    </row>
    <row r="22" spans="1:8" ht="15" x14ac:dyDescent="0.25">
      <c r="A22" s="7"/>
      <c r="B22" s="7"/>
      <c r="C22" s="24" t="s">
        <v>15</v>
      </c>
      <c r="D22" s="24" t="s">
        <v>16</v>
      </c>
      <c r="E22" s="24" t="s">
        <v>15</v>
      </c>
      <c r="F22" s="24" t="s">
        <v>16</v>
      </c>
      <c r="G22" s="24" t="s">
        <v>15</v>
      </c>
      <c r="H22" s="24" t="s">
        <v>16</v>
      </c>
    </row>
    <row r="23" spans="1:8" ht="15" x14ac:dyDescent="0.25">
      <c r="A23" s="58" t="s">
        <v>23</v>
      </c>
      <c r="B23" s="59"/>
      <c r="C23" s="2">
        <f>+C13*0.6</f>
        <v>6040575</v>
      </c>
      <c r="D23" s="25">
        <f>+C23/C26</f>
        <v>0.6</v>
      </c>
      <c r="E23" s="2">
        <v>9200000</v>
      </c>
      <c r="F23" s="25">
        <f>+E23/E26</f>
        <v>0.2668600435097897</v>
      </c>
      <c r="G23" s="2">
        <v>9700000</v>
      </c>
      <c r="H23" s="25">
        <f>+G23/G26</f>
        <v>0.28550404709345106</v>
      </c>
    </row>
    <row r="24" spans="1:8" ht="15" x14ac:dyDescent="0.25">
      <c r="A24" s="42" t="s">
        <v>31</v>
      </c>
      <c r="B24" s="41"/>
      <c r="C24" s="44">
        <v>3000000</v>
      </c>
      <c r="E24" s="2">
        <v>10000000</v>
      </c>
      <c r="F24" s="25">
        <f>+E24/E26</f>
        <v>0.29006526468455401</v>
      </c>
      <c r="G24" s="2">
        <v>9500000</v>
      </c>
      <c r="H24" s="25">
        <f>+G24/G26</f>
        <v>0.27961736571008095</v>
      </c>
    </row>
    <row r="25" spans="1:8" ht="15" x14ac:dyDescent="0.25">
      <c r="A25" s="58" t="s">
        <v>24</v>
      </c>
      <c r="B25" s="59"/>
      <c r="C25" s="2">
        <f>+C13*0.4</f>
        <v>4027050</v>
      </c>
      <c r="D25" s="25">
        <f>+C25/C26</f>
        <v>0.4</v>
      </c>
      <c r="E25" s="2">
        <v>15275000</v>
      </c>
      <c r="F25" s="25">
        <f>+E25/E26</f>
        <v>0.44307469180565628</v>
      </c>
      <c r="G25" s="2">
        <v>14775000</v>
      </c>
      <c r="H25" s="25">
        <f>+G25/G26</f>
        <v>0.43487858719646799</v>
      </c>
    </row>
    <row r="26" spans="1:8" ht="15" x14ac:dyDescent="0.25">
      <c r="A26" s="56" t="s">
        <v>2</v>
      </c>
      <c r="B26" s="57"/>
      <c r="C26" s="26">
        <f>+C23+C25</f>
        <v>10067625</v>
      </c>
      <c r="D26" s="27">
        <f>SUM(D23:D25)</f>
        <v>1</v>
      </c>
      <c r="E26" s="26">
        <f t="shared" ref="E26:H26" si="5">SUM(E23:E25)</f>
        <v>34475000</v>
      </c>
      <c r="F26" s="27">
        <f t="shared" si="5"/>
        <v>1</v>
      </c>
      <c r="G26" s="26">
        <f t="shared" si="5"/>
        <v>33975000</v>
      </c>
      <c r="H26" s="27">
        <f t="shared" si="5"/>
        <v>1</v>
      </c>
    </row>
    <row r="27" spans="1:8" ht="15" x14ac:dyDescent="0.25">
      <c r="A27" s="14"/>
      <c r="B27" s="14"/>
      <c r="C27" s="9"/>
      <c r="D27" s="9"/>
      <c r="E27" s="9"/>
      <c r="F27" s="9"/>
      <c r="G27" s="9"/>
      <c r="H27" s="9"/>
    </row>
    <row r="28" spans="1:8" ht="15" x14ac:dyDescent="0.25">
      <c r="A28" s="7"/>
      <c r="B28" s="7"/>
      <c r="C28" s="9"/>
      <c r="D28" s="9"/>
      <c r="E28" s="9"/>
      <c r="F28" s="9"/>
      <c r="G28" s="9"/>
      <c r="H28" s="9"/>
    </row>
    <row r="29" spans="1:8" ht="18.75" x14ac:dyDescent="0.3">
      <c r="A29" s="68" t="s">
        <v>25</v>
      </c>
      <c r="B29" s="69"/>
      <c r="C29" s="76" t="s">
        <v>19</v>
      </c>
      <c r="D29" s="77"/>
      <c r="E29" s="76" t="s">
        <v>0</v>
      </c>
      <c r="F29" s="77"/>
      <c r="G29" s="76" t="s">
        <v>1</v>
      </c>
      <c r="H29" s="77"/>
    </row>
    <row r="30" spans="1:8" ht="15" x14ac:dyDescent="0.25">
      <c r="A30" s="19" t="s">
        <v>36</v>
      </c>
      <c r="B30" s="17"/>
      <c r="C30" s="32">
        <f>+C13*0.6</f>
        <v>6040575</v>
      </c>
      <c r="D30" s="40">
        <f>+C30/$C$35</f>
        <v>0.6</v>
      </c>
      <c r="E30" s="60">
        <f>+D13</f>
        <v>0</v>
      </c>
      <c r="F30" s="61"/>
      <c r="G30" s="60">
        <f>+E13</f>
        <v>9536250</v>
      </c>
      <c r="H30" s="61"/>
    </row>
    <row r="31" spans="1:8" ht="15" x14ac:dyDescent="0.25">
      <c r="A31" s="39" t="s">
        <v>37</v>
      </c>
      <c r="B31" s="17"/>
      <c r="C31" s="32">
        <f>+C13*0.15</f>
        <v>1510143.75</v>
      </c>
      <c r="D31" s="40">
        <f t="shared" ref="D31:D35" si="6">+C31/$C$35</f>
        <v>0.15</v>
      </c>
      <c r="E31" s="35"/>
      <c r="F31" s="33"/>
      <c r="G31" s="32"/>
      <c r="H31" s="33"/>
    </row>
    <row r="32" spans="1:8" ht="15" x14ac:dyDescent="0.25">
      <c r="A32" s="39" t="s">
        <v>38</v>
      </c>
      <c r="B32" s="17"/>
      <c r="C32" s="32">
        <f>+C13*0.1</f>
        <v>1006762.5</v>
      </c>
      <c r="D32" s="40">
        <f t="shared" si="6"/>
        <v>0.1</v>
      </c>
      <c r="E32" s="35"/>
      <c r="F32" s="33"/>
      <c r="G32" s="32"/>
      <c r="H32" s="33"/>
    </row>
    <row r="33" spans="1:8" ht="15" x14ac:dyDescent="0.25">
      <c r="A33" s="39" t="s">
        <v>39</v>
      </c>
      <c r="B33" s="17"/>
      <c r="C33" s="32">
        <f>+C13*0.15</f>
        <v>1510143.75</v>
      </c>
      <c r="D33" s="40">
        <f t="shared" si="6"/>
        <v>0.15</v>
      </c>
      <c r="E33" s="35"/>
      <c r="F33" s="33"/>
      <c r="G33" s="32"/>
      <c r="H33" s="33"/>
    </row>
    <row r="34" spans="1:8" ht="15" x14ac:dyDescent="0.25">
      <c r="A34" s="20" t="s">
        <v>40</v>
      </c>
      <c r="B34" s="17"/>
      <c r="C34" s="32"/>
      <c r="D34" s="40"/>
      <c r="E34" s="60">
        <f>+E26</f>
        <v>34475000</v>
      </c>
      <c r="F34" s="61"/>
      <c r="G34" s="60">
        <f>+G26</f>
        <v>33975000</v>
      </c>
      <c r="H34" s="61"/>
    </row>
    <row r="35" spans="1:8" x14ac:dyDescent="0.3">
      <c r="A35" s="71" t="s">
        <v>17</v>
      </c>
      <c r="B35" s="72"/>
      <c r="C35" s="32">
        <f>SUM(C30:C34)</f>
        <v>10067625</v>
      </c>
      <c r="D35" s="40">
        <f t="shared" si="6"/>
        <v>1</v>
      </c>
      <c r="E35" s="60">
        <f>+E30-E34</f>
        <v>-34475000</v>
      </c>
      <c r="F35" s="61"/>
      <c r="G35" s="60">
        <f>+G30-G34</f>
        <v>-24438750</v>
      </c>
      <c r="H35" s="61"/>
    </row>
    <row r="36" spans="1:8" x14ac:dyDescent="0.3">
      <c r="A36" s="14"/>
      <c r="B36" s="14"/>
      <c r="C36" s="14"/>
      <c r="D36" s="14"/>
      <c r="E36" s="14"/>
      <c r="F36" s="14"/>
      <c r="G36" s="14"/>
      <c r="H36" s="28"/>
    </row>
  </sheetData>
  <mergeCells count="30">
    <mergeCell ref="A16:B16"/>
    <mergeCell ref="A1:D1"/>
    <mergeCell ref="A2:D2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E30:F30"/>
    <mergeCell ref="G30:H30"/>
    <mergeCell ref="A17:B17"/>
    <mergeCell ref="C21:D21"/>
    <mergeCell ref="E21:F21"/>
    <mergeCell ref="G21:H21"/>
    <mergeCell ref="A23:B23"/>
    <mergeCell ref="A25:B25"/>
    <mergeCell ref="A26:B26"/>
    <mergeCell ref="A29:B29"/>
    <mergeCell ref="C29:D29"/>
    <mergeCell ref="E29:F29"/>
    <mergeCell ref="G29:H29"/>
    <mergeCell ref="E34:F34"/>
    <mergeCell ref="G34:H34"/>
    <mergeCell ref="A35:B35"/>
    <mergeCell ref="E35:F35"/>
    <mergeCell ref="G35:H3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A2" sqref="A2:F2"/>
    </sheetView>
  </sheetViews>
  <sheetFormatPr defaultRowHeight="14.4" x14ac:dyDescent="0.3"/>
  <cols>
    <col min="1" max="1" width="21.6640625" customWidth="1"/>
    <col min="2" max="2" width="15" customWidth="1"/>
    <col min="3" max="3" width="18.5546875" customWidth="1"/>
    <col min="4" max="4" width="14.109375" customWidth="1"/>
    <col min="5" max="5" width="18.6640625" customWidth="1"/>
    <col min="6" max="6" width="11.6640625" customWidth="1"/>
    <col min="10" max="12" width="15.33203125" bestFit="1" customWidth="1"/>
    <col min="13" max="13" width="12.5546875" bestFit="1" customWidth="1"/>
  </cols>
  <sheetData>
    <row r="1" spans="1:6" ht="21" x14ac:dyDescent="0.35">
      <c r="A1" s="83" t="s">
        <v>47</v>
      </c>
      <c r="B1" s="83"/>
      <c r="C1" s="83"/>
      <c r="D1" s="83"/>
      <c r="E1" s="83"/>
      <c r="F1" s="83"/>
    </row>
    <row r="2" spans="1:6" ht="21" x14ac:dyDescent="0.35">
      <c r="A2" s="83" t="s">
        <v>45</v>
      </c>
      <c r="B2" s="83"/>
      <c r="C2" s="83"/>
      <c r="D2" s="83"/>
      <c r="E2" s="83"/>
      <c r="F2" s="83"/>
    </row>
    <row r="3" spans="1:6" ht="15" x14ac:dyDescent="0.25">
      <c r="A3" s="48"/>
      <c r="B3" s="48"/>
      <c r="C3" s="48"/>
      <c r="D3" s="48"/>
      <c r="E3" s="48"/>
      <c r="F3" s="48"/>
    </row>
    <row r="4" spans="1:6" ht="18.75" x14ac:dyDescent="0.3">
      <c r="A4" s="84" t="s">
        <v>46</v>
      </c>
      <c r="B4" s="84"/>
      <c r="C4" s="84"/>
      <c r="D4" s="84"/>
      <c r="E4" s="84"/>
      <c r="F4" s="84"/>
    </row>
    <row r="5" spans="1:6" ht="15" x14ac:dyDescent="0.25">
      <c r="A5" s="80" t="s">
        <v>18</v>
      </c>
      <c r="B5" s="81"/>
      <c r="C5" s="81"/>
      <c r="D5" s="81"/>
      <c r="E5" s="81"/>
      <c r="F5" s="81"/>
    </row>
    <row r="6" spans="1:6" ht="30" x14ac:dyDescent="0.25">
      <c r="A6" s="31"/>
      <c r="B6" s="11"/>
      <c r="C6" s="45" t="s">
        <v>41</v>
      </c>
      <c r="D6" s="45" t="s">
        <v>22</v>
      </c>
      <c r="E6" s="45" t="s">
        <v>42</v>
      </c>
      <c r="F6" s="45" t="s">
        <v>22</v>
      </c>
    </row>
    <row r="7" spans="1:6" ht="15" x14ac:dyDescent="0.25">
      <c r="A7" s="31" t="s">
        <v>5</v>
      </c>
      <c r="B7" s="11"/>
      <c r="C7" s="46">
        <v>60879122</v>
      </c>
      <c r="D7" s="29"/>
      <c r="E7" s="46">
        <f>+'8-103'!B5</f>
        <v>57000000</v>
      </c>
      <c r="F7" s="29"/>
    </row>
    <row r="8" spans="1:6" ht="15" x14ac:dyDescent="0.25">
      <c r="A8" s="15" t="s">
        <v>7</v>
      </c>
      <c r="B8" s="16">
        <v>0.75</v>
      </c>
      <c r="C8" s="2">
        <f>+C7*B8</f>
        <v>45659341.5</v>
      </c>
      <c r="D8" s="2"/>
      <c r="E8" s="2">
        <f>+E7*B8</f>
        <v>42750000</v>
      </c>
      <c r="F8" s="2"/>
    </row>
    <row r="9" spans="1:6" ht="15" x14ac:dyDescent="0.25">
      <c r="A9" s="71" t="s">
        <v>6</v>
      </c>
      <c r="B9" s="72"/>
      <c r="C9" s="1">
        <f>+C8*0.03</f>
        <v>1369780.2449999999</v>
      </c>
      <c r="D9" s="37">
        <f>+C9/C8</f>
        <v>0.03</v>
      </c>
      <c r="E9" s="1">
        <f>+E8*0.03</f>
        <v>1282500</v>
      </c>
      <c r="F9" s="37">
        <f>+E9/$E$8</f>
        <v>0.03</v>
      </c>
    </row>
    <row r="10" spans="1:6" ht="15" x14ac:dyDescent="0.25">
      <c r="A10" s="71" t="s">
        <v>4</v>
      </c>
      <c r="B10" s="72"/>
      <c r="C10" s="1">
        <f>+C8*(1-0.97)</f>
        <v>1369780.2450000013</v>
      </c>
      <c r="D10" s="37">
        <f>+C10/C8</f>
        <v>3.0000000000000027E-2</v>
      </c>
      <c r="E10" s="1">
        <f>+E8*(1-0.97)</f>
        <v>1282500.0000000012</v>
      </c>
      <c r="F10" s="37">
        <f t="shared" ref="F10:F14" si="0">+E10/$E$8</f>
        <v>3.0000000000000027E-2</v>
      </c>
    </row>
    <row r="11" spans="1:6" ht="15" x14ac:dyDescent="0.25">
      <c r="A11" s="71" t="s">
        <v>11</v>
      </c>
      <c r="B11" s="72"/>
      <c r="C11" s="1">
        <f>+C8*0.0425</f>
        <v>1940522.0137500002</v>
      </c>
      <c r="D11" s="37">
        <f>+C11/C8</f>
        <v>4.2500000000000003E-2</v>
      </c>
      <c r="E11" s="1">
        <f>+E8*0.05</f>
        <v>2137500</v>
      </c>
      <c r="F11" s="37">
        <f t="shared" si="0"/>
        <v>0.05</v>
      </c>
    </row>
    <row r="12" spans="1:6" ht="15" x14ac:dyDescent="0.25">
      <c r="A12" s="71" t="s">
        <v>10</v>
      </c>
      <c r="B12" s="72"/>
      <c r="C12" s="1">
        <f>+C8*0.0425</f>
        <v>1940522.0137500002</v>
      </c>
      <c r="D12" s="37">
        <f>+C12/C8</f>
        <v>4.2500000000000003E-2</v>
      </c>
      <c r="E12" s="1">
        <f>+E8*0.035</f>
        <v>1496250.0000000002</v>
      </c>
      <c r="F12" s="37">
        <f t="shared" si="0"/>
        <v>3.5000000000000003E-2</v>
      </c>
    </row>
    <row r="13" spans="1:6" ht="15" x14ac:dyDescent="0.25">
      <c r="A13" s="71" t="s">
        <v>13</v>
      </c>
      <c r="B13" s="72"/>
      <c r="C13" s="1"/>
      <c r="D13" s="1"/>
      <c r="E13" s="1"/>
      <c r="F13" s="1"/>
    </row>
    <row r="14" spans="1:6" ht="15" x14ac:dyDescent="0.25">
      <c r="A14" s="71" t="s">
        <v>9</v>
      </c>
      <c r="B14" s="72"/>
      <c r="C14" s="1">
        <f>SUM(C9:C13)</f>
        <v>6620604.517500001</v>
      </c>
      <c r="D14" s="37">
        <f>+C14/C8</f>
        <v>0.14500000000000002</v>
      </c>
      <c r="E14" s="1">
        <f>SUM(E9:E13)</f>
        <v>6198750.0000000009</v>
      </c>
      <c r="F14" s="37">
        <f t="shared" si="0"/>
        <v>0.14500000000000002</v>
      </c>
    </row>
    <row r="15" spans="1:6" ht="15" x14ac:dyDescent="0.25">
      <c r="A15" s="58" t="s">
        <v>12</v>
      </c>
      <c r="B15" s="59"/>
      <c r="C15" s="22">
        <f>+C8-C14</f>
        <v>39038736.982500002</v>
      </c>
      <c r="D15" s="22"/>
      <c r="E15" s="22">
        <f>+E8-E14</f>
        <v>36551250</v>
      </c>
      <c r="F15" s="22"/>
    </row>
    <row r="16" spans="1:6" ht="15" x14ac:dyDescent="0.25">
      <c r="A16" s="75" t="s">
        <v>20</v>
      </c>
      <c r="B16" s="65"/>
      <c r="C16" s="1">
        <f>+C14+C15</f>
        <v>45659341.5</v>
      </c>
      <c r="D16" s="38">
        <f>+C16/C7</f>
        <v>0.75</v>
      </c>
      <c r="E16" s="1">
        <f t="shared" ref="E16" si="1">+E14+E15</f>
        <v>42750000</v>
      </c>
      <c r="F16" s="38">
        <f>+E16/E7</f>
        <v>0.75</v>
      </c>
    </row>
    <row r="17" spans="1:13" ht="15" x14ac:dyDescent="0.25">
      <c r="A17" s="15" t="s">
        <v>8</v>
      </c>
      <c r="B17" s="16">
        <v>0.25</v>
      </c>
      <c r="C17" s="1">
        <f>+C7*B17</f>
        <v>15219780.5</v>
      </c>
      <c r="D17" s="38">
        <f>+C17/C7</f>
        <v>0.25</v>
      </c>
      <c r="E17" s="1">
        <f>+B17*E7</f>
        <v>14250000</v>
      </c>
      <c r="F17" s="38">
        <f>+E17/E7</f>
        <v>0.25</v>
      </c>
    </row>
    <row r="18" spans="1:13" ht="15" x14ac:dyDescent="0.25">
      <c r="A18" s="75" t="s">
        <v>21</v>
      </c>
      <c r="B18" s="65"/>
      <c r="C18" s="1">
        <f>+C16+C17</f>
        <v>60879122</v>
      </c>
      <c r="D18" s="36">
        <f>+C18/C7</f>
        <v>1</v>
      </c>
      <c r="E18" s="1">
        <f t="shared" ref="E18" si="2">+E16+E17</f>
        <v>57000000</v>
      </c>
      <c r="F18" s="36">
        <f>+E18/E7</f>
        <v>1</v>
      </c>
    </row>
    <row r="19" spans="1:13" ht="15" x14ac:dyDescent="0.25">
      <c r="A19" s="34" t="s">
        <v>43</v>
      </c>
      <c r="B19" s="30"/>
      <c r="C19" s="1">
        <v>18371656</v>
      </c>
      <c r="D19" s="36">
        <f>+C19/C15</f>
        <v>0.47060067563752156</v>
      </c>
      <c r="E19" s="1">
        <f>+E15*0.4</f>
        <v>14620500</v>
      </c>
      <c r="F19" s="36">
        <f>+E19/E15</f>
        <v>0.4</v>
      </c>
    </row>
    <row r="20" spans="1:13" ht="15" x14ac:dyDescent="0.25">
      <c r="A20" s="73" t="s">
        <v>44</v>
      </c>
      <c r="B20" s="74"/>
      <c r="C20" s="1">
        <v>20621422</v>
      </c>
      <c r="D20" s="36">
        <f>+C20/C15</f>
        <v>0.52822974291519775</v>
      </c>
      <c r="E20" s="1">
        <f>+E15*0.6</f>
        <v>21930750</v>
      </c>
      <c r="F20" s="36">
        <f>+E20/E15</f>
        <v>0.6</v>
      </c>
    </row>
    <row r="24" spans="1:13" ht="18.75" x14ac:dyDescent="0.3">
      <c r="A24" s="84" t="s">
        <v>48</v>
      </c>
      <c r="B24" s="84"/>
      <c r="C24" s="84"/>
      <c r="D24" s="84"/>
      <c r="E24" s="84"/>
      <c r="F24" s="84"/>
    </row>
    <row r="25" spans="1:13" ht="15" x14ac:dyDescent="0.25">
      <c r="A25" s="80" t="s">
        <v>34</v>
      </c>
      <c r="B25" s="81"/>
      <c r="C25" s="81"/>
      <c r="D25" s="81"/>
      <c r="E25" s="81"/>
      <c r="F25" s="81"/>
    </row>
    <row r="26" spans="1:13" ht="30" x14ac:dyDescent="0.25">
      <c r="A26" s="31"/>
      <c r="B26" s="11"/>
      <c r="C26" s="45" t="s">
        <v>41</v>
      </c>
      <c r="D26" s="45" t="s">
        <v>22</v>
      </c>
      <c r="E26" s="45" t="s">
        <v>42</v>
      </c>
      <c r="F26" s="45" t="s">
        <v>22</v>
      </c>
    </row>
    <row r="27" spans="1:13" ht="15" x14ac:dyDescent="0.25">
      <c r="A27" s="31" t="s">
        <v>5</v>
      </c>
      <c r="B27" s="11"/>
      <c r="C27" s="46">
        <f>+C28/0.75</f>
        <v>15686549.333333334</v>
      </c>
      <c r="D27" s="29"/>
      <c r="E27" s="46">
        <f>+'8-104'!B5</f>
        <v>15700000</v>
      </c>
      <c r="F27" s="29"/>
      <c r="J27" s="43"/>
      <c r="K27" s="43"/>
      <c r="L27" s="43"/>
    </row>
    <row r="28" spans="1:13" ht="15" x14ac:dyDescent="0.25">
      <c r="A28" s="15" t="s">
        <v>7</v>
      </c>
      <c r="B28" s="16">
        <v>0.75</v>
      </c>
      <c r="C28" s="2">
        <v>11764912</v>
      </c>
      <c r="D28" s="2"/>
      <c r="E28" s="2">
        <f>+E27*B28</f>
        <v>11775000</v>
      </c>
      <c r="F28" s="2"/>
      <c r="J28" s="43"/>
      <c r="K28" s="43"/>
      <c r="L28" s="43"/>
      <c r="M28" s="47"/>
    </row>
    <row r="29" spans="1:13" ht="15" x14ac:dyDescent="0.25">
      <c r="A29" s="71" t="s">
        <v>6</v>
      </c>
      <c r="B29" s="72"/>
      <c r="C29" s="1">
        <f>+C28*0.03</f>
        <v>352947.36</v>
      </c>
      <c r="D29" s="37">
        <f>+C29/C28</f>
        <v>0.03</v>
      </c>
      <c r="E29" s="1">
        <f>+E28*0.03</f>
        <v>353250</v>
      </c>
      <c r="F29" s="37">
        <f>+E29/$E$28</f>
        <v>0.03</v>
      </c>
    </row>
    <row r="30" spans="1:13" ht="15" x14ac:dyDescent="0.25">
      <c r="A30" s="71" t="s">
        <v>4</v>
      </c>
      <c r="B30" s="72"/>
      <c r="C30" s="1">
        <f>+C28*(1-0.97)</f>
        <v>352947.36000000034</v>
      </c>
      <c r="D30" s="37">
        <f>+C30/C28</f>
        <v>3.000000000000003E-2</v>
      </c>
      <c r="E30" s="1">
        <f>+E28*(1-0.97)</f>
        <v>353250.00000000029</v>
      </c>
      <c r="F30" s="37">
        <f t="shared" ref="F30:F34" si="3">+E30/$E$28</f>
        <v>3.0000000000000023E-2</v>
      </c>
    </row>
    <row r="31" spans="1:13" ht="15" x14ac:dyDescent="0.25">
      <c r="A31" s="71" t="s">
        <v>11</v>
      </c>
      <c r="B31" s="72"/>
      <c r="C31" s="1">
        <f>+C28*0.0425</f>
        <v>500008.76</v>
      </c>
      <c r="D31" s="37">
        <f>+C31/C28</f>
        <v>4.2500000000000003E-2</v>
      </c>
      <c r="E31" s="1">
        <f>+E28*0.05</f>
        <v>588750</v>
      </c>
      <c r="F31" s="37">
        <f t="shared" si="3"/>
        <v>0.05</v>
      </c>
    </row>
    <row r="32" spans="1:13" ht="15" x14ac:dyDescent="0.25">
      <c r="A32" s="71" t="s">
        <v>10</v>
      </c>
      <c r="B32" s="72"/>
      <c r="C32" s="1">
        <f>+C28*0.0425</f>
        <v>500008.76</v>
      </c>
      <c r="D32" s="37">
        <f>+C32/C28</f>
        <v>4.2500000000000003E-2</v>
      </c>
      <c r="E32" s="1">
        <f>+E28*0.035</f>
        <v>412125.00000000006</v>
      </c>
      <c r="F32" s="37">
        <f t="shared" si="3"/>
        <v>3.5000000000000003E-2</v>
      </c>
    </row>
    <row r="33" spans="1:6" x14ac:dyDescent="0.3">
      <c r="A33" s="71" t="s">
        <v>13</v>
      </c>
      <c r="B33" s="72"/>
      <c r="C33" s="1"/>
      <c r="D33" s="1"/>
      <c r="E33" s="1"/>
      <c r="F33" s="1"/>
    </row>
    <row r="34" spans="1:6" x14ac:dyDescent="0.3">
      <c r="A34" s="71" t="s">
        <v>9</v>
      </c>
      <c r="B34" s="72"/>
      <c r="C34" s="1">
        <f>SUM(C29:C33)</f>
        <v>1705912.2400000005</v>
      </c>
      <c r="D34" s="37">
        <f>+C34/C28</f>
        <v>0.14500000000000005</v>
      </c>
      <c r="E34" s="1">
        <f>SUM(E29:E33)</f>
        <v>1707375.0000000002</v>
      </c>
      <c r="F34" s="37">
        <f t="shared" si="3"/>
        <v>0.14500000000000002</v>
      </c>
    </row>
    <row r="35" spans="1:6" x14ac:dyDescent="0.3">
      <c r="A35" s="58" t="s">
        <v>12</v>
      </c>
      <c r="B35" s="59"/>
      <c r="C35" s="22">
        <f>+C28-C34</f>
        <v>10058999.76</v>
      </c>
      <c r="D35" s="22"/>
      <c r="E35" s="22">
        <f>+E28-E34</f>
        <v>10067625</v>
      </c>
      <c r="F35" s="22"/>
    </row>
    <row r="36" spans="1:6" x14ac:dyDescent="0.3">
      <c r="A36" s="75" t="s">
        <v>20</v>
      </c>
      <c r="B36" s="65"/>
      <c r="C36" s="1">
        <f>+C34+C35</f>
        <v>11764912</v>
      </c>
      <c r="D36" s="38">
        <f>+C36/C27</f>
        <v>0.75</v>
      </c>
      <c r="E36" s="1">
        <f t="shared" ref="E36" si="4">+E34+E35</f>
        <v>11775000</v>
      </c>
      <c r="F36" s="38">
        <f>+E36/E27</f>
        <v>0.75</v>
      </c>
    </row>
    <row r="37" spans="1:6" x14ac:dyDescent="0.3">
      <c r="A37" s="15" t="s">
        <v>8</v>
      </c>
      <c r="B37" s="16">
        <v>0.25</v>
      </c>
      <c r="C37" s="1">
        <f>+C27*B37</f>
        <v>3921637.3333333335</v>
      </c>
      <c r="D37" s="38">
        <f>+C37/C27</f>
        <v>0.25</v>
      </c>
      <c r="E37" s="1">
        <f>+B37*E27</f>
        <v>3925000</v>
      </c>
      <c r="F37" s="38">
        <f>+E37/E27</f>
        <v>0.25</v>
      </c>
    </row>
    <row r="38" spans="1:6" x14ac:dyDescent="0.3">
      <c r="A38" s="75" t="s">
        <v>21</v>
      </c>
      <c r="B38" s="65"/>
      <c r="C38" s="1">
        <f>+C36+C37</f>
        <v>15686549.333333334</v>
      </c>
      <c r="D38" s="36">
        <f>+C38/C27</f>
        <v>1</v>
      </c>
      <c r="E38" s="1">
        <f t="shared" ref="E38" si="5">+E36+E37</f>
        <v>15700000</v>
      </c>
      <c r="F38" s="36">
        <f>+E38/E27</f>
        <v>1</v>
      </c>
    </row>
    <row r="39" spans="1:6" x14ac:dyDescent="0.3">
      <c r="A39" s="34" t="s">
        <v>43</v>
      </c>
      <c r="B39" s="30"/>
      <c r="C39" s="1">
        <v>5294459</v>
      </c>
      <c r="D39" s="36">
        <f>+C39/C35</f>
        <v>0.52634050366057472</v>
      </c>
      <c r="E39" s="1">
        <f>+E35*0.6</f>
        <v>6040575</v>
      </c>
      <c r="F39" s="36">
        <f>+E39/E35</f>
        <v>0.6</v>
      </c>
    </row>
    <row r="40" spans="1:6" x14ac:dyDescent="0.3">
      <c r="A40" s="73" t="s">
        <v>44</v>
      </c>
      <c r="B40" s="74"/>
      <c r="C40" s="1">
        <v>4752776</v>
      </c>
      <c r="D40" s="36">
        <f>+C40/C35</f>
        <v>0.47248992080699681</v>
      </c>
      <c r="E40" s="1">
        <f>+E35*0.4</f>
        <v>4027050</v>
      </c>
      <c r="F40" s="36">
        <f>+E40/E35</f>
        <v>0.4</v>
      </c>
    </row>
  </sheetData>
  <mergeCells count="26">
    <mergeCell ref="A16:B16"/>
    <mergeCell ref="A18:B18"/>
    <mergeCell ref="A20:B20"/>
    <mergeCell ref="A25:F25"/>
    <mergeCell ref="A5:F5"/>
    <mergeCell ref="A9:B9"/>
    <mergeCell ref="A10:B10"/>
    <mergeCell ref="A11:B11"/>
    <mergeCell ref="A12:B12"/>
    <mergeCell ref="A13:B13"/>
    <mergeCell ref="A35:B35"/>
    <mergeCell ref="A36:B36"/>
    <mergeCell ref="A38:B38"/>
    <mergeCell ref="A40:B40"/>
    <mergeCell ref="A1:F1"/>
    <mergeCell ref="A4:F4"/>
    <mergeCell ref="A2:F2"/>
    <mergeCell ref="A24:F24"/>
    <mergeCell ref="A29:B29"/>
    <mergeCell ref="A30:B30"/>
    <mergeCell ref="A31:B31"/>
    <mergeCell ref="A32:B32"/>
    <mergeCell ref="A33:B33"/>
    <mergeCell ref="A34:B34"/>
    <mergeCell ref="A14:B14"/>
    <mergeCell ref="A15:B15"/>
  </mergeCell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8-103</vt:lpstr>
      <vt:lpstr>8-104</vt:lpstr>
      <vt:lpstr>Comparison PY9-PY10</vt:lpstr>
      <vt:lpstr>'8-103'!Print_Area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cp:lastPrinted>2016-01-22T14:37:58Z</cp:lastPrinted>
  <dcterms:created xsi:type="dcterms:W3CDTF">2015-10-08T20:51:30Z</dcterms:created>
  <dcterms:modified xsi:type="dcterms:W3CDTF">2016-01-22T15:59:00Z</dcterms:modified>
</cp:coreProperties>
</file>