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20" windowWidth="24036" windowHeight="5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3" i="1" l="1"/>
  <c r="AA12" i="1"/>
  <c r="AA11" i="1"/>
  <c r="W13" i="1"/>
  <c r="W12" i="1"/>
  <c r="W11" i="1"/>
  <c r="S13" i="1"/>
  <c r="S12" i="1"/>
  <c r="S11" i="1"/>
  <c r="P19" i="1"/>
  <c r="O13" i="1"/>
  <c r="O12" i="1"/>
  <c r="O11" i="1"/>
  <c r="K13" i="1"/>
  <c r="K12" i="1"/>
  <c r="K11" i="1"/>
  <c r="G12" i="1"/>
  <c r="G13" i="1"/>
  <c r="G11" i="1"/>
  <c r="AA9" i="1"/>
  <c r="AA8" i="1"/>
  <c r="AA7" i="1"/>
  <c r="AA6" i="1"/>
  <c r="AA5" i="1"/>
  <c r="W9" i="1"/>
  <c r="W8" i="1"/>
  <c r="W7" i="1"/>
  <c r="W5" i="1"/>
  <c r="W6" i="1"/>
  <c r="S9" i="1"/>
  <c r="S8" i="1"/>
  <c r="S7" i="1"/>
  <c r="S5" i="1"/>
  <c r="S6" i="1"/>
  <c r="O9" i="1"/>
  <c r="O8" i="1"/>
  <c r="O7" i="1"/>
  <c r="O6" i="1"/>
  <c r="O5" i="1"/>
  <c r="K9" i="1"/>
  <c r="K8" i="1"/>
  <c r="K7" i="1"/>
  <c r="K5" i="1"/>
  <c r="K6" i="1"/>
  <c r="G9" i="1"/>
  <c r="G8" i="1"/>
  <c r="G7" i="1"/>
  <c r="G5" i="1"/>
  <c r="G6" i="1"/>
  <c r="M19" i="1" l="1"/>
  <c r="M14" i="1"/>
  <c r="M27" i="1" s="1"/>
  <c r="Y18" i="1"/>
  <c r="Y27" i="1" s="1"/>
  <c r="U18" i="1"/>
  <c r="U27" i="1" s="1"/>
  <c r="Q18" i="1"/>
  <c r="M18" i="1"/>
  <c r="I18" i="1"/>
  <c r="I27" i="1" s="1"/>
  <c r="Q27" i="1"/>
  <c r="E27" i="1"/>
  <c r="Y14" i="1"/>
  <c r="U14" i="1"/>
  <c r="Q14" i="1"/>
  <c r="I14" i="1"/>
  <c r="E14" i="1"/>
  <c r="Y10" i="1"/>
  <c r="Q10" i="1"/>
  <c r="U10" i="1"/>
  <c r="M10" i="1"/>
  <c r="I10" i="1"/>
  <c r="E10" i="1"/>
  <c r="E18" i="1"/>
  <c r="AC18" i="1"/>
  <c r="AC17" i="1"/>
  <c r="AC16" i="1"/>
  <c r="AC15" i="1"/>
  <c r="AE25" i="1"/>
  <c r="AC25" i="1"/>
  <c r="Y25" i="1"/>
  <c r="U25" i="1"/>
  <c r="Q25" i="1"/>
  <c r="M25" i="1"/>
  <c r="I25" i="1"/>
  <c r="E25" i="1"/>
  <c r="AE27" i="1" l="1"/>
  <c r="AC27" i="1"/>
  <c r="G14" i="1" l="1"/>
  <c r="G10" i="1"/>
  <c r="G19" i="1" l="1"/>
  <c r="W14" i="1"/>
  <c r="W10" i="1"/>
  <c r="AA14" i="1"/>
  <c r="AA10" i="1"/>
  <c r="AA19" i="1"/>
  <c r="AB6" i="1" s="1"/>
  <c r="W19" i="1"/>
  <c r="X8" i="1" s="1"/>
  <c r="S19" i="1"/>
  <c r="T7" i="1" s="1"/>
  <c r="S14" i="1"/>
  <c r="S10" i="1"/>
  <c r="O19" i="1"/>
  <c r="P6" i="1" s="1"/>
  <c r="O14" i="1"/>
  <c r="O10" i="1"/>
  <c r="K14" i="1"/>
  <c r="K10" i="1"/>
  <c r="K19" i="1"/>
  <c r="L9" i="1" s="1"/>
  <c r="Z4" i="1"/>
  <c r="Y19" i="1"/>
  <c r="Z5" i="1" s="1"/>
  <c r="V4" i="1"/>
  <c r="U19" i="1"/>
  <c r="V5" i="1" s="1"/>
  <c r="Q19" i="1"/>
  <c r="R5" i="1" s="1"/>
  <c r="I19" i="1"/>
  <c r="E19" i="1"/>
  <c r="AF14" i="1" l="1"/>
  <c r="AB14" i="1"/>
  <c r="AF10" i="1"/>
  <c r="H13" i="1"/>
  <c r="AD19" i="1"/>
  <c r="Z19" i="1"/>
  <c r="Z18" i="1"/>
  <c r="Z16" i="1"/>
  <c r="Z14" i="1"/>
  <c r="Z12" i="1"/>
  <c r="Z10" i="1"/>
  <c r="Z8" i="1"/>
  <c r="Z6" i="1"/>
  <c r="Z17" i="1"/>
  <c r="Z15" i="1"/>
  <c r="Z13" i="1"/>
  <c r="Z11" i="1"/>
  <c r="Z9" i="1"/>
  <c r="Z7" i="1"/>
  <c r="V18" i="1"/>
  <c r="V16" i="1"/>
  <c r="V14" i="1"/>
  <c r="V12" i="1"/>
  <c r="V10" i="1"/>
  <c r="V8" i="1"/>
  <c r="V6" i="1"/>
  <c r="V19" i="1" s="1"/>
  <c r="V17" i="1"/>
  <c r="V15" i="1"/>
  <c r="V13" i="1"/>
  <c r="V11" i="1"/>
  <c r="V9" i="1"/>
  <c r="V7" i="1"/>
  <c r="R15" i="1"/>
  <c r="R11" i="1"/>
  <c r="R18" i="1"/>
  <c r="R16" i="1"/>
  <c r="R14" i="1"/>
  <c r="R12" i="1"/>
  <c r="R10" i="1"/>
  <c r="R8" i="1"/>
  <c r="R6" i="1"/>
  <c r="R17" i="1"/>
  <c r="R13" i="1"/>
  <c r="R9" i="1"/>
  <c r="R7" i="1"/>
  <c r="X14" i="1"/>
  <c r="AB13" i="1"/>
  <c r="AB9" i="1"/>
  <c r="AB12" i="1"/>
  <c r="AB8" i="1"/>
  <c r="AB11" i="1"/>
  <c r="AB7" i="1"/>
  <c r="AB10" i="1"/>
  <c r="X11" i="1"/>
  <c r="X7" i="1"/>
  <c r="X10" i="1"/>
  <c r="X6" i="1"/>
  <c r="X13" i="1"/>
  <c r="X9" i="1"/>
  <c r="X5" i="1"/>
  <c r="X12" i="1"/>
  <c r="T10" i="1"/>
  <c r="T19" i="1" s="1"/>
  <c r="T14" i="1"/>
  <c r="T6" i="1"/>
  <c r="T13" i="1"/>
  <c r="T9" i="1"/>
  <c r="T12" i="1"/>
  <c r="T8" i="1"/>
  <c r="T11" i="1"/>
  <c r="P14" i="1"/>
  <c r="P13" i="1"/>
  <c r="P9" i="1"/>
  <c r="P12" i="1"/>
  <c r="P11" i="1"/>
  <c r="P7" i="1"/>
  <c r="P8" i="1"/>
  <c r="P10" i="1"/>
  <c r="L10" i="1"/>
  <c r="L19" i="1" s="1"/>
  <c r="L12" i="1"/>
  <c r="L8" i="1"/>
  <c r="L11" i="1"/>
  <c r="L7" i="1"/>
  <c r="L14" i="1"/>
  <c r="L6" i="1"/>
  <c r="L13" i="1"/>
  <c r="R4" i="1"/>
  <c r="H1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N18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4" i="1"/>
  <c r="N19" i="1" s="1"/>
  <c r="AC7" i="1"/>
  <c r="AF13" i="1"/>
  <c r="AF8" i="1"/>
  <c r="AE8" i="1"/>
  <c r="AD8" i="1"/>
  <c r="AC8" i="1"/>
  <c r="AC4" i="1"/>
  <c r="AE5" i="1"/>
  <c r="AC5" i="1"/>
  <c r="AB5" i="1"/>
  <c r="T5" i="1"/>
  <c r="P5" i="1"/>
  <c r="L5" i="1"/>
  <c r="AB19" i="1" l="1"/>
  <c r="X19" i="1"/>
  <c r="R19" i="1"/>
  <c r="H14" i="1"/>
  <c r="H19" i="1" s="1"/>
  <c r="H6" i="1"/>
  <c r="H9" i="1"/>
  <c r="H12" i="1"/>
  <c r="H8" i="1"/>
  <c r="H11" i="1"/>
  <c r="H7" i="1"/>
  <c r="H5" i="1"/>
  <c r="F16" i="1"/>
  <c r="F17" i="1"/>
  <c r="F18" i="1"/>
  <c r="F15" i="1"/>
  <c r="F11" i="1"/>
  <c r="AE13" i="1"/>
  <c r="F4" i="1"/>
  <c r="AC13" i="1"/>
  <c r="F13" i="1"/>
  <c r="F12" i="1"/>
  <c r="F14" i="1"/>
  <c r="F6" i="1"/>
  <c r="F9" i="1"/>
  <c r="F5" i="1"/>
  <c r="F8" i="1"/>
  <c r="F7" i="1"/>
  <c r="F19" i="1" l="1"/>
  <c r="F10" i="1"/>
  <c r="J4" i="1" l="1"/>
  <c r="J19" i="1" s="1"/>
  <c r="AF12" i="1" l="1"/>
  <c r="AD12" i="1"/>
  <c r="AE6" i="1"/>
  <c r="AC6" i="1"/>
  <c r="AE4" i="1"/>
  <c r="AE11" i="1"/>
  <c r="AC11" i="1"/>
  <c r="AC9" i="1"/>
  <c r="AE9" i="1"/>
  <c r="AF9" i="1"/>
  <c r="AC10" i="1" l="1"/>
  <c r="AD13" i="1"/>
  <c r="AE10" i="1"/>
  <c r="AE12" i="1" l="1"/>
  <c r="AC12" i="1"/>
  <c r="AE14" i="1" l="1"/>
  <c r="AE19" i="1"/>
  <c r="AC14" i="1"/>
  <c r="AC19" i="1"/>
  <c r="AD5" i="1"/>
  <c r="AF11" i="1"/>
  <c r="AD11" i="1"/>
  <c r="AD14" i="1" s="1"/>
  <c r="AF5" i="1" l="1"/>
  <c r="AD9" i="1"/>
  <c r="AF7" i="1"/>
  <c r="AD7" i="1"/>
  <c r="AF6" i="1"/>
  <c r="AD6" i="1"/>
  <c r="AF19" i="1" l="1"/>
  <c r="AD10" i="1"/>
</calcChain>
</file>

<file path=xl/sharedStrings.xml><?xml version="1.0" encoding="utf-8"?>
<sst xmlns="http://schemas.openxmlformats.org/spreadsheetml/2006/main" count="125" uniqueCount="39">
  <si>
    <t>EPY10</t>
  </si>
  <si>
    <t>EPY11</t>
  </si>
  <si>
    <t>EPY12</t>
  </si>
  <si>
    <t>GPY7</t>
  </si>
  <si>
    <t>GPY8</t>
  </si>
  <si>
    <t>GPY9</t>
  </si>
  <si>
    <t>Three-Year E</t>
  </si>
  <si>
    <t>Three-Year G</t>
  </si>
  <si>
    <t>Program</t>
  </si>
  <si>
    <t>TRC</t>
  </si>
  <si>
    <t>TRC w/NEBs</t>
  </si>
  <si>
    <t>Budget ($M)</t>
  </si>
  <si>
    <t>Savings (MWh)</t>
  </si>
  <si>
    <t>Budget</t>
  </si>
  <si>
    <t>Savings</t>
  </si>
  <si>
    <t>Public</t>
  </si>
  <si>
    <t>Assessments</t>
  </si>
  <si>
    <t>Direct/Self Install</t>
  </si>
  <si>
    <t>Standard &amp; Custom</t>
  </si>
  <si>
    <t>New Construction</t>
  </si>
  <si>
    <t>CHP</t>
  </si>
  <si>
    <t>Retrocommissioning</t>
  </si>
  <si>
    <t>TOTAL</t>
  </si>
  <si>
    <t>Low Income</t>
  </si>
  <si>
    <t>Residential Retrofit</t>
  </si>
  <si>
    <t>PHA</t>
  </si>
  <si>
    <t>Market Transformation</t>
  </si>
  <si>
    <t>Data &amp; Information</t>
  </si>
  <si>
    <t>Training &amp; Education</t>
  </si>
  <si>
    <t>Emerging Tech</t>
  </si>
  <si>
    <t>PROGRAM TOTAL</t>
  </si>
  <si>
    <t>Administrative</t>
  </si>
  <si>
    <t>EM&amp;V</t>
  </si>
  <si>
    <t>Marketing</t>
  </si>
  <si>
    <t>Portfolio Adminstrative</t>
  </si>
  <si>
    <t>PORTFOLIO TOTAL</t>
  </si>
  <si>
    <t>Savings (mtherms)</t>
  </si>
  <si>
    <t>-</t>
  </si>
  <si>
    <t xml:space="preserve">Preliminary - Confidential Draft Document Subject to Change - For Illustrative and Discussion Purposes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</si>
</sst>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4" xfId="0" applyBorder="1"/>
    <xf numFmtId="0" fontId="1" fillId="0" borderId="4" xfId="0" applyFont="1" applyBorder="1"/>
    <xf numFmtId="0" fontId="1" fillId="0" borderId="0" xfId="0" applyFont="1"/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2" fillId="0" borderId="0" xfId="0" applyFont="1"/>
    <xf numFmtId="0" fontId="1" fillId="0" borderId="4" xfId="0" applyFont="1" applyFill="1" applyBorder="1"/>
    <xf numFmtId="0" fontId="0" fillId="0" borderId="0" xfId="0" applyFill="1"/>
    <xf numFmtId="0" fontId="1" fillId="2" borderId="4" xfId="0" applyFont="1" applyFill="1" applyBorder="1"/>
    <xf numFmtId="0" fontId="0" fillId="2" borderId="4" xfId="0" applyFill="1" applyBorder="1"/>
    <xf numFmtId="164" fontId="0" fillId="2" borderId="4" xfId="0" applyNumberFormat="1" applyFill="1" applyBorder="1"/>
    <xf numFmtId="10" fontId="0" fillId="2" borderId="4" xfId="0" applyNumberFormat="1" applyFill="1" applyBorder="1"/>
    <xf numFmtId="0" fontId="0" fillId="2" borderId="0" xfId="0" applyFill="1"/>
    <xf numFmtId="0" fontId="1" fillId="3" borderId="4" xfId="0" applyFont="1" applyFill="1" applyBorder="1"/>
    <xf numFmtId="0" fontId="0" fillId="3" borderId="4" xfId="0" applyFill="1" applyBorder="1" applyAlignment="1">
      <alignment horizontal="right"/>
    </xf>
    <xf numFmtId="164" fontId="0" fillId="3" borderId="4" xfId="0" applyNumberFormat="1" applyFill="1" applyBorder="1"/>
    <xf numFmtId="10" fontId="0" fillId="3" borderId="4" xfId="0" applyNumberFormat="1" applyFill="1" applyBorder="1"/>
    <xf numFmtId="2" fontId="0" fillId="3" borderId="4" xfId="0" applyNumberFormat="1" applyFill="1" applyBorder="1"/>
    <xf numFmtId="0" fontId="0" fillId="3" borderId="0" xfId="0" applyFill="1"/>
    <xf numFmtId="0" fontId="0" fillId="3" borderId="4" xfId="0" applyFill="1" applyBorder="1"/>
    <xf numFmtId="0" fontId="1" fillId="4" borderId="6" xfId="0" applyFont="1" applyFill="1" applyBorder="1" applyAlignment="1">
      <alignment vertical="top" wrapText="1"/>
    </xf>
    <xf numFmtId="0" fontId="1" fillId="4" borderId="4" xfId="0" applyFont="1" applyFill="1" applyBorder="1"/>
    <xf numFmtId="0" fontId="0" fillId="4" borderId="4" xfId="0" applyFill="1" applyBorder="1"/>
    <xf numFmtId="164" fontId="0" fillId="4" borderId="4" xfId="0" applyNumberFormat="1" applyFill="1" applyBorder="1"/>
    <xf numFmtId="10" fontId="0" fillId="4" borderId="4" xfId="0" applyNumberFormat="1" applyFill="1" applyBorder="1"/>
    <xf numFmtId="2" fontId="0" fillId="4" borderId="4" xfId="0" applyNumberFormat="1" applyFill="1" applyBorder="1"/>
    <xf numFmtId="0" fontId="0" fillId="4" borderId="0" xfId="0" applyFill="1"/>
    <xf numFmtId="0" fontId="1" fillId="4" borderId="2" xfId="0" applyFont="1" applyFill="1" applyBorder="1" applyAlignment="1">
      <alignment vertical="top" wrapText="1"/>
    </xf>
    <xf numFmtId="0" fontId="0" fillId="4" borderId="4" xfId="0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0" fontId="1" fillId="4" borderId="3" xfId="0" applyFont="1" applyFill="1" applyBorder="1" applyAlignment="1">
      <alignment vertical="top" wrapText="1"/>
    </xf>
    <xf numFmtId="164" fontId="1" fillId="0" borderId="4" xfId="0" applyNumberFormat="1" applyFont="1" applyFill="1" applyBorder="1"/>
    <xf numFmtId="10" fontId="1" fillId="0" borderId="4" xfId="0" applyNumberFormat="1" applyFont="1" applyFill="1" applyBorder="1"/>
    <xf numFmtId="2" fontId="1" fillId="0" borderId="4" xfId="0" applyNumberFormat="1" applyFont="1" applyFill="1" applyBorder="1"/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readingOrder="1"/>
    </xf>
    <xf numFmtId="0" fontId="1" fillId="0" borderId="4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zoomScale="90" zoomScaleNormal="90" workbookViewId="0">
      <selection activeCell="P7" sqref="P7"/>
    </sheetView>
  </sheetViews>
  <sheetFormatPr defaultRowHeight="14.4" x14ac:dyDescent="0.3"/>
  <cols>
    <col min="1" max="1" width="22" customWidth="1"/>
    <col min="2" max="2" width="20.6640625" customWidth="1"/>
    <col min="3" max="4" width="12" customWidth="1"/>
    <col min="6" max="6" width="11.88671875" bestFit="1" customWidth="1"/>
    <col min="7" max="7" width="10.5546875" bestFit="1" customWidth="1"/>
    <col min="8" max="8" width="10.109375" bestFit="1" customWidth="1"/>
    <col min="11" max="11" width="9.5546875" bestFit="1" customWidth="1"/>
    <col min="12" max="12" width="10.109375" bestFit="1" customWidth="1"/>
    <col min="15" max="15" width="9.5546875" bestFit="1" customWidth="1"/>
    <col min="16" max="16" width="10.109375" bestFit="1" customWidth="1"/>
    <col min="30" max="30" width="9.5546875" bestFit="1" customWidth="1"/>
  </cols>
  <sheetData>
    <row r="1" spans="1:32" s="46" customFormat="1" ht="15" x14ac:dyDescent="0.25">
      <c r="A1" s="46" t="s">
        <v>38</v>
      </c>
    </row>
    <row r="2" spans="1:32" x14ac:dyDescent="0.3">
      <c r="A2" s="54"/>
      <c r="B2" s="3"/>
      <c r="C2" s="3"/>
      <c r="D2" s="3"/>
      <c r="E2" s="44" t="s">
        <v>0</v>
      </c>
      <c r="F2" s="44"/>
      <c r="G2" s="44"/>
      <c r="H2" s="44"/>
      <c r="I2" s="44" t="s">
        <v>1</v>
      </c>
      <c r="J2" s="44"/>
      <c r="K2" s="44"/>
      <c r="L2" s="44"/>
      <c r="M2" s="44" t="s">
        <v>2</v>
      </c>
      <c r="N2" s="44"/>
      <c r="O2" s="44"/>
      <c r="P2" s="44"/>
      <c r="Q2" s="44" t="s">
        <v>3</v>
      </c>
      <c r="R2" s="44"/>
      <c r="S2" s="44"/>
      <c r="T2" s="44"/>
      <c r="U2" s="44" t="s">
        <v>4</v>
      </c>
      <c r="V2" s="44"/>
      <c r="W2" s="44"/>
      <c r="X2" s="44"/>
      <c r="Y2" s="44" t="s">
        <v>5</v>
      </c>
      <c r="Z2" s="44"/>
      <c r="AA2" s="44"/>
      <c r="AB2" s="44"/>
      <c r="AC2" s="44" t="s">
        <v>6</v>
      </c>
      <c r="AD2" s="44"/>
      <c r="AE2" s="44" t="s">
        <v>7</v>
      </c>
      <c r="AF2" s="44"/>
    </row>
    <row r="3" spans="1:32" x14ac:dyDescent="0.3">
      <c r="A3" s="55"/>
      <c r="B3" s="3" t="s">
        <v>8</v>
      </c>
      <c r="C3" s="3" t="s">
        <v>9</v>
      </c>
      <c r="D3" s="3" t="s">
        <v>10</v>
      </c>
      <c r="E3" s="44" t="s">
        <v>11</v>
      </c>
      <c r="F3" s="44"/>
      <c r="G3" s="49" t="s">
        <v>12</v>
      </c>
      <c r="H3" s="50"/>
      <c r="I3" s="44" t="s">
        <v>11</v>
      </c>
      <c r="J3" s="44"/>
      <c r="K3" s="45" t="s">
        <v>12</v>
      </c>
      <c r="L3" s="45"/>
      <c r="M3" s="44" t="s">
        <v>11</v>
      </c>
      <c r="N3" s="44"/>
      <c r="O3" s="45" t="s">
        <v>12</v>
      </c>
      <c r="P3" s="45"/>
      <c r="Q3" s="44" t="s">
        <v>11</v>
      </c>
      <c r="R3" s="44"/>
      <c r="S3" s="45" t="s">
        <v>36</v>
      </c>
      <c r="T3" s="45"/>
      <c r="U3" s="44" t="s">
        <v>11</v>
      </c>
      <c r="V3" s="44"/>
      <c r="W3" s="45" t="s">
        <v>36</v>
      </c>
      <c r="X3" s="45"/>
      <c r="Y3" s="44" t="s">
        <v>11</v>
      </c>
      <c r="Z3" s="44"/>
      <c r="AA3" s="45" t="s">
        <v>36</v>
      </c>
      <c r="AB3" s="45"/>
      <c r="AC3" s="6" t="s">
        <v>13</v>
      </c>
      <c r="AD3" s="6" t="s">
        <v>14</v>
      </c>
      <c r="AE3" s="6" t="s">
        <v>13</v>
      </c>
      <c r="AF3" s="6" t="s">
        <v>14</v>
      </c>
    </row>
    <row r="4" spans="1:32" s="34" customFormat="1" ht="15" x14ac:dyDescent="0.25">
      <c r="A4" s="28" t="s">
        <v>15</v>
      </c>
      <c r="B4" s="29" t="s">
        <v>16</v>
      </c>
      <c r="C4" s="30"/>
      <c r="D4" s="30"/>
      <c r="E4" s="31">
        <v>2.14</v>
      </c>
      <c r="F4" s="32">
        <f t="shared" ref="F4:F9" si="0">E4/$E$19</f>
        <v>4.4505194265692889E-2</v>
      </c>
      <c r="G4" s="33"/>
      <c r="H4" s="32"/>
      <c r="I4" s="31">
        <v>2.14</v>
      </c>
      <c r="J4" s="32">
        <f>I4/$I$19</f>
        <v>4.4200561078617619E-2</v>
      </c>
      <c r="K4" s="33"/>
      <c r="L4" s="32"/>
      <c r="M4" s="31">
        <v>2.14</v>
      </c>
      <c r="N4" s="32">
        <f>M4/$M$19</f>
        <v>4.4002975341370043E-2</v>
      </c>
      <c r="O4" s="33"/>
      <c r="P4" s="32"/>
      <c r="Q4" s="31">
        <v>0.72894999999999999</v>
      </c>
      <c r="R4" s="32">
        <f>Q4/$Q$19</f>
        <v>3.6765621896584576E-2</v>
      </c>
      <c r="S4" s="33"/>
      <c r="T4" s="32"/>
      <c r="U4" s="31">
        <v>0.72894999999999999</v>
      </c>
      <c r="V4" s="32">
        <f>U4/$U$19</f>
        <v>3.6375393058340456E-2</v>
      </c>
      <c r="W4" s="33"/>
      <c r="X4" s="32"/>
      <c r="Y4" s="31">
        <v>0.72894999999999999</v>
      </c>
      <c r="Z4" s="32">
        <f>Y4/$Y$19</f>
        <v>3.5877635778234628E-2</v>
      </c>
      <c r="AA4" s="33"/>
      <c r="AB4" s="32"/>
      <c r="AC4" s="31">
        <f t="shared" ref="AC4:AC9" si="1">E4+I4+M4</f>
        <v>6.42</v>
      </c>
      <c r="AD4" s="33"/>
      <c r="AE4" s="31">
        <f>Q4+U4+Y4</f>
        <v>2.1868499999999997</v>
      </c>
      <c r="AF4" s="33"/>
    </row>
    <row r="5" spans="1:32" s="34" customFormat="1" ht="15" x14ac:dyDescent="0.25">
      <c r="A5" s="35"/>
      <c r="B5" s="29" t="s">
        <v>17</v>
      </c>
      <c r="C5" s="36">
        <v>3.63</v>
      </c>
      <c r="D5" s="36">
        <v>3.99</v>
      </c>
      <c r="E5" s="31">
        <v>1.605</v>
      </c>
      <c r="F5" s="32">
        <f t="shared" si="0"/>
        <v>3.3378895699269662E-2</v>
      </c>
      <c r="G5" s="33">
        <f>7339/1000</f>
        <v>7.3390000000000004</v>
      </c>
      <c r="H5" s="32">
        <f t="shared" ref="H5:H14" si="2">G5/$G$19</f>
        <v>4.2742907729133792E-2</v>
      </c>
      <c r="I5" s="31">
        <v>1.605</v>
      </c>
      <c r="J5" s="32">
        <f t="shared" ref="J5:J18" si="3">I5/$I$19</f>
        <v>3.3150420808963216E-2</v>
      </c>
      <c r="K5" s="33">
        <f>7339/1000</f>
        <v>7.3390000000000004</v>
      </c>
      <c r="L5" s="32">
        <f>K5/$K$19</f>
        <v>4.4595005164975388E-2</v>
      </c>
      <c r="M5" s="31">
        <v>1.605</v>
      </c>
      <c r="N5" s="32">
        <f t="shared" ref="N5:N17" si="4">M5/$M$19</f>
        <v>3.3002231506027532E-2</v>
      </c>
      <c r="O5" s="33">
        <f>7361/1000</f>
        <v>7.3609999999999998</v>
      </c>
      <c r="P5" s="32">
        <f>O5/$O$19</f>
        <v>4.2311163226477669E-2</v>
      </c>
      <c r="Q5" s="31">
        <v>0.47639999999999999</v>
      </c>
      <c r="R5" s="32">
        <f t="shared" ref="R5:R18" si="5">Q5/$Q$19</f>
        <v>2.4027906264535142E-2</v>
      </c>
      <c r="S5" s="33">
        <f>620.431/1000</f>
        <v>0.62043100000000007</v>
      </c>
      <c r="T5" s="32">
        <f>S5/$S$19</f>
        <v>7.4453438385357937E-2</v>
      </c>
      <c r="U5" s="31">
        <v>0.47869999999999996</v>
      </c>
      <c r="V5" s="32">
        <f t="shared" ref="V5:V18" si="6">U5/$U$19</f>
        <v>2.3887647516328384E-2</v>
      </c>
      <c r="W5" s="33">
        <f>620.828/1000</f>
        <v>0.62082799999999994</v>
      </c>
      <c r="X5" s="32">
        <f>W5/$W$19</f>
        <v>7.3154878673015247E-2</v>
      </c>
      <c r="Y5" s="31">
        <v>0.47729999999999995</v>
      </c>
      <c r="Z5" s="32">
        <f t="shared" ref="Z5:Z18" si="7">Y5/$Y$19</f>
        <v>2.3491865775363722E-2</v>
      </c>
      <c r="AA5" s="33">
        <f>621.333/1000</f>
        <v>0.62133300000000002</v>
      </c>
      <c r="AB5" s="32">
        <f>AA5/$AA$19</f>
        <v>7.1669607852071091E-2</v>
      </c>
      <c r="AC5" s="31">
        <f t="shared" si="1"/>
        <v>4.8149999999999995</v>
      </c>
      <c r="AD5" s="33">
        <f>K5+O5+G5</f>
        <v>22.039000000000001</v>
      </c>
      <c r="AE5" s="31">
        <f>Q5+U5+Y5</f>
        <v>1.4323999999999999</v>
      </c>
      <c r="AF5" s="33">
        <f t="shared" ref="AF5:AF14" si="8">S5+W5+AA5</f>
        <v>1.8625919999999998</v>
      </c>
    </row>
    <row r="6" spans="1:32" s="34" customFormat="1" ht="15" x14ac:dyDescent="0.25">
      <c r="A6" s="35"/>
      <c r="B6" s="29" t="s">
        <v>18</v>
      </c>
      <c r="C6" s="36">
        <v>3.19</v>
      </c>
      <c r="D6" s="36">
        <v>3.51</v>
      </c>
      <c r="E6" s="31">
        <v>20.974</v>
      </c>
      <c r="F6" s="32">
        <f t="shared" si="0"/>
        <v>0.43619249744329092</v>
      </c>
      <c r="G6" s="33">
        <f>111588/1000</f>
        <v>111.58799999999999</v>
      </c>
      <c r="H6" s="32">
        <f t="shared" si="2"/>
        <v>0.64989720502501436</v>
      </c>
      <c r="I6" s="31">
        <v>20.385000000000002</v>
      </c>
      <c r="J6" s="32">
        <f t="shared" si="3"/>
        <v>0.42104132597552346</v>
      </c>
      <c r="K6" s="33">
        <f>97437/1000</f>
        <v>97.436999999999998</v>
      </c>
      <c r="L6" s="32">
        <f t="shared" ref="L6:L14" si="9">K6/$K$19</f>
        <v>0.59207024366530947</v>
      </c>
      <c r="M6" s="31">
        <v>19.923999999999999</v>
      </c>
      <c r="N6" s="32">
        <f t="shared" si="4"/>
        <v>0.40968003771096106</v>
      </c>
      <c r="O6" s="33">
        <f>95376/1000</f>
        <v>95.376000000000005</v>
      </c>
      <c r="P6" s="32">
        <f t="shared" ref="P6:P14" si="10">O6/$O$19</f>
        <v>0.54822300012070835</v>
      </c>
      <c r="Q6" s="31">
        <v>8.0242229999999992</v>
      </c>
      <c r="R6" s="32">
        <f t="shared" si="5"/>
        <v>0.40471301026391049</v>
      </c>
      <c r="S6" s="33">
        <f>5007.591/1000</f>
        <v>5.0075910000000006</v>
      </c>
      <c r="T6" s="32">
        <f t="shared" ref="T6:T14" si="11">S6/$S$19</f>
        <v>0.60092478934413807</v>
      </c>
      <c r="U6" s="31">
        <v>8.0082729999999991</v>
      </c>
      <c r="V6" s="32">
        <f t="shared" si="6"/>
        <v>0.39962148033952294</v>
      </c>
      <c r="W6" s="33">
        <f>5028.348/1000</f>
        <v>5.0283480000000003</v>
      </c>
      <c r="X6" s="32">
        <f t="shared" ref="X6:X14" si="12">W6/$W$19</f>
        <v>0.59251223827807209</v>
      </c>
      <c r="Y6" s="31">
        <v>8.0234229999999993</v>
      </c>
      <c r="Z6" s="32">
        <f t="shared" si="7"/>
        <v>0.3948987558662605</v>
      </c>
      <c r="AA6" s="33">
        <f>4996.992/1000</f>
        <v>4.9969920000000005</v>
      </c>
      <c r="AB6" s="32">
        <f t="shared" ref="AB6:AB14" si="13">AA6/$AA$19</f>
        <v>0.57639374873044957</v>
      </c>
      <c r="AC6" s="31">
        <f t="shared" si="1"/>
        <v>61.283000000000001</v>
      </c>
      <c r="AD6" s="33">
        <f>G6+K6+O6</f>
        <v>304.40099999999995</v>
      </c>
      <c r="AE6" s="31">
        <f>Q6+U6+Y6</f>
        <v>24.055918999999996</v>
      </c>
      <c r="AF6" s="33">
        <f t="shared" si="8"/>
        <v>15.032931000000001</v>
      </c>
    </row>
    <row r="7" spans="1:32" s="34" customFormat="1" ht="15" x14ac:dyDescent="0.25">
      <c r="A7" s="35"/>
      <c r="B7" s="29" t="s">
        <v>19</v>
      </c>
      <c r="C7" s="36">
        <v>4.8099999999999996</v>
      </c>
      <c r="D7" s="36">
        <v>5.29</v>
      </c>
      <c r="E7" s="31">
        <v>0.93625000000000003</v>
      </c>
      <c r="F7" s="32">
        <f t="shared" si="0"/>
        <v>1.9471022491240639E-2</v>
      </c>
      <c r="G7" s="33">
        <f>671/1000</f>
        <v>0.67100000000000004</v>
      </c>
      <c r="H7" s="32">
        <f t="shared" si="2"/>
        <v>3.9079562728231059E-3</v>
      </c>
      <c r="I7" s="31">
        <v>0.93625000000000003</v>
      </c>
      <c r="J7" s="32">
        <f t="shared" si="3"/>
        <v>1.9337745471895207E-2</v>
      </c>
      <c r="K7" s="33">
        <f>761/1000</f>
        <v>0.76100000000000001</v>
      </c>
      <c r="L7" s="32">
        <f t="shared" si="9"/>
        <v>4.6241720848271247E-3</v>
      </c>
      <c r="M7" s="31">
        <v>0.93625000000000003</v>
      </c>
      <c r="N7" s="32">
        <f t="shared" si="4"/>
        <v>1.9251301711849394E-2</v>
      </c>
      <c r="O7" s="33">
        <f>2284/1000</f>
        <v>2.2839999999999998</v>
      </c>
      <c r="P7" s="32">
        <f t="shared" si="10"/>
        <v>1.312847395860277E-2</v>
      </c>
      <c r="Q7" s="31">
        <v>0.36377499999999996</v>
      </c>
      <c r="R7" s="32">
        <f t="shared" si="5"/>
        <v>1.8347505460498049E-2</v>
      </c>
      <c r="S7" s="33">
        <f>10.135/1000</f>
        <v>1.0135E-2</v>
      </c>
      <c r="T7" s="32">
        <f t="shared" si="11"/>
        <v>1.216228070543868E-3</v>
      </c>
      <c r="U7" s="31">
        <v>0.36377499999999996</v>
      </c>
      <c r="V7" s="32">
        <f t="shared" si="6"/>
        <v>1.8152765772409353E-2</v>
      </c>
      <c r="W7" s="33">
        <f>10.135/1000</f>
        <v>1.0135E-2</v>
      </c>
      <c r="X7" s="32">
        <f t="shared" si="12"/>
        <v>1.1942513793691805E-3</v>
      </c>
      <c r="Y7" s="31">
        <v>0.36377499999999996</v>
      </c>
      <c r="Z7" s="32">
        <f t="shared" si="7"/>
        <v>1.7904365121376362E-2</v>
      </c>
      <c r="AA7" s="33">
        <f>10.135/1000</f>
        <v>1.0135E-2</v>
      </c>
      <c r="AB7" s="32">
        <f t="shared" si="13"/>
        <v>1.1690534312208437E-3</v>
      </c>
      <c r="AC7" s="31">
        <f t="shared" si="1"/>
        <v>2.8087499999999999</v>
      </c>
      <c r="AD7" s="33">
        <f>G7+K7+O7</f>
        <v>3.7159999999999997</v>
      </c>
      <c r="AE7" s="31">
        <v>1.0913249999999999</v>
      </c>
      <c r="AF7" s="33">
        <f t="shared" si="8"/>
        <v>3.0405000000000001E-2</v>
      </c>
    </row>
    <row r="8" spans="1:32" s="34" customFormat="1" ht="15" x14ac:dyDescent="0.25">
      <c r="A8" s="35"/>
      <c r="B8" s="29" t="s">
        <v>20</v>
      </c>
      <c r="C8" s="36">
        <v>1.59</v>
      </c>
      <c r="D8" s="36">
        <v>1.75</v>
      </c>
      <c r="E8" s="31">
        <v>0.90062500000000001</v>
      </c>
      <c r="F8" s="32">
        <f t="shared" si="0"/>
        <v>1.8730135787635351E-2</v>
      </c>
      <c r="G8" s="37">
        <f>10510/1000</f>
        <v>10.51</v>
      </c>
      <c r="H8" s="32">
        <f t="shared" si="2"/>
        <v>6.1211058759121965E-2</v>
      </c>
      <c r="I8" s="31">
        <v>1.8091000000000002</v>
      </c>
      <c r="J8" s="32">
        <f t="shared" si="3"/>
        <v>3.7365997685666889E-2</v>
      </c>
      <c r="K8" s="37">
        <f>18342/1000</f>
        <v>18.341999999999999</v>
      </c>
      <c r="L8" s="32">
        <f t="shared" si="9"/>
        <v>0.11145409248344168</v>
      </c>
      <c r="M8" s="31">
        <v>2.4074999999999998</v>
      </c>
      <c r="N8" s="32">
        <f t="shared" si="4"/>
        <v>4.9503347259041292E-2</v>
      </c>
      <c r="O8" s="37">
        <f>28032/1000</f>
        <v>28.032</v>
      </c>
      <c r="P8" s="32">
        <f t="shared" si="10"/>
        <v>0.16112845096652928</v>
      </c>
      <c r="Q8" s="31">
        <v>0.23257999999999998</v>
      </c>
      <c r="R8" s="32">
        <f t="shared" si="5"/>
        <v>1.173050050169098E-2</v>
      </c>
      <c r="S8" s="33">
        <f>176.024/1000</f>
        <v>0.17602400000000001</v>
      </c>
      <c r="T8" s="32">
        <f t="shared" si="11"/>
        <v>2.112336752732253E-2</v>
      </c>
      <c r="U8" s="31">
        <v>0.45893</v>
      </c>
      <c r="V8" s="32">
        <f t="shared" si="6"/>
        <v>2.2901103143239159E-2</v>
      </c>
      <c r="W8" s="33">
        <f>347.635/1000</f>
        <v>0.34763499999999997</v>
      </c>
      <c r="X8" s="32">
        <f t="shared" si="12"/>
        <v>4.0963352567045391E-2</v>
      </c>
      <c r="Y8" s="31">
        <v>0.67337999999999998</v>
      </c>
      <c r="Z8" s="32">
        <f t="shared" si="7"/>
        <v>3.3142578201999631E-2</v>
      </c>
      <c r="AA8" s="33">
        <f>514.409/1000</f>
        <v>0.51440900000000001</v>
      </c>
      <c r="AB8" s="32">
        <f t="shared" si="13"/>
        <v>5.9336122989726979E-2</v>
      </c>
      <c r="AC8" s="31">
        <f t="shared" si="1"/>
        <v>5.1172249999999995</v>
      </c>
      <c r="AD8" s="37">
        <f>G8+K8+O8</f>
        <v>56.884</v>
      </c>
      <c r="AE8" s="31">
        <f>Q8+U8+Y8</f>
        <v>1.3648899999999999</v>
      </c>
      <c r="AF8" s="33">
        <f t="shared" si="8"/>
        <v>1.038068</v>
      </c>
    </row>
    <row r="9" spans="1:32" s="34" customFormat="1" ht="15" x14ac:dyDescent="0.25">
      <c r="A9" s="35"/>
      <c r="B9" s="29" t="s">
        <v>21</v>
      </c>
      <c r="C9" s="36">
        <v>2.4500000000000002</v>
      </c>
      <c r="D9" s="36">
        <v>2.7</v>
      </c>
      <c r="E9" s="31">
        <v>2.4074999999999998</v>
      </c>
      <c r="F9" s="32">
        <f t="shared" si="0"/>
        <v>5.0068343548904493E-2</v>
      </c>
      <c r="G9" s="33">
        <f>10132/1000</f>
        <v>10.132</v>
      </c>
      <c r="H9" s="32">
        <f t="shared" si="2"/>
        <v>5.9009557311838601E-2</v>
      </c>
      <c r="I9" s="31">
        <v>2.4074999999999998</v>
      </c>
      <c r="J9" s="32">
        <f t="shared" si="3"/>
        <v>4.9725631213444817E-2</v>
      </c>
      <c r="K9" s="33">
        <f>10132/1000</f>
        <v>10.132</v>
      </c>
      <c r="L9" s="32">
        <f t="shared" si="9"/>
        <v>6.1566506653703584E-2</v>
      </c>
      <c r="M9" s="31">
        <v>2.4074999999999998</v>
      </c>
      <c r="N9" s="32">
        <f t="shared" si="4"/>
        <v>4.9503347259041292E-2</v>
      </c>
      <c r="O9" s="33">
        <f>10132/1000</f>
        <v>10.132</v>
      </c>
      <c r="P9" s="32">
        <f t="shared" si="10"/>
        <v>5.8238922131595129E-2</v>
      </c>
      <c r="Q9" s="31">
        <v>0.83774999999999999</v>
      </c>
      <c r="R9" s="32">
        <f t="shared" si="5"/>
        <v>4.2253103428031728E-2</v>
      </c>
      <c r="S9" s="33">
        <f>570.383/1000</f>
        <v>0.57038300000000008</v>
      </c>
      <c r="T9" s="32">
        <f t="shared" si="11"/>
        <v>6.8447539769217872E-2</v>
      </c>
      <c r="U9" s="31">
        <v>0.83774999999999999</v>
      </c>
      <c r="V9" s="32">
        <f t="shared" si="6"/>
        <v>4.1804630680601848E-2</v>
      </c>
      <c r="W9" s="33">
        <f>570.383/1000</f>
        <v>0.57038300000000008</v>
      </c>
      <c r="X9" s="32">
        <f t="shared" si="12"/>
        <v>6.7210723682163923E-2</v>
      </c>
      <c r="Y9" s="31">
        <v>0.83774999999999999</v>
      </c>
      <c r="Z9" s="32">
        <f t="shared" si="7"/>
        <v>4.1232580249970584E-2</v>
      </c>
      <c r="AA9" s="33">
        <f>570.383/1000</f>
        <v>0.57038300000000008</v>
      </c>
      <c r="AB9" s="32">
        <f t="shared" si="13"/>
        <v>6.5792619956589887E-2</v>
      </c>
      <c r="AC9" s="31">
        <f t="shared" si="1"/>
        <v>7.2224999999999993</v>
      </c>
      <c r="AD9" s="33">
        <f>G9+K9+O9</f>
        <v>30.396000000000001</v>
      </c>
      <c r="AE9" s="31">
        <f>U9+Y9+Q9</f>
        <v>2.5132500000000002</v>
      </c>
      <c r="AF9" s="33">
        <f t="shared" si="8"/>
        <v>1.7111490000000003</v>
      </c>
    </row>
    <row r="10" spans="1:32" s="34" customFormat="1" ht="15" x14ac:dyDescent="0.25">
      <c r="A10" s="38"/>
      <c r="B10" s="29" t="s">
        <v>22</v>
      </c>
      <c r="C10" s="36">
        <v>2.89</v>
      </c>
      <c r="D10" s="36">
        <v>3.18</v>
      </c>
      <c r="E10" s="31">
        <f>SUM(E4:E9)</f>
        <v>28.963375000000003</v>
      </c>
      <c r="F10" s="32">
        <f>F4+F5+F6+F7+F8+F9</f>
        <v>0.60234608923603394</v>
      </c>
      <c r="G10" s="33">
        <f>G5+G6+G8+G7+G9</f>
        <v>140.23999999999998</v>
      </c>
      <c r="H10" s="32">
        <f t="shared" si="2"/>
        <v>0.81676868509793177</v>
      </c>
      <c r="I10" s="31">
        <f>SUM(I4:I9)</f>
        <v>29.282850000000003</v>
      </c>
      <c r="J10" s="32">
        <f t="shared" si="3"/>
        <v>0.60482168223411126</v>
      </c>
      <c r="K10" s="33">
        <f>K5+K6+K7+K8+K9</f>
        <v>134.011</v>
      </c>
      <c r="L10" s="32">
        <f t="shared" si="9"/>
        <v>0.81431002005225728</v>
      </c>
      <c r="M10" s="31">
        <f>SUM(M4:M9)</f>
        <v>29.420249999999999</v>
      </c>
      <c r="N10" s="32">
        <f t="shared" si="4"/>
        <v>0.60494324078829065</v>
      </c>
      <c r="O10" s="33">
        <f>O5+O6+O7+O8+O9</f>
        <v>143.18500000000003</v>
      </c>
      <c r="P10" s="32">
        <f t="shared" si="10"/>
        <v>0.82303001040391333</v>
      </c>
      <c r="Q10" s="31">
        <f>SUM(Q4:Q9)</f>
        <v>10.663677999999999</v>
      </c>
      <c r="R10" s="32">
        <f t="shared" si="5"/>
        <v>0.53783764781525101</v>
      </c>
      <c r="S10" s="33">
        <f>S5+S6+S7+S8+S9</f>
        <v>6.384564000000001</v>
      </c>
      <c r="T10" s="32">
        <f t="shared" si="11"/>
        <v>0.76616536309658023</v>
      </c>
      <c r="U10" s="31">
        <f>SUM(U4:U9)</f>
        <v>10.876377999999999</v>
      </c>
      <c r="V10" s="32">
        <f t="shared" si="6"/>
        <v>0.54274302051044221</v>
      </c>
      <c r="W10" s="33">
        <f>W5+W6+W7+W8+W9</f>
        <v>6.5773290000000006</v>
      </c>
      <c r="X10" s="32">
        <f t="shared" si="12"/>
        <v>0.77503544457966589</v>
      </c>
      <c r="Y10" s="31">
        <f>SUM(Y4:Y9)</f>
        <v>11.104577999999998</v>
      </c>
      <c r="Z10" s="32">
        <f t="shared" si="7"/>
        <v>0.54654778099320533</v>
      </c>
      <c r="AA10" s="33">
        <f>+AA5+AA6+AA7+AA8+AA9</f>
        <v>6.7132520000000007</v>
      </c>
      <c r="AB10" s="32">
        <f t="shared" si="13"/>
        <v>0.77436115296005836</v>
      </c>
      <c r="AC10" s="31">
        <f>AC4+AC5+AC6+AC7+AC8+AC9</f>
        <v>87.666475000000005</v>
      </c>
      <c r="AD10" s="33">
        <f>AD5+AD6+AD7+AD8+AD9</f>
        <v>417.43599999999998</v>
      </c>
      <c r="AE10" s="31">
        <f>AE4+AE5+AE6+AE7+AE8+AE9</f>
        <v>32.644633999999996</v>
      </c>
      <c r="AF10" s="33">
        <f t="shared" si="8"/>
        <v>19.675145000000001</v>
      </c>
    </row>
    <row r="11" spans="1:32" s="26" customFormat="1" x14ac:dyDescent="0.3">
      <c r="A11" s="48" t="s">
        <v>23</v>
      </c>
      <c r="B11" s="21" t="s">
        <v>24</v>
      </c>
      <c r="C11" s="22">
        <v>1.81</v>
      </c>
      <c r="D11" s="22">
        <v>1.99</v>
      </c>
      <c r="E11" s="23">
        <v>9.8598750000000006</v>
      </c>
      <c r="F11" s="24">
        <f t="shared" ref="F11:F18" si="14">E11/$E$19</f>
        <v>0.20505404313572367</v>
      </c>
      <c r="G11" s="25">
        <f>22532/1000</f>
        <v>22.532</v>
      </c>
      <c r="H11" s="24">
        <f t="shared" si="2"/>
        <v>0.13122812330737738</v>
      </c>
      <c r="I11" s="23">
        <v>9.8750999999999998</v>
      </c>
      <c r="J11" s="24">
        <f t="shared" si="3"/>
        <v>0.20396493491002654</v>
      </c>
      <c r="K11" s="25">
        <f>22628/1000</f>
        <v>22.628</v>
      </c>
      <c r="L11" s="24">
        <f t="shared" si="9"/>
        <v>0.13749772133438656</v>
      </c>
      <c r="M11" s="23">
        <v>9.9551000000000016</v>
      </c>
      <c r="N11" s="24">
        <f t="shared" si="4"/>
        <v>0.20469814010321166</v>
      </c>
      <c r="O11" s="25">
        <f>22694/1000</f>
        <v>22.693999999999999</v>
      </c>
      <c r="P11" s="24">
        <f t="shared" si="10"/>
        <v>0.13044552890391037</v>
      </c>
      <c r="Q11" s="23">
        <v>4.7798280000000002</v>
      </c>
      <c r="R11" s="24">
        <f t="shared" si="5"/>
        <v>0.24107737016079028</v>
      </c>
      <c r="S11" s="25">
        <f>1584.445/1000</f>
        <v>1.5844449999999999</v>
      </c>
      <c r="T11" s="24">
        <f t="shared" si="11"/>
        <v>0.19013778838015577</v>
      </c>
      <c r="U11" s="23">
        <v>4.7798280000000002</v>
      </c>
      <c r="V11" s="24">
        <f t="shared" si="6"/>
        <v>0.23851858460972816</v>
      </c>
      <c r="W11" s="25">
        <f>1654.773/1000</f>
        <v>1.6547729999999998</v>
      </c>
      <c r="X11" s="24">
        <f t="shared" si="12"/>
        <v>0.19498914038410231</v>
      </c>
      <c r="Y11" s="23">
        <v>4.8296530000000004</v>
      </c>
      <c r="Z11" s="24">
        <f t="shared" si="7"/>
        <v>0.23770701868339147</v>
      </c>
      <c r="AA11" s="25">
        <f>1703.674/1000</f>
        <v>1.7036739999999999</v>
      </c>
      <c r="AB11" s="24">
        <f t="shared" si="13"/>
        <v>0.19651563249943163</v>
      </c>
      <c r="AC11" s="23">
        <f>E11+I11+M11</f>
        <v>29.690075</v>
      </c>
      <c r="AD11" s="25">
        <f>G11+K11+O11</f>
        <v>67.853999999999999</v>
      </c>
      <c r="AE11" s="23">
        <f>U11+Y11+Q11</f>
        <v>14.389309000000001</v>
      </c>
      <c r="AF11" s="25">
        <f t="shared" si="8"/>
        <v>4.9428919999999996</v>
      </c>
    </row>
    <row r="12" spans="1:32" s="26" customFormat="1" x14ac:dyDescent="0.3">
      <c r="A12" s="48"/>
      <c r="B12" s="21" t="s">
        <v>25</v>
      </c>
      <c r="C12" s="22">
        <v>0.97</v>
      </c>
      <c r="D12" s="22">
        <v>1.07</v>
      </c>
      <c r="E12" s="23">
        <v>2.4037500000000001</v>
      </c>
      <c r="F12" s="24">
        <f t="shared" si="14"/>
        <v>4.9990355474840785E-2</v>
      </c>
      <c r="G12" s="25">
        <f>(3934)/1000</f>
        <v>3.9340000000000002</v>
      </c>
      <c r="H12" s="24">
        <f t="shared" si="2"/>
        <v>2.291192246987496E-2</v>
      </c>
      <c r="I12" s="23">
        <v>2.4008500000000002</v>
      </c>
      <c r="J12" s="24">
        <f t="shared" si="3"/>
        <v>4.9588279002616406E-2</v>
      </c>
      <c r="K12" s="25">
        <f>(2937/1000)</f>
        <v>2.9369999999999998</v>
      </c>
      <c r="L12" s="24">
        <f t="shared" si="9"/>
        <v>1.7846509084280242E-2</v>
      </c>
      <c r="M12" s="23">
        <v>2.4008500000000002</v>
      </c>
      <c r="N12" s="24">
        <f t="shared" si="4"/>
        <v>4.9366609041274892E-2</v>
      </c>
      <c r="O12" s="25">
        <f>(3100)/1000</f>
        <v>3.1</v>
      </c>
      <c r="P12" s="24">
        <f t="shared" si="10"/>
        <v>1.7818856949066809E-2</v>
      </c>
      <c r="Q12" s="23">
        <v>1.6004499999999999</v>
      </c>
      <c r="R12" s="24">
        <f t="shared" si="5"/>
        <v>8.0720954200409881E-2</v>
      </c>
      <c r="S12" s="25">
        <f>283.024/1000</f>
        <v>0.283024</v>
      </c>
      <c r="T12" s="24">
        <f t="shared" si="11"/>
        <v>3.3963663881362377E-2</v>
      </c>
      <c r="U12" s="23">
        <v>1.6004499999999999</v>
      </c>
      <c r="V12" s="24">
        <f t="shared" si="6"/>
        <v>7.9864185225627243E-2</v>
      </c>
      <c r="W12" s="25">
        <f>173.285/1000</f>
        <v>0.17328499999999999</v>
      </c>
      <c r="X12" s="24">
        <f t="shared" si="12"/>
        <v>2.0418929479426584E-2</v>
      </c>
      <c r="Y12" s="23">
        <v>1.6004499999999999</v>
      </c>
      <c r="Z12" s="24">
        <f t="shared" si="7"/>
        <v>7.8771331615715215E-2</v>
      </c>
      <c r="AA12" s="25">
        <f>(171.38/1000)</f>
        <v>0.17138</v>
      </c>
      <c r="AB12" s="24">
        <f t="shared" si="13"/>
        <v>1.9768364779736376E-2</v>
      </c>
      <c r="AC12" s="23">
        <f>E12+I12+M12</f>
        <v>7.2054500000000008</v>
      </c>
      <c r="AD12" s="25">
        <f>G12+K12+O12</f>
        <v>9.9710000000000001</v>
      </c>
      <c r="AE12" s="23">
        <f>Q12+U12+Y12</f>
        <v>4.8013499999999993</v>
      </c>
      <c r="AF12" s="25">
        <f t="shared" si="8"/>
        <v>0.62768899999999994</v>
      </c>
    </row>
    <row r="13" spans="1:32" s="26" customFormat="1" x14ac:dyDescent="0.3">
      <c r="A13" s="48"/>
      <c r="B13" s="21" t="s">
        <v>19</v>
      </c>
      <c r="C13" s="22">
        <v>0.97</v>
      </c>
      <c r="D13" s="22">
        <v>1.06</v>
      </c>
      <c r="E13" s="23">
        <v>2.9362499999999998</v>
      </c>
      <c r="F13" s="24">
        <f t="shared" si="14"/>
        <v>6.1064661991888189E-2</v>
      </c>
      <c r="G13" s="25">
        <f>(4995)/1000</f>
        <v>4.9950000000000001</v>
      </c>
      <c r="H13" s="24">
        <f t="shared" si="2"/>
        <v>2.9091269124815817E-2</v>
      </c>
      <c r="I13" s="23">
        <v>2.9358500000000003</v>
      </c>
      <c r="J13" s="24">
        <f t="shared" si="3"/>
        <v>6.0638419272270816E-2</v>
      </c>
      <c r="K13" s="25">
        <f>4994/1000</f>
        <v>4.9939999999999998</v>
      </c>
      <c r="L13" s="24">
        <f t="shared" si="9"/>
        <v>3.0345749529075768E-2</v>
      </c>
      <c r="M13" s="23">
        <v>2.9358500000000003</v>
      </c>
      <c r="N13" s="24">
        <f t="shared" si="4"/>
        <v>6.0367352876617403E-2</v>
      </c>
      <c r="O13" s="25">
        <f>4994/1000</f>
        <v>4.9939999999999998</v>
      </c>
      <c r="P13" s="24">
        <f t="shared" si="10"/>
        <v>2.870560374310956E-2</v>
      </c>
      <c r="Q13" s="23">
        <v>1.8112399999999997</v>
      </c>
      <c r="R13" s="24">
        <f t="shared" si="5"/>
        <v>9.1352445303477386E-2</v>
      </c>
      <c r="S13" s="25">
        <f>81.108/1000</f>
        <v>8.1108E-2</v>
      </c>
      <c r="T13" s="24">
        <f t="shared" si="11"/>
        <v>9.7331846419015343E-3</v>
      </c>
      <c r="U13" s="23">
        <v>1.8112399999999997</v>
      </c>
      <c r="V13" s="24">
        <f t="shared" si="6"/>
        <v>9.0382834107947813E-2</v>
      </c>
      <c r="W13" s="25">
        <f>81.101/1000</f>
        <v>8.1100999999999993E-2</v>
      </c>
      <c r="X13" s="24">
        <f t="shared" si="12"/>
        <v>9.5564855568051211E-3</v>
      </c>
      <c r="Y13" s="23">
        <v>1.8112399999999997</v>
      </c>
      <c r="Z13" s="24">
        <f t="shared" si="7"/>
        <v>8.9146044347307329E-2</v>
      </c>
      <c r="AA13" s="25">
        <f>81.101/1000</f>
        <v>8.1100999999999993E-2</v>
      </c>
      <c r="AB13" s="24">
        <f t="shared" si="13"/>
        <v>9.3548497607737185E-3</v>
      </c>
      <c r="AC13" s="23">
        <f>E13+I13+M13</f>
        <v>8.8079499999999999</v>
      </c>
      <c r="AD13" s="25">
        <f>G13+K13+O13</f>
        <v>14.983000000000001</v>
      </c>
      <c r="AE13" s="23">
        <f>Q13+U13+Y13</f>
        <v>5.4337199999999992</v>
      </c>
      <c r="AF13" s="25">
        <f t="shared" si="8"/>
        <v>0.24330999999999997</v>
      </c>
    </row>
    <row r="14" spans="1:32" s="26" customFormat="1" x14ac:dyDescent="0.3">
      <c r="A14" s="48"/>
      <c r="B14" s="21" t="s">
        <v>22</v>
      </c>
      <c r="C14" s="22">
        <v>1.5</v>
      </c>
      <c r="D14" s="27">
        <v>1.64</v>
      </c>
      <c r="E14" s="23">
        <f>E11+E12+E13</f>
        <v>15.199875</v>
      </c>
      <c r="F14" s="24">
        <f t="shared" si="14"/>
        <v>0.31610906060245264</v>
      </c>
      <c r="G14" s="25">
        <f>G11+G12+G13</f>
        <v>31.461000000000002</v>
      </c>
      <c r="H14" s="24">
        <f t="shared" si="2"/>
        <v>0.18323131490206815</v>
      </c>
      <c r="I14" s="23">
        <f>I11+I12+I13</f>
        <v>15.2118</v>
      </c>
      <c r="J14" s="24">
        <f t="shared" si="3"/>
        <v>0.31419163318491378</v>
      </c>
      <c r="K14" s="25">
        <f>K11+K12+K13</f>
        <v>30.559000000000001</v>
      </c>
      <c r="L14" s="24">
        <f t="shared" si="9"/>
        <v>0.18568997994774258</v>
      </c>
      <c r="M14" s="23">
        <f>M11+M12+M13</f>
        <v>15.291800000000002</v>
      </c>
      <c r="N14" s="24">
        <f t="shared" si="4"/>
        <v>0.31443210202110394</v>
      </c>
      <c r="O14" s="25">
        <f>O11+O12+O13</f>
        <v>30.788</v>
      </c>
      <c r="P14" s="24">
        <f t="shared" si="10"/>
        <v>0.17696998959608673</v>
      </c>
      <c r="Q14" s="23">
        <f>Q11+Q12+Q13</f>
        <v>8.1915180000000003</v>
      </c>
      <c r="R14" s="24">
        <f t="shared" si="5"/>
        <v>0.41315076966467756</v>
      </c>
      <c r="S14" s="25">
        <f>S11+S12+S13</f>
        <v>1.9485769999999998</v>
      </c>
      <c r="T14" s="24">
        <f t="shared" si="11"/>
        <v>0.23383463690341966</v>
      </c>
      <c r="U14" s="23">
        <f>U11+U12+U13</f>
        <v>8.1915180000000003</v>
      </c>
      <c r="V14" s="24">
        <f t="shared" si="6"/>
        <v>0.40876560394330325</v>
      </c>
      <c r="W14" s="25">
        <f>W11+W12+W13</f>
        <v>1.9091589999999998</v>
      </c>
      <c r="X14" s="24">
        <f t="shared" si="12"/>
        <v>0.224964555420334</v>
      </c>
      <c r="Y14" s="23">
        <f>Y11+Y12+Y13</f>
        <v>8.2413430000000005</v>
      </c>
      <c r="Z14" s="24">
        <f t="shared" si="7"/>
        <v>0.40562439464641403</v>
      </c>
      <c r="AA14" s="25">
        <f>AA11+AA12+AA13</f>
        <v>1.9561550000000001</v>
      </c>
      <c r="AB14" s="24">
        <f t="shared" si="13"/>
        <v>0.22563884703994175</v>
      </c>
      <c r="AC14" s="23">
        <f>AC11+AC12+AC13</f>
        <v>45.703474999999997</v>
      </c>
      <c r="AD14" s="25">
        <f>AD11+AD12+AD13</f>
        <v>92.808000000000007</v>
      </c>
      <c r="AE14" s="23">
        <f>AE11+AE12+AE13</f>
        <v>24.624378999999998</v>
      </c>
      <c r="AF14" s="25">
        <f t="shared" si="8"/>
        <v>5.8138909999999999</v>
      </c>
    </row>
    <row r="15" spans="1:32" s="20" customFormat="1" x14ac:dyDescent="0.3">
      <c r="A15" s="51" t="s">
        <v>26</v>
      </c>
      <c r="B15" s="16" t="s">
        <v>27</v>
      </c>
      <c r="C15" s="17" t="s">
        <v>37</v>
      </c>
      <c r="D15" s="17" t="s">
        <v>37</v>
      </c>
      <c r="E15" s="18">
        <v>0.68022500000000008</v>
      </c>
      <c r="F15" s="19">
        <f t="shared" si="14"/>
        <v>1.4146516714663994E-2</v>
      </c>
      <c r="G15" s="17" t="s">
        <v>37</v>
      </c>
      <c r="H15" s="17" t="s">
        <v>37</v>
      </c>
      <c r="I15" s="18">
        <v>0.68022500000000008</v>
      </c>
      <c r="J15" s="19">
        <f t="shared" si="3"/>
        <v>1.4049685355001248E-2</v>
      </c>
      <c r="K15" s="17" t="s">
        <v>37</v>
      </c>
      <c r="L15" s="17" t="s">
        <v>37</v>
      </c>
      <c r="M15" s="18">
        <v>0.68022500000000008</v>
      </c>
      <c r="N15" s="19">
        <f t="shared" si="4"/>
        <v>1.3986880327842729E-2</v>
      </c>
      <c r="O15" s="17" t="s">
        <v>37</v>
      </c>
      <c r="P15" s="17" t="s">
        <v>37</v>
      </c>
      <c r="Q15" s="18">
        <v>0.14949999999999999</v>
      </c>
      <c r="R15" s="19">
        <f t="shared" si="5"/>
        <v>7.5402434646263724E-3</v>
      </c>
      <c r="S15" s="17" t="s">
        <v>37</v>
      </c>
      <c r="T15" s="17" t="s">
        <v>37</v>
      </c>
      <c r="U15" s="18">
        <v>0.14949999999999999</v>
      </c>
      <c r="V15" s="19">
        <f t="shared" si="6"/>
        <v>7.4602116225007172E-3</v>
      </c>
      <c r="W15" s="17" t="s">
        <v>37</v>
      </c>
      <c r="X15" s="17" t="s">
        <v>37</v>
      </c>
      <c r="Y15" s="18">
        <v>0.14949999999999999</v>
      </c>
      <c r="Z15" s="19">
        <f t="shared" si="7"/>
        <v>7.3581268246739511E-3</v>
      </c>
      <c r="AA15" s="17" t="s">
        <v>37</v>
      </c>
      <c r="AB15" s="17" t="s">
        <v>37</v>
      </c>
      <c r="AC15" s="18">
        <f>E15+I15+M15</f>
        <v>2.0406750000000002</v>
      </c>
      <c r="AD15" s="17" t="s">
        <v>37</v>
      </c>
      <c r="AE15" s="18">
        <v>0.44850000000000001</v>
      </c>
      <c r="AF15" s="17" t="s">
        <v>37</v>
      </c>
    </row>
    <row r="16" spans="1:32" s="20" customFormat="1" x14ac:dyDescent="0.3">
      <c r="A16" s="52"/>
      <c r="B16" s="16" t="s">
        <v>28</v>
      </c>
      <c r="C16" s="17" t="s">
        <v>37</v>
      </c>
      <c r="D16" s="17" t="s">
        <v>37</v>
      </c>
      <c r="E16" s="18">
        <v>1.7541499999999999</v>
      </c>
      <c r="F16" s="19">
        <f t="shared" si="14"/>
        <v>3.6480741365030454E-2</v>
      </c>
      <c r="G16" s="17" t="s">
        <v>37</v>
      </c>
      <c r="H16" s="17" t="s">
        <v>37</v>
      </c>
      <c r="I16" s="18">
        <v>1.7541499999999999</v>
      </c>
      <c r="J16" s="19">
        <f t="shared" si="3"/>
        <v>3.6231034680400509E-2</v>
      </c>
      <c r="K16" s="17" t="s">
        <v>37</v>
      </c>
      <c r="L16" s="17" t="s">
        <v>37</v>
      </c>
      <c r="M16" s="18">
        <v>1.7541499999999999</v>
      </c>
      <c r="N16" s="19">
        <f t="shared" si="4"/>
        <v>3.6069074390216942E-2</v>
      </c>
      <c r="O16" s="17" t="s">
        <v>37</v>
      </c>
      <c r="P16" s="17" t="s">
        <v>37</v>
      </c>
      <c r="Q16" s="18">
        <v>0.44849999999999995</v>
      </c>
      <c r="R16" s="19">
        <f t="shared" si="5"/>
        <v>2.2620730393879115E-2</v>
      </c>
      <c r="S16" s="17" t="s">
        <v>37</v>
      </c>
      <c r="T16" s="17" t="s">
        <v>37</v>
      </c>
      <c r="U16" s="18">
        <v>0.44849999999999995</v>
      </c>
      <c r="V16" s="19">
        <f t="shared" si="6"/>
        <v>2.238063486750215E-2</v>
      </c>
      <c r="W16" s="17" t="s">
        <v>37</v>
      </c>
      <c r="X16" s="17" t="s">
        <v>37</v>
      </c>
      <c r="Y16" s="18">
        <v>0.44849999999999995</v>
      </c>
      <c r="Z16" s="19">
        <f t="shared" si="7"/>
        <v>2.2074380474021851E-2</v>
      </c>
      <c r="AA16" s="17" t="s">
        <v>37</v>
      </c>
      <c r="AB16" s="17" t="s">
        <v>37</v>
      </c>
      <c r="AC16" s="18">
        <f>E16+I16+M16</f>
        <v>5.2624499999999994</v>
      </c>
      <c r="AD16" s="17" t="s">
        <v>37</v>
      </c>
      <c r="AE16" s="18">
        <v>1.3454999999999999</v>
      </c>
      <c r="AF16" s="17" t="s">
        <v>37</v>
      </c>
    </row>
    <row r="17" spans="1:32" s="20" customFormat="1" x14ac:dyDescent="0.3">
      <c r="A17" s="52"/>
      <c r="B17" s="16" t="s">
        <v>29</v>
      </c>
      <c r="C17" s="17" t="s">
        <v>37</v>
      </c>
      <c r="D17" s="17" t="s">
        <v>37</v>
      </c>
      <c r="E17" s="18">
        <v>1.48665</v>
      </c>
      <c r="F17" s="19">
        <f t="shared" si="14"/>
        <v>3.0917592081818844E-2</v>
      </c>
      <c r="G17" s="17" t="s">
        <v>37</v>
      </c>
      <c r="H17" s="17" t="s">
        <v>37</v>
      </c>
      <c r="I17" s="18">
        <v>1.48665</v>
      </c>
      <c r="J17" s="19">
        <f t="shared" si="3"/>
        <v>3.0705964545573308E-2</v>
      </c>
      <c r="K17" s="17" t="s">
        <v>37</v>
      </c>
      <c r="L17" s="17" t="s">
        <v>37</v>
      </c>
      <c r="M17" s="18">
        <v>1.48665</v>
      </c>
      <c r="N17" s="19">
        <f t="shared" si="4"/>
        <v>3.0568702472545686E-2</v>
      </c>
      <c r="O17" s="17" t="s">
        <v>37</v>
      </c>
      <c r="P17" s="17" t="s">
        <v>37</v>
      </c>
      <c r="Q17" s="18">
        <v>0.37374999999999997</v>
      </c>
      <c r="R17" s="19">
        <f t="shared" si="5"/>
        <v>1.8850608661565932E-2</v>
      </c>
      <c r="S17" s="17" t="s">
        <v>37</v>
      </c>
      <c r="T17" s="17" t="s">
        <v>37</v>
      </c>
      <c r="U17" s="18">
        <v>0.37374999999999997</v>
      </c>
      <c r="V17" s="19">
        <f t="shared" si="6"/>
        <v>1.8650529056251794E-2</v>
      </c>
      <c r="W17" s="17" t="s">
        <v>37</v>
      </c>
      <c r="X17" s="17" t="s">
        <v>37</v>
      </c>
      <c r="Y17" s="18">
        <v>0.37374999999999997</v>
      </c>
      <c r="Z17" s="19">
        <f t="shared" si="7"/>
        <v>1.8395317061684877E-2</v>
      </c>
      <c r="AA17" s="17" t="s">
        <v>37</v>
      </c>
      <c r="AB17" s="17" t="s">
        <v>37</v>
      </c>
      <c r="AC17" s="18">
        <f>E17+I17+M17</f>
        <v>4.4599500000000001</v>
      </c>
      <c r="AD17" s="17" t="s">
        <v>37</v>
      </c>
      <c r="AE17" s="18">
        <v>1.1212499999999999</v>
      </c>
      <c r="AF17" s="17" t="s">
        <v>37</v>
      </c>
    </row>
    <row r="18" spans="1:32" s="20" customFormat="1" x14ac:dyDescent="0.3">
      <c r="A18" s="53"/>
      <c r="B18" s="16" t="s">
        <v>22</v>
      </c>
      <c r="C18" s="17" t="s">
        <v>37</v>
      </c>
      <c r="D18" s="17" t="s">
        <v>37</v>
      </c>
      <c r="E18" s="18">
        <f>E15+E16+E17</f>
        <v>3.9210250000000002</v>
      </c>
      <c r="F18" s="19">
        <f t="shared" si="14"/>
        <v>8.1544850161513291E-2</v>
      </c>
      <c r="G18" s="17" t="s">
        <v>37</v>
      </c>
      <c r="H18" s="17" t="s">
        <v>37</v>
      </c>
      <c r="I18" s="18">
        <f>I15+I16+I17</f>
        <v>3.9210250000000002</v>
      </c>
      <c r="J18" s="19">
        <f t="shared" si="3"/>
        <v>8.0986684580975077E-2</v>
      </c>
      <c r="K18" s="17" t="s">
        <v>37</v>
      </c>
      <c r="L18" s="17" t="s">
        <v>37</v>
      </c>
      <c r="M18" s="18">
        <f>M15+M16+M17</f>
        <v>3.9210250000000002</v>
      </c>
      <c r="N18" s="19">
        <f>M18/$M$19</f>
        <v>8.0624657190605367E-2</v>
      </c>
      <c r="O18" s="17" t="s">
        <v>37</v>
      </c>
      <c r="P18" s="17" t="s">
        <v>37</v>
      </c>
      <c r="Q18" s="18">
        <f>Q15+Q16+Q17</f>
        <v>0.97174999999999989</v>
      </c>
      <c r="R18" s="19">
        <f t="shared" si="5"/>
        <v>4.9011582520071414E-2</v>
      </c>
      <c r="S18" s="17" t="s">
        <v>37</v>
      </c>
      <c r="T18" s="17" t="s">
        <v>37</v>
      </c>
      <c r="U18" s="18">
        <f>U15+U16+U17</f>
        <v>0.97174999999999989</v>
      </c>
      <c r="V18" s="19">
        <f t="shared" si="6"/>
        <v>4.8491375546254663E-2</v>
      </c>
      <c r="W18" s="17" t="s">
        <v>37</v>
      </c>
      <c r="X18" s="17" t="s">
        <v>37</v>
      </c>
      <c r="Y18" s="18">
        <f>Y15+Y16+Y17</f>
        <v>0.97174999999999989</v>
      </c>
      <c r="Z18" s="19">
        <f t="shared" si="7"/>
        <v>4.7827824360380675E-2</v>
      </c>
      <c r="AA18" s="17" t="s">
        <v>37</v>
      </c>
      <c r="AB18" s="17" t="s">
        <v>37</v>
      </c>
      <c r="AC18" s="18">
        <f>AC15+AC16+AC17</f>
        <v>11.763075000000001</v>
      </c>
      <c r="AD18" s="17" t="s">
        <v>37</v>
      </c>
      <c r="AE18" s="18">
        <v>2.9152499999999999</v>
      </c>
      <c r="AF18" s="17" t="s">
        <v>37</v>
      </c>
    </row>
    <row r="19" spans="1:32" s="15" customFormat="1" x14ac:dyDescent="0.3">
      <c r="A19" s="42" t="s">
        <v>30</v>
      </c>
      <c r="B19" s="14"/>
      <c r="C19" s="14"/>
      <c r="D19" s="14"/>
      <c r="E19" s="39">
        <f>E4+E5+E6+E7+E8+E9+E11+E12+E13+E15+E16+E17</f>
        <v>48.084275000000005</v>
      </c>
      <c r="F19" s="40">
        <f>F4+F5+F6+F7+F8++F9+F11++F12+F13+F15+F16+F17</f>
        <v>1</v>
      </c>
      <c r="G19" s="41">
        <f>G10+G14</f>
        <v>171.70099999999999</v>
      </c>
      <c r="H19" s="40">
        <f>H10+H14</f>
        <v>0.99999999999999989</v>
      </c>
      <c r="I19" s="39">
        <f>I4+I5+I6+I7+I8+I9+I11+I12+I13+I15+I16+I17</f>
        <v>48.415675</v>
      </c>
      <c r="J19" s="40">
        <f>J4+J5+J6++J7+J8+J9+J12+J11+J13+J15+J16+J17</f>
        <v>1.0000000000000002</v>
      </c>
      <c r="K19" s="41">
        <f>K5+K6+K7+K8+K9+K11+K12+K13</f>
        <v>164.57000000000002</v>
      </c>
      <c r="L19" s="40">
        <f>L10+L14</f>
        <v>0.99999999999999989</v>
      </c>
      <c r="M19" s="39">
        <f>M10+M14+M18</f>
        <v>48.633075000000005</v>
      </c>
      <c r="N19" s="40">
        <f>N4+N5+N6+N7+N8+N9+N11+N12+N13+N15+N16+N17</f>
        <v>0.99999999999999978</v>
      </c>
      <c r="O19" s="41">
        <f>O5+O6+O7+O8+O9+O11+O12+O13</f>
        <v>173.97300000000001</v>
      </c>
      <c r="P19" s="40">
        <f>P10+P14</f>
        <v>1</v>
      </c>
      <c r="Q19" s="39">
        <f>Q4+Q5+Q6+Q7+Q8+Q9+Q11+Q12+Q13+Q15+Q16+Q17</f>
        <v>19.826946</v>
      </c>
      <c r="R19" s="40">
        <f>R4+R5+R7+R6+R8+R9+R11+R12+R13+R15+R16+R17</f>
        <v>0.99999999999999989</v>
      </c>
      <c r="S19" s="41">
        <f>S5+S6+S7+S8+S9+S11+S12+S13</f>
        <v>8.3331410000000012</v>
      </c>
      <c r="T19" s="40">
        <f>T10+T14</f>
        <v>0.99999999999999989</v>
      </c>
      <c r="U19" s="39">
        <f>U4+U5+U6+U7++U8+U9+U11+U12+U13+U15+U16+U17</f>
        <v>20.039645999999998</v>
      </c>
      <c r="V19" s="40">
        <f>V4+V5++V6+V7+V8+V9+V11+V12+V13+V15+V16+V17</f>
        <v>1</v>
      </c>
      <c r="W19" s="41">
        <f>W5+W6+W7+W8+W9+W11+W12+W13</f>
        <v>8.4864880000000014</v>
      </c>
      <c r="X19" s="40">
        <f>X10+X14</f>
        <v>0.99999999999999989</v>
      </c>
      <c r="Y19" s="39">
        <f>Y4+Y5+Y7+Y6+Y8+Y9+Y11+Y12+Y13+Y15+Y16+Y17</f>
        <v>20.317670999999997</v>
      </c>
      <c r="Z19" s="40">
        <f>Z4+Z5++Z6+Z7+Z8++Z9+Z11+Z12+Z16+Z15+Z17+Z13</f>
        <v>1.0000000000000002</v>
      </c>
      <c r="AA19" s="41">
        <f>AA5+AA6+AA8+AA7+AA9+AA11+AA12+AA13</f>
        <v>8.6694069999999996</v>
      </c>
      <c r="AB19" s="40">
        <f>AB10+AB14</f>
        <v>1</v>
      </c>
      <c r="AC19" s="39">
        <f>AC4+AC5+AC6+AC7+AC8+AC9+AC11+AC12+AC13+AC15+AC16+AC17</f>
        <v>145.13302499999998</v>
      </c>
      <c r="AD19" s="41">
        <f>G19+K19+O19</f>
        <v>510.24400000000003</v>
      </c>
      <c r="AE19" s="39">
        <f>AE4+AE5+AE6+AE7+AE8+AE9+AE11+AE12+AE13+AE15+AE16+AE17</f>
        <v>60.184263000000001</v>
      </c>
      <c r="AF19" s="41">
        <f>AF5+AF6+AF7+AF8+AF9+AF11+AF12+AF13</f>
        <v>25.489035999999999</v>
      </c>
    </row>
    <row r="20" spans="1:3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3">
      <c r="A22" s="47" t="s">
        <v>31</v>
      </c>
      <c r="B22" s="3" t="s">
        <v>32</v>
      </c>
      <c r="C22" s="43" t="s">
        <v>37</v>
      </c>
      <c r="D22" s="43" t="s">
        <v>37</v>
      </c>
      <c r="E22" s="7">
        <v>1.3137968500000001</v>
      </c>
      <c r="F22" s="7"/>
      <c r="G22" s="7"/>
      <c r="H22" s="7"/>
      <c r="I22" s="7">
        <v>1.32265225</v>
      </c>
      <c r="J22" s="7"/>
      <c r="K22" s="7"/>
      <c r="L22" s="7"/>
      <c r="M22" s="7">
        <v>1.3287946499999999</v>
      </c>
      <c r="N22" s="7"/>
      <c r="O22" s="7"/>
      <c r="P22" s="7"/>
      <c r="Q22" s="7">
        <v>0.53216570970092381</v>
      </c>
      <c r="R22" s="7"/>
      <c r="S22" s="7"/>
      <c r="T22" s="7"/>
      <c r="U22" s="7">
        <v>0.53817500000000007</v>
      </c>
      <c r="V22" s="7"/>
      <c r="W22" s="7"/>
      <c r="X22" s="7"/>
      <c r="Y22" s="7">
        <v>0.54569196520549013</v>
      </c>
      <c r="Z22" s="7"/>
      <c r="AA22" s="7"/>
      <c r="AB22" s="7"/>
      <c r="AC22" s="7">
        <v>4.0125000000000002</v>
      </c>
      <c r="AD22" s="7"/>
      <c r="AE22" s="7">
        <v>1.6320000000000001</v>
      </c>
      <c r="AF22" s="2"/>
    </row>
    <row r="23" spans="1:32" x14ac:dyDescent="0.3">
      <c r="A23" s="47"/>
      <c r="B23" s="3" t="s">
        <v>33</v>
      </c>
      <c r="C23" s="43" t="s">
        <v>37</v>
      </c>
      <c r="D23" s="43" t="s">
        <v>37</v>
      </c>
      <c r="E23" s="7">
        <v>0.52551873999999998</v>
      </c>
      <c r="F23" s="7"/>
      <c r="G23" s="7"/>
      <c r="H23" s="7"/>
      <c r="I23" s="7">
        <v>0.52906089999999995</v>
      </c>
      <c r="J23" s="7"/>
      <c r="K23" s="7"/>
      <c r="L23" s="7"/>
      <c r="M23" s="7">
        <v>0.53151786000000001</v>
      </c>
      <c r="N23" s="7"/>
      <c r="O23" s="7"/>
      <c r="P23" s="7"/>
      <c r="Q23" s="7">
        <v>0.21286628388036949</v>
      </c>
      <c r="R23" s="7"/>
      <c r="S23" s="7"/>
      <c r="T23" s="7"/>
      <c r="U23" s="7">
        <v>0.21526999999999999</v>
      </c>
      <c r="V23" s="7"/>
      <c r="W23" s="7"/>
      <c r="X23" s="7"/>
      <c r="Y23" s="7">
        <v>0.218276786082196</v>
      </c>
      <c r="Z23" s="7"/>
      <c r="AA23" s="7"/>
      <c r="AB23" s="7"/>
      <c r="AC23" s="7">
        <v>1.605</v>
      </c>
      <c r="AD23" s="7"/>
      <c r="AE23" s="7">
        <v>0.65279999999999994</v>
      </c>
      <c r="AF23" s="2"/>
    </row>
    <row r="24" spans="1:32" x14ac:dyDescent="0.3">
      <c r="A24" s="47"/>
      <c r="B24" s="3" t="s">
        <v>34</v>
      </c>
      <c r="C24" s="43" t="s">
        <v>37</v>
      </c>
      <c r="D24" s="43" t="s">
        <v>37</v>
      </c>
      <c r="E24" s="7">
        <v>2.6275937000000003</v>
      </c>
      <c r="F24" s="7"/>
      <c r="G24" s="7"/>
      <c r="H24" s="7"/>
      <c r="I24" s="7">
        <v>2.6453044999999999</v>
      </c>
      <c r="J24" s="7"/>
      <c r="K24" s="7"/>
      <c r="L24" s="7"/>
      <c r="M24" s="7">
        <v>2.6575892999999997</v>
      </c>
      <c r="N24" s="7"/>
      <c r="O24" s="7"/>
      <c r="P24" s="7"/>
      <c r="Q24" s="7">
        <v>0.72383141940184748</v>
      </c>
      <c r="R24" s="7"/>
      <c r="S24" s="7"/>
      <c r="T24" s="7"/>
      <c r="U24" s="7">
        <v>0.73585</v>
      </c>
      <c r="V24" s="7"/>
      <c r="W24" s="7"/>
      <c r="X24" s="7"/>
      <c r="Y24" s="7">
        <v>0.75088393041098012</v>
      </c>
      <c r="Z24" s="7"/>
      <c r="AA24" s="7"/>
      <c r="AB24" s="7"/>
      <c r="AC24" s="7">
        <v>8.0250000000000004</v>
      </c>
      <c r="AD24" s="7"/>
      <c r="AE24" s="7">
        <v>2.2424999999999997</v>
      </c>
      <c r="AF24" s="2"/>
    </row>
    <row r="25" spans="1:32" x14ac:dyDescent="0.3">
      <c r="A25" s="47"/>
      <c r="B25" s="3" t="s">
        <v>22</v>
      </c>
      <c r="C25" s="43" t="s">
        <v>37</v>
      </c>
      <c r="D25" s="43" t="s">
        <v>37</v>
      </c>
      <c r="E25" s="7">
        <f>E22+E23+E24</f>
        <v>4.4669092900000003</v>
      </c>
      <c r="F25" s="7"/>
      <c r="G25" s="7"/>
      <c r="H25" s="7"/>
      <c r="I25" s="7">
        <f>I22+I23+I24</f>
        <v>4.4970176500000001</v>
      </c>
      <c r="J25" s="7"/>
      <c r="K25" s="7"/>
      <c r="L25" s="7"/>
      <c r="M25" s="7">
        <f>M22+M23+M24</f>
        <v>4.5179018099999997</v>
      </c>
      <c r="N25" s="7"/>
      <c r="O25" s="7"/>
      <c r="P25" s="7"/>
      <c r="Q25" s="7">
        <f>Q22+Q23+Q24</f>
        <v>1.4688634129831408</v>
      </c>
      <c r="R25" s="7"/>
      <c r="S25" s="7"/>
      <c r="T25" s="7"/>
      <c r="U25" s="7">
        <f>U22+U23+U24</f>
        <v>1.489295</v>
      </c>
      <c r="V25" s="7"/>
      <c r="W25" s="7"/>
      <c r="X25" s="7"/>
      <c r="Y25" s="7">
        <f>Y22+Y23+Y24</f>
        <v>1.5148526816986663</v>
      </c>
      <c r="Z25" s="7"/>
      <c r="AA25" s="7"/>
      <c r="AB25" s="7"/>
      <c r="AC25" s="7">
        <f>AC22+AC24+AC23</f>
        <v>13.642500000000002</v>
      </c>
      <c r="AD25" s="7"/>
      <c r="AE25" s="7">
        <f>AE22+AE23+AE24</f>
        <v>4.5273000000000003</v>
      </c>
      <c r="AF25" s="2"/>
    </row>
    <row r="26" spans="1:32" x14ac:dyDescent="0.3">
      <c r="A26" s="10"/>
      <c r="B26" s="4"/>
      <c r="C26" s="1"/>
      <c r="D26" s="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"/>
    </row>
    <row r="27" spans="1:32" x14ac:dyDescent="0.3">
      <c r="A27" s="9" t="s">
        <v>35</v>
      </c>
      <c r="B27" s="3"/>
      <c r="C27" s="3"/>
      <c r="D27" s="3"/>
      <c r="E27" s="8">
        <f>E10+E14+E18+E25</f>
        <v>52.551184290000009</v>
      </c>
      <c r="F27" s="8"/>
      <c r="G27" s="8"/>
      <c r="H27" s="8"/>
      <c r="I27" s="8">
        <f>I10+I14+I18+I25</f>
        <v>52.912692650000011</v>
      </c>
      <c r="J27" s="8"/>
      <c r="K27" s="8"/>
      <c r="L27" s="8"/>
      <c r="M27" s="8">
        <f>M10+M14+M18+M25</f>
        <v>53.150976810000003</v>
      </c>
      <c r="N27" s="8"/>
      <c r="O27" s="8"/>
      <c r="P27" s="8"/>
      <c r="Q27" s="8">
        <f>Q10+Q14+Q18+Q25</f>
        <v>21.295809412983139</v>
      </c>
      <c r="R27" s="8"/>
      <c r="S27" s="8"/>
      <c r="T27" s="8"/>
      <c r="U27" s="8">
        <f>U10+U14+U18+U25</f>
        <v>21.528940999999996</v>
      </c>
      <c r="V27" s="8"/>
      <c r="W27" s="8"/>
      <c r="X27" s="8"/>
      <c r="Y27" s="8">
        <f>Y10+Y14+Y18+Y25</f>
        <v>21.832523681698664</v>
      </c>
      <c r="Z27" s="8"/>
      <c r="AA27" s="8"/>
      <c r="AB27" s="8"/>
      <c r="AC27" s="8">
        <f>E27+I27+M27</f>
        <v>158.61485375000001</v>
      </c>
      <c r="AD27" s="8"/>
      <c r="AE27" s="8">
        <f>Q27+U27+Y27</f>
        <v>64.657274094681796</v>
      </c>
      <c r="AF27" s="3"/>
    </row>
    <row r="29" spans="1:32" x14ac:dyDescent="0.3">
      <c r="A29" s="4"/>
      <c r="B29" s="4"/>
      <c r="C29" s="11"/>
    </row>
    <row r="30" spans="1:32" x14ac:dyDescent="0.3">
      <c r="A30" s="13"/>
      <c r="C30" s="4"/>
      <c r="D30" s="4"/>
      <c r="E30" s="4"/>
      <c r="F30" s="4"/>
      <c r="H30" s="4"/>
      <c r="I30" s="4"/>
      <c r="J30" s="4"/>
    </row>
    <row r="31" spans="1:32" x14ac:dyDescent="0.3">
      <c r="C31" s="12"/>
      <c r="D31" s="12"/>
      <c r="E31" s="12"/>
      <c r="F31" s="11"/>
      <c r="G31" s="12"/>
    </row>
    <row r="32" spans="1:32" x14ac:dyDescent="0.3">
      <c r="C32" s="12"/>
      <c r="D32" s="12"/>
      <c r="E32" s="12"/>
      <c r="F32" s="11"/>
      <c r="G32" s="12"/>
    </row>
    <row r="33" spans="1:10" x14ac:dyDescent="0.3">
      <c r="H33" s="4"/>
      <c r="I33" s="4"/>
      <c r="J33" s="4"/>
    </row>
    <row r="34" spans="1:10" x14ac:dyDescent="0.3">
      <c r="A34" s="13"/>
    </row>
    <row r="36" spans="1:10" x14ac:dyDescent="0.3">
      <c r="C36" s="12"/>
      <c r="D36" s="12"/>
      <c r="E36" s="12"/>
      <c r="F36" s="12"/>
      <c r="G36" s="12"/>
    </row>
    <row r="37" spans="1:10" x14ac:dyDescent="0.3">
      <c r="C37" s="12"/>
      <c r="D37" s="12"/>
      <c r="E37" s="12"/>
      <c r="F37" s="11"/>
      <c r="G37" s="12"/>
    </row>
    <row r="38" spans="1:10" x14ac:dyDescent="0.3">
      <c r="H38" s="4"/>
      <c r="I38" s="4"/>
      <c r="J38" s="4"/>
    </row>
  </sheetData>
  <mergeCells count="25">
    <mergeCell ref="A1:XFD1"/>
    <mergeCell ref="A22:A25"/>
    <mergeCell ref="A11:A14"/>
    <mergeCell ref="S3:T3"/>
    <mergeCell ref="AA3:AB3"/>
    <mergeCell ref="E3:F3"/>
    <mergeCell ref="G3:H3"/>
    <mergeCell ref="U3:V3"/>
    <mergeCell ref="W3:X3"/>
    <mergeCell ref="Y3:Z3"/>
    <mergeCell ref="A15:A18"/>
    <mergeCell ref="A2:A3"/>
    <mergeCell ref="E2:H2"/>
    <mergeCell ref="AC2:AD2"/>
    <mergeCell ref="AE2:AF2"/>
    <mergeCell ref="I3:J3"/>
    <mergeCell ref="Q2:T2"/>
    <mergeCell ref="U2:X2"/>
    <mergeCell ref="Y2:AB2"/>
    <mergeCell ref="Q3:R3"/>
    <mergeCell ref="K3:L3"/>
    <mergeCell ref="M3:N3"/>
    <mergeCell ref="O3:P3"/>
    <mergeCell ref="I2:L2"/>
    <mergeCell ref="M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Henson, Ian</dc:creator>
  <cp:lastModifiedBy>Celia Johnson</cp:lastModifiedBy>
  <dcterms:created xsi:type="dcterms:W3CDTF">2016-06-16T16:40:06Z</dcterms:created>
  <dcterms:modified xsi:type="dcterms:W3CDTF">2016-08-30T15:10:30Z</dcterms:modified>
</cp:coreProperties>
</file>