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076" yWindow="480" windowWidth="15996" windowHeight="7860"/>
  </bookViews>
  <sheets>
    <sheet name="Dept. Commerce" sheetId="1" r:id="rId1"/>
  </sheets>
  <calcPr calcId="145621"/>
</workbook>
</file>

<file path=xl/calcChain.xml><?xml version="1.0" encoding="utf-8"?>
<calcChain xmlns="http://schemas.openxmlformats.org/spreadsheetml/2006/main">
  <c r="H43" i="1" l="1"/>
  <c r="H45" i="1"/>
  <c r="H44" i="1"/>
  <c r="H42" i="1"/>
  <c r="H46" i="1" s="1"/>
  <c r="H24" i="1" l="1"/>
  <c r="L41" i="1" l="1"/>
  <c r="L40" i="1"/>
  <c r="L39" i="1"/>
  <c r="L38" i="1"/>
  <c r="L23" i="1"/>
  <c r="L22" i="1"/>
  <c r="L21" i="1"/>
  <c r="L20" i="1"/>
  <c r="L19" i="1"/>
  <c r="M14" i="1"/>
  <c r="H33" i="1" l="1"/>
  <c r="H14" i="1"/>
  <c r="L10" i="1" l="1"/>
  <c r="L8" i="1"/>
  <c r="L13" i="1"/>
  <c r="L9" i="1"/>
  <c r="L11" i="1"/>
  <c r="L12" i="1"/>
  <c r="L32" i="1"/>
  <c r="L28" i="1"/>
  <c r="L29" i="1"/>
  <c r="L31" i="1"/>
  <c r="L27" i="1"/>
  <c r="L30" i="1"/>
  <c r="L26" i="1"/>
  <c r="N33" i="1" l="1"/>
  <c r="Q32" i="1"/>
  <c r="Q31" i="1"/>
  <c r="Q30" i="1"/>
  <c r="Q29" i="1"/>
  <c r="Q21" i="1"/>
  <c r="Q20" i="1"/>
  <c r="Q13" i="1"/>
  <c r="Q12" i="1"/>
  <c r="Q11" i="1"/>
  <c r="Q10" i="1"/>
  <c r="N42" i="1"/>
  <c r="M24" i="1"/>
  <c r="Q24" i="1" s="1"/>
  <c r="N37" i="1"/>
  <c r="M18" i="1"/>
  <c r="H37" i="1"/>
  <c r="H18" i="1"/>
  <c r="Q36" i="1"/>
  <c r="Q35" i="1"/>
  <c r="Q34" i="1"/>
  <c r="Q26" i="1"/>
  <c r="Q17" i="1"/>
  <c r="Q16" i="1"/>
  <c r="Q8" i="1"/>
  <c r="Q15" i="1"/>
  <c r="L15" i="1" l="1"/>
  <c r="J18" i="1"/>
  <c r="L35" i="1"/>
  <c r="M43" i="1"/>
  <c r="Q37" i="1"/>
  <c r="L34" i="1"/>
  <c r="L16" i="1"/>
  <c r="L36" i="1"/>
  <c r="L17" i="1"/>
  <c r="Q18" i="1"/>
  <c r="O14" i="1" l="1"/>
  <c r="J40" i="1"/>
  <c r="J31" i="1"/>
  <c r="J27" i="1"/>
  <c r="J28" i="1"/>
  <c r="J39" i="1"/>
  <c r="J30" i="1"/>
  <c r="J32" i="1"/>
  <c r="J38" i="1"/>
  <c r="J29" i="1"/>
  <c r="J41" i="1"/>
  <c r="O10" i="1"/>
  <c r="I8" i="1"/>
  <c r="I38" i="1"/>
  <c r="I29" i="1"/>
  <c r="I23" i="1"/>
  <c r="I19" i="1"/>
  <c r="I11" i="1"/>
  <c r="I9" i="1"/>
  <c r="I30" i="1"/>
  <c r="I20" i="1"/>
  <c r="I41" i="1"/>
  <c r="I32" i="1"/>
  <c r="I28" i="1"/>
  <c r="I22" i="1"/>
  <c r="I10" i="1"/>
  <c r="I13" i="1"/>
  <c r="I39" i="1"/>
  <c r="I40" i="1"/>
  <c r="I31" i="1"/>
  <c r="I27" i="1"/>
  <c r="I21" i="1"/>
  <c r="I12" i="1"/>
  <c r="I14" i="1"/>
  <c r="I33" i="1"/>
  <c r="I37" i="1"/>
  <c r="J20" i="1"/>
  <c r="J12" i="1"/>
  <c r="J22" i="1"/>
  <c r="J10" i="1"/>
  <c r="J13" i="1"/>
  <c r="J23" i="1"/>
  <c r="J19" i="1"/>
  <c r="J11" i="1"/>
  <c r="J9" i="1"/>
  <c r="J21" i="1"/>
  <c r="I18" i="1"/>
  <c r="O12" i="1"/>
  <c r="O13" i="1"/>
  <c r="O23" i="1"/>
  <c r="O19" i="1"/>
  <c r="O22" i="1"/>
  <c r="O21" i="1"/>
  <c r="O20" i="1"/>
  <c r="O18" i="1"/>
  <c r="O11" i="1"/>
  <c r="J14" i="1"/>
  <c r="J26" i="1"/>
  <c r="J42" i="1"/>
  <c r="J34" i="1"/>
  <c r="J36" i="1"/>
  <c r="J35" i="1"/>
  <c r="J33" i="1"/>
  <c r="J37" i="1"/>
  <c r="J16" i="1"/>
  <c r="J17" i="1"/>
  <c r="J8" i="1"/>
  <c r="J24" i="1"/>
  <c r="J15" i="1"/>
  <c r="I42" i="1"/>
  <c r="K39" i="1" l="1"/>
  <c r="K35" i="1"/>
  <c r="K31" i="1"/>
  <c r="K27" i="1"/>
  <c r="K22" i="1"/>
  <c r="K11" i="1"/>
  <c r="K40" i="1"/>
  <c r="K28" i="1"/>
  <c r="K15" i="1"/>
  <c r="K8" i="1"/>
  <c r="K42" i="1"/>
  <c r="K38" i="1"/>
  <c r="K34" i="1"/>
  <c r="K30" i="1"/>
  <c r="K26" i="1"/>
  <c r="K21" i="1"/>
  <c r="K17" i="1"/>
  <c r="K10" i="1"/>
  <c r="K36" i="1"/>
  <c r="K19" i="1"/>
  <c r="K12" i="1"/>
  <c r="K41" i="1"/>
  <c r="K29" i="1"/>
  <c r="K24" i="1"/>
  <c r="K20" i="1"/>
  <c r="K16" i="1"/>
  <c r="K13" i="1"/>
  <c r="K9" i="1"/>
  <c r="K32" i="1"/>
  <c r="K23" i="1"/>
  <c r="K14" i="1"/>
  <c r="K33" i="1"/>
  <c r="K18" i="1"/>
  <c r="K37" i="1"/>
  <c r="K43" i="1"/>
  <c r="N43" i="1" l="1"/>
  <c r="O39" i="1" l="1"/>
  <c r="O30" i="1"/>
  <c r="O38" i="1"/>
  <c r="O29" i="1"/>
  <c r="O41" i="1"/>
  <c r="O32" i="1"/>
  <c r="O28" i="1"/>
  <c r="O40" i="1"/>
  <c r="O31" i="1"/>
  <c r="O27" i="1"/>
  <c r="O33" i="1"/>
  <c r="O37" i="1"/>
  <c r="Q33" i="1"/>
  <c r="Q14" i="1" l="1"/>
  <c r="V34" i="1"/>
  <c r="V26" i="1"/>
  <c r="V17" i="1"/>
  <c r="V16" i="1"/>
  <c r="V15" i="1"/>
  <c r="V8" i="1"/>
  <c r="U8" i="1"/>
  <c r="U26" i="1"/>
  <c r="V43" i="1" l="1"/>
  <c r="O26" i="1"/>
  <c r="O36" i="1"/>
  <c r="O34" i="1"/>
  <c r="O43" i="1"/>
  <c r="O42" i="1"/>
  <c r="O35" i="1"/>
  <c r="U17" i="1" l="1"/>
  <c r="U35" i="1"/>
  <c r="U16" i="1"/>
  <c r="U43" i="1" l="1"/>
  <c r="I26" i="1"/>
  <c r="I34" i="1"/>
  <c r="I35" i="1"/>
  <c r="I36" i="1"/>
  <c r="L3" i="1" l="1"/>
  <c r="L4" i="1"/>
  <c r="L5" i="1"/>
  <c r="L6" i="1"/>
  <c r="L7" i="1"/>
  <c r="I15" i="1" l="1"/>
  <c r="I16" i="1"/>
  <c r="I17" i="1"/>
  <c r="I24" i="1"/>
  <c r="O7" i="1"/>
  <c r="O8" i="1"/>
  <c r="O15" i="1"/>
  <c r="O16" i="1"/>
  <c r="O17" i="1"/>
  <c r="O24" i="1"/>
  <c r="I6" i="1"/>
  <c r="I3" i="1"/>
  <c r="I5" i="1"/>
  <c r="I4" i="1"/>
  <c r="I43" i="1"/>
  <c r="I7" i="1"/>
  <c r="O6" i="1"/>
  <c r="O3" i="1"/>
  <c r="O5" i="1"/>
  <c r="O4" i="1"/>
</calcChain>
</file>

<file path=xl/comments1.xml><?xml version="1.0" encoding="utf-8"?>
<comments xmlns="http://schemas.openxmlformats.org/spreadsheetml/2006/main">
  <authors>
    <author>Lunn, Marion</author>
  </authors>
  <commentList>
    <comment ref="G8" authorId="0">
      <text>
        <r>
          <rPr>
            <sz val="9"/>
            <color indexed="81"/>
            <rFont val="Tahoma"/>
            <family val="2"/>
          </rPr>
          <t>Preliminary #s only, does not include all Aggregation/Key Account #s</t>
        </r>
      </text>
    </comment>
    <comment ref="M10" authorId="0">
      <text>
        <r>
          <rPr>
            <sz val="9"/>
            <color indexed="81"/>
            <rFont val="Tahoma"/>
            <family val="2"/>
          </rPr>
          <t>Preliminary data for WWT; no savings attributable to first year of CHP pilot</t>
        </r>
      </text>
    </comment>
    <comment ref="M12" authorId="0">
      <text>
        <r>
          <rPr>
            <sz val="9"/>
            <color indexed="81"/>
            <rFont val="Tahoma"/>
            <family val="2"/>
          </rPr>
          <t>Preliminary data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Lunn, Marion:</t>
        </r>
        <r>
          <rPr>
            <sz val="9"/>
            <color indexed="81"/>
            <rFont val="Tahoma"/>
            <family val="2"/>
          </rPr>
          <t xml:space="preserve">
Data not yet available</t>
        </r>
      </text>
    </comment>
    <comment ref="M16" authorId="0">
      <text>
        <r>
          <rPr>
            <sz val="9"/>
            <color indexed="81"/>
            <rFont val="Tahoma"/>
            <family val="2"/>
          </rPr>
          <t>Limited data available at this time, including does not reflect Wx which represents ~50% of budget and has historically highest TRC</t>
        </r>
      </text>
    </comment>
    <comment ref="P16" authorId="0">
      <text>
        <r>
          <rPr>
            <sz val="9"/>
            <color indexed="81"/>
            <rFont val="Tahoma"/>
            <family val="2"/>
          </rPr>
          <t>Note, TRCs for individual implementers varies widely</t>
        </r>
      </text>
    </comment>
    <comment ref="M17" authorId="0">
      <text>
        <r>
          <rPr>
            <sz val="9"/>
            <color indexed="81"/>
            <rFont val="Tahoma"/>
            <family val="2"/>
          </rPr>
          <t>Limited data available at this time</t>
        </r>
      </text>
    </comment>
    <comment ref="M19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M22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M23" authorId="0">
      <text>
        <r>
          <rPr>
            <sz val="9"/>
            <color indexed="81"/>
            <rFont val="Tahoma"/>
            <family val="2"/>
          </rPr>
          <t xml:space="preserve">Programs not evaluated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No savings in 1st year of CHP pilot (design phase)</t>
        </r>
      </text>
    </comment>
    <comment ref="N35" authorId="0">
      <text>
        <r>
          <rPr>
            <sz val="9"/>
            <color indexed="81"/>
            <rFont val="Tahoma"/>
            <family val="2"/>
          </rPr>
          <t>Limited data available at this time, including does not reflect Wx which represents ~50% of budget
and has historically highest TRC</t>
        </r>
      </text>
    </comment>
    <comment ref="N38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N40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N41" authorId="0">
      <text>
        <r>
          <rPr>
            <sz val="9"/>
            <color indexed="81"/>
            <rFont val="Tahoma"/>
            <family val="2"/>
          </rPr>
          <t>Programs not evaluated</t>
        </r>
      </text>
    </comment>
  </commentList>
</comments>
</file>

<file path=xl/sharedStrings.xml><?xml version="1.0" encoding="utf-8"?>
<sst xmlns="http://schemas.openxmlformats.org/spreadsheetml/2006/main" count="310" uniqueCount="123">
  <si>
    <t>Program Name</t>
  </si>
  <si>
    <t>Actual/Est. completion</t>
  </si>
  <si>
    <t>Expected Changes (i.e. baseline changes?)</t>
  </si>
  <si>
    <t>Target Market (ie MF, SBus, Mod-Low)</t>
  </si>
  <si>
    <t>EEPS</t>
  </si>
  <si>
    <t>Residential Programs</t>
  </si>
  <si>
    <t>Res</t>
  </si>
  <si>
    <t>All Res</t>
  </si>
  <si>
    <t xml:space="preserve"> Major changes made throughout the Year</t>
  </si>
  <si>
    <t>Type of Program</t>
  </si>
  <si>
    <t>C/I</t>
  </si>
  <si>
    <t>DI/Rebate</t>
  </si>
  <si>
    <t>Multifamily Programs</t>
  </si>
  <si>
    <t>Multifamily</t>
  </si>
  <si>
    <t>Res/MF</t>
  </si>
  <si>
    <t>Res Outreach &amp; Education</t>
  </si>
  <si>
    <t>Behavior</t>
  </si>
  <si>
    <t>Business Programs</t>
  </si>
  <si>
    <t>Small Business Programs</t>
  </si>
  <si>
    <t>All C/I</t>
  </si>
  <si>
    <t>Small Business</t>
  </si>
  <si>
    <t>Totals</t>
  </si>
  <si>
    <t>% of Cust Class Pgm Budget</t>
  </si>
  <si>
    <t>$/En Saved              1st Yr</t>
  </si>
  <si>
    <t>Customer Class</t>
  </si>
  <si>
    <t>Participation Status (waiting list? Forecast for future? Other comments?)</t>
  </si>
  <si>
    <t>(Designate Ex Post or Ex Ante )</t>
  </si>
  <si>
    <t>PS</t>
  </si>
  <si>
    <t>LI</t>
  </si>
  <si>
    <t>Rebate</t>
  </si>
  <si>
    <t>Grant</t>
  </si>
  <si>
    <t>Affordable Housing NC</t>
  </si>
  <si>
    <t>Residential Retrofit</t>
  </si>
  <si>
    <t>EEPS E</t>
  </si>
  <si>
    <t>EEPS G</t>
  </si>
  <si>
    <t>Gross Savings kWh</t>
  </si>
  <si>
    <t>Gross Savings therms</t>
  </si>
  <si>
    <t>Exp*</t>
  </si>
  <si>
    <t>Budget (EXP)*</t>
  </si>
  <si>
    <t>Portfolio Total Budget</t>
  </si>
  <si>
    <t>Program Total Expenditures</t>
  </si>
  <si>
    <t>% of Program Savings (E/G)</t>
  </si>
  <si>
    <t>Budget (EXP)**</t>
  </si>
  <si>
    <t>**In millions</t>
  </si>
  <si>
    <t>*May include multiple units per proj.</t>
  </si>
  <si>
    <t>Public Housing Authority</t>
  </si>
  <si>
    <t>All</t>
  </si>
  <si>
    <t>Illinois Department of Commerce &amp; Economic Opportunity</t>
  </si>
  <si>
    <t>Year EPY7/GPY4</t>
  </si>
  <si>
    <t>N/A</t>
  </si>
  <si>
    <t>LOW INCOME</t>
  </si>
  <si>
    <t>MARKET TRANSFORMATION</t>
  </si>
  <si>
    <t>PUBLIC SECTOR</t>
  </si>
  <si>
    <t>TRC PY6 Draft WACC w/out NEBs</t>
  </si>
  <si>
    <t>Portfolio Total Expenditures</t>
  </si>
  <si>
    <t>Program Expenditures Electric</t>
  </si>
  <si>
    <t>Program Expenditures Gas</t>
  </si>
  <si>
    <t>SEDAC</t>
  </si>
  <si>
    <t>Retrocommissioning</t>
  </si>
  <si>
    <t>Codes</t>
  </si>
  <si>
    <t>BOC</t>
  </si>
  <si>
    <t>Lights For Learning</t>
  </si>
  <si>
    <t>New Construction</t>
  </si>
  <si>
    <t>Wastewater Treatment &amp; CHP</t>
  </si>
  <si>
    <t>STEP</t>
  </si>
  <si>
    <t>Other***</t>
  </si>
  <si>
    <t>***Includes: Illinois Home Performance, Trade Ally, and BITE</t>
  </si>
  <si>
    <t>Boiler Tune-Up</t>
  </si>
  <si>
    <t>Budget as % of Program Expenditures</t>
  </si>
  <si>
    <t>Budget as % of Program Expenditures by Electric and Gas</t>
  </si>
  <si>
    <t>Budget as % of Portfolio Expenditures</t>
  </si>
  <si>
    <t>Public, C/I</t>
  </si>
  <si>
    <t>Public</t>
  </si>
  <si>
    <t>Res, C/I</t>
  </si>
  <si>
    <t>WWT; All</t>
  </si>
  <si>
    <t>All Public</t>
  </si>
  <si>
    <t>First-time Public</t>
  </si>
  <si>
    <t>PHAs</t>
  </si>
  <si>
    <t>MF</t>
  </si>
  <si>
    <t>Single and MF</t>
  </si>
  <si>
    <t>K-12</t>
  </si>
  <si>
    <t>Building Industry, Code Officials</t>
  </si>
  <si>
    <t>Joint (No, only where noted)</t>
  </si>
  <si>
    <t>No</t>
  </si>
  <si>
    <t>Incentive</t>
  </si>
  <si>
    <t>Self-Intall</t>
  </si>
  <si>
    <t>Education/Incentive</t>
  </si>
  <si>
    <t>Education</t>
  </si>
  <si>
    <t>Large oversubscription for CHP pilot and WWT</t>
  </si>
  <si>
    <t>Large oversubscription for CHP pilot and WWT, particularly in ComEd</t>
  </si>
  <si>
    <t>Projects waitlisted across all utilities</t>
  </si>
  <si>
    <t>Potential for new inroads w/CHA, given change in leadership</t>
  </si>
  <si>
    <t>Standard****</t>
  </si>
  <si>
    <t>Custom****</t>
  </si>
  <si>
    <t>****Includes Key Accounts and Aggregation</t>
  </si>
  <si>
    <t>Waitlist for ComEd, all funds committed midyear; oversubscription of "Key Accounts/Aggregation"</t>
  </si>
  <si>
    <t>Waitlist for Ameren Gas, all funds committed midyear; oversubscription of "Key Accounts/Aggregation"</t>
  </si>
  <si>
    <t>Funding freeze reduced $ expended</t>
  </si>
  <si>
    <t>First attempt at serving only first-time customers</t>
  </si>
  <si>
    <t>Major delay on part of Dept. to execute MOU, delayed utility work (though not Dept.)</t>
  </si>
  <si>
    <t>Reduced incentive level</t>
  </si>
  <si>
    <t>Oversubscribed in ComEd</t>
  </si>
  <si>
    <t>Added new TRM measures and adjusted incentive levels to improve cost effectiveness; limiting bonus coupons offered</t>
  </si>
  <si>
    <t>Added new TRM measures and adjusted incentive levels to improve cost-effectiveness; limiting bonus coupons offered</t>
  </si>
  <si>
    <t>Added measures and reduced incentive levels to improve cost-effectiveness; more stringent reporting requirements; reduced # of program implementers</t>
  </si>
  <si>
    <t>Exploring piloting smart thermostats in PY9</t>
  </si>
  <si>
    <t>Reducing MT budget</t>
  </si>
  <si>
    <t>Increasing Pub budget</t>
  </si>
  <si>
    <t>878 trained</t>
  </si>
  <si>
    <t>208 IHP trained, 1770 IHP certificates</t>
  </si>
  <si>
    <t>73 projects</t>
  </si>
  <si>
    <t>16 projects</t>
  </si>
  <si>
    <t>773 projects</t>
  </si>
  <si>
    <t>63 projects</t>
  </si>
  <si>
    <t>31 projects</t>
  </si>
  <si>
    <t>*****Participation numbers are aggregated for electric and gas</t>
  </si>
  <si>
    <t>Participation*,*****</t>
  </si>
  <si>
    <t>136 trained</t>
  </si>
  <si>
    <t>898 energy assessments</t>
  </si>
  <si>
    <t>12,090 individuals educated</t>
  </si>
  <si>
    <t>43 RCx/mini verified, 39 RCx/mini plans</t>
  </si>
  <si>
    <t>17 projects</t>
  </si>
  <si>
    <t>318 facilities participated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</si>
</sst>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5" fillId="0" borderId="0"/>
    <xf numFmtId="0" fontId="8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64" fontId="2" fillId="0" borderId="1" xfId="0" applyNumberFormat="1" applyFont="1" applyFill="1" applyBorder="1"/>
    <xf numFmtId="3" fontId="2" fillId="0" borderId="1" xfId="0" applyNumberFormat="1" applyFont="1" applyFill="1" applyBorder="1"/>
    <xf numFmtId="3" fontId="0" fillId="0" borderId="1" xfId="0" applyNumberFormat="1" applyFont="1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166" fontId="2" fillId="0" borderId="1" xfId="0" applyNumberFormat="1" applyFont="1" applyFill="1" applyBorder="1"/>
    <xf numFmtId="0" fontId="2" fillId="0" borderId="1" xfId="0" applyFont="1" applyFill="1" applyBorder="1"/>
    <xf numFmtId="164" fontId="0" fillId="0" borderId="1" xfId="0" applyNumberFormat="1" applyFon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166" fontId="0" fillId="0" borderId="2" xfId="0" applyNumberFormat="1" applyFill="1" applyBorder="1"/>
    <xf numFmtId="0" fontId="0" fillId="0" borderId="3" xfId="0" applyFill="1" applyBorder="1"/>
    <xf numFmtId="166" fontId="0" fillId="0" borderId="3" xfId="0" applyNumberFormat="1" applyFill="1" applyBorder="1"/>
    <xf numFmtId="3" fontId="0" fillId="0" borderId="2" xfId="0" applyNumberFormat="1" applyFill="1" applyBorder="1"/>
    <xf numFmtId="164" fontId="0" fillId="0" borderId="2" xfId="0" applyNumberFormat="1" applyFill="1" applyBorder="1"/>
    <xf numFmtId="0" fontId="0" fillId="0" borderId="2" xfId="0" applyFill="1" applyBorder="1"/>
    <xf numFmtId="0" fontId="0" fillId="0" borderId="4" xfId="0" applyBorder="1"/>
    <xf numFmtId="0" fontId="4" fillId="0" borderId="2" xfId="0" applyFont="1" applyBorder="1"/>
    <xf numFmtId="0" fontId="0" fillId="0" borderId="1" xfId="0" applyBorder="1" applyAlignment="1">
      <alignment horizontal="left" wrapText="1"/>
    </xf>
    <xf numFmtId="0" fontId="0" fillId="0" borderId="0" xfId="0" applyFill="1"/>
    <xf numFmtId="0" fontId="0" fillId="2" borderId="1" xfId="0" applyFont="1" applyFill="1" applyBorder="1"/>
    <xf numFmtId="0" fontId="0" fillId="2" borderId="1" xfId="0" applyFill="1" applyBorder="1"/>
    <xf numFmtId="166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0" fillId="2" borderId="0" xfId="0" applyFill="1"/>
    <xf numFmtId="2" fontId="1" fillId="0" borderId="3" xfId="0" applyNumberFormat="1" applyFont="1" applyFill="1" applyBorder="1" applyAlignment="1">
      <alignment horizontal="center"/>
    </xf>
    <xf numFmtId="166" fontId="1" fillId="0" borderId="3" xfId="0" applyNumberFormat="1" applyFont="1" applyFill="1" applyBorder="1"/>
    <xf numFmtId="9" fontId="2" fillId="0" borderId="3" xfId="1" applyNumberFormat="1" applyFont="1" applyFill="1" applyBorder="1"/>
    <xf numFmtId="165" fontId="0" fillId="0" borderId="3" xfId="0" applyNumberFormat="1" applyFill="1" applyBorder="1" applyAlignment="1"/>
    <xf numFmtId="9" fontId="2" fillId="0" borderId="1" xfId="1" applyNumberFormat="1" applyFont="1" applyFill="1" applyBorder="1"/>
    <xf numFmtId="9" fontId="0" fillId="0" borderId="1" xfId="0" applyNumberFormat="1" applyFill="1" applyBorder="1"/>
    <xf numFmtId="2" fontId="0" fillId="0" borderId="3" xfId="0" applyNumberFormat="1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ill="1" applyBorder="1" applyAlignment="1">
      <alignment horizontal="center" wrapText="1"/>
    </xf>
    <xf numFmtId="164" fontId="2" fillId="0" borderId="1" xfId="0" applyNumberFormat="1" applyFont="1" applyFill="1" applyBorder="1"/>
    <xf numFmtId="3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165" fontId="1" fillId="0" borderId="1" xfId="0" applyNumberFormat="1" applyFont="1" applyFill="1" applyBorder="1"/>
    <xf numFmtId="0" fontId="2" fillId="0" borderId="1" xfId="0" applyNumberFormat="1" applyFont="1" applyFill="1" applyBorder="1" applyAlignment="1"/>
    <xf numFmtId="0" fontId="2" fillId="0" borderId="1" xfId="0" applyFont="1" applyFill="1" applyBorder="1"/>
    <xf numFmtId="164" fontId="0" fillId="0" borderId="1" xfId="0" applyNumberFormat="1" applyFont="1" applyFill="1" applyBorder="1"/>
    <xf numFmtId="0" fontId="2" fillId="0" borderId="1" xfId="0" applyNumberFormat="1" applyFont="1" applyFill="1" applyBorder="1"/>
    <xf numFmtId="165" fontId="2" fillId="0" borderId="1" xfId="0" applyNumberFormat="1" applyFont="1" applyFill="1" applyBorder="1" applyAlignment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 applyAlignment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0" fontId="0" fillId="0" borderId="3" xfId="0" applyFill="1" applyBorder="1"/>
    <xf numFmtId="165" fontId="0" fillId="0" borderId="3" xfId="0" applyNumberFormat="1" applyFill="1" applyBorder="1"/>
    <xf numFmtId="2" fontId="0" fillId="0" borderId="3" xfId="0" applyNumberFormat="1" applyFill="1" applyBorder="1" applyAlignment="1">
      <alignment horizontal="center"/>
    </xf>
    <xf numFmtId="3" fontId="0" fillId="0" borderId="2" xfId="0" applyNumberFormat="1" applyFill="1" applyBorder="1"/>
    <xf numFmtId="164" fontId="0" fillId="0" borderId="2" xfId="0" applyNumberFormat="1" applyFill="1" applyBorder="1"/>
    <xf numFmtId="165" fontId="0" fillId="0" borderId="2" xfId="0" applyNumberFormat="1" applyFill="1" applyBorder="1"/>
    <xf numFmtId="2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4" fillId="0" borderId="1" xfId="0" applyFont="1" applyBorder="1"/>
    <xf numFmtId="165" fontId="0" fillId="2" borderId="1" xfId="0" applyNumberFormat="1" applyFill="1" applyBorder="1" applyAlignment="1"/>
    <xf numFmtId="9" fontId="2" fillId="0" borderId="1" xfId="1" applyFont="1" applyFill="1" applyBorder="1"/>
    <xf numFmtId="3" fontId="1" fillId="0" borderId="3" xfId="0" applyNumberFormat="1" applyFont="1" applyFill="1" applyBorder="1"/>
    <xf numFmtId="3" fontId="0" fillId="2" borderId="1" xfId="0" applyNumberFormat="1" applyFill="1" applyBorder="1"/>
    <xf numFmtId="9" fontId="0" fillId="2" borderId="1" xfId="0" applyNumberFormat="1" applyFill="1" applyBorder="1"/>
    <xf numFmtId="9" fontId="2" fillId="2" borderId="1" xfId="1" applyNumberFormat="1" applyFont="1" applyFill="1" applyBorder="1"/>
    <xf numFmtId="0" fontId="0" fillId="3" borderId="1" xfId="0" applyFont="1" applyFill="1" applyBorder="1"/>
    <xf numFmtId="0" fontId="0" fillId="3" borderId="1" xfId="0" applyFill="1" applyBorder="1"/>
    <xf numFmtId="166" fontId="0" fillId="3" borderId="1" xfId="0" applyNumberFormat="1" applyFill="1" applyBorder="1"/>
    <xf numFmtId="9" fontId="2" fillId="3" borderId="1" xfId="1" applyNumberFormat="1" applyFont="1" applyFill="1" applyBorder="1"/>
    <xf numFmtId="165" fontId="0" fillId="3" borderId="1" xfId="0" applyNumberFormat="1" applyFill="1" applyBorder="1" applyAlignment="1"/>
    <xf numFmtId="2" fontId="0" fillId="3" borderId="1" xfId="0" applyNumberFormat="1" applyFill="1" applyBorder="1" applyAlignment="1">
      <alignment horizontal="center"/>
    </xf>
    <xf numFmtId="0" fontId="0" fillId="3" borderId="0" xfId="0" applyFill="1"/>
    <xf numFmtId="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/>
    <xf numFmtId="3" fontId="0" fillId="0" borderId="1" xfId="0" applyNumberForma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9" fontId="0" fillId="0" borderId="1" xfId="0" applyNumberForma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5" xfId="0" applyFill="1" applyBorder="1"/>
    <xf numFmtId="0" fontId="1" fillId="0" borderId="1" xfId="0" applyFont="1" applyFill="1" applyBorder="1"/>
    <xf numFmtId="0" fontId="1" fillId="0" borderId="3" xfId="0" applyFont="1" applyFill="1" applyBorder="1"/>
    <xf numFmtId="3" fontId="0" fillId="3" borderId="1" xfId="0" applyNumberFormat="1" applyFill="1" applyBorder="1"/>
    <xf numFmtId="9" fontId="2" fillId="3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6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0" borderId="0" xfId="0" applyFont="1" applyFill="1"/>
    <xf numFmtId="0" fontId="0" fillId="0" borderId="1" xfId="0" applyBorder="1" applyAlignment="1">
      <alignment horizontal="left" wrapText="1"/>
    </xf>
    <xf numFmtId="0" fontId="11" fillId="0" borderId="3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3" fontId="0" fillId="0" borderId="3" xfId="0" applyNumberFormat="1" applyFill="1" applyBorder="1"/>
    <xf numFmtId="3" fontId="0" fillId="0" borderId="2" xfId="0" applyNumberFormat="1" applyFill="1" applyBorder="1"/>
  </cellXfs>
  <cellStyles count="15">
    <cellStyle name="Comma 2" xfId="2"/>
    <cellStyle name="Comma 3" xfId="3"/>
    <cellStyle name="Comma 4" xfId="4"/>
    <cellStyle name="Comma 5" xfId="5"/>
    <cellStyle name="Normal" xfId="0" builtinId="0"/>
    <cellStyle name="Normal 2" xfId="6"/>
    <cellStyle name="Normal 3" xfId="7"/>
    <cellStyle name="Normal 4" xfId="8"/>
    <cellStyle name="Normal 5" xfId="9"/>
    <cellStyle name="Normal 53" xfId="10"/>
    <cellStyle name="Normal 6" xfId="11"/>
    <cellStyle name="Percent" xfId="1" builtinId="5"/>
    <cellStyle name="Percent 2" xfId="12"/>
    <cellStyle name="Percent 3" xfId="13"/>
    <cellStyle name="Percent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7"/>
  <sheetViews>
    <sheetView tabSelected="1" workbookViewId="0">
      <pane xSplit="5" topLeftCell="K1" activePane="topRight" state="frozen"/>
      <selection pane="topRight" activeCell="M21" sqref="M21"/>
    </sheetView>
  </sheetViews>
  <sheetFormatPr defaultRowHeight="14.4" x14ac:dyDescent="0.3"/>
  <cols>
    <col min="2" max="2" width="33" customWidth="1"/>
    <col min="3" max="3" width="10.44140625" customWidth="1"/>
    <col min="4" max="4" width="17.109375" style="41" customWidth="1"/>
    <col min="5" max="5" width="18.33203125" customWidth="1"/>
    <col min="6" max="6" width="7.33203125" customWidth="1"/>
    <col min="7" max="7" width="30" style="109" customWidth="1"/>
    <col min="8" max="12" width="12.88671875" style="41" customWidth="1"/>
    <col min="13" max="14" width="13.5546875" style="105" customWidth="1"/>
    <col min="15" max="15" width="13.5546875" style="117" customWidth="1"/>
    <col min="16" max="16" width="13.5546875" style="103" customWidth="1"/>
    <col min="17" max="17" width="13.5546875" customWidth="1"/>
    <col min="18" max="18" width="43.109375" customWidth="1"/>
    <col min="19" max="19" width="41.6640625" customWidth="1"/>
    <col min="20" max="20" width="42.33203125" customWidth="1"/>
    <col min="21" max="22" width="14.6640625" hidden="1" customWidth="1"/>
  </cols>
  <sheetData>
    <row r="1" spans="1:22" s="10" customFormat="1" ht="75" x14ac:dyDescent="0.25">
      <c r="A1" s="136" t="s">
        <v>48</v>
      </c>
      <c r="B1" s="136"/>
      <c r="C1" s="136" t="s">
        <v>47</v>
      </c>
      <c r="D1" s="136"/>
      <c r="E1" s="136"/>
      <c r="F1" s="11"/>
      <c r="G1" s="40" t="s">
        <v>116</v>
      </c>
      <c r="H1" s="57" t="s">
        <v>42</v>
      </c>
      <c r="I1" s="57" t="s">
        <v>68</v>
      </c>
      <c r="J1" s="57" t="s">
        <v>69</v>
      </c>
      <c r="K1" s="57" t="s">
        <v>70</v>
      </c>
      <c r="L1" s="57" t="s">
        <v>22</v>
      </c>
      <c r="M1" s="106" t="s">
        <v>35</v>
      </c>
      <c r="N1" s="106" t="s">
        <v>36</v>
      </c>
      <c r="O1" s="110" t="s">
        <v>41</v>
      </c>
      <c r="P1" s="57" t="s">
        <v>53</v>
      </c>
      <c r="Q1" s="12" t="s">
        <v>23</v>
      </c>
      <c r="R1" s="18"/>
      <c r="S1" s="9"/>
      <c r="T1" s="9"/>
      <c r="U1" s="12" t="s">
        <v>37</v>
      </c>
      <c r="V1" s="12" t="s">
        <v>38</v>
      </c>
    </row>
    <row r="2" spans="1:22" s="1" customFormat="1" ht="78.75" customHeight="1" x14ac:dyDescent="0.25">
      <c r="A2" s="11" t="s">
        <v>4</v>
      </c>
      <c r="B2" s="2" t="s">
        <v>0</v>
      </c>
      <c r="C2" s="2" t="s">
        <v>24</v>
      </c>
      <c r="D2" s="57" t="s">
        <v>9</v>
      </c>
      <c r="E2" s="2" t="s">
        <v>3</v>
      </c>
      <c r="F2" s="2" t="s">
        <v>82</v>
      </c>
      <c r="G2" s="126"/>
      <c r="H2" s="57" t="s">
        <v>1</v>
      </c>
      <c r="I2" s="57" t="s">
        <v>1</v>
      </c>
      <c r="J2" s="57"/>
      <c r="K2" s="57"/>
      <c r="L2" s="57" t="s">
        <v>1</v>
      </c>
      <c r="M2" s="106" t="s">
        <v>1</v>
      </c>
      <c r="N2" s="106" t="s">
        <v>1</v>
      </c>
      <c r="O2" s="110" t="s">
        <v>1</v>
      </c>
      <c r="P2" s="57"/>
      <c r="Q2" s="12" t="s">
        <v>26</v>
      </c>
      <c r="R2" s="12" t="s">
        <v>25</v>
      </c>
      <c r="S2" s="2" t="s">
        <v>8</v>
      </c>
      <c r="T2" s="2" t="s">
        <v>2</v>
      </c>
      <c r="U2" s="12" t="s">
        <v>1</v>
      </c>
      <c r="V2" s="12" t="s">
        <v>1</v>
      </c>
    </row>
    <row r="3" spans="1:22" s="7" customFormat="1" ht="15" hidden="1" x14ac:dyDescent="0.25">
      <c r="A3" s="6" t="s">
        <v>4</v>
      </c>
      <c r="B3" s="6" t="s">
        <v>5</v>
      </c>
      <c r="C3" s="6" t="s">
        <v>6</v>
      </c>
      <c r="D3" s="70" t="s">
        <v>11</v>
      </c>
      <c r="E3" s="6" t="s">
        <v>7</v>
      </c>
      <c r="F3" s="6"/>
      <c r="G3" s="127"/>
      <c r="H3" s="58"/>
      <c r="I3" s="58">
        <f t="shared" ref="I3:I18" si="0">+H3/$H$43</f>
        <v>0</v>
      </c>
      <c r="J3" s="58"/>
      <c r="K3" s="58"/>
      <c r="L3" s="69" t="e">
        <f>+H3/(H3+H4+H5)</f>
        <v>#DIV/0!</v>
      </c>
      <c r="M3" s="59"/>
      <c r="N3" s="59"/>
      <c r="O3" s="111">
        <f t="shared" ref="O3:O8" si="1">+M3/$M$43</f>
        <v>0</v>
      </c>
      <c r="P3" s="60"/>
      <c r="Q3" s="19"/>
      <c r="R3" s="20"/>
      <c r="S3" s="6"/>
      <c r="T3" s="6"/>
      <c r="U3" s="14"/>
      <c r="V3" s="13"/>
    </row>
    <row r="4" spans="1:22" s="5" customFormat="1" ht="15" hidden="1" x14ac:dyDescent="0.25">
      <c r="A4" s="4" t="s">
        <v>4</v>
      </c>
      <c r="B4" s="4" t="s">
        <v>12</v>
      </c>
      <c r="C4" s="4" t="s">
        <v>14</v>
      </c>
      <c r="D4" s="70" t="s">
        <v>11</v>
      </c>
      <c r="E4" s="4" t="s">
        <v>13</v>
      </c>
      <c r="F4" s="4"/>
      <c r="G4" s="128"/>
      <c r="H4" s="71"/>
      <c r="I4" s="72">
        <f t="shared" si="0"/>
        <v>0</v>
      </c>
      <c r="J4" s="72"/>
      <c r="K4" s="72"/>
      <c r="L4" s="73" t="e">
        <f>+H4/(H3+H4+H5)</f>
        <v>#DIV/0!</v>
      </c>
      <c r="M4" s="61"/>
      <c r="N4" s="61"/>
      <c r="O4" s="111">
        <f t="shared" si="1"/>
        <v>0</v>
      </c>
      <c r="P4" s="62"/>
      <c r="Q4" s="22"/>
      <c r="R4" s="23"/>
      <c r="S4" s="4"/>
      <c r="T4" s="4"/>
      <c r="U4" s="15"/>
      <c r="V4" s="21"/>
    </row>
    <row r="5" spans="1:22" ht="15" hidden="1" x14ac:dyDescent="0.25">
      <c r="A5" s="4" t="s">
        <v>4</v>
      </c>
      <c r="B5" s="3" t="s">
        <v>15</v>
      </c>
      <c r="C5" s="3" t="s">
        <v>6</v>
      </c>
      <c r="D5" s="76" t="s">
        <v>16</v>
      </c>
      <c r="E5" s="3" t="s">
        <v>7</v>
      </c>
      <c r="F5" s="3"/>
      <c r="G5" s="129"/>
      <c r="H5" s="74"/>
      <c r="I5" s="72">
        <f t="shared" si="0"/>
        <v>0</v>
      </c>
      <c r="J5" s="72"/>
      <c r="K5" s="72"/>
      <c r="L5" s="73" t="e">
        <f>+H5/(H3+H4+H5)</f>
        <v>#DIV/0!</v>
      </c>
      <c r="M5" s="63"/>
      <c r="N5" s="63"/>
      <c r="O5" s="111">
        <f t="shared" si="1"/>
        <v>0</v>
      </c>
      <c r="P5" s="64"/>
      <c r="Q5" s="25"/>
      <c r="R5" s="26"/>
      <c r="S5" s="3"/>
      <c r="T5" s="3"/>
      <c r="U5" s="16"/>
      <c r="V5" s="24"/>
    </row>
    <row r="6" spans="1:22" ht="15" hidden="1" x14ac:dyDescent="0.25">
      <c r="A6" s="4" t="s">
        <v>4</v>
      </c>
      <c r="B6" s="3" t="s">
        <v>17</v>
      </c>
      <c r="C6" s="3" t="s">
        <v>10</v>
      </c>
      <c r="D6" s="76" t="s">
        <v>11</v>
      </c>
      <c r="E6" s="3" t="s">
        <v>19</v>
      </c>
      <c r="F6" s="3"/>
      <c r="G6" s="129"/>
      <c r="H6" s="74"/>
      <c r="I6" s="72">
        <f t="shared" si="0"/>
        <v>0</v>
      </c>
      <c r="J6" s="72"/>
      <c r="K6" s="72"/>
      <c r="L6" s="77" t="e">
        <f>+H6/(H6+H7)</f>
        <v>#DIV/0!</v>
      </c>
      <c r="M6" s="63"/>
      <c r="N6" s="63"/>
      <c r="O6" s="111">
        <f t="shared" si="1"/>
        <v>0</v>
      </c>
      <c r="P6" s="64"/>
      <c r="Q6" s="25"/>
      <c r="R6" s="26"/>
      <c r="S6" s="3"/>
      <c r="T6" s="3"/>
      <c r="U6" s="16"/>
      <c r="V6" s="24"/>
    </row>
    <row r="7" spans="1:22" ht="15" hidden="1" x14ac:dyDescent="0.25">
      <c r="A7" s="4" t="s">
        <v>4</v>
      </c>
      <c r="B7" s="3" t="s">
        <v>18</v>
      </c>
      <c r="C7" s="3" t="s">
        <v>10</v>
      </c>
      <c r="D7" s="76" t="s">
        <v>11</v>
      </c>
      <c r="E7" s="3" t="s">
        <v>20</v>
      </c>
      <c r="F7" s="3"/>
      <c r="G7" s="129"/>
      <c r="H7" s="74"/>
      <c r="I7" s="72">
        <f t="shared" si="0"/>
        <v>0</v>
      </c>
      <c r="J7" s="72"/>
      <c r="K7" s="72"/>
      <c r="L7" s="77" t="e">
        <f>+H7/(H6+H7)</f>
        <v>#DIV/0!</v>
      </c>
      <c r="M7" s="63"/>
      <c r="N7" s="63"/>
      <c r="O7" s="111">
        <f t="shared" si="1"/>
        <v>0</v>
      </c>
      <c r="P7" s="64"/>
      <c r="Q7" s="25"/>
      <c r="R7" s="26"/>
      <c r="S7" s="3"/>
      <c r="T7" s="3"/>
      <c r="U7" s="16"/>
      <c r="V7" s="24"/>
    </row>
    <row r="8" spans="1:22" x14ac:dyDescent="0.3">
      <c r="A8" s="4" t="s">
        <v>33</v>
      </c>
      <c r="B8" s="76" t="s">
        <v>92</v>
      </c>
      <c r="C8" s="3" t="s">
        <v>27</v>
      </c>
      <c r="D8" s="76" t="s">
        <v>29</v>
      </c>
      <c r="E8" s="3" t="s">
        <v>75</v>
      </c>
      <c r="F8" s="3"/>
      <c r="G8" s="137" t="s">
        <v>112</v>
      </c>
      <c r="H8" s="75">
        <v>17.690000000000001</v>
      </c>
      <c r="I8" s="90">
        <f t="shared" si="0"/>
        <v>0.27727272727272734</v>
      </c>
      <c r="J8" s="51">
        <f>H8/H44</f>
        <v>0.38100366142580239</v>
      </c>
      <c r="K8" s="51">
        <f t="shared" ref="K8:K24" si="2">+H8/$H$46</f>
        <v>0.25563583815028906</v>
      </c>
      <c r="L8" s="77">
        <f t="shared" ref="L8:L13" si="3">+H8/$H$14</f>
        <v>0.63724783861671475</v>
      </c>
      <c r="M8" s="139">
        <v>85718965</v>
      </c>
      <c r="N8" s="104" t="s">
        <v>49</v>
      </c>
      <c r="O8" s="111">
        <f t="shared" si="1"/>
        <v>0.67736683631717254</v>
      </c>
      <c r="P8" s="64">
        <v>1.27</v>
      </c>
      <c r="Q8" s="123">
        <f>(H8*1000000)/M8</f>
        <v>0.2063720671382348</v>
      </c>
      <c r="R8" s="76" t="s">
        <v>95</v>
      </c>
      <c r="S8" s="76" t="s">
        <v>97</v>
      </c>
      <c r="T8" s="76" t="s">
        <v>103</v>
      </c>
      <c r="U8" s="25">
        <f>16.71+2.56</f>
        <v>19.27</v>
      </c>
      <c r="V8" s="25">
        <f>21.24</f>
        <v>21.24</v>
      </c>
    </row>
    <row r="9" spans="1:22" s="54" customFormat="1" x14ac:dyDescent="0.3">
      <c r="A9" s="56" t="s">
        <v>33</v>
      </c>
      <c r="B9" s="76" t="s">
        <v>93</v>
      </c>
      <c r="C9" s="55" t="s">
        <v>27</v>
      </c>
      <c r="D9" s="76" t="s">
        <v>29</v>
      </c>
      <c r="E9" s="55" t="s">
        <v>75</v>
      </c>
      <c r="F9" s="55"/>
      <c r="G9" s="138"/>
      <c r="H9" s="75">
        <v>3.54</v>
      </c>
      <c r="I9" s="90">
        <f t="shared" si="0"/>
        <v>5.548589341692791E-2</v>
      </c>
      <c r="J9" s="51">
        <f>H9/H44</f>
        <v>7.6243807882834386E-2</v>
      </c>
      <c r="K9" s="51">
        <f t="shared" si="2"/>
        <v>5.1156069364161859E-2</v>
      </c>
      <c r="L9" s="77">
        <f t="shared" si="3"/>
        <v>0.12752161383285304</v>
      </c>
      <c r="M9" s="140"/>
      <c r="N9" s="104" t="s">
        <v>49</v>
      </c>
      <c r="O9" s="111">
        <v>0</v>
      </c>
      <c r="P9" s="64">
        <v>2.59</v>
      </c>
      <c r="Q9" s="123" t="s">
        <v>49</v>
      </c>
      <c r="R9" s="76"/>
      <c r="S9" s="76"/>
      <c r="T9" s="76"/>
      <c r="U9" s="75"/>
      <c r="V9" s="75"/>
    </row>
    <row r="10" spans="1:22" s="54" customFormat="1" ht="15" x14ac:dyDescent="0.25">
      <c r="A10" s="56" t="s">
        <v>33</v>
      </c>
      <c r="B10" s="76" t="s">
        <v>63</v>
      </c>
      <c r="C10" s="55" t="s">
        <v>27</v>
      </c>
      <c r="D10" s="76" t="s">
        <v>29</v>
      </c>
      <c r="E10" s="55" t="s">
        <v>74</v>
      </c>
      <c r="F10" s="55"/>
      <c r="G10" s="131" t="s">
        <v>121</v>
      </c>
      <c r="H10" s="75">
        <v>2.27</v>
      </c>
      <c r="I10" s="90">
        <f t="shared" si="0"/>
        <v>3.5579937304075243E-2</v>
      </c>
      <c r="J10" s="51">
        <f>H10/H44</f>
        <v>4.889080335989663E-2</v>
      </c>
      <c r="K10" s="51">
        <f t="shared" si="2"/>
        <v>3.280346820809249E-2</v>
      </c>
      <c r="L10" s="77">
        <f t="shared" si="3"/>
        <v>8.1772334293948132E-2</v>
      </c>
      <c r="M10" s="61">
        <v>6435516</v>
      </c>
      <c r="N10" s="104" t="s">
        <v>49</v>
      </c>
      <c r="O10" s="111">
        <f>M10/M43</f>
        <v>5.0854616746580469E-2</v>
      </c>
      <c r="P10" s="64" t="s">
        <v>49</v>
      </c>
      <c r="Q10" s="123">
        <f t="shared" ref="Q10:Q18" si="4">(H10*1000000)/M10</f>
        <v>0.35273006857569772</v>
      </c>
      <c r="R10" s="76" t="s">
        <v>89</v>
      </c>
      <c r="S10" s="76" t="s">
        <v>97</v>
      </c>
      <c r="T10" s="76"/>
      <c r="U10" s="75"/>
      <c r="V10" s="75"/>
    </row>
    <row r="11" spans="1:22" s="54" customFormat="1" ht="15" x14ac:dyDescent="0.25">
      <c r="A11" s="56" t="s">
        <v>33</v>
      </c>
      <c r="B11" s="76" t="s">
        <v>62</v>
      </c>
      <c r="C11" s="55" t="s">
        <v>27</v>
      </c>
      <c r="D11" s="76" t="s">
        <v>29</v>
      </c>
      <c r="E11" s="55" t="s">
        <v>75</v>
      </c>
      <c r="F11" s="55"/>
      <c r="G11" s="131" t="s">
        <v>111</v>
      </c>
      <c r="H11" s="75">
        <v>0.7</v>
      </c>
      <c r="I11" s="90">
        <f t="shared" si="0"/>
        <v>1.0971786833855801E-2</v>
      </c>
      <c r="J11" s="51">
        <f>H11/H44</f>
        <v>1.5076459185871206E-2</v>
      </c>
      <c r="K11" s="51">
        <f t="shared" si="2"/>
        <v>1.0115606936416187E-2</v>
      </c>
      <c r="L11" s="77">
        <f t="shared" si="3"/>
        <v>2.5216138328530261E-2</v>
      </c>
      <c r="M11" s="61">
        <v>5483769</v>
      </c>
      <c r="N11" s="104" t="s">
        <v>49</v>
      </c>
      <c r="O11" s="111">
        <f>M11/M43</f>
        <v>4.3333739022912668E-2</v>
      </c>
      <c r="P11" s="64">
        <v>1.41</v>
      </c>
      <c r="Q11" s="123">
        <f t="shared" si="4"/>
        <v>0.12764943235209214</v>
      </c>
      <c r="R11" s="76" t="s">
        <v>101</v>
      </c>
      <c r="S11" s="76" t="s">
        <v>97</v>
      </c>
      <c r="T11" s="76"/>
      <c r="U11" s="75"/>
      <c r="V11" s="75"/>
    </row>
    <row r="12" spans="1:22" s="54" customFormat="1" ht="15" x14ac:dyDescent="0.25">
      <c r="A12" s="56" t="s">
        <v>33</v>
      </c>
      <c r="B12" s="76" t="s">
        <v>58</v>
      </c>
      <c r="C12" s="55" t="s">
        <v>27</v>
      </c>
      <c r="D12" s="76" t="s">
        <v>84</v>
      </c>
      <c r="E12" s="55" t="s">
        <v>75</v>
      </c>
      <c r="F12" s="55"/>
      <c r="G12" s="131" t="s">
        <v>120</v>
      </c>
      <c r="H12" s="75">
        <v>2.2200000000000002</v>
      </c>
      <c r="I12" s="90">
        <f t="shared" si="0"/>
        <v>3.4796238244514117E-2</v>
      </c>
      <c r="J12" s="51">
        <f>H12/H44</f>
        <v>4.7813913418048685E-2</v>
      </c>
      <c r="K12" s="51">
        <f t="shared" si="2"/>
        <v>3.2080924855491334E-2</v>
      </c>
      <c r="L12" s="77">
        <f t="shared" si="3"/>
        <v>7.997118155619598E-2</v>
      </c>
      <c r="M12" s="61">
        <v>7755879</v>
      </c>
      <c r="N12" s="104" t="s">
        <v>49</v>
      </c>
      <c r="O12" s="111">
        <f>M12/M43</f>
        <v>6.1288365078705699E-2</v>
      </c>
      <c r="P12" s="64">
        <v>5.88</v>
      </c>
      <c r="Q12" s="123">
        <f t="shared" si="4"/>
        <v>0.28623448096598725</v>
      </c>
      <c r="R12" s="76"/>
      <c r="S12" s="76"/>
      <c r="T12" s="76"/>
      <c r="U12" s="75"/>
      <c r="V12" s="75"/>
    </row>
    <row r="13" spans="1:22" s="54" customFormat="1" ht="15" x14ac:dyDescent="0.25">
      <c r="A13" s="56" t="s">
        <v>33</v>
      </c>
      <c r="B13" s="76" t="s">
        <v>64</v>
      </c>
      <c r="C13" s="55" t="s">
        <v>27</v>
      </c>
      <c r="D13" s="76" t="s">
        <v>85</v>
      </c>
      <c r="E13" s="55" t="s">
        <v>76</v>
      </c>
      <c r="F13" s="55"/>
      <c r="G13" s="131" t="s">
        <v>122</v>
      </c>
      <c r="H13" s="75">
        <v>1.34</v>
      </c>
      <c r="I13" s="90">
        <f t="shared" si="0"/>
        <v>2.1003134796238249E-2</v>
      </c>
      <c r="J13" s="51">
        <f>H13/H44</f>
        <v>2.8860650441524881E-2</v>
      </c>
      <c r="K13" s="51">
        <f t="shared" si="2"/>
        <v>1.9364161849710987E-2</v>
      </c>
      <c r="L13" s="77">
        <f t="shared" si="3"/>
        <v>4.8270893371757932E-2</v>
      </c>
      <c r="M13" s="61">
        <v>7230459</v>
      </c>
      <c r="N13" s="104" t="s">
        <v>49</v>
      </c>
      <c r="O13" s="111">
        <f>M13/M43</f>
        <v>5.7136400771416539E-2</v>
      </c>
      <c r="P13" s="64">
        <v>1.31</v>
      </c>
      <c r="Q13" s="123">
        <f t="shared" si="4"/>
        <v>0.18532710025739721</v>
      </c>
      <c r="R13" s="76" t="s">
        <v>98</v>
      </c>
      <c r="S13" s="76"/>
      <c r="T13" s="76"/>
      <c r="U13" s="75"/>
      <c r="V13" s="75"/>
    </row>
    <row r="14" spans="1:22" s="46" customFormat="1" ht="15" x14ac:dyDescent="0.25">
      <c r="A14" s="42"/>
      <c r="B14" s="43" t="s">
        <v>52</v>
      </c>
      <c r="C14" s="43"/>
      <c r="D14" s="43"/>
      <c r="E14" s="43"/>
      <c r="F14" s="43"/>
      <c r="G14" s="132"/>
      <c r="H14" s="44">
        <f>SUM(H8:H13)</f>
        <v>27.759999999999998</v>
      </c>
      <c r="I14" s="94">
        <f t="shared" si="0"/>
        <v>0.43510971786833857</v>
      </c>
      <c r="J14" s="94">
        <f>H14/H44</f>
        <v>0.59788929571397809</v>
      </c>
      <c r="K14" s="94">
        <f t="shared" si="2"/>
        <v>0.40115606936416187</v>
      </c>
      <c r="L14" s="89"/>
      <c r="M14" s="92">
        <f>SUM(M8:M13)</f>
        <v>112624588</v>
      </c>
      <c r="N14" s="107" t="s">
        <v>49</v>
      </c>
      <c r="O14" s="112">
        <f>M14/M43</f>
        <v>0.88997995793678797</v>
      </c>
      <c r="P14" s="45">
        <v>1.82</v>
      </c>
      <c r="Q14" s="124">
        <f t="shared" si="4"/>
        <v>0.2464825886865841</v>
      </c>
      <c r="R14" s="43"/>
      <c r="S14" s="43"/>
      <c r="T14" s="43" t="s">
        <v>107</v>
      </c>
      <c r="U14" s="44"/>
      <c r="V14" s="44"/>
    </row>
    <row r="15" spans="1:22" ht="15" x14ac:dyDescent="0.25">
      <c r="A15" s="4" t="s">
        <v>33</v>
      </c>
      <c r="B15" s="3" t="s">
        <v>31</v>
      </c>
      <c r="C15" s="3" t="s">
        <v>28</v>
      </c>
      <c r="D15" s="76" t="s">
        <v>30</v>
      </c>
      <c r="E15" s="3" t="s">
        <v>78</v>
      </c>
      <c r="F15" s="3"/>
      <c r="G15" s="133" t="s">
        <v>113</v>
      </c>
      <c r="H15" s="75">
        <v>3.44</v>
      </c>
      <c r="I15" s="51">
        <f t="shared" si="0"/>
        <v>5.3918495297805652E-2</v>
      </c>
      <c r="J15" s="51">
        <f>H15/H44</f>
        <v>7.4090027999138497E-2</v>
      </c>
      <c r="K15" s="51">
        <f t="shared" si="2"/>
        <v>4.9710982658959547E-2</v>
      </c>
      <c r="L15" s="77">
        <f>H15/H18</f>
        <v>0.26959247648902823</v>
      </c>
      <c r="M15" s="63">
        <v>4796344</v>
      </c>
      <c r="N15" s="104" t="s">
        <v>49</v>
      </c>
      <c r="O15" s="111">
        <f>+M15/$M$43</f>
        <v>3.790158176978517E-2</v>
      </c>
      <c r="P15" s="64">
        <v>0.27</v>
      </c>
      <c r="Q15" s="123">
        <f t="shared" si="4"/>
        <v>0.71721294385890588</v>
      </c>
      <c r="R15" s="76" t="s">
        <v>90</v>
      </c>
      <c r="S15" s="76"/>
      <c r="T15" s="76"/>
      <c r="U15" s="25">
        <v>3.54</v>
      </c>
      <c r="V15" s="25">
        <f>2.83147+0.603638+0.2</f>
        <v>3.6351080000000002</v>
      </c>
    </row>
    <row r="16" spans="1:22" ht="15" x14ac:dyDescent="0.25">
      <c r="A16" s="4" t="s">
        <v>33</v>
      </c>
      <c r="B16" s="3" t="s">
        <v>32</v>
      </c>
      <c r="C16" s="3" t="s">
        <v>28</v>
      </c>
      <c r="D16" s="76" t="s">
        <v>30</v>
      </c>
      <c r="E16" s="3" t="s">
        <v>79</v>
      </c>
      <c r="F16" s="3"/>
      <c r="G16" s="133"/>
      <c r="H16" s="75">
        <v>6.48</v>
      </c>
      <c r="I16" s="51">
        <f t="shared" si="0"/>
        <v>0.10156739811912228</v>
      </c>
      <c r="J16" s="51">
        <f>H16/H44</f>
        <v>0.13956493646349347</v>
      </c>
      <c r="K16" s="51">
        <f t="shared" si="2"/>
        <v>9.3641618497109849E-2</v>
      </c>
      <c r="L16" s="77">
        <f>H16/H18</f>
        <v>0.50783699059561138</v>
      </c>
      <c r="M16" s="63">
        <v>5008537</v>
      </c>
      <c r="N16" s="104" t="s">
        <v>49</v>
      </c>
      <c r="O16" s="111">
        <f>+M16/$M$43</f>
        <v>3.9578369410637457E-2</v>
      </c>
      <c r="P16" s="64">
        <v>1.06</v>
      </c>
      <c r="Q16" s="123">
        <f t="shared" si="4"/>
        <v>1.2937909812785651</v>
      </c>
      <c r="R16" s="76"/>
      <c r="S16" s="76"/>
      <c r="T16" s="76" t="s">
        <v>104</v>
      </c>
      <c r="U16" s="25">
        <f>0.99+3.22+2</f>
        <v>6.21</v>
      </c>
      <c r="V16" s="25">
        <f>4.621826+1.83</f>
        <v>6.4518260000000005</v>
      </c>
    </row>
    <row r="17" spans="1:22" ht="15" x14ac:dyDescent="0.25">
      <c r="A17" s="4" t="s">
        <v>33</v>
      </c>
      <c r="B17" s="3" t="s">
        <v>45</v>
      </c>
      <c r="C17" s="3" t="s">
        <v>28</v>
      </c>
      <c r="D17" s="76" t="s">
        <v>30</v>
      </c>
      <c r="E17" s="3" t="s">
        <v>77</v>
      </c>
      <c r="F17" s="3"/>
      <c r="G17" s="133" t="s">
        <v>114</v>
      </c>
      <c r="H17" s="75">
        <v>2.84</v>
      </c>
      <c r="I17" s="51">
        <f t="shared" si="0"/>
        <v>4.4514106583072102E-2</v>
      </c>
      <c r="J17" s="51">
        <f>H17/H44</f>
        <v>6.1167348696963178E-2</v>
      </c>
      <c r="K17" s="51">
        <f t="shared" si="2"/>
        <v>4.1040462427745672E-2</v>
      </c>
      <c r="L17" s="77">
        <f>H17/H18</f>
        <v>0.2225705329153605</v>
      </c>
      <c r="M17" s="63">
        <v>2292030</v>
      </c>
      <c r="N17" s="104" t="s">
        <v>49</v>
      </c>
      <c r="O17" s="111">
        <f>+M17/$M$43</f>
        <v>1.8112037515199221E-2</v>
      </c>
      <c r="P17" s="64">
        <v>0.43</v>
      </c>
      <c r="Q17" s="123">
        <f t="shared" si="4"/>
        <v>1.2390762773611166</v>
      </c>
      <c r="R17" s="76" t="s">
        <v>91</v>
      </c>
      <c r="S17" s="76"/>
      <c r="T17" s="76"/>
      <c r="U17" s="25">
        <f>2.84</f>
        <v>2.84</v>
      </c>
      <c r="V17" s="25">
        <f>2.048055+0.787337</f>
        <v>2.8353920000000001</v>
      </c>
    </row>
    <row r="18" spans="1:22" s="46" customFormat="1" ht="15" x14ac:dyDescent="0.25">
      <c r="A18" s="42"/>
      <c r="B18" s="43" t="s">
        <v>50</v>
      </c>
      <c r="C18" s="43"/>
      <c r="D18" s="43"/>
      <c r="E18" s="43"/>
      <c r="F18" s="43"/>
      <c r="G18" s="132"/>
      <c r="H18" s="44">
        <f>SUM(H15:H17)</f>
        <v>12.76</v>
      </c>
      <c r="I18" s="94">
        <f t="shared" si="0"/>
        <v>0.20000000000000004</v>
      </c>
      <c r="J18" s="94">
        <f>H18/H44</f>
        <v>0.27482231315959516</v>
      </c>
      <c r="K18" s="94">
        <f t="shared" si="2"/>
        <v>0.18439306358381505</v>
      </c>
      <c r="L18" s="89"/>
      <c r="M18" s="92">
        <f t="shared" ref="M18" si="5">SUM(M15:M17)</f>
        <v>12096911</v>
      </c>
      <c r="N18" s="107" t="s">
        <v>49</v>
      </c>
      <c r="O18" s="112">
        <f>+M18/$M$43</f>
        <v>9.5591988695621841E-2</v>
      </c>
      <c r="P18" s="45">
        <v>0.76</v>
      </c>
      <c r="Q18" s="124">
        <f t="shared" si="4"/>
        <v>1.0548147374151964</v>
      </c>
      <c r="R18" s="43"/>
      <c r="S18" s="43"/>
      <c r="T18" s="43" t="s">
        <v>105</v>
      </c>
      <c r="U18" s="44"/>
      <c r="V18" s="44"/>
    </row>
    <row r="19" spans="1:22" s="41" customFormat="1" ht="15" x14ac:dyDescent="0.25">
      <c r="A19" s="56" t="s">
        <v>33</v>
      </c>
      <c r="B19" s="76" t="s">
        <v>57</v>
      </c>
      <c r="C19" s="76" t="s">
        <v>71</v>
      </c>
      <c r="D19" s="76" t="s">
        <v>86</v>
      </c>
      <c r="E19" s="76" t="s">
        <v>75</v>
      </c>
      <c r="F19" s="76"/>
      <c r="G19" s="133" t="s">
        <v>118</v>
      </c>
      <c r="H19" s="75">
        <v>2.71</v>
      </c>
      <c r="I19" s="51">
        <f t="shared" ref="I19:I23" si="6">+H19/$H$43</f>
        <v>4.2476489028213174E-2</v>
      </c>
      <c r="J19" s="51">
        <f>H19/H44</f>
        <v>5.8367434848158525E-2</v>
      </c>
      <c r="K19" s="51">
        <f t="shared" si="2"/>
        <v>3.9161849710982667E-2</v>
      </c>
      <c r="L19" s="77">
        <f>+H19/$H$24</f>
        <v>0.45854483925549916</v>
      </c>
      <c r="M19" s="63">
        <v>0</v>
      </c>
      <c r="N19" s="104" t="s">
        <v>49</v>
      </c>
      <c r="O19" s="111">
        <f t="shared" ref="O19:O23" si="7">+M19/$M$43</f>
        <v>0</v>
      </c>
      <c r="P19" s="64">
        <v>0.2</v>
      </c>
      <c r="Q19" s="123" t="s">
        <v>49</v>
      </c>
      <c r="R19" s="76"/>
      <c r="S19" s="76"/>
      <c r="T19" s="76"/>
      <c r="U19" s="75"/>
      <c r="V19" s="75"/>
    </row>
    <row r="20" spans="1:22" s="41" customFormat="1" ht="15" x14ac:dyDescent="0.25">
      <c r="A20" s="56" t="s">
        <v>33</v>
      </c>
      <c r="B20" s="76" t="s">
        <v>60</v>
      </c>
      <c r="C20" s="76" t="s">
        <v>72</v>
      </c>
      <c r="D20" s="76" t="s">
        <v>86</v>
      </c>
      <c r="E20" s="76" t="s">
        <v>75</v>
      </c>
      <c r="F20" s="76"/>
      <c r="G20" s="133" t="s">
        <v>117</v>
      </c>
      <c r="H20" s="75">
        <v>0.22</v>
      </c>
      <c r="I20" s="51">
        <f t="shared" si="6"/>
        <v>3.4482758620689659E-3</v>
      </c>
      <c r="J20" s="51">
        <f>H20/H44</f>
        <v>4.7383157441309503E-3</v>
      </c>
      <c r="K20" s="51">
        <f t="shared" si="2"/>
        <v>3.1791907514450873E-3</v>
      </c>
      <c r="L20" s="77">
        <f t="shared" ref="L20:L23" si="8">+H20/$H$24</f>
        <v>3.7225042301184431E-2</v>
      </c>
      <c r="M20" s="61">
        <v>1752399.6400000001</v>
      </c>
      <c r="N20" s="104" t="s">
        <v>49</v>
      </c>
      <c r="O20" s="111">
        <f t="shared" si="7"/>
        <v>1.3847780361208891E-2</v>
      </c>
      <c r="P20" s="64">
        <v>0.16</v>
      </c>
      <c r="Q20" s="123">
        <f>(H20*1000000)/M20</f>
        <v>0.12554213946311926</v>
      </c>
      <c r="R20" s="76"/>
      <c r="S20" s="76"/>
      <c r="T20" s="76"/>
      <c r="U20" s="75"/>
      <c r="V20" s="75"/>
    </row>
    <row r="21" spans="1:22" s="41" customFormat="1" x14ac:dyDescent="0.3">
      <c r="A21" s="56" t="s">
        <v>33</v>
      </c>
      <c r="B21" s="76" t="s">
        <v>61</v>
      </c>
      <c r="C21" s="76" t="s">
        <v>6</v>
      </c>
      <c r="D21" s="76" t="s">
        <v>86</v>
      </c>
      <c r="E21" s="76" t="s">
        <v>80</v>
      </c>
      <c r="F21" s="76" t="s">
        <v>83</v>
      </c>
      <c r="G21" s="133" t="s">
        <v>119</v>
      </c>
      <c r="H21" s="75">
        <v>0.45</v>
      </c>
      <c r="I21" s="51">
        <f t="shared" si="6"/>
        <v>7.053291536050158E-3</v>
      </c>
      <c r="J21" s="51">
        <f>H21/H44</f>
        <v>9.6920094766314892E-3</v>
      </c>
      <c r="K21" s="51">
        <f t="shared" si="2"/>
        <v>6.5028901734104057E-3</v>
      </c>
      <c r="L21" s="77">
        <f t="shared" si="8"/>
        <v>7.6142131979695438E-2</v>
      </c>
      <c r="M21" s="61">
        <v>73432</v>
      </c>
      <c r="N21" s="104" t="s">
        <v>49</v>
      </c>
      <c r="O21" s="111">
        <f t="shared" si="7"/>
        <v>5.8027300638129053E-4</v>
      </c>
      <c r="P21" s="64">
        <v>0.11</v>
      </c>
      <c r="Q21" s="123">
        <f>(H21*1000000)/M21</f>
        <v>6.1281185314304389</v>
      </c>
      <c r="R21" s="76"/>
      <c r="S21" s="76"/>
      <c r="T21" s="76"/>
      <c r="U21" s="75"/>
      <c r="V21" s="75"/>
    </row>
    <row r="22" spans="1:22" s="41" customFormat="1" x14ac:dyDescent="0.3">
      <c r="A22" s="56" t="s">
        <v>33</v>
      </c>
      <c r="B22" s="76" t="s">
        <v>59</v>
      </c>
      <c r="C22" s="76" t="s">
        <v>73</v>
      </c>
      <c r="D22" s="76" t="s">
        <v>87</v>
      </c>
      <c r="E22" s="76" t="s">
        <v>81</v>
      </c>
      <c r="F22" s="76"/>
      <c r="G22" s="133" t="s">
        <v>108</v>
      </c>
      <c r="H22" s="75">
        <v>0.33</v>
      </c>
      <c r="I22" s="51">
        <f t="shared" si="6"/>
        <v>5.1724137931034491E-3</v>
      </c>
      <c r="J22" s="51">
        <f>H22/H44</f>
        <v>7.1074736161964259E-3</v>
      </c>
      <c r="K22" s="51">
        <f t="shared" si="2"/>
        <v>4.7687861271676311E-3</v>
      </c>
      <c r="L22" s="77">
        <f t="shared" si="8"/>
        <v>5.5837563451776651E-2</v>
      </c>
      <c r="M22" s="63">
        <v>0</v>
      </c>
      <c r="N22" s="104" t="s">
        <v>49</v>
      </c>
      <c r="O22" s="111">
        <f t="shared" si="7"/>
        <v>0</v>
      </c>
      <c r="P22" s="64" t="s">
        <v>49</v>
      </c>
      <c r="Q22" s="123" t="s">
        <v>49</v>
      </c>
      <c r="R22" s="76"/>
      <c r="S22" s="76" t="s">
        <v>99</v>
      </c>
      <c r="T22" s="76"/>
      <c r="U22" s="75"/>
      <c r="V22" s="75"/>
    </row>
    <row r="23" spans="1:22" s="41" customFormat="1" x14ac:dyDescent="0.3">
      <c r="A23" s="56" t="s">
        <v>33</v>
      </c>
      <c r="B23" s="76" t="s">
        <v>65</v>
      </c>
      <c r="C23" s="76" t="s">
        <v>46</v>
      </c>
      <c r="D23" s="76" t="s">
        <v>86</v>
      </c>
      <c r="E23" s="76" t="s">
        <v>75</v>
      </c>
      <c r="F23" s="76"/>
      <c r="G23" s="133" t="s">
        <v>109</v>
      </c>
      <c r="H23" s="75">
        <v>2.2000000000000002</v>
      </c>
      <c r="I23" s="51">
        <f t="shared" si="6"/>
        <v>3.4482758620689662E-2</v>
      </c>
      <c r="J23" s="51">
        <f>H23/H44</f>
        <v>4.7383157441309512E-2</v>
      </c>
      <c r="K23" s="51">
        <f t="shared" si="2"/>
        <v>3.1791907514450872E-2</v>
      </c>
      <c r="L23" s="77">
        <f t="shared" si="8"/>
        <v>0.37225042301184436</v>
      </c>
      <c r="M23" s="63">
        <v>0</v>
      </c>
      <c r="N23" s="104" t="s">
        <v>49</v>
      </c>
      <c r="O23" s="111">
        <f t="shared" si="7"/>
        <v>0</v>
      </c>
      <c r="P23" s="64" t="s">
        <v>49</v>
      </c>
      <c r="Q23" s="123" t="s">
        <v>49</v>
      </c>
      <c r="R23" s="76"/>
      <c r="S23" s="76"/>
      <c r="T23" s="76"/>
      <c r="U23" s="75"/>
      <c r="V23" s="75"/>
    </row>
    <row r="24" spans="1:22" s="46" customFormat="1" x14ac:dyDescent="0.3">
      <c r="A24" s="42"/>
      <c r="B24" s="43" t="s">
        <v>51</v>
      </c>
      <c r="C24" s="43"/>
      <c r="D24" s="43"/>
      <c r="E24" s="43"/>
      <c r="F24" s="43"/>
      <c r="G24" s="132"/>
      <c r="H24" s="44">
        <f>SUM(H19:H23)</f>
        <v>5.91</v>
      </c>
      <c r="I24" s="94">
        <f>+H24/$H$43</f>
        <v>9.2633228840125412E-2</v>
      </c>
      <c r="J24" s="94">
        <f>H24/H44</f>
        <v>0.1272883911264269</v>
      </c>
      <c r="K24" s="94">
        <f t="shared" si="2"/>
        <v>8.5404624277456667E-2</v>
      </c>
      <c r="L24" s="89"/>
      <c r="M24" s="92">
        <f>SUM(M19:M23)</f>
        <v>1825831.6400000001</v>
      </c>
      <c r="N24" s="107" t="s">
        <v>49</v>
      </c>
      <c r="O24" s="112">
        <f>+M24/$M$43</f>
        <v>1.4428053367590182E-2</v>
      </c>
      <c r="P24" s="45">
        <v>0.18</v>
      </c>
      <c r="Q24" s="124">
        <f>(H24*1000000)/M24</f>
        <v>3.2368811398185651</v>
      </c>
      <c r="R24" s="43"/>
      <c r="S24" s="43"/>
      <c r="T24" s="43" t="s">
        <v>106</v>
      </c>
      <c r="U24" s="44">
        <v>6.05</v>
      </c>
      <c r="V24" s="44">
        <v>6.05</v>
      </c>
    </row>
    <row r="25" spans="1:22" s="101" customFormat="1" x14ac:dyDescent="0.3">
      <c r="A25" s="95"/>
      <c r="B25" s="96"/>
      <c r="C25" s="96"/>
      <c r="D25" s="96"/>
      <c r="E25" s="96"/>
      <c r="F25" s="96"/>
      <c r="G25" s="134"/>
      <c r="H25" s="97"/>
      <c r="I25" s="98"/>
      <c r="J25" s="98"/>
      <c r="K25" s="98"/>
      <c r="L25" s="99"/>
      <c r="M25" s="121"/>
      <c r="N25" s="121"/>
      <c r="O25" s="122"/>
      <c r="P25" s="100"/>
      <c r="Q25" s="125"/>
      <c r="R25" s="96"/>
      <c r="S25" s="96"/>
      <c r="T25" s="96"/>
      <c r="U25" s="97"/>
      <c r="V25" s="97"/>
    </row>
    <row r="26" spans="1:22" x14ac:dyDescent="0.3">
      <c r="A26" s="4" t="s">
        <v>34</v>
      </c>
      <c r="B26" s="3" t="s">
        <v>92</v>
      </c>
      <c r="C26" s="3" t="s">
        <v>27</v>
      </c>
      <c r="D26" s="76" t="s">
        <v>29</v>
      </c>
      <c r="E26" s="55" t="s">
        <v>75</v>
      </c>
      <c r="F26" s="3"/>
      <c r="G26" s="133"/>
      <c r="H26" s="75">
        <v>3.73</v>
      </c>
      <c r="I26" s="51">
        <f>+H26/$H$43</f>
        <v>5.8463949843260199E-2</v>
      </c>
      <c r="J26" s="51">
        <f>H26/H45</f>
        <v>0.21473805411629249</v>
      </c>
      <c r="K26" s="51">
        <f t="shared" ref="K26:K42" si="9">+H26/$H$46</f>
        <v>5.3901734104046251E-2</v>
      </c>
      <c r="L26" s="77">
        <f>+H26/$H$33</f>
        <v>0.3722554890219561</v>
      </c>
      <c r="M26" s="104" t="s">
        <v>49</v>
      </c>
      <c r="N26" s="139">
        <v>1908410</v>
      </c>
      <c r="O26" s="111">
        <f>+N26/$N$43</f>
        <v>0.37294753151711602</v>
      </c>
      <c r="P26" s="64">
        <v>1.27</v>
      </c>
      <c r="Q26" s="123">
        <f>(H26*1000000)/N26</f>
        <v>1.9545066311746429</v>
      </c>
      <c r="R26" s="76" t="s">
        <v>96</v>
      </c>
      <c r="S26" s="76" t="s">
        <v>97</v>
      </c>
      <c r="T26" s="76" t="s">
        <v>102</v>
      </c>
      <c r="U26" s="25">
        <f>3.76+4.17</f>
        <v>7.93</v>
      </c>
      <c r="V26" s="25">
        <f>7.87</f>
        <v>7.87</v>
      </c>
    </row>
    <row r="27" spans="1:22" s="54" customFormat="1" x14ac:dyDescent="0.3">
      <c r="A27" s="56" t="s">
        <v>34</v>
      </c>
      <c r="B27" s="55" t="s">
        <v>93</v>
      </c>
      <c r="C27" s="55" t="s">
        <v>27</v>
      </c>
      <c r="D27" s="76" t="s">
        <v>29</v>
      </c>
      <c r="E27" s="118" t="s">
        <v>75</v>
      </c>
      <c r="F27" s="55"/>
      <c r="G27" s="131"/>
      <c r="H27" s="75">
        <v>4.1399999999999997</v>
      </c>
      <c r="I27" s="51">
        <f t="shared" ref="I27:I32" si="10">+H27/$H$43</f>
        <v>6.4890282131661453E-2</v>
      </c>
      <c r="J27" s="51">
        <f>H27/H45</f>
        <v>0.23834196891191711</v>
      </c>
      <c r="K27" s="51">
        <f t="shared" si="9"/>
        <v>5.9826589595375727E-2</v>
      </c>
      <c r="L27" s="77">
        <f t="shared" ref="L27:L32" si="11">+H27/$H$33</f>
        <v>0.41317365269461076</v>
      </c>
      <c r="M27" s="104" t="s">
        <v>49</v>
      </c>
      <c r="N27" s="140"/>
      <c r="O27" s="111">
        <f t="shared" ref="O27:O33" si="12">+N27/$N$43</f>
        <v>0</v>
      </c>
      <c r="P27" s="64">
        <v>2.59</v>
      </c>
      <c r="Q27" s="123" t="s">
        <v>49</v>
      </c>
      <c r="R27" s="76"/>
      <c r="S27" s="76"/>
      <c r="T27" s="76" t="s">
        <v>100</v>
      </c>
      <c r="U27" s="75"/>
      <c r="V27" s="75"/>
    </row>
    <row r="28" spans="1:22" s="54" customFormat="1" x14ac:dyDescent="0.3">
      <c r="A28" s="56" t="s">
        <v>34</v>
      </c>
      <c r="B28" s="76" t="s">
        <v>63</v>
      </c>
      <c r="C28" s="55" t="s">
        <v>27</v>
      </c>
      <c r="D28" s="76" t="s">
        <v>29</v>
      </c>
      <c r="E28" s="55" t="s">
        <v>74</v>
      </c>
      <c r="F28" s="55"/>
      <c r="G28" s="131"/>
      <c r="H28" s="75">
        <v>0.02</v>
      </c>
      <c r="I28" s="51">
        <f t="shared" si="10"/>
        <v>3.1347962382445149E-4</v>
      </c>
      <c r="J28" s="51">
        <f>H28/H45</f>
        <v>1.1514104778353484E-3</v>
      </c>
      <c r="K28" s="51">
        <f t="shared" si="9"/>
        <v>2.890173410404625E-4</v>
      </c>
      <c r="L28" s="77">
        <f t="shared" si="11"/>
        <v>1.9960079840319364E-3</v>
      </c>
      <c r="M28" s="104" t="s">
        <v>49</v>
      </c>
      <c r="N28" s="63">
        <v>0</v>
      </c>
      <c r="O28" s="111">
        <f t="shared" si="12"/>
        <v>0</v>
      </c>
      <c r="P28" s="64" t="s">
        <v>49</v>
      </c>
      <c r="Q28" s="123" t="s">
        <v>49</v>
      </c>
      <c r="R28" s="76" t="s">
        <v>88</v>
      </c>
      <c r="S28" s="76" t="s">
        <v>97</v>
      </c>
      <c r="T28" s="76"/>
      <c r="U28" s="75"/>
      <c r="V28" s="75"/>
    </row>
    <row r="29" spans="1:22" s="54" customFormat="1" x14ac:dyDescent="0.3">
      <c r="A29" s="56" t="s">
        <v>34</v>
      </c>
      <c r="B29" s="76" t="s">
        <v>62</v>
      </c>
      <c r="C29" s="55" t="s">
        <v>27</v>
      </c>
      <c r="D29" s="76" t="s">
        <v>29</v>
      </c>
      <c r="E29" s="55" t="s">
        <v>75</v>
      </c>
      <c r="F29" s="55"/>
      <c r="G29" s="131"/>
      <c r="H29" s="75">
        <v>0.5</v>
      </c>
      <c r="I29" s="51">
        <f t="shared" si="10"/>
        <v>7.8369905956112863E-3</v>
      </c>
      <c r="J29" s="51">
        <f>H29/H45</f>
        <v>2.8785261945883711E-2</v>
      </c>
      <c r="K29" s="51">
        <f t="shared" si="9"/>
        <v>7.2254335260115623E-3</v>
      </c>
      <c r="L29" s="77">
        <f t="shared" si="11"/>
        <v>4.9900199600798403E-2</v>
      </c>
      <c r="M29" s="104" t="s">
        <v>49</v>
      </c>
      <c r="N29" s="61">
        <v>200964.5</v>
      </c>
      <c r="O29" s="111">
        <f t="shared" si="12"/>
        <v>3.9273119611389302E-2</v>
      </c>
      <c r="P29" s="64">
        <v>1.41</v>
      </c>
      <c r="Q29" s="123">
        <f t="shared" ref="Q29:Q37" si="13">(H29*1000000)/N29</f>
        <v>2.4880016122250446</v>
      </c>
      <c r="R29" s="76"/>
      <c r="S29" s="76" t="s">
        <v>97</v>
      </c>
      <c r="T29" s="76"/>
      <c r="U29" s="75"/>
      <c r="V29" s="75"/>
    </row>
    <row r="30" spans="1:22" s="54" customFormat="1" x14ac:dyDescent="0.3">
      <c r="A30" s="56" t="s">
        <v>34</v>
      </c>
      <c r="B30" s="76" t="s">
        <v>58</v>
      </c>
      <c r="C30" s="55" t="s">
        <v>27</v>
      </c>
      <c r="D30" s="76" t="s">
        <v>84</v>
      </c>
      <c r="E30" s="118" t="s">
        <v>75</v>
      </c>
      <c r="F30" s="55"/>
      <c r="G30" s="131"/>
      <c r="H30" s="75">
        <v>0.82</v>
      </c>
      <c r="I30" s="51">
        <f t="shared" si="10"/>
        <v>1.2852664576802508E-2</v>
      </c>
      <c r="J30" s="51">
        <f>H30/H45</f>
        <v>4.7207829591249285E-2</v>
      </c>
      <c r="K30" s="51">
        <f t="shared" si="9"/>
        <v>1.1849710982658961E-2</v>
      </c>
      <c r="L30" s="77">
        <f t="shared" si="11"/>
        <v>8.1836327345309379E-2</v>
      </c>
      <c r="M30" s="104" t="s">
        <v>49</v>
      </c>
      <c r="N30" s="61">
        <v>548958</v>
      </c>
      <c r="O30" s="111">
        <f t="shared" si="12"/>
        <v>0.10727911245831502</v>
      </c>
      <c r="P30" s="64">
        <v>5.88</v>
      </c>
      <c r="Q30" s="123">
        <f t="shared" si="13"/>
        <v>1.4937390474316796</v>
      </c>
      <c r="R30" s="76"/>
      <c r="S30" s="76"/>
      <c r="T30" s="76"/>
      <c r="U30" s="75"/>
      <c r="V30" s="75"/>
    </row>
    <row r="31" spans="1:22" s="54" customFormat="1" x14ac:dyDescent="0.3">
      <c r="A31" s="56" t="s">
        <v>34</v>
      </c>
      <c r="B31" s="76" t="s">
        <v>64</v>
      </c>
      <c r="C31" s="55" t="s">
        <v>27</v>
      </c>
      <c r="D31" s="76" t="s">
        <v>85</v>
      </c>
      <c r="E31" s="55" t="s">
        <v>76</v>
      </c>
      <c r="F31" s="55"/>
      <c r="G31" s="131"/>
      <c r="H31" s="75">
        <v>0.14000000000000001</v>
      </c>
      <c r="I31" s="51">
        <f t="shared" si="10"/>
        <v>2.1943573667711604E-3</v>
      </c>
      <c r="J31" s="51">
        <f>H31/H45</f>
        <v>8.0598733448474409E-3</v>
      </c>
      <c r="K31" s="51">
        <f t="shared" si="9"/>
        <v>2.0231213872832377E-3</v>
      </c>
      <c r="L31" s="77">
        <f t="shared" si="11"/>
        <v>1.3972055888223554E-2</v>
      </c>
      <c r="M31" s="104" t="s">
        <v>49</v>
      </c>
      <c r="N31" s="61">
        <v>216046</v>
      </c>
      <c r="O31" s="111">
        <f t="shared" si="12"/>
        <v>4.2220394147036981E-2</v>
      </c>
      <c r="P31" s="64">
        <v>1.31</v>
      </c>
      <c r="Q31" s="123">
        <f t="shared" si="13"/>
        <v>0.64801014598742857</v>
      </c>
      <c r="R31" s="76"/>
      <c r="S31" s="76"/>
      <c r="T31" s="76"/>
      <c r="U31" s="75"/>
      <c r="V31" s="75"/>
    </row>
    <row r="32" spans="1:22" s="108" customFormat="1" x14ac:dyDescent="0.3">
      <c r="A32" s="56" t="s">
        <v>34</v>
      </c>
      <c r="B32" s="76" t="s">
        <v>67</v>
      </c>
      <c r="C32" s="55" t="s">
        <v>27</v>
      </c>
      <c r="D32" s="76" t="s">
        <v>29</v>
      </c>
      <c r="E32" s="55" t="s">
        <v>75</v>
      </c>
      <c r="F32" s="55" t="s">
        <v>83</v>
      </c>
      <c r="G32" s="131" t="s">
        <v>110</v>
      </c>
      <c r="H32" s="75">
        <v>0.67</v>
      </c>
      <c r="I32" s="51">
        <f t="shared" si="10"/>
        <v>1.0501567398119124E-2</v>
      </c>
      <c r="J32" s="51">
        <f>H32/H45</f>
        <v>3.8572251007484175E-2</v>
      </c>
      <c r="K32" s="51">
        <f t="shared" si="9"/>
        <v>9.6820809248554934E-3</v>
      </c>
      <c r="L32" s="77">
        <f t="shared" si="11"/>
        <v>6.6866267465069865E-2</v>
      </c>
      <c r="M32" s="104" t="s">
        <v>49</v>
      </c>
      <c r="N32" s="61">
        <v>1437724</v>
      </c>
      <c r="O32" s="111">
        <f t="shared" si="12"/>
        <v>0.28096458140699015</v>
      </c>
      <c r="P32" s="64">
        <v>3.32</v>
      </c>
      <c r="Q32" s="123">
        <f t="shared" si="13"/>
        <v>0.46601433933077557</v>
      </c>
      <c r="R32" s="76"/>
      <c r="S32" s="76"/>
      <c r="T32" s="76"/>
      <c r="U32" s="75"/>
      <c r="V32" s="75"/>
    </row>
    <row r="33" spans="1:22" s="46" customFormat="1" x14ac:dyDescent="0.3">
      <c r="A33" s="42"/>
      <c r="B33" s="43" t="s">
        <v>52</v>
      </c>
      <c r="C33" s="43"/>
      <c r="D33" s="43"/>
      <c r="E33" s="43"/>
      <c r="F33" s="43"/>
      <c r="G33" s="132"/>
      <c r="H33" s="44">
        <f>SUM(H26:H32)</f>
        <v>10.02</v>
      </c>
      <c r="I33" s="94">
        <f>+H33/$H$43</f>
        <v>0.15705329153605019</v>
      </c>
      <c r="J33" s="93">
        <f>H33/H45</f>
        <v>0.57685664939550951</v>
      </c>
      <c r="K33" s="94">
        <f t="shared" si="9"/>
        <v>0.1447976878612717</v>
      </c>
      <c r="L33" s="89"/>
      <c r="M33" s="107" t="s">
        <v>49</v>
      </c>
      <c r="N33" s="92">
        <f>SUM(N26:N32)</f>
        <v>4312102.5</v>
      </c>
      <c r="O33" s="112">
        <f t="shared" si="12"/>
        <v>0.84268473914084741</v>
      </c>
      <c r="P33" s="45">
        <v>1.82</v>
      </c>
      <c r="Q33" s="124">
        <f t="shared" si="13"/>
        <v>2.3236924446949021</v>
      </c>
      <c r="R33" s="43"/>
      <c r="S33" s="43"/>
      <c r="T33" s="43" t="s">
        <v>107</v>
      </c>
      <c r="U33" s="44"/>
      <c r="V33" s="44"/>
    </row>
    <row r="34" spans="1:22" x14ac:dyDescent="0.3">
      <c r="A34" s="4" t="s">
        <v>34</v>
      </c>
      <c r="B34" s="3" t="s">
        <v>31</v>
      </c>
      <c r="C34" s="3" t="s">
        <v>28</v>
      </c>
      <c r="D34" s="76" t="s">
        <v>30</v>
      </c>
      <c r="E34" s="55" t="s">
        <v>78</v>
      </c>
      <c r="F34" s="3"/>
      <c r="G34" s="133"/>
      <c r="H34" s="75">
        <v>1.57</v>
      </c>
      <c r="I34" s="51">
        <f>+H34/$H$43</f>
        <v>2.4608150470219442E-2</v>
      </c>
      <c r="J34" s="51">
        <f>H34/H45</f>
        <v>9.0385722510074859E-2</v>
      </c>
      <c r="K34" s="51">
        <f t="shared" si="9"/>
        <v>2.2687861271676307E-2</v>
      </c>
      <c r="L34" s="77">
        <f>H34/H37</f>
        <v>0.30192307692307696</v>
      </c>
      <c r="M34" s="104" t="s">
        <v>49</v>
      </c>
      <c r="N34" s="63">
        <v>105948</v>
      </c>
      <c r="O34" s="111">
        <f>+N34/$N$43</f>
        <v>2.0704693996140978E-2</v>
      </c>
      <c r="P34" s="64">
        <v>0.27</v>
      </c>
      <c r="Q34" s="123">
        <f t="shared" si="13"/>
        <v>14.818590251821648</v>
      </c>
      <c r="R34" s="76" t="s">
        <v>90</v>
      </c>
      <c r="S34" s="76"/>
      <c r="T34" s="76"/>
      <c r="U34" s="25">
        <v>1.46</v>
      </c>
      <c r="V34" s="25">
        <f>1.53355+0.12</f>
        <v>1.6535500000000001</v>
      </c>
    </row>
    <row r="35" spans="1:22" x14ac:dyDescent="0.3">
      <c r="A35" s="4" t="s">
        <v>34</v>
      </c>
      <c r="B35" s="3" t="s">
        <v>32</v>
      </c>
      <c r="C35" s="3" t="s">
        <v>28</v>
      </c>
      <c r="D35" s="76" t="s">
        <v>30</v>
      </c>
      <c r="E35" s="55" t="s">
        <v>79</v>
      </c>
      <c r="F35" s="3"/>
      <c r="G35" s="133"/>
      <c r="H35" s="75">
        <v>2.5299999999999998</v>
      </c>
      <c r="I35" s="51">
        <f>+H35/$H$43</f>
        <v>3.9655172413793106E-2</v>
      </c>
      <c r="J35" s="51">
        <f>H35/H45</f>
        <v>0.14565342544617157</v>
      </c>
      <c r="K35" s="51">
        <f t="shared" si="9"/>
        <v>3.65606936416185E-2</v>
      </c>
      <c r="L35" s="77">
        <f>H35/H37</f>
        <v>0.48653846153846159</v>
      </c>
      <c r="M35" s="104" t="s">
        <v>49</v>
      </c>
      <c r="N35" s="63">
        <v>398210</v>
      </c>
      <c r="O35" s="111">
        <f>+N35/$N$43</f>
        <v>7.7819460454216213E-2</v>
      </c>
      <c r="P35" s="64">
        <v>1.06</v>
      </c>
      <c r="Q35" s="123">
        <f t="shared" si="13"/>
        <v>6.3534316064388134</v>
      </c>
      <c r="R35" s="76"/>
      <c r="S35" s="76"/>
      <c r="T35" s="76" t="s">
        <v>104</v>
      </c>
      <c r="U35" s="25">
        <f>0.21+1.29+0.75</f>
        <v>2.25</v>
      </c>
      <c r="V35" s="25">
        <v>2.52</v>
      </c>
    </row>
    <row r="36" spans="1:22" x14ac:dyDescent="0.3">
      <c r="A36" s="4" t="s">
        <v>34</v>
      </c>
      <c r="B36" s="3" t="s">
        <v>45</v>
      </c>
      <c r="C36" s="3" t="s">
        <v>28</v>
      </c>
      <c r="D36" s="76" t="s">
        <v>30</v>
      </c>
      <c r="E36" s="55" t="s">
        <v>77</v>
      </c>
      <c r="F36" s="3"/>
      <c r="G36" s="133"/>
      <c r="H36" s="75">
        <v>1.1000000000000001</v>
      </c>
      <c r="I36" s="51">
        <f>+H36/$H$43</f>
        <v>1.7241379310344831E-2</v>
      </c>
      <c r="J36" s="51">
        <f>H36/H45</f>
        <v>6.3327576280944167E-2</v>
      </c>
      <c r="K36" s="51">
        <f t="shared" si="9"/>
        <v>1.5895953757225436E-2</v>
      </c>
      <c r="L36" s="77">
        <f>H36/H37</f>
        <v>0.21153846153846159</v>
      </c>
      <c r="M36" s="104" t="s">
        <v>49</v>
      </c>
      <c r="N36" s="63">
        <v>300840</v>
      </c>
      <c r="O36" s="111">
        <f>+N36/$N$43</f>
        <v>5.8791106408795368E-2</v>
      </c>
      <c r="P36" s="64">
        <v>0.43</v>
      </c>
      <c r="Q36" s="123">
        <f t="shared" si="13"/>
        <v>3.6564286664007444</v>
      </c>
      <c r="R36" s="76" t="s">
        <v>91</v>
      </c>
      <c r="S36" s="76"/>
      <c r="T36" s="76"/>
      <c r="U36" s="25">
        <v>1.1599999999999999</v>
      </c>
      <c r="V36" s="25">
        <v>1.1646079999999999</v>
      </c>
    </row>
    <row r="37" spans="1:22" s="46" customFormat="1" x14ac:dyDescent="0.3">
      <c r="A37" s="42"/>
      <c r="B37" s="43" t="s">
        <v>50</v>
      </c>
      <c r="C37" s="43"/>
      <c r="D37" s="43"/>
      <c r="E37" s="43"/>
      <c r="F37" s="43"/>
      <c r="G37" s="132"/>
      <c r="H37" s="44">
        <f>SUM(H34:H36)</f>
        <v>5.1999999999999993</v>
      </c>
      <c r="I37" s="94">
        <f>+H37/$H$43</f>
        <v>8.1504702194357362E-2</v>
      </c>
      <c r="J37" s="93">
        <f>H37/H45</f>
        <v>0.29936672423719057</v>
      </c>
      <c r="K37" s="94">
        <f t="shared" si="9"/>
        <v>7.5144508670520235E-2</v>
      </c>
      <c r="L37" s="89"/>
      <c r="M37" s="107" t="s">
        <v>49</v>
      </c>
      <c r="N37" s="92">
        <f t="shared" ref="N37" si="14">SUM(N34:N36)</f>
        <v>804998</v>
      </c>
      <c r="O37" s="112">
        <f>+N37/$N$43</f>
        <v>0.15731526085915257</v>
      </c>
      <c r="P37" s="45">
        <v>0.76</v>
      </c>
      <c r="Q37" s="124">
        <f t="shared" si="13"/>
        <v>6.4596433779959694</v>
      </c>
      <c r="R37" s="43"/>
      <c r="S37" s="43"/>
      <c r="T37" s="43" t="s">
        <v>105</v>
      </c>
      <c r="U37" s="44"/>
      <c r="V37" s="44"/>
    </row>
    <row r="38" spans="1:22" s="41" customFormat="1" x14ac:dyDescent="0.3">
      <c r="A38" s="56" t="s">
        <v>34</v>
      </c>
      <c r="B38" s="76" t="s">
        <v>57</v>
      </c>
      <c r="C38" s="76" t="s">
        <v>71</v>
      </c>
      <c r="D38" s="76" t="s">
        <v>86</v>
      </c>
      <c r="E38" s="76" t="s">
        <v>75</v>
      </c>
      <c r="F38" s="76"/>
      <c r="G38" s="135"/>
      <c r="H38" s="75">
        <v>1.06</v>
      </c>
      <c r="I38" s="51">
        <f t="shared" ref="I38:I41" si="15">+H38/$H$43</f>
        <v>1.661442006269593E-2</v>
      </c>
      <c r="J38" s="52">
        <f>H38/H45</f>
        <v>6.1024755325273475E-2</v>
      </c>
      <c r="K38" s="51">
        <f t="shared" si="9"/>
        <v>1.5317919075144511E-2</v>
      </c>
      <c r="L38" s="77">
        <f>+H38/$H$42</f>
        <v>0.49302325581395345</v>
      </c>
      <c r="M38" s="104" t="s">
        <v>49</v>
      </c>
      <c r="N38" s="63">
        <v>0</v>
      </c>
      <c r="O38" s="111">
        <f t="shared" ref="O38:O41" si="16">+N38/$N$43</f>
        <v>0</v>
      </c>
      <c r="P38" s="64">
        <v>0.2</v>
      </c>
      <c r="Q38" s="123" t="s">
        <v>49</v>
      </c>
      <c r="R38" s="76"/>
      <c r="S38" s="76"/>
      <c r="T38" s="76"/>
      <c r="U38" s="75"/>
      <c r="V38" s="75"/>
    </row>
    <row r="39" spans="1:22" s="41" customFormat="1" x14ac:dyDescent="0.3">
      <c r="A39" s="56" t="s">
        <v>34</v>
      </c>
      <c r="B39" s="76" t="s">
        <v>60</v>
      </c>
      <c r="C39" s="76" t="s">
        <v>72</v>
      </c>
      <c r="D39" s="76" t="s">
        <v>86</v>
      </c>
      <c r="E39" s="76" t="s">
        <v>75</v>
      </c>
      <c r="F39" s="76"/>
      <c r="G39" s="133"/>
      <c r="H39" s="75">
        <v>0.09</v>
      </c>
      <c r="I39" s="51">
        <f t="shared" si="15"/>
        <v>1.4106583072100315E-3</v>
      </c>
      <c r="J39" s="52">
        <f>H39/H45</f>
        <v>5.1813471502590676E-3</v>
      </c>
      <c r="K39" s="51">
        <f t="shared" si="9"/>
        <v>1.3005780346820811E-3</v>
      </c>
      <c r="L39" s="77">
        <f t="shared" ref="L39:L41" si="17">+H39/$H$42</f>
        <v>4.1860465116279062E-2</v>
      </c>
      <c r="M39" s="104" t="s">
        <v>49</v>
      </c>
      <c r="N39" s="63">
        <v>0</v>
      </c>
      <c r="O39" s="111">
        <f t="shared" si="16"/>
        <v>0</v>
      </c>
      <c r="P39" s="64">
        <v>0.16</v>
      </c>
      <c r="Q39" s="123" t="s">
        <v>49</v>
      </c>
      <c r="R39" s="76"/>
      <c r="S39" s="76"/>
      <c r="T39" s="76"/>
      <c r="U39" s="75"/>
      <c r="V39" s="75"/>
    </row>
    <row r="40" spans="1:22" s="41" customFormat="1" x14ac:dyDescent="0.3">
      <c r="A40" s="56" t="s">
        <v>34</v>
      </c>
      <c r="B40" s="76" t="s">
        <v>59</v>
      </c>
      <c r="C40" s="76" t="s">
        <v>73</v>
      </c>
      <c r="D40" s="76" t="s">
        <v>87</v>
      </c>
      <c r="E40" s="76" t="s">
        <v>81</v>
      </c>
      <c r="F40" s="76"/>
      <c r="G40" s="133"/>
      <c r="H40" s="75">
        <v>0.13</v>
      </c>
      <c r="I40" s="51">
        <f t="shared" si="15"/>
        <v>2.0376175548589347E-3</v>
      </c>
      <c r="J40" s="52">
        <f>H40/H45</f>
        <v>7.4841681059297652E-3</v>
      </c>
      <c r="K40" s="51">
        <f t="shared" si="9"/>
        <v>1.8786127167630061E-3</v>
      </c>
      <c r="L40" s="77">
        <f t="shared" si="17"/>
        <v>6.046511627906976E-2</v>
      </c>
      <c r="M40" s="104" t="s">
        <v>49</v>
      </c>
      <c r="N40" s="63">
        <v>0</v>
      </c>
      <c r="O40" s="111">
        <f t="shared" si="16"/>
        <v>0</v>
      </c>
      <c r="P40" s="64" t="s">
        <v>49</v>
      </c>
      <c r="Q40" s="123" t="s">
        <v>49</v>
      </c>
      <c r="R40" s="76"/>
      <c r="S40" s="76" t="s">
        <v>99</v>
      </c>
      <c r="T40" s="76"/>
      <c r="U40" s="75"/>
      <c r="V40" s="75"/>
    </row>
    <row r="41" spans="1:22" s="41" customFormat="1" x14ac:dyDescent="0.3">
      <c r="A41" s="56" t="s">
        <v>34</v>
      </c>
      <c r="B41" s="76" t="s">
        <v>65</v>
      </c>
      <c r="C41" s="76" t="s">
        <v>46</v>
      </c>
      <c r="D41" s="76" t="s">
        <v>86</v>
      </c>
      <c r="E41" s="76" t="s">
        <v>75</v>
      </c>
      <c r="F41" s="76"/>
      <c r="G41" s="133"/>
      <c r="H41" s="75">
        <v>0.87</v>
      </c>
      <c r="I41" s="51">
        <f t="shared" si="15"/>
        <v>1.3636363636363639E-2</v>
      </c>
      <c r="J41" s="52">
        <f>H41/H45</f>
        <v>5.0086355785837658E-2</v>
      </c>
      <c r="K41" s="51">
        <f t="shared" si="9"/>
        <v>1.2572254335260118E-2</v>
      </c>
      <c r="L41" s="77">
        <f t="shared" si="17"/>
        <v>0.40465116279069763</v>
      </c>
      <c r="M41" s="104" t="s">
        <v>49</v>
      </c>
      <c r="N41" s="63">
        <v>0</v>
      </c>
      <c r="O41" s="111">
        <f t="shared" si="16"/>
        <v>0</v>
      </c>
      <c r="P41" s="64" t="s">
        <v>49</v>
      </c>
      <c r="Q41" s="123" t="s">
        <v>49</v>
      </c>
      <c r="R41" s="76"/>
      <c r="S41" s="76"/>
      <c r="T41" s="76"/>
      <c r="U41" s="75"/>
      <c r="V41" s="75"/>
    </row>
    <row r="42" spans="1:22" s="46" customFormat="1" x14ac:dyDescent="0.3">
      <c r="A42" s="42"/>
      <c r="B42" s="43" t="s">
        <v>51</v>
      </c>
      <c r="C42" s="43"/>
      <c r="D42" s="43"/>
      <c r="E42" s="43"/>
      <c r="F42" s="43"/>
      <c r="G42" s="130"/>
      <c r="H42" s="44">
        <f>SUM(H38:H41)</f>
        <v>2.1500000000000004</v>
      </c>
      <c r="I42" s="94">
        <f>+H42/$H$43</f>
        <v>3.3699059561128536E-2</v>
      </c>
      <c r="J42" s="94">
        <f>H42/H45</f>
        <v>0.12377662636729998</v>
      </c>
      <c r="K42" s="94">
        <f t="shared" si="9"/>
        <v>3.106936416184972E-2</v>
      </c>
      <c r="L42" s="89"/>
      <c r="M42" s="107" t="s">
        <v>49</v>
      </c>
      <c r="N42" s="92">
        <f>SUM(N38:N41)</f>
        <v>0</v>
      </c>
      <c r="O42" s="112">
        <f>+N42/$N$43</f>
        <v>0</v>
      </c>
      <c r="P42" s="45">
        <v>0.18</v>
      </c>
      <c r="Q42" s="124" t="s">
        <v>49</v>
      </c>
      <c r="R42" s="43"/>
      <c r="S42" s="43"/>
      <c r="T42" s="43" t="s">
        <v>106</v>
      </c>
      <c r="U42" s="44">
        <v>2.3199999999999998</v>
      </c>
      <c r="V42" s="44">
        <v>2.3199999999999998</v>
      </c>
    </row>
    <row r="43" spans="1:22" x14ac:dyDescent="0.3">
      <c r="A43" s="8" t="s">
        <v>21</v>
      </c>
      <c r="B43" s="8" t="s">
        <v>40</v>
      </c>
      <c r="C43" s="8"/>
      <c r="D43" s="119"/>
      <c r="E43" s="8"/>
      <c r="F43" s="8"/>
      <c r="G43" s="8"/>
      <c r="H43" s="79">
        <f>SUM(H14+H18+H24+H33+H37+H42)</f>
        <v>63.79999999999999</v>
      </c>
      <c r="I43" s="51">
        <f>+H43/$H$43</f>
        <v>1</v>
      </c>
      <c r="J43" s="51"/>
      <c r="K43" s="51">
        <f>H43/H46</f>
        <v>0.9219653179190751</v>
      </c>
      <c r="L43" s="77"/>
      <c r="M43" s="65">
        <f>SUM(M14+M18+M24)</f>
        <v>126547330.64</v>
      </c>
      <c r="N43" s="65">
        <f>SUM(N33+N37+N42)</f>
        <v>5117100.5</v>
      </c>
      <c r="O43" s="111">
        <f>+N43/$N$43</f>
        <v>1</v>
      </c>
      <c r="P43" s="62">
        <v>1.43</v>
      </c>
      <c r="Q43" s="28"/>
      <c r="R43" s="26"/>
      <c r="S43" s="3"/>
      <c r="T43" s="3"/>
      <c r="U43" s="28">
        <f>SUM(U8:U42)</f>
        <v>53.029999999999994</v>
      </c>
      <c r="V43" s="28">
        <f>SUM(V8:V42)</f>
        <v>55.740484000000002</v>
      </c>
    </row>
    <row r="44" spans="1:22" x14ac:dyDescent="0.3">
      <c r="A44" s="30"/>
      <c r="B44" s="30" t="s">
        <v>55</v>
      </c>
      <c r="C44" s="30"/>
      <c r="D44" s="120"/>
      <c r="E44" s="30"/>
      <c r="F44" s="30"/>
      <c r="G44" s="30"/>
      <c r="H44" s="79">
        <f>H14+H18+H24</f>
        <v>46.429999999999993</v>
      </c>
      <c r="I44" s="49"/>
      <c r="J44" s="49"/>
      <c r="K44" s="49"/>
      <c r="L44" s="50"/>
      <c r="M44" s="65"/>
      <c r="N44" s="91"/>
      <c r="O44" s="113"/>
      <c r="P44" s="53"/>
      <c r="Q44" s="48"/>
      <c r="R44" s="33"/>
      <c r="S44" s="31"/>
      <c r="T44" s="31"/>
      <c r="U44" s="28"/>
      <c r="V44" s="28"/>
    </row>
    <row r="45" spans="1:22" x14ac:dyDescent="0.3">
      <c r="A45" s="30"/>
      <c r="B45" s="30" t="s">
        <v>56</v>
      </c>
      <c r="C45" s="30"/>
      <c r="D45" s="120"/>
      <c r="E45" s="30"/>
      <c r="F45" s="30"/>
      <c r="G45" s="30"/>
      <c r="H45" s="79">
        <f>H33+H37+H42</f>
        <v>17.369999999999997</v>
      </c>
      <c r="I45" s="49"/>
      <c r="J45" s="49"/>
      <c r="K45" s="49"/>
      <c r="L45" s="50"/>
      <c r="M45" s="65"/>
      <c r="N45" s="91"/>
      <c r="O45" s="113"/>
      <c r="P45" s="53"/>
      <c r="Q45" s="48"/>
      <c r="R45" s="33"/>
      <c r="S45" s="31"/>
      <c r="T45" s="31"/>
      <c r="U45" s="28"/>
      <c r="V45" s="28"/>
    </row>
    <row r="46" spans="1:22" x14ac:dyDescent="0.3">
      <c r="A46" s="30"/>
      <c r="B46" s="30" t="s">
        <v>54</v>
      </c>
      <c r="C46" s="30"/>
      <c r="D46" s="120"/>
      <c r="E46" s="30"/>
      <c r="F46" s="30"/>
      <c r="G46" s="30"/>
      <c r="H46" s="79">
        <f>H43+5.4</f>
        <v>69.199999999999989</v>
      </c>
      <c r="I46" s="49"/>
      <c r="J46" s="49"/>
      <c r="K46" s="49"/>
      <c r="L46" s="50"/>
      <c r="M46" s="65"/>
      <c r="N46" s="91"/>
      <c r="O46" s="113"/>
      <c r="P46" s="47"/>
      <c r="Q46" s="48"/>
      <c r="R46" s="33"/>
      <c r="S46" s="31"/>
      <c r="T46" s="31"/>
      <c r="U46" s="28"/>
      <c r="V46" s="28"/>
    </row>
    <row r="47" spans="1:22" x14ac:dyDescent="0.3">
      <c r="A47" s="31"/>
      <c r="B47" s="30" t="s">
        <v>39</v>
      </c>
      <c r="C47" s="31"/>
      <c r="D47" s="80"/>
      <c r="E47" s="31"/>
      <c r="F47" s="31"/>
      <c r="G47" s="31"/>
      <c r="H47" s="79">
        <v>76.098840999999993</v>
      </c>
      <c r="I47" s="81"/>
      <c r="J47" s="81"/>
      <c r="K47" s="81"/>
      <c r="L47" s="81"/>
      <c r="M47" s="65"/>
      <c r="N47" s="91"/>
      <c r="O47" s="114"/>
      <c r="P47" s="82"/>
      <c r="Q47" s="34"/>
      <c r="R47" s="33"/>
      <c r="S47" s="31"/>
      <c r="T47" s="31"/>
      <c r="U47" s="28"/>
      <c r="V47" s="28">
        <v>76.098840999999993</v>
      </c>
    </row>
    <row r="48" spans="1:22" s="38" customFormat="1" x14ac:dyDescent="0.3">
      <c r="A48" s="3"/>
      <c r="B48" s="3"/>
      <c r="C48" s="8"/>
      <c r="D48" s="119"/>
      <c r="E48" s="8"/>
      <c r="F48" s="8"/>
      <c r="G48" s="8"/>
      <c r="H48" s="78"/>
      <c r="I48" s="68"/>
      <c r="J48" s="68"/>
      <c r="K48" s="68"/>
      <c r="L48" s="68"/>
      <c r="M48" s="65"/>
      <c r="N48" s="65"/>
      <c r="O48" s="115"/>
      <c r="P48" s="66"/>
      <c r="Q48" s="28"/>
      <c r="R48" s="26"/>
      <c r="S48" s="3"/>
      <c r="T48" s="3"/>
      <c r="U48" s="17"/>
      <c r="V48" s="27"/>
    </row>
    <row r="49" spans="1:22" x14ac:dyDescent="0.3">
      <c r="A49" s="29"/>
      <c r="B49" s="39" t="s">
        <v>44</v>
      </c>
      <c r="C49" s="29"/>
      <c r="D49" s="87"/>
      <c r="E49" s="29"/>
      <c r="F49" s="29"/>
      <c r="G49" s="29"/>
      <c r="H49" s="84"/>
      <c r="I49" s="85"/>
      <c r="J49" s="85"/>
      <c r="K49" s="85"/>
      <c r="L49" s="85"/>
      <c r="M49" s="83"/>
      <c r="N49" s="83"/>
      <c r="O49" s="116"/>
      <c r="P49" s="86"/>
      <c r="Q49" s="32"/>
      <c r="R49" s="37"/>
      <c r="S49" s="29"/>
      <c r="T49" s="29"/>
      <c r="U49" s="35"/>
      <c r="V49" s="36"/>
    </row>
    <row r="50" spans="1:22" x14ac:dyDescent="0.3">
      <c r="A50" s="3"/>
      <c r="B50" s="88" t="s">
        <v>43</v>
      </c>
      <c r="C50" s="3"/>
      <c r="D50" s="76"/>
      <c r="E50" s="3"/>
      <c r="F50" s="3"/>
      <c r="G50" s="55"/>
      <c r="H50" s="74"/>
      <c r="I50" s="67"/>
      <c r="J50" s="67"/>
      <c r="K50" s="67"/>
      <c r="L50" s="67"/>
      <c r="M50" s="63"/>
      <c r="N50" s="63"/>
      <c r="O50" s="102"/>
      <c r="P50" s="64"/>
      <c r="Q50" s="25"/>
      <c r="R50" s="26"/>
      <c r="S50" s="3"/>
      <c r="T50" s="3"/>
      <c r="U50" s="16"/>
      <c r="V50" s="24"/>
    </row>
    <row r="51" spans="1:22" x14ac:dyDescent="0.3">
      <c r="A51" s="3"/>
      <c r="B51" s="88" t="s">
        <v>66</v>
      </c>
      <c r="C51" s="3"/>
      <c r="D51" s="76"/>
      <c r="E51" s="3"/>
      <c r="F51" s="3"/>
      <c r="G51" s="55"/>
      <c r="H51" s="74"/>
      <c r="I51" s="67"/>
      <c r="J51" s="67"/>
      <c r="K51" s="67"/>
      <c r="L51" s="67"/>
      <c r="M51" s="63"/>
      <c r="N51" s="63"/>
      <c r="O51" s="102"/>
      <c r="P51" s="64"/>
      <c r="Q51" s="25"/>
      <c r="R51" s="26"/>
      <c r="S51" s="3"/>
      <c r="T51" s="3"/>
      <c r="U51" s="16"/>
      <c r="V51" s="24"/>
    </row>
    <row r="52" spans="1:22" x14ac:dyDescent="0.3">
      <c r="A52" s="3"/>
      <c r="B52" s="88" t="s">
        <v>94</v>
      </c>
      <c r="C52" s="3"/>
      <c r="D52" s="76"/>
      <c r="E52" s="3"/>
      <c r="F52" s="3"/>
      <c r="G52" s="55"/>
      <c r="H52" s="74"/>
      <c r="I52" s="67"/>
      <c r="J52" s="67"/>
      <c r="K52" s="67"/>
      <c r="L52" s="67"/>
      <c r="M52" s="63"/>
      <c r="N52" s="63"/>
      <c r="O52" s="102"/>
      <c r="P52" s="64"/>
      <c r="Q52" s="25"/>
      <c r="R52" s="26"/>
      <c r="S52" s="3"/>
      <c r="T52" s="3"/>
      <c r="U52" s="16"/>
      <c r="V52" s="24"/>
    </row>
    <row r="53" spans="1:22" x14ac:dyDescent="0.3">
      <c r="A53" s="3"/>
      <c r="B53" s="88" t="s">
        <v>115</v>
      </c>
      <c r="C53" s="3"/>
      <c r="D53" s="76"/>
      <c r="E53" s="3"/>
      <c r="F53" s="3"/>
      <c r="G53" s="55"/>
      <c r="H53" s="74"/>
      <c r="I53" s="67"/>
      <c r="J53" s="67"/>
      <c r="K53" s="67"/>
      <c r="L53" s="67"/>
      <c r="M53" s="63"/>
      <c r="N53" s="63"/>
      <c r="O53" s="102"/>
      <c r="P53" s="64"/>
      <c r="Q53" s="25"/>
      <c r="R53" s="26"/>
      <c r="S53" s="3"/>
      <c r="T53" s="3"/>
      <c r="U53" s="16"/>
      <c r="V53" s="24"/>
    </row>
    <row r="54" spans="1:22" x14ac:dyDescent="0.3">
      <c r="A54" s="3"/>
      <c r="B54" s="3"/>
      <c r="C54" s="3"/>
      <c r="D54" s="76"/>
      <c r="E54" s="3"/>
      <c r="F54" s="3"/>
      <c r="G54" s="55"/>
      <c r="H54" s="74"/>
      <c r="I54" s="67"/>
      <c r="J54" s="67"/>
      <c r="K54" s="67"/>
      <c r="L54" s="67"/>
      <c r="M54" s="63"/>
      <c r="N54" s="63"/>
      <c r="O54" s="102"/>
      <c r="P54" s="64"/>
      <c r="Q54" s="25"/>
      <c r="R54" s="26"/>
      <c r="S54" s="3"/>
      <c r="T54" s="3"/>
      <c r="U54" s="16"/>
      <c r="V54" s="24"/>
    </row>
    <row r="55" spans="1:22" x14ac:dyDescent="0.3">
      <c r="A55" s="3"/>
      <c r="B55" s="3"/>
      <c r="C55" s="3"/>
      <c r="D55" s="76"/>
      <c r="E55" s="3"/>
      <c r="F55" s="3"/>
      <c r="G55" s="55"/>
      <c r="H55" s="74"/>
      <c r="I55" s="67"/>
      <c r="J55" s="67"/>
      <c r="K55" s="67"/>
      <c r="L55" s="67"/>
      <c r="M55" s="63"/>
      <c r="N55" s="63"/>
      <c r="O55" s="102"/>
      <c r="P55" s="64"/>
      <c r="Q55" s="25"/>
      <c r="R55" s="26"/>
      <c r="S55" s="3"/>
      <c r="T55" s="3"/>
      <c r="U55" s="16"/>
      <c r="V55" s="24"/>
    </row>
    <row r="56" spans="1:22" x14ac:dyDescent="0.3">
      <c r="A56" s="3"/>
      <c r="B56" s="3"/>
      <c r="C56" s="3"/>
      <c r="D56" s="76"/>
      <c r="E56" s="3"/>
      <c r="F56" s="3"/>
      <c r="G56" s="55"/>
      <c r="H56" s="74"/>
      <c r="I56" s="67"/>
      <c r="J56" s="67"/>
      <c r="K56" s="67"/>
      <c r="L56" s="67"/>
      <c r="M56" s="63"/>
      <c r="N56" s="63"/>
      <c r="O56" s="102"/>
      <c r="P56" s="64"/>
      <c r="Q56" s="25"/>
      <c r="R56" s="26"/>
      <c r="S56" s="3"/>
      <c r="T56" s="3"/>
      <c r="U56" s="16"/>
      <c r="V56" s="24"/>
    </row>
    <row r="57" spans="1:22" x14ac:dyDescent="0.3">
      <c r="A57" s="3"/>
      <c r="B57" s="3"/>
      <c r="C57" s="3"/>
      <c r="D57" s="76"/>
      <c r="E57" s="3"/>
      <c r="F57" s="3"/>
      <c r="G57" s="55"/>
      <c r="H57" s="74"/>
      <c r="I57" s="67"/>
      <c r="J57" s="67"/>
      <c r="K57" s="67"/>
      <c r="L57" s="67"/>
      <c r="M57" s="63"/>
      <c r="N57" s="63"/>
      <c r="O57" s="102"/>
      <c r="P57" s="64"/>
      <c r="Q57" s="25"/>
      <c r="R57" s="26"/>
      <c r="S57" s="3"/>
      <c r="T57" s="3"/>
      <c r="U57" s="16"/>
      <c r="V57" s="24"/>
    </row>
  </sheetData>
  <mergeCells count="5">
    <mergeCell ref="A1:B1"/>
    <mergeCell ref="C1:E1"/>
    <mergeCell ref="G8:G9"/>
    <mergeCell ref="M8:M9"/>
    <mergeCell ref="N26:N27"/>
  </mergeCells>
  <pageMargins left="0.25" right="0.25" top="0.75" bottom="0.7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9B7033A37C3041A76BC4470EDB25C4" ma:contentTypeVersion="0" ma:contentTypeDescription="Create a new document." ma:contentTypeScope="" ma:versionID="6a5c5e49fadfdb1a58b2606241660ed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9A311-6EFA-4B87-85D5-FD9A5128C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F82AD2-E954-4A6B-925D-2C5323A399AA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964AAA-E218-4B0D-8204-2B7EA517D8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Dept. Commerce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cp:lastPrinted>2015-09-14T14:50:58Z</cp:lastPrinted>
  <dcterms:created xsi:type="dcterms:W3CDTF">2015-07-28T20:22:39Z</dcterms:created>
  <dcterms:modified xsi:type="dcterms:W3CDTF">2015-09-23T21:36:05Z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0x0101005C9B7033A37C3041A76BC4470EDB25C4</vt:lpwstr>
  </property>
</Properties>
</file>