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tabRatio="717" activeTab="3"/>
  </bookViews>
  <sheets>
    <sheet name="Recip_65% base_60%eff" sheetId="1" r:id="rId1"/>
    <sheet name="Recip_65% base_65%eff" sheetId="2" r:id="rId2"/>
    <sheet name="Recip_65% base_70%eff" sheetId="3" r:id="rId3"/>
    <sheet name="Recip_65% base_75%eff" sheetId="4" r:id="rId4"/>
    <sheet name="Recip_65% base_MaxEff" sheetId="5" r:id="rId5"/>
  </sheets>
  <definedNames>
    <definedName name="E_grid" localSheetId="0">'Recip_65% base_60%eff'!$P$18:$P$19</definedName>
    <definedName name="E_grid" localSheetId="1">'Recip_65% base_65%eff'!$P$18:$P$19</definedName>
    <definedName name="E_grid" localSheetId="2">'Recip_65% base_70%eff'!$P$18:$P$19</definedName>
    <definedName name="E_grid" localSheetId="3">'Recip_65% base_75%eff'!$P$18:$P$19</definedName>
    <definedName name="E_grid" localSheetId="4">'Recip_65% base_MaxEff'!$P$18:$P$19</definedName>
    <definedName name="E_grid">#REF!</definedName>
    <definedName name="Utility">#REF!</definedName>
  </definedNames>
  <calcPr fullCalcOnLoad="1"/>
</workbook>
</file>

<file path=xl/comments1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2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3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4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5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sharedStrings.xml><?xml version="1.0" encoding="utf-8"?>
<sst xmlns="http://schemas.openxmlformats.org/spreadsheetml/2006/main" count="533" uniqueCount="130">
  <si>
    <t>Thermal Utilization</t>
  </si>
  <si>
    <t>SWEEP Method</t>
  </si>
  <si>
    <t>Assumptions</t>
  </si>
  <si>
    <t>kW</t>
  </si>
  <si>
    <t>$/kW</t>
  </si>
  <si>
    <t>yrs</t>
  </si>
  <si>
    <t>Hrs</t>
  </si>
  <si>
    <t>kWh</t>
  </si>
  <si>
    <t>kBtu/kWh</t>
  </si>
  <si>
    <t>kBtu/yr</t>
  </si>
  <si>
    <t>kBtu/hr</t>
  </si>
  <si>
    <t>Displaced thermal Eff</t>
  </si>
  <si>
    <t>kW Savings</t>
  </si>
  <si>
    <t>Cost/kW</t>
  </si>
  <si>
    <t>$/kWh</t>
  </si>
  <si>
    <t>yrly maintenance</t>
  </si>
  <si>
    <t>Electric Avoided Costs ($/kWh)</t>
  </si>
  <si>
    <t>Avoided Electric Capacity ($/kW)</t>
  </si>
  <si>
    <t>Avoided Electric T&amp;D ($/kW)</t>
  </si>
  <si>
    <t>Avoided Ancillary ($/kW/Mth)</t>
  </si>
  <si>
    <t>CHP Capacity (kW)</t>
  </si>
  <si>
    <t>Measure Life (years)</t>
  </si>
  <si>
    <t>Operating Hours (Hrs)</t>
  </si>
  <si>
    <t>E CHP (kWh)</t>
  </si>
  <si>
    <t>F grid (Fg) (kBtu/yr)</t>
  </si>
  <si>
    <t>Usable Waste heat from CHP (kBtu/hr)</t>
  </si>
  <si>
    <t>F thermal CHP (Ft) (kBtu/yr)</t>
  </si>
  <si>
    <t>Fuel Use by CHP (kBtu/hr)</t>
  </si>
  <si>
    <t>F total CHP (Fc)  (kBtu/yr)</t>
  </si>
  <si>
    <t>H CHP [ (Fc-Ft)/E ]</t>
  </si>
  <si>
    <t>S fuel CHP [ Fg+Ft-Fc ]</t>
  </si>
  <si>
    <t>Ameren</t>
  </si>
  <si>
    <t>Maintenance $</t>
  </si>
  <si>
    <t>ComEd</t>
  </si>
  <si>
    <t>Units</t>
  </si>
  <si>
    <t>Tax Credit (@10%)</t>
  </si>
  <si>
    <t>Installation Cost</t>
  </si>
  <si>
    <t>Total 1 time cost to Cust</t>
  </si>
  <si>
    <t>2010 - 2015</t>
  </si>
  <si>
    <t>S fuel CHP = F grid + F thermal CHP – F total CHP</t>
  </si>
  <si>
    <t>F grid = E CHP X H grid</t>
  </si>
  <si>
    <t>Grid heat rate (kBtu/kWh) (Hgrid)</t>
  </si>
  <si>
    <t>H CHP = (F total CHP – F thermal CHP) / E CHP</t>
  </si>
  <si>
    <t>S CHP Elec = S fuel CHP / H CHP</t>
  </si>
  <si>
    <t>S CHP gas = S fuel CHP / 100,000 Btu/therm</t>
  </si>
  <si>
    <t>Total CHP efficiency</t>
  </si>
  <si>
    <t>Opportunity Cost</t>
  </si>
  <si>
    <t>Electric Efficiency % (HHV)</t>
  </si>
  <si>
    <t>Parasitic Loads (kWh)</t>
  </si>
  <si>
    <t>Total E CHP (kWh)</t>
  </si>
  <si>
    <t>Grid Heat Rate</t>
  </si>
  <si>
    <t>Losses</t>
  </si>
  <si>
    <t>Design</t>
  </si>
  <si>
    <t>Contruction</t>
  </si>
  <si>
    <t>Production</t>
  </si>
  <si>
    <t>Total Incentives</t>
  </si>
  <si>
    <t>eGrid</t>
  </si>
  <si>
    <t>RFC West</t>
  </si>
  <si>
    <t>SERC Midwest</t>
  </si>
  <si>
    <t>&gt;=6500 hrs</t>
  </si>
  <si>
    <t>&lt;6500 hrs</t>
  </si>
  <si>
    <t>Utility</t>
  </si>
  <si>
    <t>$/ kWh/yr</t>
  </si>
  <si>
    <t>I therm =100 kBtu</t>
  </si>
  <si>
    <t>1 kWh = 3.412 btu</t>
  </si>
  <si>
    <t>Year 20</t>
  </si>
  <si>
    <t>Year 21</t>
  </si>
  <si>
    <t>Year 22</t>
  </si>
  <si>
    <t>Year 23</t>
  </si>
  <si>
    <t>Year 24</t>
  </si>
  <si>
    <t>Year 25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</si>
  <si>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</si>
  <si>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</si>
  <si>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</si>
  <si>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</si>
  <si>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</si>
  <si>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</si>
  <si>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</si>
  <si>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</si>
  <si>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</si>
  <si>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</si>
  <si>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</si>
  <si>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</si>
  <si>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</si>
  <si>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</si>
  <si>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</si>
  <si>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</si>
  <si>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</si>
  <si>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</si>
  <si>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</si>
  <si>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Therms</t>
  </si>
  <si>
    <t>Electric Savings (Claimable)</t>
  </si>
  <si>
    <t>Gas Savings (Claimable)</t>
  </si>
  <si>
    <t>Elec vs Gas</t>
  </si>
  <si>
    <t>all Fossil</t>
  </si>
  <si>
    <t>Non-Baseload</t>
  </si>
  <si>
    <t>Non Baseload</t>
  </si>
  <si>
    <t>BASELINE</t>
  </si>
  <si>
    <t>% therms vs F thermal (therms)</t>
  </si>
  <si>
    <t>CO2 tons/yr from on-site fuel</t>
  </si>
  <si>
    <t>CO2 tons/yr displaced thermal</t>
  </si>
  <si>
    <t>CO2 tons/yr displaced electric</t>
  </si>
  <si>
    <t>Egrid 2010 RFCW (Com Ed)</t>
  </si>
  <si>
    <t>CO2 tons/MWh from electricity</t>
  </si>
  <si>
    <t>CO2 tons/MMBtu from gas on-site</t>
  </si>
  <si>
    <t>Avg electric T&amp;D marginal losses</t>
  </si>
  <si>
    <t>CO2 tons/yr net impact</t>
  </si>
  <si>
    <t>equiv elec CO2 impact as % of CHP elec output</t>
  </si>
  <si>
    <t>Equivalent electricity impact (kWh)</t>
  </si>
  <si>
    <t>natural gas CO2 emission rate</t>
  </si>
  <si>
    <t xml:space="preserve">kg/MMBtu </t>
  </si>
  <si>
    <t xml:space="preserve">From both EPA (http://www.epa.gov/climateleadership/documents/emission-factors.pdf) and EIA (http://www.eia.gov/oiaf/1605/coefficients.html#tbl1) </t>
  </si>
  <si>
    <t>Con Ed (RFCW)</t>
  </si>
  <si>
    <t>Ameren (SRMW)</t>
  </si>
  <si>
    <t>grid marginal CO2 emission rate (lb/MWh) - EGRID Feb 2014 tables (2010 Data)</t>
  </si>
  <si>
    <t>non-baseload</t>
  </si>
  <si>
    <t>all fossil</t>
  </si>
  <si>
    <t>IL GWh Sales (2012 EIA 861 Data)</t>
  </si>
  <si>
    <t>kg to lb. conversion</t>
  </si>
  <si>
    <t>Com Ed marginal loss rate</t>
  </si>
  <si>
    <t>Added CO2 tons from on-site gas use</t>
  </si>
  <si>
    <t>grid kWh equiv from added on-site gas</t>
  </si>
  <si>
    <t>Added CO2 lbs from on-site gas use</t>
  </si>
  <si>
    <t>grid MWh equiv from added on-site gas</t>
  </si>
  <si>
    <t>grid kWh equiv as % of CHP output</t>
  </si>
  <si>
    <t>grid MWh equiv w/losses</t>
  </si>
  <si>
    <t>Check (Alternative Analysis - kWh penalty for increased on-site gas use)</t>
  </si>
  <si>
    <t>Key CO2 Assumptions</t>
  </si>
  <si>
    <t>Statewide Wtd Avg</t>
  </si>
  <si>
    <t>fixed at 6000 per DCEO compromise proposal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</si>
</sst>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  <numFmt numFmtId="167" formatCode="#,##0.0"/>
    <numFmt numFmtId="168" formatCode="#,##0.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_);_(* \(#,##0\);_(* &quot;-&quot;??_);_(@_)"/>
    <numFmt numFmtId="176" formatCode="_(* #,##0.0_);_(* \(#,##0.0\);_(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_(&quot;$&quot;* #,##0_);_(&quot;$&quot;* \(#,##0\);_(&quot;$&quot;* &quot;-&quot;???_);_(@_)"/>
    <numFmt numFmtId="180" formatCode="&quot;$&quot;#,##0.00000"/>
    <numFmt numFmtId="181" formatCode="&quot;$&quot;#,##0.00"/>
    <numFmt numFmtId="182" formatCode="&quot;$&quot;#,##0.00000000"/>
    <numFmt numFmtId="183" formatCode="_(&quot;$&quot;* #,##0.000_);_(&quot;$&quot;* \(#,##0.000\);_(&quot;$&quot;* &quot;-&quot;???_);_(@_)"/>
    <numFmt numFmtId="184" formatCode="&quot;$&quot;#,##0.000_);\(&quot;$&quot;#,##0.000\)"/>
    <numFmt numFmtId="185" formatCode="&quot;$&quot;#,##0.000"/>
    <numFmt numFmtId="186" formatCode="&quot;$&quot;#,##0.0000"/>
    <numFmt numFmtId="187" formatCode="_(* #,##0.00000000_);_(* \(#,##0.00000000\);_(* &quot;-&quot;????????_);_(@_)"/>
    <numFmt numFmtId="188" formatCode="0.000%"/>
    <numFmt numFmtId="189" formatCode="0.0000%"/>
    <numFmt numFmtId="190" formatCode="0.00000%"/>
    <numFmt numFmtId="191" formatCode="&quot;$&quot;#,##0.0000_);\(&quot;$&quot;#,##0.0000\)"/>
    <numFmt numFmtId="192" formatCode="&quot;$&quot;#,##0.00000_);\(&quot;$&quot;#,##0.00000\)"/>
    <numFmt numFmtId="193" formatCode="[$-409]dddd\,\ mmmm\ dd\,\ yyyy"/>
    <numFmt numFmtId="194" formatCode="[$-409]h:mm:ss\ AM/PM"/>
    <numFmt numFmtId="195" formatCode="_(&quot;$&quot;* #,##0.0_);_(&quot;$&quot;* \(#,##0.0\);_(&quot;$&quot;* &quot;-&quot;??_);_(@_)"/>
    <numFmt numFmtId="196" formatCode="&quot;$&quot;#,##0.0_);\(&quot;$&quot;#,##0.0\)"/>
    <numFmt numFmtId="197" formatCode="&quot;$&quot;#,##0.0000000"/>
    <numFmt numFmtId="198" formatCode="&quot;$&quot;#,##0.000000"/>
    <numFmt numFmtId="199" formatCode="_(* #,##0.0_);_(* \(#,##0.0\);_(* &quot;-&quot;?_);_(@_)"/>
    <numFmt numFmtId="200" formatCode="_(&quot;$&quot;* #,##0.0000_);_(&quot;$&quot;* \(#,##0.0000\);_(&quot;$&quot;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&quot;$&quot;* #,##0.0_);_(&quot;$&quot;* \(#,##0.0\);_(&quot;$&quot;* &quot;-&quot;?_);_(@_)"/>
    <numFmt numFmtId="205" formatCode="_(* #,##0.000_);_(* \(#,##0.000\);_(* &quot;-&quot;?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$&quot;#,##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9" fontId="0" fillId="0" borderId="0" xfId="72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178" fontId="0" fillId="0" borderId="0" xfId="49" applyNumberFormat="1" applyFont="1" applyAlignment="1">
      <alignment/>
    </xf>
    <xf numFmtId="44" fontId="0" fillId="0" borderId="0" xfId="49" applyNumberFormat="1" applyFont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2" borderId="0" xfId="0" applyFill="1" applyAlignment="1">
      <alignment/>
    </xf>
    <xf numFmtId="175" fontId="0" fillId="32" borderId="0" xfId="43" applyNumberFormat="1" applyFont="1" applyFill="1" applyAlignment="1">
      <alignment/>
    </xf>
    <xf numFmtId="176" fontId="0" fillId="32" borderId="0" xfId="43" applyNumberFormat="1" applyFont="1" applyFill="1" applyAlignment="1">
      <alignment/>
    </xf>
    <xf numFmtId="43" fontId="0" fillId="32" borderId="0" xfId="43" applyNumberFormat="1" applyFont="1" applyFill="1" applyAlignment="1">
      <alignment/>
    </xf>
    <xf numFmtId="179" fontId="0" fillId="32" borderId="0" xfId="0" applyNumberFormat="1" applyFill="1" applyAlignment="1">
      <alignment/>
    </xf>
    <xf numFmtId="44" fontId="0" fillId="32" borderId="0" xfId="49" applyNumberFormat="1" applyFont="1" applyFill="1" applyAlignment="1">
      <alignment/>
    </xf>
    <xf numFmtId="184" fontId="0" fillId="4" borderId="10" xfId="51" applyNumberFormat="1" applyFont="1" applyFill="1" applyBorder="1" applyAlignment="1" applyProtection="1">
      <alignment horizontal="center"/>
      <protection locked="0"/>
    </xf>
    <xf numFmtId="196" fontId="0" fillId="4" borderId="10" xfId="51" applyNumberFormat="1" applyFont="1" applyFill="1" applyBorder="1" applyAlignment="1" applyProtection="1">
      <alignment horizontal="center"/>
      <protection locked="0"/>
    </xf>
    <xf numFmtId="177" fontId="35" fillId="32" borderId="0" xfId="0" applyNumberFormat="1" applyFont="1" applyFill="1" applyAlignment="1">
      <alignment/>
    </xf>
    <xf numFmtId="174" fontId="0" fillId="9" borderId="11" xfId="0" applyNumberFormat="1" applyFill="1" applyBorder="1" applyAlignment="1" applyProtection="1">
      <alignment horizontal="center"/>
      <protection locked="0"/>
    </xf>
    <xf numFmtId="174" fontId="0" fillId="9" borderId="12" xfId="0" applyNumberFormat="1" applyFill="1" applyBorder="1" applyAlignment="1" applyProtection="1">
      <alignment horizontal="center"/>
      <protection locked="0"/>
    </xf>
    <xf numFmtId="9" fontId="0" fillId="0" borderId="0" xfId="0" applyNumberFormat="1" applyAlignment="1">
      <alignment horizontal="center"/>
    </xf>
    <xf numFmtId="175" fontId="1" fillId="32" borderId="0" xfId="43" applyNumberFormat="1" applyFont="1" applyFill="1" applyAlignment="1">
      <alignment/>
    </xf>
    <xf numFmtId="0" fontId="50" fillId="32" borderId="0" xfId="0" applyFont="1" applyFill="1" applyBorder="1" applyAlignment="1">
      <alignment horizontal="center"/>
    </xf>
    <xf numFmtId="179" fontId="1" fillId="32" borderId="0" xfId="0" applyNumberFormat="1" applyFont="1" applyFill="1" applyAlignment="1">
      <alignment/>
    </xf>
    <xf numFmtId="177" fontId="48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0" fillId="9" borderId="19" xfId="45" applyNumberFormat="1" applyFont="1" applyFill="1" applyBorder="1" applyAlignment="1" applyProtection="1">
      <alignment horizontal="center"/>
      <protection locked="0"/>
    </xf>
    <xf numFmtId="181" fontId="0" fillId="9" borderId="12" xfId="0" applyNumberFormat="1" applyFont="1" applyFill="1" applyBorder="1" applyAlignment="1" applyProtection="1">
      <alignment horizontal="center"/>
      <protection locked="0"/>
    </xf>
    <xf numFmtId="186" fontId="0" fillId="34" borderId="12" xfId="0" applyNumberFormat="1" applyFont="1" applyFill="1" applyBorder="1" applyAlignment="1" applyProtection="1">
      <alignment horizontal="center"/>
      <protection locked="0"/>
    </xf>
    <xf numFmtId="7" fontId="0" fillId="4" borderId="12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181" fontId="0" fillId="35" borderId="10" xfId="0" applyNumberFormat="1" applyFill="1" applyBorder="1" applyAlignment="1">
      <alignment/>
    </xf>
    <xf numFmtId="180" fontId="0" fillId="35" borderId="10" xfId="0" applyNumberFormat="1" applyFill="1" applyBorder="1" applyAlignment="1">
      <alignment/>
    </xf>
    <xf numFmtId="175" fontId="0" fillId="32" borderId="0" xfId="43" applyNumberFormat="1" applyFont="1" applyFill="1" applyAlignment="1">
      <alignment/>
    </xf>
    <xf numFmtId="10" fontId="1" fillId="32" borderId="0" xfId="72" applyNumberFormat="1" applyFont="1" applyFill="1" applyAlignment="1">
      <alignment/>
    </xf>
    <xf numFmtId="175" fontId="0" fillId="13" borderId="0" xfId="43" applyNumberFormat="1" applyFont="1" applyFill="1" applyAlignment="1">
      <alignment/>
    </xf>
    <xf numFmtId="0" fontId="48" fillId="13" borderId="0" xfId="0" applyFont="1" applyFill="1" applyAlignment="1">
      <alignment/>
    </xf>
    <xf numFmtId="0" fontId="0" fillId="13" borderId="0" xfId="0" applyFill="1" applyAlignment="1">
      <alignment/>
    </xf>
    <xf numFmtId="9" fontId="0" fillId="13" borderId="0" xfId="72" applyFont="1" applyFill="1" applyAlignment="1">
      <alignment/>
    </xf>
    <xf numFmtId="164" fontId="0" fillId="13" borderId="0" xfId="72" applyNumberFormat="1" applyFont="1" applyFill="1" applyAlignment="1">
      <alignment/>
    </xf>
    <xf numFmtId="0" fontId="0" fillId="36" borderId="0" xfId="0" applyFont="1" applyFill="1" applyAlignment="1">
      <alignment/>
    </xf>
    <xf numFmtId="175" fontId="1" fillId="36" borderId="0" xfId="43" applyNumberFormat="1" applyFont="1" applyFill="1" applyAlignment="1">
      <alignment/>
    </xf>
    <xf numFmtId="164" fontId="1" fillId="36" borderId="0" xfId="72" applyNumberFormat="1" applyFont="1" applyFill="1" applyAlignment="1">
      <alignment/>
    </xf>
    <xf numFmtId="196" fontId="0" fillId="4" borderId="20" xfId="51" applyNumberFormat="1" applyFont="1" applyFill="1" applyBorder="1" applyAlignment="1" applyProtection="1">
      <alignment horizontal="center"/>
      <protection locked="0"/>
    </xf>
    <xf numFmtId="184" fontId="0" fillId="4" borderId="20" xfId="51" applyNumberFormat="1" applyFont="1" applyFill="1" applyBorder="1" applyAlignment="1" applyProtection="1">
      <alignment horizontal="center"/>
      <protection locked="0"/>
    </xf>
    <xf numFmtId="0" fontId="50" fillId="32" borderId="21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48" fillId="13" borderId="21" xfId="0" applyFont="1" applyFill="1" applyBorder="1" applyAlignment="1">
      <alignment/>
    </xf>
    <xf numFmtId="0" fontId="0" fillId="13" borderId="21" xfId="0" applyFill="1" applyBorder="1" applyAlignment="1">
      <alignment/>
    </xf>
    <xf numFmtId="175" fontId="0" fillId="13" borderId="21" xfId="43" applyNumberFormat="1" applyFont="1" applyFill="1" applyBorder="1" applyAlignment="1">
      <alignment/>
    </xf>
    <xf numFmtId="175" fontId="0" fillId="32" borderId="21" xfId="43" applyNumberFormat="1" applyFont="1" applyFill="1" applyBorder="1" applyAlignment="1">
      <alignment/>
    </xf>
    <xf numFmtId="175" fontId="1" fillId="32" borderId="21" xfId="43" applyNumberFormat="1" applyFont="1" applyFill="1" applyBorder="1" applyAlignment="1">
      <alignment/>
    </xf>
    <xf numFmtId="176" fontId="0" fillId="32" borderId="21" xfId="43" applyNumberFormat="1" applyFont="1" applyFill="1" applyBorder="1" applyAlignment="1">
      <alignment/>
    </xf>
    <xf numFmtId="9" fontId="0" fillId="13" borderId="21" xfId="72" applyFont="1" applyFill="1" applyBorder="1" applyAlignment="1">
      <alignment/>
    </xf>
    <xf numFmtId="164" fontId="0" fillId="13" borderId="21" xfId="72" applyNumberFormat="1" applyFont="1" applyFill="1" applyBorder="1" applyAlignment="1">
      <alignment/>
    </xf>
    <xf numFmtId="10" fontId="1" fillId="32" borderId="21" xfId="72" applyNumberFormat="1" applyFont="1" applyFill="1" applyBorder="1" applyAlignment="1">
      <alignment/>
    </xf>
    <xf numFmtId="164" fontId="1" fillId="36" borderId="21" xfId="72" applyNumberFormat="1" applyFont="1" applyFill="1" applyBorder="1" applyAlignment="1">
      <alignment/>
    </xf>
    <xf numFmtId="175" fontId="1" fillId="36" borderId="21" xfId="43" applyNumberFormat="1" applyFont="1" applyFill="1" applyBorder="1" applyAlignment="1">
      <alignment/>
    </xf>
    <xf numFmtId="43" fontId="0" fillId="32" borderId="21" xfId="43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77" fontId="35" fillId="32" borderId="21" xfId="0" applyNumberFormat="1" applyFont="1" applyFill="1" applyBorder="1" applyAlignment="1">
      <alignment/>
    </xf>
    <xf numFmtId="177" fontId="48" fillId="32" borderId="21" xfId="0" applyNumberFormat="1" applyFont="1" applyFill="1" applyBorder="1" applyAlignment="1">
      <alignment/>
    </xf>
    <xf numFmtId="179" fontId="1" fillId="32" borderId="21" xfId="0" applyNumberFormat="1" applyFont="1" applyFill="1" applyBorder="1" applyAlignment="1">
      <alignment/>
    </xf>
    <xf numFmtId="179" fontId="0" fillId="32" borderId="21" xfId="0" applyNumberFormat="1" applyFill="1" applyBorder="1" applyAlignment="1">
      <alignment/>
    </xf>
    <xf numFmtId="44" fontId="0" fillId="32" borderId="21" xfId="49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48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175" fontId="0" fillId="13" borderId="11" xfId="43" applyNumberFormat="1" applyFont="1" applyFill="1" applyBorder="1" applyAlignment="1">
      <alignment/>
    </xf>
    <xf numFmtId="175" fontId="0" fillId="32" borderId="11" xfId="43" applyNumberFormat="1" applyFont="1" applyFill="1" applyBorder="1" applyAlignment="1">
      <alignment/>
    </xf>
    <xf numFmtId="175" fontId="1" fillId="32" borderId="11" xfId="43" applyNumberFormat="1" applyFont="1" applyFill="1" applyBorder="1" applyAlignment="1">
      <alignment/>
    </xf>
    <xf numFmtId="176" fontId="0" fillId="32" borderId="11" xfId="43" applyNumberFormat="1" applyFont="1" applyFill="1" applyBorder="1" applyAlignment="1">
      <alignment/>
    </xf>
    <xf numFmtId="9" fontId="0" fillId="13" borderId="11" xfId="72" applyFont="1" applyFill="1" applyBorder="1" applyAlignment="1">
      <alignment/>
    </xf>
    <xf numFmtId="164" fontId="0" fillId="13" borderId="11" xfId="72" applyNumberFormat="1" applyFont="1" applyFill="1" applyBorder="1" applyAlignment="1">
      <alignment/>
    </xf>
    <xf numFmtId="164" fontId="1" fillId="36" borderId="11" xfId="72" applyNumberFormat="1" applyFont="1" applyFill="1" applyBorder="1" applyAlignment="1">
      <alignment/>
    </xf>
    <xf numFmtId="175" fontId="1" fillId="36" borderId="11" xfId="43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7" fontId="35" fillId="32" borderId="11" xfId="0" applyNumberFormat="1" applyFont="1" applyFill="1" applyBorder="1" applyAlignment="1">
      <alignment/>
    </xf>
    <xf numFmtId="177" fontId="48" fillId="32" borderId="11" xfId="0" applyNumberFormat="1" applyFont="1" applyFill="1" applyBorder="1" applyAlignment="1">
      <alignment/>
    </xf>
    <xf numFmtId="179" fontId="1" fillId="32" borderId="11" xfId="0" applyNumberFormat="1" applyFont="1" applyFill="1" applyBorder="1" applyAlignment="1">
      <alignment/>
    </xf>
    <xf numFmtId="179" fontId="0" fillId="32" borderId="11" xfId="0" applyNumberFormat="1" applyFill="1" applyBorder="1" applyAlignment="1">
      <alignment/>
    </xf>
    <xf numFmtId="44" fontId="0" fillId="32" borderId="11" xfId="49" applyNumberFormat="1" applyFont="1" applyFill="1" applyBorder="1" applyAlignment="1">
      <alignment/>
    </xf>
    <xf numFmtId="175" fontId="0" fillId="32" borderId="21" xfId="43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15" borderId="0" xfId="0" applyFont="1" applyFill="1" applyAlignment="1">
      <alignment/>
    </xf>
    <xf numFmtId="9" fontId="1" fillId="15" borderId="0" xfId="72" applyFont="1" applyFill="1" applyAlignment="1">
      <alignment/>
    </xf>
    <xf numFmtId="9" fontId="1" fillId="15" borderId="21" xfId="72" applyFont="1" applyFill="1" applyBorder="1" applyAlignment="1">
      <alignment/>
    </xf>
    <xf numFmtId="0" fontId="48" fillId="32" borderId="0" xfId="0" applyFont="1" applyFill="1" applyBorder="1" applyAlignment="1">
      <alignment horizontal="center"/>
    </xf>
    <xf numFmtId="9" fontId="0" fillId="15" borderId="10" xfId="0" applyNumberFormat="1" applyFill="1" applyBorder="1" applyAlignment="1">
      <alignment/>
    </xf>
    <xf numFmtId="10" fontId="1" fillId="37" borderId="0" xfId="72" applyNumberFormat="1" applyFont="1" applyFill="1" applyAlignment="1">
      <alignment/>
    </xf>
    <xf numFmtId="10" fontId="1" fillId="37" borderId="21" xfId="72" applyNumberFormat="1" applyFont="1" applyFill="1" applyBorder="1" applyAlignment="1">
      <alignment/>
    </xf>
    <xf numFmtId="10" fontId="1" fillId="37" borderId="11" xfId="72" applyNumberFormat="1" applyFont="1" applyFill="1" applyBorder="1" applyAlignment="1">
      <alignment/>
    </xf>
    <xf numFmtId="10" fontId="1" fillId="13" borderId="0" xfId="72" applyNumberFormat="1" applyFont="1" applyFill="1" applyAlignment="1">
      <alignment/>
    </xf>
    <xf numFmtId="10" fontId="1" fillId="13" borderId="21" xfId="72" applyNumberFormat="1" applyFont="1" applyFill="1" applyBorder="1" applyAlignment="1">
      <alignment/>
    </xf>
    <xf numFmtId="10" fontId="1" fillId="13" borderId="11" xfId="72" applyNumberFormat="1" applyFont="1" applyFill="1" applyBorder="1" applyAlignment="1">
      <alignment/>
    </xf>
    <xf numFmtId="0" fontId="48" fillId="32" borderId="0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9" fontId="1" fillId="11" borderId="0" xfId="72" applyFont="1" applyFill="1" applyAlignment="1">
      <alignment/>
    </xf>
    <xf numFmtId="9" fontId="1" fillId="11" borderId="21" xfId="72" applyFont="1" applyFill="1" applyBorder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/>
    </xf>
    <xf numFmtId="175" fontId="0" fillId="0" borderId="0" xfId="43" applyNumberFormat="1" applyFont="1" applyAlignment="1">
      <alignment/>
    </xf>
    <xf numFmtId="2" fontId="0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01" fontId="0" fillId="0" borderId="0" xfId="0" applyNumberFormat="1" applyAlignment="1">
      <alignment/>
    </xf>
    <xf numFmtId="173" fontId="0" fillId="35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43" fontId="0" fillId="35" borderId="0" xfId="43" applyNumberFormat="1" applyFont="1" applyFill="1" applyAlignment="1">
      <alignment/>
    </xf>
    <xf numFmtId="43" fontId="0" fillId="35" borderId="21" xfId="43" applyNumberFormat="1" applyFont="1" applyFill="1" applyBorder="1" applyAlignment="1">
      <alignment/>
    </xf>
    <xf numFmtId="43" fontId="0" fillId="35" borderId="11" xfId="43" applyNumberFormat="1" applyFont="1" applyFill="1" applyBorder="1" applyAlignment="1">
      <alignment/>
    </xf>
    <xf numFmtId="0" fontId="48" fillId="32" borderId="11" xfId="0" applyFont="1" applyFill="1" applyBorder="1" applyAlignment="1">
      <alignment horizontal="center"/>
    </xf>
    <xf numFmtId="0" fontId="48" fillId="32" borderId="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urrency" xfId="49"/>
    <cellStyle name="Currency [0]" xfId="50"/>
    <cellStyle name="Currency 2" xfId="51"/>
    <cellStyle name="Currency 3" xfId="52"/>
    <cellStyle name="Currency 4" xfId="53"/>
    <cellStyle name="Currency 4 2" xfId="54"/>
    <cellStyle name="Currency 5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3" xfId="68"/>
    <cellStyle name="Normal 3 2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Percent 4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6"/>
  <sheetViews>
    <sheetView zoomScale="80" zoomScaleNormal="80" zoomScalePageLayoutView="0" workbookViewId="0" topLeftCell="A10">
      <selection activeCell="I32" sqref="I32"/>
    </sheetView>
  </sheetViews>
  <sheetFormatPr defaultColWidth="9.140625" defaultRowHeight="12.75"/>
  <cols>
    <col min="2" max="2" width="35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10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0.633</v>
      </c>
      <c r="D22" s="108">
        <v>0.633</v>
      </c>
      <c r="E22" s="107">
        <v>0.59</v>
      </c>
      <c r="F22" s="108">
        <v>0.59</v>
      </c>
      <c r="G22" s="109">
        <v>0.576</v>
      </c>
      <c r="H22" s="108">
        <v>0.576</v>
      </c>
      <c r="I22" s="107">
        <v>0.537</v>
      </c>
      <c r="J22" s="108">
        <v>0.537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3392880</v>
      </c>
      <c r="D25" s="65">
        <f>(D21*D15*D22)/D23</f>
        <v>3392880</v>
      </c>
      <c r="E25" s="15">
        <f aca="true" t="shared" si="5" ref="E25:L25">(E21*E15*E22)/E23</f>
        <v>13121600</v>
      </c>
      <c r="F25" s="65">
        <f t="shared" si="5"/>
        <v>13121600</v>
      </c>
      <c r="G25" s="84">
        <f t="shared" si="5"/>
        <v>19906559.999999996</v>
      </c>
      <c r="H25" s="65">
        <f t="shared" si="5"/>
        <v>19906559.999999996</v>
      </c>
      <c r="I25" s="15">
        <f t="shared" si="5"/>
        <v>45838320</v>
      </c>
      <c r="J25" s="65">
        <f t="shared" si="5"/>
        <v>45838320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0.6002087338804221</v>
      </c>
      <c r="D26" s="105">
        <f t="shared" si="6"/>
        <v>0.6002087338804221</v>
      </c>
      <c r="E26" s="104">
        <f t="shared" si="6"/>
        <v>0.6001011334403805</v>
      </c>
      <c r="F26" s="105">
        <f t="shared" si="6"/>
        <v>0.6001011334403805</v>
      </c>
      <c r="G26" s="106">
        <f t="shared" si="6"/>
        <v>0.6000484163256512</v>
      </c>
      <c r="H26" s="105">
        <f t="shared" si="6"/>
        <v>0.6000484163256512</v>
      </c>
      <c r="I26" s="104">
        <f t="shared" si="6"/>
        <v>0.5999005708549431</v>
      </c>
      <c r="J26" s="105">
        <f t="shared" si="6"/>
        <v>0.5999005708549431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1915273.8953777794</v>
      </c>
      <c r="D29" s="66">
        <f>IF((D20+D25-D28-C29)&lt;0,0,(D20+D25-D28-C29))</f>
        <v>0</v>
      </c>
      <c r="E29" s="26">
        <f>E20+E25-E28</f>
        <v>14202150.459190607</v>
      </c>
      <c r="F29" s="66">
        <f>IF((F20+F25-F28-E29)&lt;0,0,(F20+F25-F28-E29))</f>
        <v>0</v>
      </c>
      <c r="G29" s="85">
        <f>G20+G25-G28</f>
        <v>25977589.286991656</v>
      </c>
      <c r="H29" s="66">
        <f>IF((H20+H25-H28-G29)&lt;0,0,(H20+H25-H28-G29))</f>
        <v>0</v>
      </c>
      <c r="I29" s="26">
        <f>I20+I25-I28</f>
        <v>80338564.94266313</v>
      </c>
      <c r="J29" s="66">
        <f>IF((J20+J25-J28-I29)&lt;0,0,(J20+J25-J28-I29))</f>
        <v>0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1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1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0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0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319212.3158962966</v>
      </c>
      <c r="D32" s="72">
        <f t="shared" si="9"/>
        <v>0</v>
      </c>
      <c r="E32" s="56">
        <f t="shared" si="9"/>
        <v>2367025.076531768</v>
      </c>
      <c r="F32" s="72">
        <f t="shared" si="9"/>
        <v>0</v>
      </c>
      <c r="G32" s="90">
        <f t="shared" si="9"/>
        <v>4329598.214498609</v>
      </c>
      <c r="H32" s="72">
        <f t="shared" si="9"/>
        <v>0</v>
      </c>
      <c r="I32" s="56">
        <f t="shared" si="9"/>
        <v>13389760.82377719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0</v>
      </c>
      <c r="D33" s="72">
        <f t="shared" si="10"/>
        <v>0</v>
      </c>
      <c r="E33" s="56">
        <f t="shared" si="10"/>
        <v>0</v>
      </c>
      <c r="F33" s="72">
        <f t="shared" si="10"/>
        <v>0</v>
      </c>
      <c r="G33" s="90">
        <f t="shared" si="10"/>
        <v>0</v>
      </c>
      <c r="H33" s="72">
        <f t="shared" si="10"/>
        <v>0</v>
      </c>
      <c r="I33" s="56">
        <f t="shared" si="10"/>
        <v>0</v>
      </c>
      <c r="J33" s="72">
        <f t="shared" si="10"/>
        <v>0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1</v>
      </c>
      <c r="D34" s="101">
        <f>D29/(C29+D29)</f>
        <v>0</v>
      </c>
      <c r="E34" s="100">
        <f>E29/(F29+E29)</f>
        <v>1</v>
      </c>
      <c r="F34" s="101">
        <f>F29/(E29+F29)</f>
        <v>0</v>
      </c>
      <c r="G34" s="100">
        <f>G29/(H29+G29)</f>
        <v>1</v>
      </c>
      <c r="H34" s="101">
        <f>H29/(G29+H29)</f>
        <v>0</v>
      </c>
      <c r="I34" s="100">
        <f>I29/(J29+I29)</f>
        <v>1</v>
      </c>
      <c r="J34" s="101">
        <f>J29/(I29+J29)</f>
        <v>0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/>
      <c r="E35" s="113"/>
      <c r="F35" s="114"/>
      <c r="G35" s="113"/>
      <c r="H35" s="114"/>
      <c r="I35" s="113"/>
      <c r="J35" s="114"/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35280</v>
      </c>
      <c r="E50" s="22">
        <f t="shared" si="19"/>
        <v>223322.4</v>
      </c>
      <c r="F50" s="75">
        <f t="shared" si="19"/>
        <v>223322.4</v>
      </c>
      <c r="G50" s="92">
        <f t="shared" si="19"/>
        <v>395488.8</v>
      </c>
      <c r="H50" s="75">
        <f t="shared" si="19"/>
        <v>395488.8</v>
      </c>
      <c r="I50" s="22">
        <f t="shared" si="19"/>
        <v>1173412.8</v>
      </c>
      <c r="J50" s="75">
        <f t="shared" si="19"/>
        <v>1173412.8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60280</v>
      </c>
      <c r="E51" s="29">
        <f t="shared" si="20"/>
        <v>381572.4</v>
      </c>
      <c r="F51" s="76">
        <f t="shared" si="20"/>
        <v>381572.4</v>
      </c>
      <c r="G51" s="93">
        <f t="shared" si="20"/>
        <v>675738.8</v>
      </c>
      <c r="H51" s="76">
        <f t="shared" si="20"/>
        <v>675738.8</v>
      </c>
      <c r="I51" s="29">
        <f t="shared" si="20"/>
        <v>1823412.8</v>
      </c>
      <c r="J51" s="76">
        <f t="shared" si="20"/>
        <v>1823412.8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24">
        <f>(C75*C76)/2000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3" ht="12.75">
      <c r="B55" t="s">
        <v>105</v>
      </c>
      <c r="C55" s="125"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  <c r="M55" s="4" t="s">
        <v>119</v>
      </c>
    </row>
    <row r="56" spans="2:10" ht="12.75">
      <c r="B56" t="s">
        <v>103</v>
      </c>
      <c r="C56" s="126">
        <f>E81*(1+C55)/2000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/>
      <c r="E57" s="12">
        <f>E54*E28/1000</f>
        <v>2196.9282870957495</v>
      </c>
      <c r="F57" s="12"/>
      <c r="G57" s="12">
        <f>G54*G28/1000</f>
        <v>3647.447585655117</v>
      </c>
      <c r="H57" s="12"/>
      <c r="I57" s="12">
        <f>I54*I28/1000</f>
        <v>9857.621657022819</v>
      </c>
      <c r="J57" s="12"/>
    </row>
    <row r="58" spans="2:10" ht="12.75">
      <c r="B58" t="s">
        <v>100</v>
      </c>
      <c r="C58" s="12">
        <f>C54*C25/1000</f>
        <v>198.44469463156798</v>
      </c>
      <c r="D58" s="12"/>
      <c r="E58" s="12">
        <f>E54*E25/1000</f>
        <v>767.46360174176</v>
      </c>
      <c r="F58" s="12"/>
      <c r="G58" s="12">
        <f>G54*G25/1000</f>
        <v>1164.3062001500157</v>
      </c>
      <c r="H58" s="12"/>
      <c r="I58" s="12">
        <f>I54*I25/1000</f>
        <v>2681.017723828752</v>
      </c>
      <c r="J58" s="12"/>
    </row>
    <row r="59" spans="2:10" ht="12.75">
      <c r="B59" t="s">
        <v>101</v>
      </c>
      <c r="C59" s="12">
        <f>C56*C18/1000</f>
        <v>645.4840590287857</v>
      </c>
      <c r="D59" s="12"/>
      <c r="E59" s="12">
        <f>E56*E18/1000</f>
        <v>4085.914093652214</v>
      </c>
      <c r="F59" s="12"/>
      <c r="G59" s="12">
        <f>G56*G18/1000</f>
        <v>7235.8763017126885</v>
      </c>
      <c r="H59" s="12"/>
      <c r="I59" s="12">
        <f>I56*I18/1000</f>
        <v>21468.799803297414</v>
      </c>
      <c r="J59" s="12"/>
    </row>
    <row r="60" spans="2:10" ht="12.75">
      <c r="B60" t="s">
        <v>106</v>
      </c>
      <c r="C60" s="12">
        <f>C57-C59-C58</f>
        <v>-400.45542907546485</v>
      </c>
      <c r="D60" s="12"/>
      <c r="E60" s="12">
        <f>E57-E59-E58</f>
        <v>-2656.4494082982246</v>
      </c>
      <c r="F60" s="12"/>
      <c r="G60" s="12">
        <f>G57-G59-G58</f>
        <v>-4752.734916207587</v>
      </c>
      <c r="H60" s="12"/>
      <c r="I60" s="12">
        <f>I57-I59-I58</f>
        <v>-14292.195870103347</v>
      </c>
      <c r="J60" s="12"/>
    </row>
    <row r="61" spans="2:10" ht="12.75">
      <c r="B61" t="s">
        <v>108</v>
      </c>
      <c r="C61" s="12">
        <f>(C60/C56)*1000</f>
        <v>-364792.57543658797</v>
      </c>
      <c r="D61" s="12"/>
      <c r="E61" s="12">
        <f>(E60/E56)*1000</f>
        <v>-2419877.346668445</v>
      </c>
      <c r="F61" s="12"/>
      <c r="G61" s="12">
        <f>(G60/G56)*1000</f>
        <v>-4329476.60231131</v>
      </c>
      <c r="H61" s="12"/>
      <c r="I61" s="12">
        <f>(I60/I56)*1000</f>
        <v>-13019393.824016953</v>
      </c>
      <c r="J61" s="12"/>
    </row>
    <row r="62" spans="2:10" ht="26.25">
      <c r="B62" s="1" t="s">
        <v>107</v>
      </c>
      <c r="C62" s="123">
        <f>-C61/C18</f>
        <v>0.6203955364567822</v>
      </c>
      <c r="D62" s="123"/>
      <c r="E62" s="123">
        <f>-E61/E18</f>
        <v>0.6501481302373013</v>
      </c>
      <c r="F62" s="123"/>
      <c r="G62" s="123">
        <f>-G61/G18</f>
        <v>0.6568292101790965</v>
      </c>
      <c r="H62" s="123"/>
      <c r="I62" s="123">
        <f>-I61/I18</f>
        <v>0.6657193695526563</v>
      </c>
      <c r="J62" s="11"/>
    </row>
    <row r="64" ht="15">
      <c r="A64" s="122" t="s">
        <v>126</v>
      </c>
    </row>
    <row r="66" spans="2:9" ht="12.75">
      <c r="B66" s="4" t="s">
        <v>120</v>
      </c>
      <c r="C66" s="12">
        <f>(C57-C58)</f>
        <v>245.0286299533209</v>
      </c>
      <c r="D66" s="12"/>
      <c r="E66" s="12">
        <f>(E57-E58)</f>
        <v>1429.4646853539894</v>
      </c>
      <c r="F66" s="12"/>
      <c r="G66" s="12">
        <f>(G57-G58)</f>
        <v>2483.1413855051014</v>
      </c>
      <c r="H66" s="12"/>
      <c r="I66" s="12">
        <f>(I57-I58)</f>
        <v>7176.6039331940665</v>
      </c>
    </row>
    <row r="67" spans="2:9" ht="12.75">
      <c r="B67" s="4" t="s">
        <v>122</v>
      </c>
      <c r="C67" s="12">
        <f>C66*2000</f>
        <v>490057.2599066418</v>
      </c>
      <c r="D67" s="12"/>
      <c r="E67" s="12">
        <f>E66*2000</f>
        <v>2858929.3707079785</v>
      </c>
      <c r="F67" s="12"/>
      <c r="G67" s="12">
        <f>G66*2000</f>
        <v>4966282.771010203</v>
      </c>
      <c r="H67" s="12"/>
      <c r="I67" s="12">
        <f>I66*2000</f>
        <v>14353207.866388133</v>
      </c>
    </row>
    <row r="68" spans="2:9" ht="12.75">
      <c r="B68" s="4" t="s">
        <v>123</v>
      </c>
      <c r="C68" s="11">
        <f>C67/$E$81</f>
        <v>247.80488275030004</v>
      </c>
      <c r="D68" s="11"/>
      <c r="E68" s="11">
        <f>E67/$E$81</f>
        <v>1445.6609777286924</v>
      </c>
      <c r="F68" s="11"/>
      <c r="G68" s="11">
        <f>G67/$E$81</f>
        <v>2511.2761721139827</v>
      </c>
      <c r="H68" s="11"/>
      <c r="I68" s="11">
        <f>I67/$E$81</f>
        <v>7257.917152576378</v>
      </c>
    </row>
    <row r="69" spans="2:9" ht="12.75">
      <c r="B69" s="4" t="s">
        <v>125</v>
      </c>
      <c r="C69" s="121">
        <f>C68/(1+$C$55)</f>
        <v>223.20742456341202</v>
      </c>
      <c r="D69" s="121"/>
      <c r="E69" s="121">
        <f>E68/(1+$C$55)</f>
        <v>1302.162653331555</v>
      </c>
      <c r="F69" s="121"/>
      <c r="G69" s="121">
        <f>G68/(1+$C$55)</f>
        <v>2262.003397688689</v>
      </c>
      <c r="H69" s="121"/>
      <c r="I69" s="121">
        <f>I68/(1+$C$55)</f>
        <v>6537.4861759830455</v>
      </c>
    </row>
    <row r="70" spans="2:9" ht="12.75">
      <c r="B70" s="4" t="s">
        <v>121</v>
      </c>
      <c r="C70" s="12">
        <f>C69*1000</f>
        <v>223207.42456341203</v>
      </c>
      <c r="D70" s="12"/>
      <c r="E70" s="12">
        <f>E69*1000</f>
        <v>1302162.653331555</v>
      </c>
      <c r="F70" s="12"/>
      <c r="G70" s="12">
        <f>G69*1000</f>
        <v>2262003.3976886887</v>
      </c>
      <c r="H70" s="12"/>
      <c r="I70" s="12">
        <f>I69*1000</f>
        <v>6537486.175983045</v>
      </c>
    </row>
    <row r="71" spans="2:9" ht="12.75">
      <c r="B71" s="4" t="s">
        <v>124</v>
      </c>
      <c r="C71" s="3">
        <f>C70/C18</f>
        <v>0.37960446354321775</v>
      </c>
      <c r="D71" s="3"/>
      <c r="E71" s="3">
        <f>E70/E18</f>
        <v>0.34985186976269866</v>
      </c>
      <c r="F71" s="3"/>
      <c r="G71" s="3">
        <f>G70/G18</f>
        <v>0.34317078982090343</v>
      </c>
      <c r="H71" s="3"/>
      <c r="I71" s="3">
        <f>I70/I18</f>
        <v>0.33428063044734363</v>
      </c>
    </row>
    <row r="73" ht="15">
      <c r="A73" s="122" t="s">
        <v>127</v>
      </c>
    </row>
    <row r="74" ht="15">
      <c r="A74" s="122"/>
    </row>
    <row r="75" spans="2:5" ht="12.75">
      <c r="B75" s="116" t="s">
        <v>109</v>
      </c>
      <c r="C75">
        <v>53.06</v>
      </c>
      <c r="D75" t="s">
        <v>110</v>
      </c>
      <c r="E75" s="4" t="s">
        <v>111</v>
      </c>
    </row>
    <row r="76" spans="2:5" ht="12.75">
      <c r="B76" s="116"/>
      <c r="C76">
        <v>2.20462</v>
      </c>
      <c r="D76" s="4" t="s">
        <v>118</v>
      </c>
      <c r="E76" s="4"/>
    </row>
    <row r="77" ht="12.75">
      <c r="E77" s="4"/>
    </row>
    <row r="78" ht="12.75">
      <c r="B78" s="116" t="s">
        <v>114</v>
      </c>
    </row>
    <row r="79" ht="12.75">
      <c r="B79" s="4"/>
    </row>
    <row r="80" spans="3:5" ht="12.75">
      <c r="C80" s="37" t="s">
        <v>112</v>
      </c>
      <c r="D80" s="37" t="s">
        <v>113</v>
      </c>
      <c r="E80" s="37" t="s">
        <v>128</v>
      </c>
    </row>
    <row r="81" spans="2:5" ht="12.75">
      <c r="B81" s="4" t="s">
        <v>115</v>
      </c>
      <c r="C81" s="6">
        <v>1982.87</v>
      </c>
      <c r="D81" s="6">
        <v>1964.98</v>
      </c>
      <c r="E81" s="118">
        <f>(C81*$C$86)+(D81*$D$86)</f>
        <v>1977.5932357250877</v>
      </c>
    </row>
    <row r="82" spans="2:5" ht="12.75">
      <c r="B82" s="4" t="s">
        <v>116</v>
      </c>
      <c r="C82" s="6">
        <v>2040.18</v>
      </c>
      <c r="D82" s="37">
        <v>2124.43</v>
      </c>
      <c r="E82" s="118">
        <f>(C82*$C$86)+(D82*$D$86)</f>
        <v>2065.030049757481</v>
      </c>
    </row>
    <row r="85" spans="2:5" ht="12.75">
      <c r="B85" s="116" t="s">
        <v>117</v>
      </c>
      <c r="C85" s="117">
        <v>89977</v>
      </c>
      <c r="D85" s="117">
        <v>37642</v>
      </c>
      <c r="E85" s="117">
        <f>D85+C85</f>
        <v>127619</v>
      </c>
    </row>
    <row r="86" spans="2:5" ht="12.75">
      <c r="B86" s="4"/>
      <c r="C86" s="3">
        <f>C85/$E$85</f>
        <v>0.7050439197925074</v>
      </c>
      <c r="D86" s="3">
        <f>D85/$E$85</f>
        <v>0.2949560802074926</v>
      </c>
      <c r="E86" s="3">
        <f>E85/$E$85</f>
        <v>1</v>
      </c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zoomScale="80" zoomScaleNormal="80" zoomScalePageLayoutView="0" workbookViewId="0" topLeftCell="B6">
      <selection activeCell="C36" sqref="C36:N36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10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0.727</v>
      </c>
      <c r="D22" s="108">
        <v>0.727</v>
      </c>
      <c r="E22" s="107">
        <v>0.702</v>
      </c>
      <c r="F22" s="108">
        <v>0.702</v>
      </c>
      <c r="G22" s="109">
        <v>0.696</v>
      </c>
      <c r="H22" s="108">
        <v>0.696</v>
      </c>
      <c r="I22" s="107">
        <v>0.669</v>
      </c>
      <c r="J22" s="108">
        <v>0.669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3896720</v>
      </c>
      <c r="E25" s="15">
        <f aca="true" t="shared" si="5" ref="E25:L25">(E21*E15*E22)/E23</f>
        <v>15612480</v>
      </c>
      <c r="F25" s="65">
        <f t="shared" si="5"/>
        <v>15612480</v>
      </c>
      <c r="G25" s="84">
        <f t="shared" si="5"/>
        <v>24053760</v>
      </c>
      <c r="H25" s="65">
        <f t="shared" si="5"/>
        <v>24053760</v>
      </c>
      <c r="I25" s="15">
        <f t="shared" si="5"/>
        <v>57105840</v>
      </c>
      <c r="J25" s="65">
        <f t="shared" si="5"/>
        <v>57105840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0.6500463657678781</v>
      </c>
      <c r="D26" s="105">
        <f t="shared" si="6"/>
        <v>0.6500463657678781</v>
      </c>
      <c r="E26" s="104">
        <f t="shared" si="6"/>
        <v>0.6498369418222832</v>
      </c>
      <c r="F26" s="105">
        <f t="shared" si="6"/>
        <v>0.6498369418222832</v>
      </c>
      <c r="G26" s="106">
        <f t="shared" si="6"/>
        <v>0.6499251697268287</v>
      </c>
      <c r="H26" s="105">
        <f t="shared" si="6"/>
        <v>0.6499251697268287</v>
      </c>
      <c r="I26" s="104">
        <f t="shared" si="6"/>
        <v>0.6500410463723593</v>
      </c>
      <c r="J26" s="105">
        <f t="shared" si="6"/>
        <v>0.6500410463723593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0</v>
      </c>
      <c r="E29" s="26">
        <f>E20+E25-E28</f>
        <v>16693030.459190607</v>
      </c>
      <c r="F29" s="66">
        <f>F20+F25-F28-E29</f>
        <v>0</v>
      </c>
      <c r="G29" s="85">
        <f>G20+G25-G28</f>
        <v>30124789.286991656</v>
      </c>
      <c r="H29" s="66">
        <f>H20+H25-H28-G29</f>
        <v>0</v>
      </c>
      <c r="I29" s="26">
        <f>I20+I25-I28</f>
        <v>91606084.94266313</v>
      </c>
      <c r="J29" s="66">
        <f>J20+J25-J28-I29</f>
        <v>0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403156.89126218576</v>
      </c>
      <c r="D32" s="72">
        <f t="shared" si="9"/>
        <v>0</v>
      </c>
      <c r="E32" s="56">
        <f t="shared" si="9"/>
        <v>2782171.7431984344</v>
      </c>
      <c r="F32" s="72">
        <f t="shared" si="9"/>
        <v>0</v>
      </c>
      <c r="G32" s="90">
        <f t="shared" si="9"/>
        <v>5020798.214498609</v>
      </c>
      <c r="H32" s="72">
        <f t="shared" si="9"/>
        <v>0</v>
      </c>
      <c r="I32" s="56">
        <f t="shared" si="9"/>
        <v>15266716.757099167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1.725478046650496</v>
      </c>
      <c r="D33" s="72">
        <f t="shared" si="10"/>
        <v>0</v>
      </c>
      <c r="E33" s="56">
        <f t="shared" si="10"/>
        <v>0</v>
      </c>
      <c r="F33" s="72">
        <f t="shared" si="10"/>
        <v>0</v>
      </c>
      <c r="G33" s="90">
        <f t="shared" si="10"/>
        <v>0</v>
      </c>
      <c r="H33" s="72">
        <f t="shared" si="10"/>
        <v>0</v>
      </c>
      <c r="I33" s="56">
        <f t="shared" si="10"/>
        <v>57.84400068138424</v>
      </c>
      <c r="J33" s="72">
        <f t="shared" si="10"/>
        <v>0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1</v>
      </c>
      <c r="D34" s="101">
        <f>D29/(C29+D29)</f>
        <v>0</v>
      </c>
      <c r="E34" s="100">
        <f>E29/(F29+E29)</f>
        <v>1</v>
      </c>
      <c r="F34" s="101">
        <f>F29/(E29+F29)</f>
        <v>0</v>
      </c>
      <c r="G34" s="100">
        <f>G29/(H29+G29)</f>
        <v>1</v>
      </c>
      <c r="H34" s="101">
        <f>H29/(G29+H29)</f>
        <v>0</v>
      </c>
      <c r="I34" s="100">
        <f>I29/(J29+I29)</f>
        <v>1</v>
      </c>
      <c r="J34" s="101">
        <f>J29/(I29+J29)</f>
        <v>0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/>
      <c r="E35" s="113"/>
      <c r="F35" s="114"/>
      <c r="G35" s="113"/>
      <c r="H35" s="114"/>
      <c r="I35" s="113"/>
      <c r="J35" s="114"/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35280</v>
      </c>
      <c r="E50" s="22">
        <f t="shared" si="19"/>
        <v>223322.4</v>
      </c>
      <c r="F50" s="75">
        <f t="shared" si="19"/>
        <v>223322.4</v>
      </c>
      <c r="G50" s="92">
        <f t="shared" si="19"/>
        <v>395488.8</v>
      </c>
      <c r="H50" s="75">
        <f t="shared" si="19"/>
        <v>395488.8</v>
      </c>
      <c r="I50" s="22">
        <f t="shared" si="19"/>
        <v>1173412.8</v>
      </c>
      <c r="J50" s="75">
        <f t="shared" si="19"/>
        <v>1173412.8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60280</v>
      </c>
      <c r="E51" s="29">
        <f t="shared" si="20"/>
        <v>381572.4</v>
      </c>
      <c r="F51" s="76">
        <f t="shared" si="20"/>
        <v>381572.4</v>
      </c>
      <c r="G51" s="93">
        <f t="shared" si="20"/>
        <v>675738.8</v>
      </c>
      <c r="H51" s="76">
        <f t="shared" si="20"/>
        <v>675738.8</v>
      </c>
      <c r="I51" s="29">
        <f t="shared" si="20"/>
        <v>1823412.8</v>
      </c>
      <c r="J51" s="76">
        <f t="shared" si="20"/>
        <v>1823412.8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/>
      <c r="E57" s="12">
        <f>E54*E28/1000</f>
        <v>2196.9282870957495</v>
      </c>
      <c r="F57" s="12"/>
      <c r="G57" s="12">
        <f>G54*G28/1000</f>
        <v>3647.447585655117</v>
      </c>
      <c r="H57" s="12"/>
      <c r="I57" s="12">
        <f>I54*I28/1000</f>
        <v>9857.621657022819</v>
      </c>
      <c r="J57" s="12"/>
    </row>
    <row r="58" spans="2:10" ht="12.75">
      <c r="B58" t="s">
        <v>100</v>
      </c>
      <c r="C58" s="12">
        <f>C54*C25/1000</f>
        <v>227.913575034992</v>
      </c>
      <c r="D58" s="12"/>
      <c r="E58" s="12">
        <f>E54*E25/1000</f>
        <v>913.151607496128</v>
      </c>
      <c r="F58" s="12"/>
      <c r="G58" s="12">
        <f>G54*G25/1000</f>
        <v>1406.869991847936</v>
      </c>
      <c r="H58" s="12"/>
      <c r="I58" s="12">
        <f>I54*I25/1000</f>
        <v>3340.0388403006236</v>
      </c>
      <c r="J58" s="12"/>
    </row>
    <row r="59" spans="2:10" ht="12.75">
      <c r="B59" t="s">
        <v>101</v>
      </c>
      <c r="C59" s="12">
        <f>C56*C18/1000</f>
        <v>645.4840590287857</v>
      </c>
      <c r="D59" s="12"/>
      <c r="E59" s="12">
        <f>E56*E18/1000</f>
        <v>4085.914093652214</v>
      </c>
      <c r="F59" s="12"/>
      <c r="G59" s="12">
        <f>G56*G18/1000</f>
        <v>7235.8763017126885</v>
      </c>
      <c r="H59" s="12"/>
      <c r="I59" s="12">
        <f>I56*I18/1000</f>
        <v>21468.799803297414</v>
      </c>
      <c r="J59" s="12"/>
    </row>
    <row r="60" spans="2:10" ht="12.75">
      <c r="B60" t="s">
        <v>106</v>
      </c>
      <c r="C60" s="12">
        <f>C57-C59-C58</f>
        <v>-429.92430947888886</v>
      </c>
      <c r="D60" s="12"/>
      <c r="E60" s="12">
        <f>E57-E59-E58</f>
        <v>-2802.1374140525922</v>
      </c>
      <c r="F60" s="12"/>
      <c r="G60" s="12">
        <f>G57-G59-G58</f>
        <v>-4995.298707905507</v>
      </c>
      <c r="H60" s="12"/>
      <c r="I60" s="12">
        <f>I57-I59-I58</f>
        <v>-14951.216986575218</v>
      </c>
      <c r="J60" s="12"/>
    </row>
    <row r="61" spans="2:10" ht="12.75">
      <c r="B61" t="s">
        <v>108</v>
      </c>
      <c r="C61" s="12">
        <f>(C60/C56)*1000</f>
        <v>-391637.0829574787</v>
      </c>
      <c r="D61" s="12"/>
      <c r="E61" s="12">
        <f>(E60/E56)*1000</f>
        <v>-2552590.9996011937</v>
      </c>
      <c r="F61" s="12"/>
      <c r="G61" s="12">
        <f>(G60/G56)*1000</f>
        <v>-4550438.696608386</v>
      </c>
      <c r="H61" s="12"/>
      <c r="I61" s="12">
        <f>(I60/I56)*1000</f>
        <v>-13619725.328823611</v>
      </c>
      <c r="J61" s="12"/>
    </row>
    <row r="62" spans="2:10" ht="26.25">
      <c r="B62" s="1" t="s">
        <v>107</v>
      </c>
      <c r="C62" s="123">
        <f>-C61/C18</f>
        <v>0.6660494608120386</v>
      </c>
      <c r="D62" s="123"/>
      <c r="E62" s="123">
        <f>-E61/E18</f>
        <v>0.6858042900133243</v>
      </c>
      <c r="F62" s="123"/>
      <c r="G62" s="123">
        <f>-G61/G18</f>
        <v>0.6903515897201215</v>
      </c>
      <c r="H62" s="123"/>
      <c r="I62" s="123">
        <f>-I61/I18</f>
        <v>0.6964160606816431</v>
      </c>
      <c r="J62" s="123"/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zoomScale="80" zoomScaleNormal="80" zoomScalePageLayoutView="0" workbookViewId="0" topLeftCell="A5">
      <selection activeCell="C36" sqref="C36:N36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02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0.727</v>
      </c>
      <c r="D22" s="108">
        <v>0.8215</v>
      </c>
      <c r="E22" s="107">
        <v>0.702</v>
      </c>
      <c r="F22" s="108">
        <v>0.815</v>
      </c>
      <c r="G22" s="109">
        <v>0.696</v>
      </c>
      <c r="H22" s="108">
        <v>0.817</v>
      </c>
      <c r="I22" s="107">
        <v>0.669</v>
      </c>
      <c r="J22" s="108">
        <v>0.801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4403240</v>
      </c>
      <c r="E25" s="15">
        <f aca="true" t="shared" si="5" ref="E25:L25">(E21*E15*E22)/E23</f>
        <v>15612480</v>
      </c>
      <c r="F25" s="65">
        <f t="shared" si="5"/>
        <v>18125600</v>
      </c>
      <c r="G25" s="84">
        <f t="shared" si="5"/>
        <v>24053760</v>
      </c>
      <c r="H25" s="65">
        <f t="shared" si="5"/>
        <v>28235520</v>
      </c>
      <c r="I25" s="15">
        <f t="shared" si="5"/>
        <v>57105840</v>
      </c>
      <c r="J25" s="65">
        <f t="shared" si="5"/>
        <v>68373360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0.6500463657678781</v>
      </c>
      <c r="D26" s="105">
        <f t="shared" si="6"/>
        <v>0.7001490914419696</v>
      </c>
      <c r="E26" s="104">
        <f t="shared" si="6"/>
        <v>0.6498369418222832</v>
      </c>
      <c r="F26" s="105">
        <f t="shared" si="6"/>
        <v>0.7000168199218816</v>
      </c>
      <c r="G26" s="106">
        <f t="shared" si="6"/>
        <v>0.6499251697268287</v>
      </c>
      <c r="H26" s="105">
        <f t="shared" si="6"/>
        <v>0.7002175627396825</v>
      </c>
      <c r="I26" s="104">
        <f t="shared" si="6"/>
        <v>0.6500410463723593</v>
      </c>
      <c r="J26" s="105">
        <f t="shared" si="6"/>
        <v>0.7001815218897753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506520</v>
      </c>
      <c r="E29" s="26">
        <f>E20+E25-E28</f>
        <v>16693030.459190607</v>
      </c>
      <c r="F29" s="66">
        <f>F20+F25-F28-E29</f>
        <v>2513120</v>
      </c>
      <c r="G29" s="85">
        <f>G20+G25-G28</f>
        <v>30124789.286991656</v>
      </c>
      <c r="H29" s="66">
        <f>H20+H25-H28-G29</f>
        <v>4181760</v>
      </c>
      <c r="I29" s="26">
        <f>I20+I25-I28</f>
        <v>91606084.94266313</v>
      </c>
      <c r="J29" s="66">
        <f>J20+J25-J28-I29</f>
        <v>11267519.99999997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403156.89126218576</v>
      </c>
      <c r="D32" s="72">
        <f t="shared" si="9"/>
        <v>0</v>
      </c>
      <c r="E32" s="56">
        <f t="shared" si="9"/>
        <v>2782171.7431984344</v>
      </c>
      <c r="F32" s="72">
        <f t="shared" si="9"/>
        <v>0</v>
      </c>
      <c r="G32" s="90">
        <f t="shared" si="9"/>
        <v>5020798.214498609</v>
      </c>
      <c r="H32" s="72">
        <f t="shared" si="9"/>
        <v>0</v>
      </c>
      <c r="I32" s="56">
        <f t="shared" si="9"/>
        <v>15266716.757099167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1.725478046650496</v>
      </c>
      <c r="D33" s="72">
        <f t="shared" si="10"/>
        <v>5065.2</v>
      </c>
      <c r="E33" s="56">
        <f t="shared" si="10"/>
        <v>0</v>
      </c>
      <c r="F33" s="72">
        <f t="shared" si="10"/>
        <v>25131.2</v>
      </c>
      <c r="G33" s="90">
        <f t="shared" si="10"/>
        <v>0</v>
      </c>
      <c r="H33" s="72">
        <f t="shared" si="10"/>
        <v>41817.6</v>
      </c>
      <c r="I33" s="56">
        <f t="shared" si="10"/>
        <v>57.84400068138424</v>
      </c>
      <c r="J33" s="72">
        <f t="shared" si="10"/>
        <v>112675.1999999997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0.8268682897062913</v>
      </c>
      <c r="D34" s="101">
        <f>D29/(C29+D29)</f>
        <v>0.17313171029370863</v>
      </c>
      <c r="E34" s="100">
        <f>E29/(F29+E29)</f>
        <v>0.8691502492735388</v>
      </c>
      <c r="F34" s="101">
        <f>F29/(E29+F29)</f>
        <v>0.13084975072646124</v>
      </c>
      <c r="G34" s="100">
        <f>G29/(H29+G29)</f>
        <v>0.8781060734200499</v>
      </c>
      <c r="H34" s="101">
        <f>H29/(G29+H29)</f>
        <v>0.12189392657995009</v>
      </c>
      <c r="I34" s="100">
        <f>I29/(J29+I29)</f>
        <v>0.8904721963784592</v>
      </c>
      <c r="J34" s="101">
        <f>J29/(I29+J29)</f>
        <v>0.10952780362154077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>
        <f>SUM(C33:D33)/(D25/100)</f>
        <v>0.11507266190456686</v>
      </c>
      <c r="E35" s="113"/>
      <c r="F35" s="114">
        <f>SUM(E33:F33)/(F25/100)</f>
        <v>0.13865030674846626</v>
      </c>
      <c r="G35" s="113"/>
      <c r="H35" s="114">
        <f>SUM(G33:H33)/(H25/100)</f>
        <v>0.14810281517747856</v>
      </c>
      <c r="I35" s="113"/>
      <c r="J35" s="114">
        <f>SUM(I33:J33)/(J25/100)</f>
        <v>0.1648786076926468</v>
      </c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47040</v>
      </c>
      <c r="E50" s="22">
        <f t="shared" si="19"/>
        <v>223322.4</v>
      </c>
      <c r="F50" s="75">
        <f t="shared" si="19"/>
        <v>297763.2</v>
      </c>
      <c r="G50" s="92">
        <f t="shared" si="19"/>
        <v>395488.8</v>
      </c>
      <c r="H50" s="75">
        <f t="shared" si="19"/>
        <v>527318.4</v>
      </c>
      <c r="I50" s="22">
        <f t="shared" si="19"/>
        <v>1173412.8</v>
      </c>
      <c r="J50" s="75">
        <f t="shared" si="19"/>
        <v>1350000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72040</v>
      </c>
      <c r="E51" s="29">
        <f t="shared" si="20"/>
        <v>381572.4</v>
      </c>
      <c r="F51" s="76">
        <f t="shared" si="20"/>
        <v>456013.2</v>
      </c>
      <c r="G51" s="93">
        <f t="shared" si="20"/>
        <v>675738.8</v>
      </c>
      <c r="H51" s="76">
        <f t="shared" si="20"/>
        <v>807568.4</v>
      </c>
      <c r="I51" s="29">
        <f t="shared" si="20"/>
        <v>1823412.8</v>
      </c>
      <c r="J51" s="76">
        <f t="shared" si="20"/>
        <v>2000000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>
        <f aca="true" t="shared" si="22" ref="D57:J57">D54*D28/1000</f>
        <v>443.47332458488887</v>
      </c>
      <c r="E57" s="12">
        <f t="shared" si="22"/>
        <v>2196.9282870957495</v>
      </c>
      <c r="F57" s="12">
        <f t="shared" si="22"/>
        <v>2196.9282870957495</v>
      </c>
      <c r="G57" s="12">
        <f t="shared" si="22"/>
        <v>3647.447585655117</v>
      </c>
      <c r="H57" s="12">
        <f t="shared" si="22"/>
        <v>3647.447585655117</v>
      </c>
      <c r="I57" s="12">
        <f t="shared" si="22"/>
        <v>9857.621657022819</v>
      </c>
      <c r="J57" s="12">
        <f t="shared" si="22"/>
        <v>9857.621657022819</v>
      </c>
    </row>
    <row r="58" spans="2:10" ht="12.75">
      <c r="B58" t="s">
        <v>100</v>
      </c>
      <c r="C58" s="12">
        <f>C54*C25/1000</f>
        <v>227.913575034992</v>
      </c>
      <c r="D58" s="12">
        <f aca="true" t="shared" si="23" ref="D58:J58">D54*D25/1000</f>
        <v>257.539204802264</v>
      </c>
      <c r="E58" s="12">
        <f t="shared" si="23"/>
        <v>913.151607496128</v>
      </c>
      <c r="F58" s="12">
        <f t="shared" si="23"/>
        <v>1060.14039901616</v>
      </c>
      <c r="G58" s="12">
        <f t="shared" si="23"/>
        <v>1406.869991847936</v>
      </c>
      <c r="H58" s="12">
        <f t="shared" si="23"/>
        <v>1651.4551484766719</v>
      </c>
      <c r="I58" s="12">
        <f t="shared" si="23"/>
        <v>3340.0388403006236</v>
      </c>
      <c r="J58" s="12">
        <f t="shared" si="23"/>
        <v>3999.059956772496</v>
      </c>
    </row>
    <row r="59" spans="2:10" ht="12.75">
      <c r="B59" t="s">
        <v>101</v>
      </c>
      <c r="C59" s="12">
        <f>C56*C18/1000</f>
        <v>645.4840590287857</v>
      </c>
      <c r="D59" s="12">
        <f aca="true" t="shared" si="24" ref="D59:J59">D56*D18/1000</f>
        <v>645.4840590287857</v>
      </c>
      <c r="E59" s="12">
        <f t="shared" si="24"/>
        <v>4085.914093652214</v>
      </c>
      <c r="F59" s="12">
        <f t="shared" si="24"/>
        <v>4085.914093652214</v>
      </c>
      <c r="G59" s="12">
        <f t="shared" si="24"/>
        <v>7235.8763017126885</v>
      </c>
      <c r="H59" s="12">
        <f t="shared" si="24"/>
        <v>7235.8763017126885</v>
      </c>
      <c r="I59" s="12">
        <f t="shared" si="24"/>
        <v>21468.799803297414</v>
      </c>
      <c r="J59" s="12">
        <f t="shared" si="24"/>
        <v>21468.799803297414</v>
      </c>
    </row>
    <row r="60" spans="2:10" ht="12.75">
      <c r="B60" t="s">
        <v>106</v>
      </c>
      <c r="C60" s="12">
        <f>C57-C59-C58</f>
        <v>-429.92430947888886</v>
      </c>
      <c r="D60" s="12">
        <f aca="true" t="shared" si="25" ref="D60:J60">D57-D59-D58</f>
        <v>-459.5499392461609</v>
      </c>
      <c r="E60" s="12">
        <f t="shared" si="25"/>
        <v>-2802.1374140525922</v>
      </c>
      <c r="F60" s="12">
        <f t="shared" si="25"/>
        <v>-2949.1262055726247</v>
      </c>
      <c r="G60" s="12">
        <f t="shared" si="25"/>
        <v>-4995.298707905507</v>
      </c>
      <c r="H60" s="12">
        <f t="shared" si="25"/>
        <v>-5239.883864534243</v>
      </c>
      <c r="I60" s="12">
        <f t="shared" si="25"/>
        <v>-14951.216986575218</v>
      </c>
      <c r="J60" s="12">
        <f t="shared" si="25"/>
        <v>-15610.238103047091</v>
      </c>
    </row>
    <row r="61" spans="2:10" ht="12.75">
      <c r="B61" t="s">
        <v>108</v>
      </c>
      <c r="C61" s="12">
        <f>(C60/C56)*1000</f>
        <v>-391637.0829574787</v>
      </c>
      <c r="D61" s="12">
        <f aca="true" t="shared" si="26" ref="D61:J61">(D60/D56)*1000</f>
        <v>-418624.3804119912</v>
      </c>
      <c r="E61" s="12">
        <f t="shared" si="26"/>
        <v>-2552590.9996011937</v>
      </c>
      <c r="F61" s="12">
        <f t="shared" si="26"/>
        <v>-2686489.5958637</v>
      </c>
      <c r="G61" s="12">
        <f t="shared" si="26"/>
        <v>-4550438.696608386</v>
      </c>
      <c r="H61" s="12">
        <f t="shared" si="26"/>
        <v>-4773242.141691269</v>
      </c>
      <c r="I61" s="12">
        <f t="shared" si="26"/>
        <v>-13619725.328823611</v>
      </c>
      <c r="J61" s="12">
        <f t="shared" si="26"/>
        <v>-14220056.83363027</v>
      </c>
    </row>
    <row r="62" spans="2:13" ht="26.25">
      <c r="B62" s="1" t="s">
        <v>107</v>
      </c>
      <c r="C62" s="123">
        <f>-C61/C18</f>
        <v>0.6660494608120386</v>
      </c>
      <c r="D62" s="123">
        <f aca="true" t="shared" si="27" ref="D62:J62">-D61/D18</f>
        <v>0.7119462251904612</v>
      </c>
      <c r="E62" s="123">
        <f t="shared" si="27"/>
        <v>0.6858042900133243</v>
      </c>
      <c r="F62" s="123">
        <f t="shared" si="27"/>
        <v>0.7217788083587764</v>
      </c>
      <c r="G62" s="123">
        <f t="shared" si="27"/>
        <v>0.6903515897201215</v>
      </c>
      <c r="H62" s="123">
        <f t="shared" si="27"/>
        <v>0.7241533224239881</v>
      </c>
      <c r="I62" s="123">
        <f t="shared" si="27"/>
        <v>0.6964160606816431</v>
      </c>
      <c r="J62" s="123">
        <f t="shared" si="27"/>
        <v>0.7271127518106297</v>
      </c>
      <c r="K62" s="123"/>
      <c r="L62" s="123"/>
      <c r="M62" s="123"/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tabSelected="1" zoomScale="80" zoomScaleNormal="80" zoomScalePageLayoutView="0" workbookViewId="0" topLeftCell="A9">
      <selection activeCell="C36" sqref="C36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02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0.727</v>
      </c>
      <c r="D22" s="108">
        <v>0.916</v>
      </c>
      <c r="E22" s="107">
        <v>0.702</v>
      </c>
      <c r="F22" s="108">
        <v>0.928</v>
      </c>
      <c r="G22" s="109">
        <v>0.696</v>
      </c>
      <c r="H22" s="108">
        <v>0.937</v>
      </c>
      <c r="I22" s="107">
        <v>0.669</v>
      </c>
      <c r="J22" s="108">
        <v>0.932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4909760</v>
      </c>
      <c r="E25" s="15">
        <f aca="true" t="shared" si="5" ref="E25:L25">(E21*E15*E22)/E23</f>
        <v>15612480</v>
      </c>
      <c r="F25" s="65">
        <f t="shared" si="5"/>
        <v>20638720</v>
      </c>
      <c r="G25" s="84">
        <f t="shared" si="5"/>
        <v>24053760</v>
      </c>
      <c r="H25" s="65">
        <f t="shared" si="5"/>
        <v>32382720</v>
      </c>
      <c r="I25" s="15">
        <f t="shared" si="5"/>
        <v>57105840</v>
      </c>
      <c r="J25" s="65">
        <f t="shared" si="5"/>
        <v>79555520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0.6500463657678781</v>
      </c>
      <c r="D26" s="105">
        <f t="shared" si="6"/>
        <v>0.750251817116061</v>
      </c>
      <c r="E26" s="104">
        <f t="shared" si="6"/>
        <v>0.6498369418222832</v>
      </c>
      <c r="F26" s="105">
        <f t="shared" si="6"/>
        <v>0.7501966980214798</v>
      </c>
      <c r="G26" s="106">
        <f t="shared" si="6"/>
        <v>0.6499251697268287</v>
      </c>
      <c r="H26" s="105">
        <f t="shared" si="6"/>
        <v>0.7500943161408599</v>
      </c>
      <c r="I26" s="104">
        <f t="shared" si="6"/>
        <v>0.6500410463723593</v>
      </c>
      <c r="J26" s="105">
        <f t="shared" si="6"/>
        <v>0.7499421453199384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1013040</v>
      </c>
      <c r="E29" s="26">
        <f>E20+E25-E28</f>
        <v>16693030.459190607</v>
      </c>
      <c r="F29" s="66">
        <f>F20+F25-F28-E29</f>
        <v>5026240</v>
      </c>
      <c r="G29" s="85">
        <f>G20+G25-G28</f>
        <v>30124789.286991656</v>
      </c>
      <c r="H29" s="66">
        <f>H20+H25-H28-G29</f>
        <v>8328960</v>
      </c>
      <c r="I29" s="26">
        <f>I20+I25-I28</f>
        <v>91606084.94266313</v>
      </c>
      <c r="J29" s="66">
        <f>J20+J25-J28-I29</f>
        <v>22449679.99999997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403156.89126218576</v>
      </c>
      <c r="D32" s="72">
        <f t="shared" si="9"/>
        <v>0</v>
      </c>
      <c r="E32" s="56">
        <f t="shared" si="9"/>
        <v>2782171.7431984344</v>
      </c>
      <c r="F32" s="72">
        <f t="shared" si="9"/>
        <v>0</v>
      </c>
      <c r="G32" s="90">
        <f t="shared" si="9"/>
        <v>5020798.214498609</v>
      </c>
      <c r="H32" s="72">
        <f t="shared" si="9"/>
        <v>0</v>
      </c>
      <c r="I32" s="56">
        <f t="shared" si="9"/>
        <v>15266716.757099167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1.725478046650496</v>
      </c>
      <c r="D33" s="72">
        <f t="shared" si="10"/>
        <v>10130.4</v>
      </c>
      <c r="E33" s="56">
        <f t="shared" si="10"/>
        <v>0</v>
      </c>
      <c r="F33" s="72">
        <f t="shared" si="10"/>
        <v>50262.4</v>
      </c>
      <c r="G33" s="90">
        <f t="shared" si="10"/>
        <v>0</v>
      </c>
      <c r="H33" s="72">
        <f t="shared" si="10"/>
        <v>83289.6</v>
      </c>
      <c r="I33" s="56">
        <f t="shared" si="10"/>
        <v>57.84400068138424</v>
      </c>
      <c r="J33" s="72">
        <f t="shared" si="10"/>
        <v>224496.7999999997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0.7048384102576805</v>
      </c>
      <c r="D34" s="101">
        <f>D29/(C29+D29)</f>
        <v>0.29516158974231954</v>
      </c>
      <c r="E34" s="100">
        <f>E29/(F29+E29)</f>
        <v>0.7685815456166427</v>
      </c>
      <c r="F34" s="101">
        <f>F29/(E29+F29)</f>
        <v>0.23141845438335723</v>
      </c>
      <c r="G34" s="100">
        <f>G29/(H29+G29)</f>
        <v>0.7834031751276445</v>
      </c>
      <c r="H34" s="101">
        <f>H29/(G29+H29)</f>
        <v>0.21659682487235557</v>
      </c>
      <c r="I34" s="100">
        <f>I29/(J29+I29)</f>
        <v>0.8031692653914896</v>
      </c>
      <c r="J34" s="101">
        <f>J29/(I29+J29)</f>
        <v>0.19683073460851044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>
        <f>SUM(C33:D33)/(D25/100)</f>
        <v>0.20636702156615905</v>
      </c>
      <c r="E35" s="113"/>
      <c r="F35" s="114">
        <f>SUM(E33:F33)/(F25/100)</f>
        <v>0.2435344827586207</v>
      </c>
      <c r="G35" s="113"/>
      <c r="H35" s="114">
        <f>SUM(G33:H33)/(H25/100)</f>
        <v>0.25720384204909286</v>
      </c>
      <c r="I35" s="113"/>
      <c r="J35" s="114">
        <f>SUM(I33:J33)/(J25/100)</f>
        <v>0.282261550173616</v>
      </c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47040</v>
      </c>
      <c r="E50" s="22">
        <f t="shared" si="19"/>
        <v>223322.4</v>
      </c>
      <c r="F50" s="75">
        <f t="shared" si="19"/>
        <v>297763.2</v>
      </c>
      <c r="G50" s="92">
        <f t="shared" si="19"/>
        <v>395488.8</v>
      </c>
      <c r="H50" s="75">
        <f t="shared" si="19"/>
        <v>527318.4</v>
      </c>
      <c r="I50" s="22">
        <f t="shared" si="19"/>
        <v>1173412.8</v>
      </c>
      <c r="J50" s="75">
        <f t="shared" si="19"/>
        <v>1350000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72040</v>
      </c>
      <c r="E51" s="29">
        <f t="shared" si="20"/>
        <v>381572.4</v>
      </c>
      <c r="F51" s="76">
        <f t="shared" si="20"/>
        <v>456013.2</v>
      </c>
      <c r="G51" s="93">
        <f t="shared" si="20"/>
        <v>675738.8</v>
      </c>
      <c r="H51" s="76">
        <f t="shared" si="20"/>
        <v>807568.4</v>
      </c>
      <c r="I51" s="29">
        <f t="shared" si="20"/>
        <v>1823412.8</v>
      </c>
      <c r="J51" s="76">
        <f t="shared" si="20"/>
        <v>2000000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>
        <f aca="true" t="shared" si="22" ref="D57:J57">D54*D28/1000</f>
        <v>443.47332458488887</v>
      </c>
      <c r="E57" s="12">
        <f t="shared" si="22"/>
        <v>2196.9282870957495</v>
      </c>
      <c r="F57" s="12">
        <f t="shared" si="22"/>
        <v>2196.9282870957495</v>
      </c>
      <c r="G57" s="12">
        <f t="shared" si="22"/>
        <v>3647.447585655117</v>
      </c>
      <c r="H57" s="12">
        <f t="shared" si="22"/>
        <v>3647.447585655117</v>
      </c>
      <c r="I57" s="12">
        <f t="shared" si="22"/>
        <v>9857.621657022819</v>
      </c>
      <c r="J57" s="12">
        <f t="shared" si="22"/>
        <v>9857.621657022819</v>
      </c>
    </row>
    <row r="58" spans="2:10" ht="12.75">
      <c r="B58" t="s">
        <v>100</v>
      </c>
      <c r="C58" s="12">
        <f>C54*C25/1000</f>
        <v>227.913575034992</v>
      </c>
      <c r="D58" s="12">
        <f aca="true" t="shared" si="23" ref="D58:J58">D54*D25/1000</f>
        <v>287.16483456953597</v>
      </c>
      <c r="E58" s="12">
        <f t="shared" si="23"/>
        <v>913.151607496128</v>
      </c>
      <c r="F58" s="12">
        <f t="shared" si="23"/>
        <v>1207.129190536192</v>
      </c>
      <c r="G58" s="12">
        <f t="shared" si="23"/>
        <v>1406.869991847936</v>
      </c>
      <c r="H58" s="12">
        <f t="shared" si="23"/>
        <v>1894.018940174592</v>
      </c>
      <c r="I58" s="12">
        <f t="shared" si="23"/>
        <v>3340.0388403006236</v>
      </c>
      <c r="J58" s="12">
        <f t="shared" si="23"/>
        <v>4653.088489028672</v>
      </c>
    </row>
    <row r="59" spans="2:10" ht="12.75">
      <c r="B59" t="s">
        <v>101</v>
      </c>
      <c r="C59" s="12">
        <f>C56*C18/1000</f>
        <v>645.4840590287857</v>
      </c>
      <c r="D59" s="12">
        <f aca="true" t="shared" si="24" ref="D59:J59">D56*D18/1000</f>
        <v>645.4840590287857</v>
      </c>
      <c r="E59" s="12">
        <f t="shared" si="24"/>
        <v>4085.914093652214</v>
      </c>
      <c r="F59" s="12">
        <f t="shared" si="24"/>
        <v>4085.914093652214</v>
      </c>
      <c r="G59" s="12">
        <f t="shared" si="24"/>
        <v>7235.8763017126885</v>
      </c>
      <c r="H59" s="12">
        <f t="shared" si="24"/>
        <v>7235.8763017126885</v>
      </c>
      <c r="I59" s="12">
        <f t="shared" si="24"/>
        <v>21468.799803297414</v>
      </c>
      <c r="J59" s="12">
        <f t="shared" si="24"/>
        <v>21468.799803297414</v>
      </c>
    </row>
    <row r="60" spans="2:10" ht="12.75">
      <c r="B60" t="s">
        <v>106</v>
      </c>
      <c r="C60" s="12">
        <f>C57-C59-C58</f>
        <v>-429.92430947888886</v>
      </c>
      <c r="D60" s="12">
        <f aca="true" t="shared" si="25" ref="D60:J60">D57-D59-D58</f>
        <v>-489.17556901343283</v>
      </c>
      <c r="E60" s="12">
        <f t="shared" si="25"/>
        <v>-2802.1374140525922</v>
      </c>
      <c r="F60" s="12">
        <f t="shared" si="25"/>
        <v>-3096.1149970926563</v>
      </c>
      <c r="G60" s="12">
        <f t="shared" si="25"/>
        <v>-4995.298707905507</v>
      </c>
      <c r="H60" s="12">
        <f t="shared" si="25"/>
        <v>-5482.447656232163</v>
      </c>
      <c r="I60" s="12">
        <f t="shared" si="25"/>
        <v>-14951.216986575218</v>
      </c>
      <c r="J60" s="12">
        <f t="shared" si="25"/>
        <v>-16264.266635303266</v>
      </c>
    </row>
    <row r="61" spans="2:10" ht="12.75">
      <c r="B61" t="s">
        <v>108</v>
      </c>
      <c r="C61" s="12">
        <f>(C60/C56)*1000</f>
        <v>-391637.0829574787</v>
      </c>
      <c r="D61" s="12">
        <f aca="true" t="shared" si="26" ref="D61:J61">(D60/D56)*1000</f>
        <v>-445611.67786650365</v>
      </c>
      <c r="E61" s="12">
        <f t="shared" si="26"/>
        <v>-2552590.9996011937</v>
      </c>
      <c r="F61" s="12">
        <f t="shared" si="26"/>
        <v>-2820388.1921262057</v>
      </c>
      <c r="G61" s="12">
        <f t="shared" si="26"/>
        <v>-4550438.696608386</v>
      </c>
      <c r="H61" s="12">
        <f t="shared" si="26"/>
        <v>-4994204.235988343</v>
      </c>
      <c r="I61" s="12">
        <f t="shared" si="26"/>
        <v>-13619725.328823611</v>
      </c>
      <c r="J61" s="12">
        <f t="shared" si="26"/>
        <v>-14815840.372491423</v>
      </c>
    </row>
    <row r="62" spans="2:14" ht="26.25">
      <c r="B62" s="1" t="s">
        <v>107</v>
      </c>
      <c r="C62" s="123">
        <f>-C61/C18</f>
        <v>0.6660494608120386</v>
      </c>
      <c r="D62" s="123">
        <f aca="true" t="shared" si="27" ref="D62:J62">-D61/D18</f>
        <v>0.7578429895688837</v>
      </c>
      <c r="E62" s="123">
        <f t="shared" si="27"/>
        <v>0.6858042900133243</v>
      </c>
      <c r="F62" s="123">
        <f t="shared" si="27"/>
        <v>0.7577533267042282</v>
      </c>
      <c r="G62" s="123">
        <f t="shared" si="27"/>
        <v>0.6903515897201215</v>
      </c>
      <c r="H62" s="123">
        <f t="shared" si="27"/>
        <v>0.7576757019650129</v>
      </c>
      <c r="I62" s="123">
        <f t="shared" si="27"/>
        <v>0.6964160606816431</v>
      </c>
      <c r="J62" s="123">
        <f t="shared" si="27"/>
        <v>0.7575768922492454</v>
      </c>
      <c r="K62" s="123"/>
      <c r="L62" s="123"/>
      <c r="M62" s="123"/>
      <c r="N62" s="123"/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65"/>
  <sheetViews>
    <sheetView zoomScale="80" zoomScaleNormal="80" zoomScalePageLayoutView="0" workbookViewId="0" topLeftCell="A29">
      <selection activeCell="M58" sqref="M58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2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02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50" ht="12.75">
      <c r="A22" s="6"/>
      <c r="B22" t="s">
        <v>0</v>
      </c>
      <c r="C22" s="107">
        <v>0.727</v>
      </c>
      <c r="D22" s="108">
        <v>1</v>
      </c>
      <c r="E22" s="107">
        <v>0.702</v>
      </c>
      <c r="F22" s="108">
        <v>1</v>
      </c>
      <c r="G22" s="109">
        <v>0.696</v>
      </c>
      <c r="H22" s="108">
        <v>1</v>
      </c>
      <c r="I22" s="107">
        <v>0.669</v>
      </c>
      <c r="J22" s="108">
        <v>1</v>
      </c>
      <c r="K22" s="53">
        <v>0.525</v>
      </c>
      <c r="L22" s="68">
        <v>0.955</v>
      </c>
      <c r="Y22" s="44" t="s">
        <v>16</v>
      </c>
      <c r="Z22" s="4">
        <v>0.02917</v>
      </c>
      <c r="AA22" s="8">
        <f>Z22*(1+0.0263)</f>
        <v>0.029937171000000002</v>
      </c>
      <c r="AB22" s="47">
        <f aca="true" t="shared" si="5" ref="AB22:AX22">AA22*(1+0.0263)</f>
        <v>0.0307245185973</v>
      </c>
      <c r="AC22" s="8">
        <f t="shared" si="5"/>
        <v>0.031532573436408994</v>
      </c>
      <c r="AD22" s="8">
        <f t="shared" si="5"/>
        <v>0.03236188011778655</v>
      </c>
      <c r="AE22" s="8">
        <f t="shared" si="5"/>
        <v>0.033212997564884335</v>
      </c>
      <c r="AF22" s="8">
        <f t="shared" si="5"/>
        <v>0.03408649940084079</v>
      </c>
      <c r="AG22" s="8">
        <f t="shared" si="5"/>
        <v>0.034982974335082906</v>
      </c>
      <c r="AH22" s="8">
        <f t="shared" si="5"/>
        <v>0.035903026560095586</v>
      </c>
      <c r="AI22" s="8">
        <f t="shared" si="5"/>
        <v>0.0368472761586261</v>
      </c>
      <c r="AJ22" s="8">
        <f t="shared" si="5"/>
        <v>0.03781635952159796</v>
      </c>
      <c r="AK22" s="8">
        <f t="shared" si="5"/>
        <v>0.03881092977701599</v>
      </c>
      <c r="AL22" s="8">
        <f t="shared" si="5"/>
        <v>0.03983165723015151</v>
      </c>
      <c r="AM22" s="8">
        <f t="shared" si="5"/>
        <v>0.040879229815304494</v>
      </c>
      <c r="AN22" s="8">
        <f t="shared" si="5"/>
        <v>0.041954353559447</v>
      </c>
      <c r="AO22" s="8">
        <f t="shared" si="5"/>
        <v>0.043057753058060456</v>
      </c>
      <c r="AP22" s="8">
        <f t="shared" si="5"/>
        <v>0.04419017196348744</v>
      </c>
      <c r="AQ22" s="8">
        <f t="shared" si="5"/>
        <v>0.04535237348612716</v>
      </c>
      <c r="AR22" s="8">
        <f t="shared" si="5"/>
        <v>0.0465451409088123</v>
      </c>
      <c r="AS22" s="8">
        <f t="shared" si="5"/>
        <v>0.04776927811471406</v>
      </c>
      <c r="AT22" s="8">
        <f t="shared" si="5"/>
        <v>0.04902561012913104</v>
      </c>
      <c r="AU22" s="8">
        <f t="shared" si="5"/>
        <v>0.05031498367552719</v>
      </c>
      <c r="AV22" s="8">
        <f t="shared" si="5"/>
        <v>0.05163826774619355</v>
      </c>
      <c r="AW22" s="8">
        <f t="shared" si="5"/>
        <v>0.05299635418791844</v>
      </c>
      <c r="AX22" s="8">
        <f t="shared" si="5"/>
        <v>0.054390158303060696</v>
      </c>
    </row>
    <row r="23" spans="1:50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  <c r="Y23" s="44" t="s">
        <v>17</v>
      </c>
      <c r="Z23">
        <v>35.16</v>
      </c>
      <c r="AA23" s="8">
        <f>Z23*(1+0.025)</f>
        <v>36.038999999999994</v>
      </c>
      <c r="AB23" s="46">
        <f aca="true" t="shared" si="6" ref="AB23:AX23">AA23*(1+0.025)</f>
        <v>36.93997499999999</v>
      </c>
      <c r="AC23" s="9">
        <f>AB23*(1+0.025)</f>
        <v>37.86347437499999</v>
      </c>
      <c r="AD23" s="9">
        <f t="shared" si="6"/>
        <v>38.810061234374984</v>
      </c>
      <c r="AE23" s="9">
        <f t="shared" si="6"/>
        <v>39.780312765234356</v>
      </c>
      <c r="AF23" s="9">
        <f t="shared" si="6"/>
        <v>40.77482058436521</v>
      </c>
      <c r="AG23" s="9">
        <f t="shared" si="6"/>
        <v>41.79419109897434</v>
      </c>
      <c r="AH23" s="9">
        <f t="shared" si="6"/>
        <v>42.839045876448694</v>
      </c>
      <c r="AI23" s="9">
        <f t="shared" si="6"/>
        <v>43.91002202335991</v>
      </c>
      <c r="AJ23" s="9">
        <f t="shared" si="6"/>
        <v>45.0077725739439</v>
      </c>
      <c r="AK23" s="9">
        <f t="shared" si="6"/>
        <v>46.13296688829249</v>
      </c>
      <c r="AL23" s="9">
        <f t="shared" si="6"/>
        <v>47.2862910604998</v>
      </c>
      <c r="AM23" s="9">
        <f t="shared" si="6"/>
        <v>48.46844833701229</v>
      </c>
      <c r="AN23" s="9">
        <f t="shared" si="6"/>
        <v>49.68015954543759</v>
      </c>
      <c r="AO23" s="9">
        <f t="shared" si="6"/>
        <v>50.922163534073526</v>
      </c>
      <c r="AP23" s="9">
        <f t="shared" si="6"/>
        <v>52.19521762242536</v>
      </c>
      <c r="AQ23" s="9">
        <f t="shared" si="6"/>
        <v>53.50009806298599</v>
      </c>
      <c r="AR23" s="9">
        <f t="shared" si="6"/>
        <v>54.837600514560634</v>
      </c>
      <c r="AS23" s="9">
        <f t="shared" si="6"/>
        <v>56.208540527424645</v>
      </c>
      <c r="AT23" s="9">
        <f t="shared" si="6"/>
        <v>57.61375404061025</v>
      </c>
      <c r="AU23" s="9">
        <f t="shared" si="6"/>
        <v>59.0540978916255</v>
      </c>
      <c r="AV23" s="9">
        <f t="shared" si="6"/>
        <v>60.53045033891613</v>
      </c>
      <c r="AW23" s="9">
        <f t="shared" si="6"/>
        <v>62.04371159738903</v>
      </c>
      <c r="AX23" s="9">
        <f t="shared" si="6"/>
        <v>63.59480438732375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51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5360000</v>
      </c>
      <c r="E25" s="15">
        <f aca="true" t="shared" si="7" ref="E25:L25">(E21*E15*E22)/E23</f>
        <v>15612480</v>
      </c>
      <c r="F25" s="65">
        <f t="shared" si="7"/>
        <v>22240000</v>
      </c>
      <c r="G25" s="84">
        <f t="shared" si="7"/>
        <v>24053760</v>
      </c>
      <c r="H25" s="65">
        <f t="shared" si="7"/>
        <v>34560000</v>
      </c>
      <c r="I25" s="15">
        <f t="shared" si="7"/>
        <v>57105840</v>
      </c>
      <c r="J25" s="65">
        <f t="shared" si="7"/>
        <v>85360000</v>
      </c>
      <c r="K25" s="15">
        <f t="shared" si="7"/>
        <v>119834758.8052671</v>
      </c>
      <c r="L25" s="65">
        <f t="shared" si="7"/>
        <v>217985132.68386683</v>
      </c>
      <c r="P25" s="39"/>
      <c r="AC25" s="24">
        <f aca="true" t="shared" si="8" ref="AC25:AX25">AC22/$AB$22</f>
        <v>1.0263</v>
      </c>
      <c r="AD25" s="24">
        <f t="shared" si="8"/>
        <v>1.05329169</v>
      </c>
      <c r="AE25" s="24">
        <f t="shared" si="8"/>
        <v>1.0809932614470001</v>
      </c>
      <c r="AF25" s="24">
        <f t="shared" si="8"/>
        <v>1.109423384223056</v>
      </c>
      <c r="AG25" s="24">
        <f t="shared" si="8"/>
        <v>1.1386012192281225</v>
      </c>
      <c r="AH25" s="24">
        <f t="shared" si="8"/>
        <v>1.168546431293822</v>
      </c>
      <c r="AI25" s="24">
        <f t="shared" si="8"/>
        <v>1.1992792024368495</v>
      </c>
      <c r="AJ25" s="24">
        <f t="shared" si="8"/>
        <v>1.2308202454609387</v>
      </c>
      <c r="AK25" s="24">
        <f t="shared" si="8"/>
        <v>1.2631908179165614</v>
      </c>
      <c r="AL25" s="24">
        <f t="shared" si="8"/>
        <v>1.2964127364277669</v>
      </c>
      <c r="AM25" s="24">
        <f t="shared" si="8"/>
        <v>1.3305083913958171</v>
      </c>
      <c r="AN25" s="24">
        <f t="shared" si="8"/>
        <v>1.3655007620895272</v>
      </c>
      <c r="AO25" s="24">
        <f t="shared" si="8"/>
        <v>1.4014134321324818</v>
      </c>
      <c r="AP25" s="24">
        <f t="shared" si="8"/>
        <v>1.4382706053975658</v>
      </c>
      <c r="AQ25" s="24">
        <f t="shared" si="8"/>
        <v>1.4760971223195218</v>
      </c>
      <c r="AR25" s="24">
        <f t="shared" si="8"/>
        <v>1.5149184766365251</v>
      </c>
      <c r="AS25" s="24">
        <f t="shared" si="8"/>
        <v>1.5547608325720657</v>
      </c>
      <c r="AT25" s="24">
        <f t="shared" si="8"/>
        <v>1.595651042468711</v>
      </c>
      <c r="AU25" s="24">
        <f t="shared" si="8"/>
        <v>1.637616664885638</v>
      </c>
      <c r="AV25" s="24">
        <f t="shared" si="8"/>
        <v>1.6806859831721304</v>
      </c>
      <c r="AW25" s="24">
        <f t="shared" si="8"/>
        <v>1.7248880245295573</v>
      </c>
      <c r="AX25" s="24">
        <f t="shared" si="8"/>
        <v>1.7702525795746846</v>
      </c>
      <c r="AY25" s="24"/>
    </row>
    <row r="26" spans="1:50" ht="12.75">
      <c r="A26" s="6"/>
      <c r="B26" s="4" t="s">
        <v>45</v>
      </c>
      <c r="C26" s="104">
        <f aca="true" t="shared" si="9" ref="C26:J26">(C25*C23+C18*3.412)/C28</f>
        <v>0.6500463657678781</v>
      </c>
      <c r="D26" s="105">
        <f t="shared" si="9"/>
        <v>0.794787573270809</v>
      </c>
      <c r="E26" s="104">
        <f t="shared" si="9"/>
        <v>0.6498369418222832</v>
      </c>
      <c r="F26" s="105">
        <f t="shared" si="9"/>
        <v>0.7821697176955602</v>
      </c>
      <c r="G26" s="106">
        <f t="shared" si="9"/>
        <v>0.6499251697268287</v>
      </c>
      <c r="H26" s="105">
        <f t="shared" si="9"/>
        <v>0.776279611676478</v>
      </c>
      <c r="I26" s="104">
        <f t="shared" si="9"/>
        <v>0.6500410463723593</v>
      </c>
      <c r="J26" s="105">
        <f t="shared" si="9"/>
        <v>0.7757720872531527</v>
      </c>
      <c r="K26" s="49">
        <f>(K25*K23+K16*3.412)/K28</f>
        <v>0.5997160306144438</v>
      </c>
      <c r="L26" s="70">
        <f>(L25*L23+L16*3.412)/L28</f>
        <v>0.7501882080700835</v>
      </c>
      <c r="AC26" s="24">
        <f aca="true" t="shared" si="10" ref="AC26:AX26">AC23/$AB$23</f>
        <v>1.025</v>
      </c>
      <c r="AD26" s="24">
        <f t="shared" si="10"/>
        <v>1.050625</v>
      </c>
      <c r="AE26" s="24">
        <f t="shared" si="10"/>
        <v>1.0768906249999999</v>
      </c>
      <c r="AF26" s="24">
        <f t="shared" si="10"/>
        <v>1.1038128906249995</v>
      </c>
      <c r="AG26" s="24">
        <f t="shared" si="10"/>
        <v>1.1314082128906247</v>
      </c>
      <c r="AH26" s="24">
        <f t="shared" si="10"/>
        <v>1.1596934182128902</v>
      </c>
      <c r="AI26" s="24">
        <f t="shared" si="10"/>
        <v>1.1886857536682123</v>
      </c>
      <c r="AJ26" s="24">
        <f t="shared" si="10"/>
        <v>1.2184028975099175</v>
      </c>
      <c r="AK26" s="24">
        <f t="shared" si="10"/>
        <v>1.2488629699476652</v>
      </c>
      <c r="AL26" s="24">
        <f t="shared" si="10"/>
        <v>1.2800845441963566</v>
      </c>
      <c r="AM26" s="24">
        <f t="shared" si="10"/>
        <v>1.3120866578012655</v>
      </c>
      <c r="AN26" s="24">
        <f t="shared" si="10"/>
        <v>1.3448888242462969</v>
      </c>
      <c r="AO26" s="24">
        <f t="shared" si="10"/>
        <v>1.3785110448524542</v>
      </c>
      <c r="AP26" s="24">
        <f t="shared" si="10"/>
        <v>1.4129738209737654</v>
      </c>
      <c r="AQ26" s="24">
        <f t="shared" si="10"/>
        <v>1.4482981664981096</v>
      </c>
      <c r="AR26" s="24">
        <f t="shared" si="10"/>
        <v>1.4845056206605622</v>
      </c>
      <c r="AS26" s="24">
        <f t="shared" si="10"/>
        <v>1.521618261177076</v>
      </c>
      <c r="AT26" s="24">
        <f t="shared" si="10"/>
        <v>1.5596587177065027</v>
      </c>
      <c r="AU26" s="24">
        <f t="shared" si="10"/>
        <v>1.598650185649165</v>
      </c>
      <c r="AV26" s="24">
        <f t="shared" si="10"/>
        <v>1.638616440290394</v>
      </c>
      <c r="AW26" s="24">
        <f t="shared" si="10"/>
        <v>1.6795818512976537</v>
      </c>
      <c r="AX26" s="24">
        <f t="shared" si="10"/>
        <v>1.7215713975800948</v>
      </c>
    </row>
    <row r="27" spans="1:14" ht="12.75">
      <c r="A27" s="6" t="s">
        <v>10</v>
      </c>
      <c r="B27" t="s">
        <v>27</v>
      </c>
      <c r="C27" s="15">
        <f aca="true" t="shared" si="11" ref="C27:L27">C13*3412/C24/1000</f>
        <v>1263.7037037037037</v>
      </c>
      <c r="D27" s="65">
        <f t="shared" si="11"/>
        <v>1263.7037037037037</v>
      </c>
      <c r="E27" s="15">
        <f t="shared" si="11"/>
        <v>6260.278260869565</v>
      </c>
      <c r="F27" s="65">
        <f t="shared" si="11"/>
        <v>6260.278260869565</v>
      </c>
      <c r="G27" s="84">
        <f t="shared" si="11"/>
        <v>10393.61956521739</v>
      </c>
      <c r="H27" s="65">
        <f t="shared" si="11"/>
        <v>10393.61956521739</v>
      </c>
      <c r="I27" s="15">
        <f t="shared" si="11"/>
        <v>28089.881188118812</v>
      </c>
      <c r="J27" s="65">
        <f t="shared" si="11"/>
        <v>28089.881188118812</v>
      </c>
      <c r="K27" s="15">
        <f t="shared" si="11"/>
        <v>81535.3173076923</v>
      </c>
      <c r="L27" s="65">
        <f t="shared" si="11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12" ref="C28:L28">(C13*3412/C24/1000)*C15</f>
        <v>7582222.222222222</v>
      </c>
      <c r="D28" s="65">
        <f t="shared" si="12"/>
        <v>7582222.222222222</v>
      </c>
      <c r="E28" s="15">
        <f t="shared" si="12"/>
        <v>37561669.56521739</v>
      </c>
      <c r="F28" s="65">
        <f t="shared" si="12"/>
        <v>37561669.56521739</v>
      </c>
      <c r="G28" s="84">
        <f t="shared" si="12"/>
        <v>62361717.391304344</v>
      </c>
      <c r="H28" s="65">
        <f t="shared" si="12"/>
        <v>62361717.391304344</v>
      </c>
      <c r="I28" s="15">
        <f t="shared" si="12"/>
        <v>168539287.12871286</v>
      </c>
      <c r="J28" s="65">
        <f t="shared" si="12"/>
        <v>168539287.12871286</v>
      </c>
      <c r="K28" s="15">
        <f t="shared" si="12"/>
        <v>489211903.8461538</v>
      </c>
      <c r="L28" s="65">
        <f t="shared" si="12"/>
        <v>489211903.8461538</v>
      </c>
      <c r="M28" s="11"/>
      <c r="N28" t="s">
        <v>64</v>
      </c>
    </row>
    <row r="29" spans="1:50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1463280</v>
      </c>
      <c r="E29" s="26">
        <f>E20+E25-E28</f>
        <v>16693030.459190607</v>
      </c>
      <c r="F29" s="66">
        <f>F20+F25-F28-E29</f>
        <v>6627520</v>
      </c>
      <c r="G29" s="85">
        <f>G20+G25-G28</f>
        <v>30124789.286991656</v>
      </c>
      <c r="H29" s="66">
        <f>H20+H25-H28-G29</f>
        <v>10506240</v>
      </c>
      <c r="I29" s="26">
        <f>I20+I25-I28</f>
        <v>91606084.94266313</v>
      </c>
      <c r="J29" s="66">
        <f>J20+J25-J28-I29</f>
        <v>28254159.99999997</v>
      </c>
      <c r="K29" s="26">
        <f>K20+K25-K28</f>
        <v>237482743.20972925</v>
      </c>
      <c r="L29" s="66">
        <f>L20+L25-L28-K29</f>
        <v>98150373.87859976</v>
      </c>
      <c r="Z29">
        <v>2013</v>
      </c>
      <c r="AA29">
        <v>2014</v>
      </c>
      <c r="AB29">
        <v>2015</v>
      </c>
      <c r="AC29">
        <v>2016</v>
      </c>
      <c r="AD29">
        <v>2017</v>
      </c>
      <c r="AE29">
        <v>2018</v>
      </c>
      <c r="AF29">
        <v>2019</v>
      </c>
      <c r="AG29">
        <v>2020</v>
      </c>
      <c r="AH29">
        <v>2021</v>
      </c>
      <c r="AI29">
        <v>2022</v>
      </c>
      <c r="AJ29">
        <v>2023</v>
      </c>
      <c r="AK29">
        <v>2024</v>
      </c>
      <c r="AL29">
        <v>2025</v>
      </c>
      <c r="AM29">
        <v>2026</v>
      </c>
      <c r="AN29">
        <v>2027</v>
      </c>
      <c r="AO29">
        <v>2028</v>
      </c>
      <c r="AP29">
        <v>2029</v>
      </c>
      <c r="AQ29">
        <v>2030</v>
      </c>
      <c r="AR29">
        <v>2031</v>
      </c>
      <c r="AS29">
        <v>2032</v>
      </c>
      <c r="AT29">
        <v>2033</v>
      </c>
      <c r="AU29">
        <v>2034</v>
      </c>
      <c r="AV29">
        <v>2035</v>
      </c>
      <c r="AW29">
        <v>2036</v>
      </c>
      <c r="AX29">
        <v>2037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13" ref="C32:L32">C29/C36*C30</f>
        <v>403156.89126218576</v>
      </c>
      <c r="D32" s="72">
        <f t="shared" si="13"/>
        <v>0</v>
      </c>
      <c r="E32" s="56">
        <f t="shared" si="13"/>
        <v>2782171.7431984344</v>
      </c>
      <c r="F32" s="72">
        <f t="shared" si="13"/>
        <v>0</v>
      </c>
      <c r="G32" s="90">
        <f t="shared" si="13"/>
        <v>5020798.214498609</v>
      </c>
      <c r="H32" s="72">
        <f t="shared" si="13"/>
        <v>0</v>
      </c>
      <c r="I32" s="56">
        <f t="shared" si="13"/>
        <v>15266716.757099167</v>
      </c>
      <c r="J32" s="72">
        <f t="shared" si="13"/>
        <v>0</v>
      </c>
      <c r="K32" s="56">
        <f t="shared" si="13"/>
        <v>38348056.69939212</v>
      </c>
      <c r="L32" s="72">
        <f t="shared" si="13"/>
        <v>0</v>
      </c>
    </row>
    <row r="33" spans="1:12" ht="12.75">
      <c r="A33" s="37" t="s">
        <v>90</v>
      </c>
      <c r="B33" s="55" t="s">
        <v>92</v>
      </c>
      <c r="C33" s="56">
        <f aca="true" t="shared" si="14" ref="C33:L33">C29/100*C31</f>
        <v>1.725478046650496</v>
      </c>
      <c r="D33" s="72">
        <f t="shared" si="14"/>
        <v>14632.8</v>
      </c>
      <c r="E33" s="56">
        <f t="shared" si="14"/>
        <v>0</v>
      </c>
      <c r="F33" s="72">
        <f t="shared" si="14"/>
        <v>66275.2</v>
      </c>
      <c r="G33" s="90">
        <f t="shared" si="14"/>
        <v>0</v>
      </c>
      <c r="H33" s="72">
        <f t="shared" si="14"/>
        <v>105062.4</v>
      </c>
      <c r="I33" s="56">
        <f t="shared" si="14"/>
        <v>57.84400068138424</v>
      </c>
      <c r="J33" s="72">
        <f t="shared" si="14"/>
        <v>282541.5999999997</v>
      </c>
      <c r="K33" s="56">
        <f t="shared" si="14"/>
        <v>0</v>
      </c>
      <c r="L33" s="72">
        <f t="shared" si="14"/>
        <v>981503.7387859976</v>
      </c>
    </row>
    <row r="34" spans="1:12" ht="12.75">
      <c r="A34" s="37"/>
      <c r="B34" s="99" t="s">
        <v>93</v>
      </c>
      <c r="C34" s="100">
        <f>C29/(D29+C29)</f>
        <v>0.6230985213164172</v>
      </c>
      <c r="D34" s="101">
        <f>D29/(C29+D29)</f>
        <v>0.37690147868358276</v>
      </c>
      <c r="E34" s="100">
        <f>E29/(F29+E29)</f>
        <v>0.7158077374032095</v>
      </c>
      <c r="F34" s="101">
        <f>F29/(E29+F29)</f>
        <v>0.2841922625967905</v>
      </c>
      <c r="G34" s="100">
        <f>G29/(H29+G29)</f>
        <v>0.7414232377479136</v>
      </c>
      <c r="H34" s="101">
        <f>H29/(G29+H29)</f>
        <v>0.25857676225208637</v>
      </c>
      <c r="I34" s="100">
        <f>I29/(J29+I29)</f>
        <v>0.7642741343177151</v>
      </c>
      <c r="J34" s="101">
        <f>J29/(I29+J29)</f>
        <v>0.2357258656822849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>
        <f>SUM(C33:D33)/(D25/100)</f>
        <v>0.2730321917546017</v>
      </c>
      <c r="E35" s="113"/>
      <c r="F35" s="114">
        <f>SUM(E33:F33)/(F25/100)</f>
        <v>0.298</v>
      </c>
      <c r="G35" s="113"/>
      <c r="H35" s="114">
        <f>SUM(G33:H33)/(H25/100)</f>
        <v>0.304</v>
      </c>
      <c r="I35" s="113"/>
      <c r="J35" s="114">
        <f>SUM(I33:J33)/(J25/100)</f>
        <v>0.33106776476181005</v>
      </c>
      <c r="K35" s="113"/>
      <c r="L35" s="114"/>
    </row>
    <row r="36" spans="1:50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  <c r="Z36" t="s">
        <v>71</v>
      </c>
      <c r="AA36" t="s">
        <v>72</v>
      </c>
      <c r="AB36" t="s">
        <v>73</v>
      </c>
      <c r="AC36" t="s">
        <v>74</v>
      </c>
      <c r="AD36" t="s">
        <v>75</v>
      </c>
      <c r="AE36" t="s">
        <v>76</v>
      </c>
      <c r="AF36" t="s">
        <v>77</v>
      </c>
      <c r="AG36" t="s">
        <v>78</v>
      </c>
      <c r="AH36" t="s">
        <v>79</v>
      </c>
      <c r="AI36" t="s">
        <v>80</v>
      </c>
      <c r="AJ36" t="s">
        <v>81</v>
      </c>
      <c r="AK36" t="s">
        <v>82</v>
      </c>
      <c r="AL36" t="s">
        <v>83</v>
      </c>
      <c r="AM36" t="s">
        <v>84</v>
      </c>
      <c r="AN36" t="s">
        <v>85</v>
      </c>
      <c r="AO36" t="s">
        <v>86</v>
      </c>
      <c r="AP36" t="s">
        <v>87</v>
      </c>
      <c r="AQ36" t="s">
        <v>88</v>
      </c>
      <c r="AR36" t="s">
        <v>89</v>
      </c>
      <c r="AS36" t="s">
        <v>65</v>
      </c>
      <c r="AT36" t="s">
        <v>66</v>
      </c>
      <c r="AU36" t="s">
        <v>67</v>
      </c>
      <c r="AV36" t="s">
        <v>68</v>
      </c>
      <c r="AW36" t="s">
        <v>69</v>
      </c>
      <c r="AX36" t="s">
        <v>70</v>
      </c>
    </row>
    <row r="37" spans="1:50" ht="12.75">
      <c r="A37" s="6" t="s">
        <v>7</v>
      </c>
      <c r="B37" t="s">
        <v>12</v>
      </c>
      <c r="C37" s="14">
        <f aca="true" t="shared" si="15" ref="C37:L37">C13*0.95</f>
        <v>95</v>
      </c>
      <c r="D37" s="61">
        <f t="shared" si="15"/>
        <v>95</v>
      </c>
      <c r="E37" s="14">
        <f t="shared" si="15"/>
        <v>601.35</v>
      </c>
      <c r="F37" s="61">
        <f t="shared" si="15"/>
        <v>601.35</v>
      </c>
      <c r="G37" s="80">
        <f t="shared" si="15"/>
        <v>1064.95</v>
      </c>
      <c r="H37" s="61">
        <f t="shared" si="15"/>
        <v>1064.95</v>
      </c>
      <c r="I37" s="14">
        <f t="shared" si="15"/>
        <v>3159.7</v>
      </c>
      <c r="J37" s="61">
        <f t="shared" si="15"/>
        <v>3159.7</v>
      </c>
      <c r="K37" s="14">
        <f t="shared" si="15"/>
        <v>9443.949999999999</v>
      </c>
      <c r="L37" s="61">
        <f t="shared" si="15"/>
        <v>9443.949999999999</v>
      </c>
      <c r="X37" s="44" t="s">
        <v>17</v>
      </c>
      <c r="Z37" s="23">
        <v>1</v>
      </c>
      <c r="AA37" s="23">
        <v>4.543454742156509</v>
      </c>
      <c r="AB37" s="23">
        <v>4.904435629282365</v>
      </c>
      <c r="AC37" s="23">
        <v>2.141002524341868</v>
      </c>
      <c r="AD37" s="23">
        <v>1.1274916742370136</v>
      </c>
      <c r="AE37" s="23">
        <v>1.1613448130961053</v>
      </c>
      <c r="AF37" s="23">
        <v>1.1828852484627033</v>
      </c>
      <c r="AG37" s="23">
        <v>1.1881965343837075</v>
      </c>
      <c r="AH37" s="23">
        <v>1.203675054985445</v>
      </c>
      <c r="AI37" s="23">
        <v>1.2164560995127078</v>
      </c>
      <c r="AJ37" s="23">
        <v>1.2558322282267895</v>
      </c>
      <c r="AK37" s="23">
        <v>1.297480866605588</v>
      </c>
      <c r="AL37" s="23">
        <v>1.33132177893648</v>
      </c>
      <c r="AM37" s="23">
        <v>1.3635700007461828</v>
      </c>
      <c r="AN37" s="23">
        <v>1.3909566864634733</v>
      </c>
      <c r="AO37" s="23">
        <v>1.4304474230575865</v>
      </c>
      <c r="AP37" s="23">
        <v>1.4703497660245834</v>
      </c>
      <c r="AQ37" s="23">
        <v>1.5105541383881513</v>
      </c>
      <c r="AR37" s="23">
        <v>1.5576045393102245</v>
      </c>
      <c r="AS37" s="23">
        <v>1.6115158430554368</v>
      </c>
      <c r="AT37" s="23">
        <v>1.673463473014528</v>
      </c>
      <c r="AU37" s="23">
        <v>1.7346065943706417</v>
      </c>
      <c r="AV37" s="23">
        <v>1.7877568330298292</v>
      </c>
      <c r="AW37" s="23">
        <v>1.8439443581275878</v>
      </c>
      <c r="AX37" s="23">
        <v>1.8979780978741319</v>
      </c>
    </row>
    <row r="38" spans="1:50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  <c r="X38" s="44" t="s">
        <v>19</v>
      </c>
      <c r="Z38" s="23">
        <v>1.0487648379852421</v>
      </c>
      <c r="AA38" s="24">
        <v>1.0378569136990696</v>
      </c>
      <c r="AB38" s="24">
        <v>1.0603144048764837</v>
      </c>
      <c r="AC38" s="24">
        <v>1.1905898882260038</v>
      </c>
      <c r="AD38" s="24">
        <v>1.2538587996170147</v>
      </c>
      <c r="AE38" s="24">
        <v>1.29150613398146</v>
      </c>
      <c r="AF38" s="24">
        <v>1.3154607804317475</v>
      </c>
      <c r="AG38" s="24">
        <v>1.321367345190942</v>
      </c>
      <c r="AH38" s="24">
        <v>1.3385806689830444</v>
      </c>
      <c r="AI38" s="24">
        <v>1.352794188705618</v>
      </c>
      <c r="AJ38" s="24">
        <v>1.3965835191380707</v>
      </c>
      <c r="AK38" s="24">
        <v>1.4429000578022362</v>
      </c>
      <c r="AL38" s="24">
        <v>1.480533795312423</v>
      </c>
      <c r="AM38" s="24">
        <v>1.516396336572836</v>
      </c>
      <c r="AN38" s="24">
        <v>1.5468524700092166</v>
      </c>
      <c r="AO38" s="24">
        <v>1.590769253355217</v>
      </c>
      <c r="AP38" s="24">
        <v>1.6351437751346014</v>
      </c>
      <c r="AQ38" s="24">
        <v>1.6798541771916742</v>
      </c>
      <c r="AR38" s="24">
        <v>1.7321778976852844</v>
      </c>
      <c r="AS38" s="24">
        <v>1.7921314779593953</v>
      </c>
      <c r="AT38" s="24">
        <v>1.861022080625874</v>
      </c>
      <c r="AU38" s="24">
        <v>1.9290180068931737</v>
      </c>
      <c r="AV38" s="24">
        <v>1.9881252233519244</v>
      </c>
      <c r="AW38" s="24">
        <v>2.0506101395444998</v>
      </c>
      <c r="AX38" s="24">
        <v>2.110699878214426</v>
      </c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50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  <c r="W40" s="44" t="s">
        <v>16</v>
      </c>
      <c r="X40" s="42">
        <v>0.0311658582543397</v>
      </c>
      <c r="Z40" s="13" t="e">
        <f>$X$40*#REF!</f>
        <v>#REF!</v>
      </c>
      <c r="AA40" s="13" t="e">
        <f>$X$40*#REF!</f>
        <v>#REF!</v>
      </c>
      <c r="AB40" s="47" t="e">
        <f>$X$40*#REF!</f>
        <v>#REF!</v>
      </c>
      <c r="AC40" s="45" t="e">
        <f>$X$40*#REF!</f>
        <v>#REF!</v>
      </c>
      <c r="AD40" s="45" t="e">
        <f>$X$40*#REF!</f>
        <v>#REF!</v>
      </c>
      <c r="AE40" s="45" t="e">
        <f>$X$40*#REF!</f>
        <v>#REF!</v>
      </c>
      <c r="AF40" s="45" t="e">
        <f>$X$40*#REF!</f>
        <v>#REF!</v>
      </c>
      <c r="AG40" s="45" t="e">
        <f>$X$40*#REF!</f>
        <v>#REF!</v>
      </c>
      <c r="AH40" s="45" t="e">
        <f>$X$40*#REF!</f>
        <v>#REF!</v>
      </c>
      <c r="AI40" s="45" t="e">
        <f>$X$40*#REF!</f>
        <v>#REF!</v>
      </c>
      <c r="AJ40" s="45" t="e">
        <f>$X$40*#REF!</f>
        <v>#REF!</v>
      </c>
      <c r="AK40" s="45" t="e">
        <f>$X$40*#REF!</f>
        <v>#REF!</v>
      </c>
      <c r="AL40" s="45" t="e">
        <f>$X$40*#REF!</f>
        <v>#REF!</v>
      </c>
      <c r="AM40" s="45" t="e">
        <f>$X$40*#REF!</f>
        <v>#REF!</v>
      </c>
      <c r="AN40" s="45" t="e">
        <f>$X$40*#REF!</f>
        <v>#REF!</v>
      </c>
      <c r="AO40" s="45" t="e">
        <f>$X$40*#REF!</f>
        <v>#REF!</v>
      </c>
      <c r="AP40" s="45" t="e">
        <f>$X$40*#REF!</f>
        <v>#REF!</v>
      </c>
      <c r="AQ40" s="45" t="e">
        <f>$X$40*#REF!</f>
        <v>#REF!</v>
      </c>
      <c r="AR40" s="45" t="e">
        <f>$X$40*#REF!</f>
        <v>#REF!</v>
      </c>
      <c r="AS40" s="45" t="e">
        <f>$X$40*#REF!</f>
        <v>#REF!</v>
      </c>
      <c r="AT40" s="45" t="e">
        <f>$X$40*#REF!</f>
        <v>#REF!</v>
      </c>
      <c r="AU40" s="45" t="e">
        <f>$X$40*#REF!</f>
        <v>#REF!</v>
      </c>
      <c r="AV40" s="45" t="e">
        <f>$X$40*#REF!</f>
        <v>#REF!</v>
      </c>
      <c r="AW40" s="45" t="e">
        <f>$X$40*#REF!</f>
        <v>#REF!</v>
      </c>
      <c r="AX40" s="45" t="e">
        <f>$X$40*#REF!</f>
        <v>#REF!</v>
      </c>
    </row>
    <row r="41" spans="1:50" ht="15">
      <c r="A41" s="6"/>
      <c r="B41" t="s">
        <v>36</v>
      </c>
      <c r="C41" s="22">
        <f aca="true" t="shared" si="16" ref="C41:L41">C40*C13</f>
        <v>290000</v>
      </c>
      <c r="D41" s="75">
        <f t="shared" si="16"/>
        <v>290000</v>
      </c>
      <c r="E41" s="22">
        <f t="shared" si="16"/>
        <v>1732521</v>
      </c>
      <c r="F41" s="75">
        <f t="shared" si="16"/>
        <v>1732521</v>
      </c>
      <c r="G41" s="92">
        <f t="shared" si="16"/>
        <v>2565969</v>
      </c>
      <c r="H41" s="75">
        <f t="shared" si="16"/>
        <v>2565969</v>
      </c>
      <c r="I41" s="22">
        <f t="shared" si="16"/>
        <v>6059972</v>
      </c>
      <c r="J41" s="75">
        <f t="shared" si="16"/>
        <v>6059972</v>
      </c>
      <c r="K41" s="22">
        <f t="shared" si="16"/>
        <v>14712680</v>
      </c>
      <c r="L41" s="75">
        <f t="shared" si="16"/>
        <v>14712680</v>
      </c>
      <c r="W41" s="44" t="s">
        <v>17</v>
      </c>
      <c r="X41" s="41">
        <v>6.18</v>
      </c>
      <c r="Z41" s="13">
        <f aca="true" t="shared" si="17" ref="Z41:AX41">$X$41*Z37</f>
        <v>6.18</v>
      </c>
      <c r="AA41" s="13">
        <f t="shared" si="17"/>
        <v>28.078550306527227</v>
      </c>
      <c r="AB41" s="46">
        <f t="shared" si="17"/>
        <v>30.309412188965016</v>
      </c>
      <c r="AC41" s="13">
        <f t="shared" si="17"/>
        <v>13.231395600432744</v>
      </c>
      <c r="AD41" s="13">
        <f t="shared" si="17"/>
        <v>6.967898546784744</v>
      </c>
      <c r="AE41" s="13">
        <f t="shared" si="17"/>
        <v>7.17711094493393</v>
      </c>
      <c r="AF41" s="13">
        <f t="shared" si="17"/>
        <v>7.310230835499506</v>
      </c>
      <c r="AG41" s="13">
        <f t="shared" si="17"/>
        <v>7.3430545824913125</v>
      </c>
      <c r="AH41" s="13">
        <f t="shared" si="17"/>
        <v>7.43871183981005</v>
      </c>
      <c r="AI41" s="13">
        <f t="shared" si="17"/>
        <v>7.5176986949885345</v>
      </c>
      <c r="AJ41" s="13">
        <f t="shared" si="17"/>
        <v>7.761043170441559</v>
      </c>
      <c r="AK41" s="13">
        <f t="shared" si="17"/>
        <v>8.018431755622533</v>
      </c>
      <c r="AL41" s="13">
        <f t="shared" si="17"/>
        <v>8.227568593827446</v>
      </c>
      <c r="AM41" s="13">
        <f t="shared" si="17"/>
        <v>8.42686260461141</v>
      </c>
      <c r="AN41" s="13">
        <f t="shared" si="17"/>
        <v>8.596112322344265</v>
      </c>
      <c r="AO41" s="13">
        <f t="shared" si="17"/>
        <v>8.840165074495884</v>
      </c>
      <c r="AP41" s="13">
        <f t="shared" si="17"/>
        <v>9.086761554031925</v>
      </c>
      <c r="AQ41" s="13">
        <f t="shared" si="17"/>
        <v>9.335224575238774</v>
      </c>
      <c r="AR41" s="13">
        <f t="shared" si="17"/>
        <v>9.625996052937186</v>
      </c>
      <c r="AS41" s="13">
        <f t="shared" si="17"/>
        <v>9.959167910082598</v>
      </c>
      <c r="AT41" s="13">
        <f t="shared" si="17"/>
        <v>10.342004263229782</v>
      </c>
      <c r="AU41" s="13">
        <f t="shared" si="17"/>
        <v>10.719868753210566</v>
      </c>
      <c r="AV41" s="13">
        <f t="shared" si="17"/>
        <v>11.048337228124344</v>
      </c>
      <c r="AW41" s="13">
        <f t="shared" si="17"/>
        <v>11.395576133228491</v>
      </c>
      <c r="AX41" s="13">
        <f t="shared" si="17"/>
        <v>11.729504644862134</v>
      </c>
    </row>
    <row r="42" spans="1:50" ht="15">
      <c r="A42" s="25">
        <v>0</v>
      </c>
      <c r="B42" t="s">
        <v>46</v>
      </c>
      <c r="C42" s="22">
        <f aca="true" t="shared" si="18" ref="C42:L42">C41*$A$42</f>
        <v>0</v>
      </c>
      <c r="D42" s="75">
        <f t="shared" si="18"/>
        <v>0</v>
      </c>
      <c r="E42" s="22">
        <f t="shared" si="18"/>
        <v>0</v>
      </c>
      <c r="F42" s="75">
        <f t="shared" si="18"/>
        <v>0</v>
      </c>
      <c r="G42" s="92">
        <f t="shared" si="18"/>
        <v>0</v>
      </c>
      <c r="H42" s="75">
        <f t="shared" si="18"/>
        <v>0</v>
      </c>
      <c r="I42" s="22">
        <f t="shared" si="18"/>
        <v>0</v>
      </c>
      <c r="J42" s="75">
        <f t="shared" si="18"/>
        <v>0</v>
      </c>
      <c r="K42" s="22">
        <f t="shared" si="18"/>
        <v>0</v>
      </c>
      <c r="L42" s="75">
        <f t="shared" si="18"/>
        <v>0</v>
      </c>
      <c r="W42" s="44" t="s">
        <v>18</v>
      </c>
      <c r="X42" s="40">
        <v>42</v>
      </c>
      <c r="Z42" s="13" t="e">
        <f>$X$42*#REF!</f>
        <v>#REF!</v>
      </c>
      <c r="AA42" s="13" t="e">
        <f>$X$42*#REF!</f>
        <v>#REF!</v>
      </c>
      <c r="AB42" s="46" t="e">
        <f>$X$42*#REF!</f>
        <v>#REF!</v>
      </c>
      <c r="AC42" s="13" t="e">
        <f>$X$42*#REF!</f>
        <v>#REF!</v>
      </c>
      <c r="AD42" s="13" t="e">
        <f>$X$42*#REF!</f>
        <v>#REF!</v>
      </c>
      <c r="AE42" s="13" t="e">
        <f>$X$42*#REF!</f>
        <v>#REF!</v>
      </c>
      <c r="AF42" s="13" t="e">
        <f>$X$42*#REF!</f>
        <v>#REF!</v>
      </c>
      <c r="AG42" s="13" t="e">
        <f>$X$42*#REF!</f>
        <v>#REF!</v>
      </c>
      <c r="AH42" s="13" t="e">
        <f>$X$42*#REF!</f>
        <v>#REF!</v>
      </c>
      <c r="AI42" s="13" t="e">
        <f>$X$42*#REF!</f>
        <v>#REF!</v>
      </c>
      <c r="AJ42" s="13" t="e">
        <f>$X$42*#REF!</f>
        <v>#REF!</v>
      </c>
      <c r="AK42" s="13" t="e">
        <f>$X$42*#REF!</f>
        <v>#REF!</v>
      </c>
      <c r="AL42" s="13" t="e">
        <f>$X$42*#REF!</f>
        <v>#REF!</v>
      </c>
      <c r="AM42" s="13" t="e">
        <f>$X$42*#REF!</f>
        <v>#REF!</v>
      </c>
      <c r="AN42" s="13" t="e">
        <f>$X$42*#REF!</f>
        <v>#REF!</v>
      </c>
      <c r="AO42" s="13" t="e">
        <f>$X$42*#REF!</f>
        <v>#REF!</v>
      </c>
      <c r="AP42" s="13" t="e">
        <f>$X$42*#REF!</f>
        <v>#REF!</v>
      </c>
      <c r="AQ42" s="13" t="e">
        <f>$X$42*#REF!</f>
        <v>#REF!</v>
      </c>
      <c r="AR42" s="13" t="e">
        <f>$X$42*#REF!</f>
        <v>#REF!</v>
      </c>
      <c r="AS42" s="13" t="e">
        <f>$X$42*#REF!</f>
        <v>#REF!</v>
      </c>
      <c r="AT42" s="13" t="e">
        <f>$X$42*#REF!</f>
        <v>#REF!</v>
      </c>
      <c r="AU42" s="13" t="e">
        <f>$X$42*#REF!</f>
        <v>#REF!</v>
      </c>
      <c r="AV42" s="13" t="e">
        <f>$X$42*#REF!</f>
        <v>#REF!</v>
      </c>
      <c r="AW42" s="13" t="e">
        <f>$X$42*#REF!</f>
        <v>#REF!</v>
      </c>
      <c r="AX42" s="13" t="e">
        <f>$X$42*#REF!</f>
        <v>#REF!</v>
      </c>
    </row>
    <row r="43" spans="1:50" ht="15">
      <c r="A43" s="6"/>
      <c r="B43" s="1" t="s">
        <v>35</v>
      </c>
      <c r="C43" s="22">
        <f aca="true" t="shared" si="19" ref="C43:L43">C41*10%</f>
        <v>29000</v>
      </c>
      <c r="D43" s="75">
        <f t="shared" si="19"/>
        <v>29000</v>
      </c>
      <c r="E43" s="22">
        <f t="shared" si="19"/>
        <v>173252.1</v>
      </c>
      <c r="F43" s="75">
        <f t="shared" si="19"/>
        <v>173252.1</v>
      </c>
      <c r="G43" s="92">
        <f t="shared" si="19"/>
        <v>256596.90000000002</v>
      </c>
      <c r="H43" s="75">
        <f t="shared" si="19"/>
        <v>256596.90000000002</v>
      </c>
      <c r="I43" s="22">
        <f t="shared" si="19"/>
        <v>605997.2000000001</v>
      </c>
      <c r="J43" s="75">
        <f t="shared" si="19"/>
        <v>605997.2000000001</v>
      </c>
      <c r="K43" s="22">
        <f t="shared" si="19"/>
        <v>1471268</v>
      </c>
      <c r="L43" s="75">
        <f t="shared" si="19"/>
        <v>1471268</v>
      </c>
      <c r="W43" s="44" t="s">
        <v>19</v>
      </c>
      <c r="X43" s="43">
        <v>0.843452</v>
      </c>
      <c r="Z43" s="13">
        <f aca="true" t="shared" si="20" ref="Z43:AX43">$X$43*Z38</f>
        <v>0.8845828001283285</v>
      </c>
      <c r="AA43" s="13">
        <f t="shared" si="20"/>
        <v>0.8753824895733077</v>
      </c>
      <c r="AB43" s="46">
        <f t="shared" si="20"/>
        <v>0.8943243054218799</v>
      </c>
      <c r="AC43" s="13">
        <f t="shared" si="20"/>
        <v>1.0042054224039993</v>
      </c>
      <c r="AD43" s="13">
        <f t="shared" si="20"/>
        <v>1.0575697122545702</v>
      </c>
      <c r="AE43" s="13">
        <f t="shared" si="20"/>
        <v>1.0893234317189304</v>
      </c>
      <c r="AF43" s="13">
        <f t="shared" si="20"/>
        <v>1.1095280261767182</v>
      </c>
      <c r="AG43" s="13">
        <f t="shared" si="20"/>
        <v>1.1145099300359904</v>
      </c>
      <c r="AH43" s="13">
        <f t="shared" si="20"/>
        <v>1.1290285424150868</v>
      </c>
      <c r="AI43" s="13">
        <f t="shared" si="20"/>
        <v>1.141016964052131</v>
      </c>
      <c r="AJ43" s="13">
        <f t="shared" si="20"/>
        <v>1.177951162384044</v>
      </c>
      <c r="AK43" s="13">
        <f t="shared" si="20"/>
        <v>1.2170169395534116</v>
      </c>
      <c r="AL43" s="13">
        <f t="shared" si="20"/>
        <v>1.2487591907238538</v>
      </c>
      <c r="AM43" s="13">
        <f t="shared" si="20"/>
        <v>1.2790075228750315</v>
      </c>
      <c r="AN43" s="13">
        <f t="shared" si="20"/>
        <v>1.3046958095342136</v>
      </c>
      <c r="AO43" s="13">
        <f t="shared" si="20"/>
        <v>1.3417375082809644</v>
      </c>
      <c r="AP43" s="13">
        <f t="shared" si="20"/>
        <v>1.3791652874248297</v>
      </c>
      <c r="AQ43" s="13">
        <f t="shared" si="20"/>
        <v>1.416876365460672</v>
      </c>
      <c r="AR43" s="13">
        <f t="shared" si="20"/>
        <v>1.4610089121584484</v>
      </c>
      <c r="AS43" s="13">
        <f t="shared" si="20"/>
        <v>1.511576879347808</v>
      </c>
      <c r="AT43" s="13">
        <f t="shared" si="20"/>
        <v>1.5696827959480546</v>
      </c>
      <c r="AU43" s="13">
        <f t="shared" si="20"/>
        <v>1.627034095950061</v>
      </c>
      <c r="AV43" s="13">
        <f t="shared" si="20"/>
        <v>1.6768881958866273</v>
      </c>
      <c r="AW43" s="13">
        <f t="shared" si="20"/>
        <v>1.7295912234190873</v>
      </c>
      <c r="AX43" s="13">
        <f t="shared" si="20"/>
        <v>1.780274033679714</v>
      </c>
    </row>
    <row r="44" spans="1:12" ht="15">
      <c r="A44" s="6"/>
      <c r="B44" s="1" t="s">
        <v>37</v>
      </c>
      <c r="C44" s="29">
        <f aca="true" t="shared" si="21" ref="C44:L44">C41-C43-C42</f>
        <v>261000</v>
      </c>
      <c r="D44" s="76">
        <f t="shared" si="21"/>
        <v>261000</v>
      </c>
      <c r="E44" s="29">
        <f t="shared" si="21"/>
        <v>1559268.9</v>
      </c>
      <c r="F44" s="76">
        <f t="shared" si="21"/>
        <v>1559268.9</v>
      </c>
      <c r="G44" s="93">
        <f t="shared" si="21"/>
        <v>2309372.1</v>
      </c>
      <c r="H44" s="76">
        <f t="shared" si="21"/>
        <v>2309372.1</v>
      </c>
      <c r="I44" s="29">
        <f t="shared" si="21"/>
        <v>5453974.8</v>
      </c>
      <c r="J44" s="76">
        <f t="shared" si="21"/>
        <v>5453974.8</v>
      </c>
      <c r="K44" s="29">
        <f t="shared" si="21"/>
        <v>13241412</v>
      </c>
      <c r="L44" s="76">
        <f t="shared" si="21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22" ref="C46:L46">C45*C16</f>
        <v>14400</v>
      </c>
      <c r="D46" s="77">
        <f t="shared" si="22"/>
        <v>14400</v>
      </c>
      <c r="E46" s="28">
        <f t="shared" si="22"/>
        <v>79758</v>
      </c>
      <c r="F46" s="77">
        <f t="shared" si="22"/>
        <v>79758</v>
      </c>
      <c r="G46" s="94">
        <f t="shared" si="22"/>
        <v>127794</v>
      </c>
      <c r="H46" s="77">
        <f t="shared" si="22"/>
        <v>127794</v>
      </c>
      <c r="I46" s="28">
        <f t="shared" si="22"/>
        <v>319296</v>
      </c>
      <c r="J46" s="77">
        <f t="shared" si="22"/>
        <v>319296</v>
      </c>
      <c r="K46" s="28">
        <f t="shared" si="22"/>
        <v>506991.00000000006</v>
      </c>
      <c r="L46" s="77">
        <f t="shared" si="22"/>
        <v>506991.00000000006</v>
      </c>
    </row>
    <row r="47" spans="1:50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  <c r="Z47" s="44" t="s">
        <v>16</v>
      </c>
      <c r="AC47" s="24" t="e">
        <f aca="true" t="shared" si="23" ref="AC47:AX47">AC40/$AB$40</f>
        <v>#REF!</v>
      </c>
      <c r="AD47" s="24" t="e">
        <f t="shared" si="23"/>
        <v>#REF!</v>
      </c>
      <c r="AE47" s="24" t="e">
        <f t="shared" si="23"/>
        <v>#REF!</v>
      </c>
      <c r="AF47" s="24" t="e">
        <f t="shared" si="23"/>
        <v>#REF!</v>
      </c>
      <c r="AG47" s="24" t="e">
        <f t="shared" si="23"/>
        <v>#REF!</v>
      </c>
      <c r="AH47" s="24" t="e">
        <f t="shared" si="23"/>
        <v>#REF!</v>
      </c>
      <c r="AI47" s="24" t="e">
        <f t="shared" si="23"/>
        <v>#REF!</v>
      </c>
      <c r="AJ47" s="24" t="e">
        <f t="shared" si="23"/>
        <v>#REF!</v>
      </c>
      <c r="AK47" s="24" t="e">
        <f t="shared" si="23"/>
        <v>#REF!</v>
      </c>
      <c r="AL47" s="24" t="e">
        <f t="shared" si="23"/>
        <v>#REF!</v>
      </c>
      <c r="AM47" s="24" t="e">
        <f t="shared" si="23"/>
        <v>#REF!</v>
      </c>
      <c r="AN47" s="24" t="e">
        <f t="shared" si="23"/>
        <v>#REF!</v>
      </c>
      <c r="AO47" s="24" t="e">
        <f t="shared" si="23"/>
        <v>#REF!</v>
      </c>
      <c r="AP47" s="24" t="e">
        <f t="shared" si="23"/>
        <v>#REF!</v>
      </c>
      <c r="AQ47" s="24" t="e">
        <f t="shared" si="23"/>
        <v>#REF!</v>
      </c>
      <c r="AR47" s="24" t="e">
        <f t="shared" si="23"/>
        <v>#REF!</v>
      </c>
      <c r="AS47" s="24" t="e">
        <f t="shared" si="23"/>
        <v>#REF!</v>
      </c>
      <c r="AT47" s="24" t="e">
        <f t="shared" si="23"/>
        <v>#REF!</v>
      </c>
      <c r="AU47" s="24" t="e">
        <f t="shared" si="23"/>
        <v>#REF!</v>
      </c>
      <c r="AV47" s="24" t="e">
        <f t="shared" si="23"/>
        <v>#REF!</v>
      </c>
      <c r="AW47" s="24" t="e">
        <f t="shared" si="23"/>
        <v>#REF!</v>
      </c>
      <c r="AX47" s="24" t="e">
        <f t="shared" si="23"/>
        <v>#REF!</v>
      </c>
    </row>
    <row r="48" spans="1:50" ht="14.25">
      <c r="A48" s="6"/>
      <c r="B48" t="s">
        <v>52</v>
      </c>
      <c r="C48" s="22">
        <f aca="true" t="shared" si="24" ref="C48:L48">IF(C13*75&lt;195000,C13*75,195000)</f>
        <v>7500</v>
      </c>
      <c r="D48" s="75">
        <f t="shared" si="24"/>
        <v>7500</v>
      </c>
      <c r="E48" s="22">
        <f t="shared" si="24"/>
        <v>47475</v>
      </c>
      <c r="F48" s="75">
        <f t="shared" si="24"/>
        <v>47475</v>
      </c>
      <c r="G48" s="92">
        <f t="shared" si="24"/>
        <v>84075</v>
      </c>
      <c r="H48" s="75">
        <f t="shared" si="24"/>
        <v>84075</v>
      </c>
      <c r="I48" s="22">
        <f t="shared" si="24"/>
        <v>195000</v>
      </c>
      <c r="J48" s="75">
        <f t="shared" si="24"/>
        <v>195000</v>
      </c>
      <c r="K48" s="22">
        <f t="shared" si="24"/>
        <v>195000</v>
      </c>
      <c r="L48" s="75">
        <f t="shared" si="24"/>
        <v>195000</v>
      </c>
      <c r="Z48" s="44" t="s">
        <v>17</v>
      </c>
      <c r="AC48" s="23">
        <f aca="true" t="shared" si="25" ref="AC48:AX48">AC41/$AB$41</f>
        <v>0.43654411764705886</v>
      </c>
      <c r="AD48" s="23">
        <f t="shared" si="25"/>
        <v>0.22989223622494404</v>
      </c>
      <c r="AE48" s="23">
        <f t="shared" si="25"/>
        <v>0.23679479167025735</v>
      </c>
      <c r="AF48" s="23">
        <f t="shared" si="25"/>
        <v>0.24118682308728503</v>
      </c>
      <c r="AG48" s="23">
        <f t="shared" si="25"/>
        <v>0.24226977866514862</v>
      </c>
      <c r="AH48" s="23">
        <f t="shared" si="25"/>
        <v>0.2454258034907823</v>
      </c>
      <c r="AI48" s="23">
        <f t="shared" si="25"/>
        <v>0.24803182087858378</v>
      </c>
      <c r="AJ48" s="23">
        <f t="shared" si="25"/>
        <v>0.25606049771124173</v>
      </c>
      <c r="AK48" s="23">
        <f t="shared" si="25"/>
        <v>0.2645525325806835</v>
      </c>
      <c r="AL48" s="23">
        <f t="shared" si="25"/>
        <v>0.2714525950728573</v>
      </c>
      <c r="AM48" s="23">
        <f t="shared" si="25"/>
        <v>0.2780279126521445</v>
      </c>
      <c r="AN48" s="23">
        <f t="shared" si="25"/>
        <v>0.2836119773208244</v>
      </c>
      <c r="AO48" s="23">
        <f t="shared" si="25"/>
        <v>0.2916640223631388</v>
      </c>
      <c r="AP48" s="23">
        <f t="shared" si="25"/>
        <v>0.2997999927342772</v>
      </c>
      <c r="AQ48" s="23">
        <f t="shared" si="25"/>
        <v>0.30799754601105467</v>
      </c>
      <c r="AR48" s="23">
        <f t="shared" si="25"/>
        <v>0.3175909843755333</v>
      </c>
      <c r="AS48" s="23">
        <f t="shared" si="25"/>
        <v>0.328583340646524</v>
      </c>
      <c r="AT48" s="23">
        <f t="shared" si="25"/>
        <v>0.34121428019627104</v>
      </c>
      <c r="AU48" s="23">
        <f t="shared" si="25"/>
        <v>0.3536811828080728</v>
      </c>
      <c r="AV48" s="23">
        <f t="shared" si="25"/>
        <v>0.3645183601464498</v>
      </c>
      <c r="AW48" s="23">
        <f t="shared" si="25"/>
        <v>0.375974831256456</v>
      </c>
      <c r="AX48" s="23">
        <f t="shared" si="25"/>
        <v>0.38699215186801234</v>
      </c>
    </row>
    <row r="49" spans="1:50" ht="14.25">
      <c r="A49" s="6"/>
      <c r="B49" t="s">
        <v>53</v>
      </c>
      <c r="C49" s="22">
        <f aca="true" t="shared" si="26" ref="C49:L49">IF(C13*175&lt;650000-C48,C13*175,650000-C48)</f>
        <v>17500</v>
      </c>
      <c r="D49" s="75">
        <f t="shared" si="26"/>
        <v>17500</v>
      </c>
      <c r="E49" s="22">
        <f t="shared" si="26"/>
        <v>110775</v>
      </c>
      <c r="F49" s="75">
        <f t="shared" si="26"/>
        <v>110775</v>
      </c>
      <c r="G49" s="92">
        <f t="shared" si="26"/>
        <v>196175</v>
      </c>
      <c r="H49" s="75">
        <f t="shared" si="26"/>
        <v>196175</v>
      </c>
      <c r="I49" s="22">
        <f t="shared" si="26"/>
        <v>455000</v>
      </c>
      <c r="J49" s="75">
        <f t="shared" si="26"/>
        <v>455000</v>
      </c>
      <c r="K49" s="22">
        <f t="shared" si="26"/>
        <v>455000</v>
      </c>
      <c r="L49" s="75">
        <f t="shared" si="26"/>
        <v>455000</v>
      </c>
      <c r="Z49" s="44" t="s">
        <v>18</v>
      </c>
      <c r="AC49" s="24" t="e">
        <f aca="true" t="shared" si="27" ref="AC49:AX49">AC42/$AB$42</f>
        <v>#REF!</v>
      </c>
      <c r="AD49" s="24" t="e">
        <f t="shared" si="27"/>
        <v>#REF!</v>
      </c>
      <c r="AE49" s="24" t="e">
        <f t="shared" si="27"/>
        <v>#REF!</v>
      </c>
      <c r="AF49" s="24" t="e">
        <f t="shared" si="27"/>
        <v>#REF!</v>
      </c>
      <c r="AG49" s="24" t="e">
        <f t="shared" si="27"/>
        <v>#REF!</v>
      </c>
      <c r="AH49" s="24" t="e">
        <f t="shared" si="27"/>
        <v>#REF!</v>
      </c>
      <c r="AI49" s="24" t="e">
        <f t="shared" si="27"/>
        <v>#REF!</v>
      </c>
      <c r="AJ49" s="24" t="e">
        <f t="shared" si="27"/>
        <v>#REF!</v>
      </c>
      <c r="AK49" s="24" t="e">
        <f t="shared" si="27"/>
        <v>#REF!</v>
      </c>
      <c r="AL49" s="24" t="e">
        <f t="shared" si="27"/>
        <v>#REF!</v>
      </c>
      <c r="AM49" s="24" t="e">
        <f t="shared" si="27"/>
        <v>#REF!</v>
      </c>
      <c r="AN49" s="24" t="e">
        <f t="shared" si="27"/>
        <v>#REF!</v>
      </c>
      <c r="AO49" s="24" t="e">
        <f t="shared" si="27"/>
        <v>#REF!</v>
      </c>
      <c r="AP49" s="24" t="e">
        <f t="shared" si="27"/>
        <v>#REF!</v>
      </c>
      <c r="AQ49" s="24" t="e">
        <f t="shared" si="27"/>
        <v>#REF!</v>
      </c>
      <c r="AR49" s="24" t="e">
        <f t="shared" si="27"/>
        <v>#REF!</v>
      </c>
      <c r="AS49" s="24" t="e">
        <f t="shared" si="27"/>
        <v>#REF!</v>
      </c>
      <c r="AT49" s="24" t="e">
        <f t="shared" si="27"/>
        <v>#REF!</v>
      </c>
      <c r="AU49" s="24" t="e">
        <f t="shared" si="27"/>
        <v>#REF!</v>
      </c>
      <c r="AV49" s="24" t="e">
        <f t="shared" si="27"/>
        <v>#REF!</v>
      </c>
      <c r="AW49" s="24" t="e">
        <f t="shared" si="27"/>
        <v>#REF!</v>
      </c>
      <c r="AX49" s="24" t="e">
        <f t="shared" si="27"/>
        <v>#REF!</v>
      </c>
    </row>
    <row r="50" spans="1:50" ht="14.25">
      <c r="A50" s="6"/>
      <c r="B50" t="s">
        <v>54</v>
      </c>
      <c r="C50" s="22">
        <f aca="true" t="shared" si="28" ref="C50:L50">IF(IF(C26&gt;=0.7,C18*0.08,IF(OR(C26&gt;=0.6,C26&lt;0.7),C18*0.06,0))&gt;1.35*10^6,1.35*10^6,IF(C26&gt;=0.7,C18*0.08,IF(OR(C26&gt;=0.6,C26&lt;0.7),C18*0.06,0)))</f>
        <v>35280</v>
      </c>
      <c r="D50" s="75">
        <f t="shared" si="28"/>
        <v>47040</v>
      </c>
      <c r="E50" s="22">
        <f t="shared" si="28"/>
        <v>223322.4</v>
      </c>
      <c r="F50" s="75">
        <f t="shared" si="28"/>
        <v>297763.2</v>
      </c>
      <c r="G50" s="92">
        <f t="shared" si="28"/>
        <v>395488.8</v>
      </c>
      <c r="H50" s="75">
        <f t="shared" si="28"/>
        <v>527318.4</v>
      </c>
      <c r="I50" s="22">
        <f t="shared" si="28"/>
        <v>1173412.8</v>
      </c>
      <c r="J50" s="75">
        <f t="shared" si="28"/>
        <v>1350000</v>
      </c>
      <c r="K50" s="22">
        <f t="shared" si="28"/>
        <v>1350000</v>
      </c>
      <c r="L50" s="75">
        <f t="shared" si="28"/>
        <v>1350000</v>
      </c>
      <c r="Z50" s="44" t="s">
        <v>19</v>
      </c>
      <c r="AC50" s="24">
        <f aca="true" t="shared" si="29" ref="AC50:AX50">AC43/$AB$43</f>
        <v>1.1228649566113327</v>
      </c>
      <c r="AD50" s="24">
        <f t="shared" si="29"/>
        <v>1.1825349102590725</v>
      </c>
      <c r="AE50" s="24">
        <f t="shared" si="29"/>
        <v>1.2180407321089899</v>
      </c>
      <c r="AF50" s="24">
        <f t="shared" si="29"/>
        <v>1.2406327541923623</v>
      </c>
      <c r="AG50" s="24">
        <f t="shared" si="29"/>
        <v>1.2462033328169944</v>
      </c>
      <c r="AH50" s="24">
        <f t="shared" si="29"/>
        <v>1.2624375023359</v>
      </c>
      <c r="AI50" s="24">
        <f t="shared" si="29"/>
        <v>1.275842507169565</v>
      </c>
      <c r="AJ50" s="24">
        <f t="shared" si="29"/>
        <v>1.317140946793757</v>
      </c>
      <c r="AK50" s="24">
        <f t="shared" si="29"/>
        <v>1.3608228381753618</v>
      </c>
      <c r="AL50" s="24">
        <f t="shared" si="29"/>
        <v>1.3963158366078132</v>
      </c>
      <c r="AM50" s="24">
        <f t="shared" si="29"/>
        <v>1.430138390649782</v>
      </c>
      <c r="AN50" s="24">
        <f t="shared" si="29"/>
        <v>1.4588620723203414</v>
      </c>
      <c r="AO50" s="24">
        <f t="shared" si="29"/>
        <v>1.5002807148890203</v>
      </c>
      <c r="AP50" s="24">
        <f t="shared" si="29"/>
        <v>1.5421310581224064</v>
      </c>
      <c r="AQ50" s="24">
        <f t="shared" si="29"/>
        <v>1.5842981755844021</v>
      </c>
      <c r="AR50" s="24">
        <f t="shared" si="29"/>
        <v>1.6336455392087843</v>
      </c>
      <c r="AS50" s="24">
        <f t="shared" si="29"/>
        <v>1.6901887494098142</v>
      </c>
      <c r="AT50" s="24">
        <f t="shared" si="29"/>
        <v>1.7551606128020725</v>
      </c>
      <c r="AU50" s="24">
        <f t="shared" si="29"/>
        <v>1.8192886921289027</v>
      </c>
      <c r="AV50" s="24">
        <f t="shared" si="29"/>
        <v>1.875033682658986</v>
      </c>
      <c r="AW50" s="24">
        <f t="shared" si="29"/>
        <v>1.9339642375068702</v>
      </c>
      <c r="AX50" s="24">
        <f t="shared" si="29"/>
        <v>1.9906358609362682</v>
      </c>
    </row>
    <row r="51" spans="1:12" ht="14.25">
      <c r="A51" s="6"/>
      <c r="B51" s="4" t="s">
        <v>55</v>
      </c>
      <c r="C51" s="29">
        <f aca="true" t="shared" si="30" ref="C51:L51">SUM(C48:C50)</f>
        <v>60280</v>
      </c>
      <c r="D51" s="76">
        <f t="shared" si="30"/>
        <v>72040</v>
      </c>
      <c r="E51" s="29">
        <f t="shared" si="30"/>
        <v>381572.4</v>
      </c>
      <c r="F51" s="76">
        <f t="shared" si="30"/>
        <v>456013.2</v>
      </c>
      <c r="G51" s="93">
        <f t="shared" si="30"/>
        <v>675738.8</v>
      </c>
      <c r="H51" s="76">
        <f t="shared" si="30"/>
        <v>807568.4</v>
      </c>
      <c r="I51" s="29">
        <f t="shared" si="30"/>
        <v>1823412.8</v>
      </c>
      <c r="J51" s="76">
        <f t="shared" si="30"/>
        <v>2000000</v>
      </c>
      <c r="K51" s="29">
        <f t="shared" si="30"/>
        <v>2000000</v>
      </c>
      <c r="L51" s="76">
        <f t="shared" si="3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31" ref="E54:J54">D54</f>
        <v>0.0584885686</v>
      </c>
      <c r="F54" s="119">
        <f t="shared" si="31"/>
        <v>0.0584885686</v>
      </c>
      <c r="G54" s="119">
        <f t="shared" si="31"/>
        <v>0.0584885686</v>
      </c>
      <c r="H54" s="119">
        <f t="shared" si="31"/>
        <v>0.0584885686</v>
      </c>
      <c r="I54" s="119">
        <f t="shared" si="31"/>
        <v>0.0584885686</v>
      </c>
      <c r="J54" s="119">
        <f t="shared" si="3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aca="true" t="shared" si="32" ref="E55:J55">D55</f>
        <v>0.1102</v>
      </c>
      <c r="F55" s="10">
        <f t="shared" si="32"/>
        <v>0.1102</v>
      </c>
      <c r="G55" s="10">
        <f t="shared" si="32"/>
        <v>0.1102</v>
      </c>
      <c r="H55" s="10">
        <f t="shared" si="32"/>
        <v>0.1102</v>
      </c>
      <c r="I55" s="10">
        <f t="shared" si="32"/>
        <v>0.1102</v>
      </c>
      <c r="J55" s="10">
        <f t="shared" si="32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aca="true" t="shared" si="33" ref="E56:J56">D56</f>
        <v>1.0977620051509962</v>
      </c>
      <c r="F56" s="120">
        <f t="shared" si="33"/>
        <v>1.0977620051509962</v>
      </c>
      <c r="G56" s="120">
        <f t="shared" si="33"/>
        <v>1.0977620051509962</v>
      </c>
      <c r="H56" s="120">
        <f t="shared" si="33"/>
        <v>1.0977620051509962</v>
      </c>
      <c r="I56" s="120">
        <f t="shared" si="33"/>
        <v>1.0977620051509962</v>
      </c>
      <c r="J56" s="120">
        <f t="shared" si="33"/>
        <v>1.0977620051509962</v>
      </c>
    </row>
    <row r="57" spans="2:10" ht="12.75">
      <c r="B57" t="s">
        <v>99</v>
      </c>
      <c r="C57" s="12">
        <f>C54*C28/1000</f>
        <v>443.47332458488887</v>
      </c>
      <c r="D57" s="12">
        <f aca="true" t="shared" si="34" ref="D57:J57">D54*D28/1000</f>
        <v>443.47332458488887</v>
      </c>
      <c r="E57" s="12">
        <f t="shared" si="34"/>
        <v>2196.9282870957495</v>
      </c>
      <c r="F57" s="12">
        <f t="shared" si="34"/>
        <v>2196.9282870957495</v>
      </c>
      <c r="G57" s="12">
        <f t="shared" si="34"/>
        <v>3647.447585655117</v>
      </c>
      <c r="H57" s="12">
        <f t="shared" si="34"/>
        <v>3647.447585655117</v>
      </c>
      <c r="I57" s="12">
        <f t="shared" si="34"/>
        <v>9857.621657022819</v>
      </c>
      <c r="J57" s="12">
        <f t="shared" si="34"/>
        <v>9857.621657022819</v>
      </c>
    </row>
    <row r="58" spans="2:10" ht="12.75">
      <c r="B58" t="s">
        <v>100</v>
      </c>
      <c r="C58" s="12">
        <f>C54*C25/1000</f>
        <v>227.913575034992</v>
      </c>
      <c r="D58" s="12">
        <f aca="true" t="shared" si="35" ref="D58:J58">D54*D25/1000</f>
        <v>313.498727696</v>
      </c>
      <c r="E58" s="12">
        <f t="shared" si="35"/>
        <v>913.151607496128</v>
      </c>
      <c r="F58" s="12">
        <f t="shared" si="35"/>
        <v>1300.785765664</v>
      </c>
      <c r="G58" s="12">
        <f t="shared" si="35"/>
        <v>1406.869991847936</v>
      </c>
      <c r="H58" s="12">
        <f t="shared" si="35"/>
        <v>2021.364930816</v>
      </c>
      <c r="I58" s="12">
        <f t="shared" si="35"/>
        <v>3340.0388403006236</v>
      </c>
      <c r="J58" s="12">
        <f t="shared" si="35"/>
        <v>4992.584215696</v>
      </c>
    </row>
    <row r="59" spans="2:10" ht="12.75">
      <c r="B59" t="s">
        <v>101</v>
      </c>
      <c r="C59" s="12">
        <f>C56*C18/1000</f>
        <v>645.4840590287857</v>
      </c>
      <c r="D59" s="12">
        <f aca="true" t="shared" si="36" ref="D59:J59">D56*D18/1000</f>
        <v>645.4840590287857</v>
      </c>
      <c r="E59" s="12">
        <f t="shared" si="36"/>
        <v>4085.914093652214</v>
      </c>
      <c r="F59" s="12">
        <f t="shared" si="36"/>
        <v>4085.914093652214</v>
      </c>
      <c r="G59" s="12">
        <f t="shared" si="36"/>
        <v>7235.8763017126885</v>
      </c>
      <c r="H59" s="12">
        <f t="shared" si="36"/>
        <v>7235.8763017126885</v>
      </c>
      <c r="I59" s="12">
        <f t="shared" si="36"/>
        <v>21468.799803297414</v>
      </c>
      <c r="J59" s="12">
        <f t="shared" si="36"/>
        <v>21468.799803297414</v>
      </c>
    </row>
    <row r="60" spans="2:10" ht="12.75">
      <c r="B60" t="s">
        <v>106</v>
      </c>
      <c r="C60" s="12">
        <f>C57-C59-C58</f>
        <v>-429.92430947888886</v>
      </c>
      <c r="D60" s="12">
        <f aca="true" t="shared" si="37" ref="D60:J60">D57-D59-D58</f>
        <v>-515.5094621398969</v>
      </c>
      <c r="E60" s="12">
        <f t="shared" si="37"/>
        <v>-2802.1374140525922</v>
      </c>
      <c r="F60" s="12">
        <f t="shared" si="37"/>
        <v>-3189.771572220465</v>
      </c>
      <c r="G60" s="12">
        <f t="shared" si="37"/>
        <v>-4995.298707905507</v>
      </c>
      <c r="H60" s="12">
        <f t="shared" si="37"/>
        <v>-5609.793646873572</v>
      </c>
      <c r="I60" s="12">
        <f t="shared" si="37"/>
        <v>-14951.216986575218</v>
      </c>
      <c r="J60" s="12">
        <f t="shared" si="37"/>
        <v>-16603.762361970596</v>
      </c>
    </row>
    <row r="61" spans="2:10" ht="12.75">
      <c r="B61" t="s">
        <v>108</v>
      </c>
      <c r="C61" s="12">
        <f>(C60/C56)*1000</f>
        <v>-391637.0829574787</v>
      </c>
      <c r="D61" s="12">
        <f aca="true" t="shared" si="38" ref="D61:J61">(D60/D56)*1000</f>
        <v>-469600.3867149592</v>
      </c>
      <c r="E61" s="12">
        <f t="shared" si="38"/>
        <v>-2552590.9996011937</v>
      </c>
      <c r="F61" s="12">
        <f t="shared" si="38"/>
        <v>-2905704.1118686874</v>
      </c>
      <c r="G61" s="12">
        <f t="shared" si="38"/>
        <v>-4550438.696608386</v>
      </c>
      <c r="H61" s="12">
        <f t="shared" si="38"/>
        <v>-5110209.335494308</v>
      </c>
      <c r="I61" s="12">
        <f t="shared" si="38"/>
        <v>-13619725.328823611</v>
      </c>
      <c r="J61" s="12">
        <f t="shared" si="38"/>
        <v>-15125102.056785762</v>
      </c>
    </row>
    <row r="62" spans="2:10" ht="26.25">
      <c r="B62" s="1" t="s">
        <v>107</v>
      </c>
      <c r="C62" s="123">
        <f>-C61/C18</f>
        <v>0.6660494608120386</v>
      </c>
      <c r="D62" s="123">
        <f aca="true" t="shared" si="39" ref="D62:J62">-D61/D18</f>
        <v>0.798640113460815</v>
      </c>
      <c r="E62" s="123">
        <f t="shared" si="39"/>
        <v>0.6858042900133243</v>
      </c>
      <c r="F62" s="123">
        <f t="shared" si="39"/>
        <v>0.7806751437031003</v>
      </c>
      <c r="G62" s="123">
        <f t="shared" si="39"/>
        <v>0.6903515897201215</v>
      </c>
      <c r="H62" s="123">
        <f t="shared" si="39"/>
        <v>0.775274951224051</v>
      </c>
      <c r="I62" s="123">
        <f t="shared" si="39"/>
        <v>0.6964160606816431</v>
      </c>
      <c r="J62" s="123">
        <f t="shared" si="39"/>
        <v>0.7733903391944811</v>
      </c>
    </row>
    <row r="63" spans="2:10" ht="12.75">
      <c r="B63" s="1"/>
      <c r="C63" s="11"/>
      <c r="D63" s="11"/>
      <c r="E63" s="11"/>
      <c r="F63" s="11"/>
      <c r="G63" s="11"/>
      <c r="H63" s="11"/>
      <c r="I63" s="11"/>
      <c r="J63" s="11"/>
    </row>
    <row r="65" ht="12.75">
      <c r="B65" t="s">
        <v>102</v>
      </c>
    </row>
  </sheetData>
  <sheetProtection/>
  <mergeCells count="1">
    <mergeCell ref="C10:G10"/>
  </mergeCells>
  <dataValidations count="6">
    <dataValidation type="decimal" operator="greaterThanOrEqual" allowBlank="1" showErrorMessage="1" promptTitle="Electric Capacity Escalator" prompt="Enter the escalator for the current year.  Escalators do not carry forward to following years, so enter the cumulative value in each cell." sqref="Z38:AX38">
      <formula1>0</formula1>
    </dataValidation>
    <dataValidation type="decimal" operator="greaterThanOrEqual" allowBlank="1" showErrorMessage="1" promptTitle="Electric T+D Escalator" prompt="Enter the escalator for the current year.  Escalators do not carry forward to following years, so enter the cumulative value in each cell." sqref="Z37:AX37">
      <formula1>0</formula1>
    </dataValidation>
    <dataValidation type="decimal" operator="greaterThanOrEqual" allowBlank="1" showErrorMessage="1" promptTitle="Avoided Capacity - Summer" prompt="Enter the avoided capacity value for the coincident kW savings." sqref="X43">
      <formula1>0</formula1>
    </dataValidation>
    <dataValidation allowBlank="1" showErrorMessage="1" promptTitle="Avoided T+D" prompt="Enter the value to use for avoided T+D costs, based on the max coincident kW savings for each year." sqref="X41"/>
    <dataValidation allowBlank="1" showErrorMessage="1" promptTitle="OATT Charges - All Months" prompt="Enter the OATT charge ($ / kW) to be applied to every month.&#10;&#10;OATT Schedules 1, 2, 3, 5, 6, 8 summed over all months." sqref="X42"/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16329</dc:creator>
  <cp:keywords/>
  <dc:description/>
  <cp:lastModifiedBy>Celia Christensen</cp:lastModifiedBy>
  <cp:lastPrinted>2014-04-03T14:09:28Z</cp:lastPrinted>
  <dcterms:created xsi:type="dcterms:W3CDTF">2007-09-06T18:44:15Z</dcterms:created>
  <dcterms:modified xsi:type="dcterms:W3CDTF">2014-12-05T21:19:39Z</dcterms:modified>
  <cp:category/>
  <cp:version/>
  <cp:contentType/>
  <cp:contentStatus/>
</cp:coreProperties>
</file>