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autoCompressPictures="0"/>
  <bookViews>
    <workbookView xWindow="0" yWindow="120" windowWidth="15600" windowHeight="11640" tabRatio="690" activeTab="1"/>
  </bookViews>
  <sheets>
    <sheet name="November 2012" sheetId="15" r:id="rId1"/>
    <sheet name="December 2012" sheetId="16" r:id="rId2"/>
    <sheet name="January 2013" sheetId="1" r:id="rId3"/>
    <sheet name="February 2013" sheetId="6" r:id="rId4"/>
    <sheet name="March 2013" sheetId="7" r:id="rId5"/>
    <sheet name="April" sheetId="8" state="hidden" r:id="rId6"/>
    <sheet name="May" sheetId="9" state="hidden" r:id="rId7"/>
    <sheet name="June" sheetId="10" state="hidden" r:id="rId8"/>
    <sheet name="July" sheetId="11" state="hidden" r:id="rId9"/>
    <sheet name="August" sheetId="12" state="hidden" r:id="rId10"/>
    <sheet name="September" sheetId="13" state="hidden" r:id="rId11"/>
    <sheet name="October" sheetId="14" state="hidden" r:id="rId12"/>
  </sheets>
  <definedNames>
    <definedName name="AprSun1">DATE(CalendarYear,4,1)-WEEKDAY(DATE(CalendarYear,4,1))</definedName>
    <definedName name="AssignmentDays" localSheetId="5">April!$L$4:$L$33</definedName>
    <definedName name="AssignmentDays" localSheetId="9">August!$L$4:$L$33</definedName>
    <definedName name="AssignmentDays" localSheetId="1">'December 2012'!$L$4:$L$33</definedName>
    <definedName name="AssignmentDays" localSheetId="3">'February 2013'!$L$4:$L$33</definedName>
    <definedName name="AssignmentDays" localSheetId="8">July!$L$4:$L$33</definedName>
    <definedName name="AssignmentDays" localSheetId="7">June!$L$4:$L$33</definedName>
    <definedName name="AssignmentDays" localSheetId="4">'March 2013'!$L$4:$L$33</definedName>
    <definedName name="AssignmentDays" localSheetId="6">May!$L$4:$L$33</definedName>
    <definedName name="AssignmentDays" localSheetId="0">'November 2012'!$L$4:$L$33</definedName>
    <definedName name="AssignmentDays" localSheetId="11">October!$L$4:$L$33</definedName>
    <definedName name="AssignmentDays" localSheetId="10">September!$L$4:$L$33</definedName>
    <definedName name="AssignmentDays">'January 2013'!$L$4:$L$33</definedName>
    <definedName name="AugSun1">DATE(CalendarYear,8,1)-WEEKDAY(DATE(CalendarYear,8,1))</definedName>
    <definedName name="CalendarYear">'January 2013'!$N$2</definedName>
    <definedName name="DecSun1">DATE(CalendarYear,12,1)-WEEKDAY(DATE(CalendarYear,12,1))</definedName>
    <definedName name="FebSun1">DATE(CalendarYear,2,1)-WEEKDAY(DATE(CalendarYear,2,1))</definedName>
    <definedName name="ImportantDatesTable" localSheetId="5">April!$L$4:$M$8</definedName>
    <definedName name="ImportantDatesTable" localSheetId="9">August!$L$4:$M$8</definedName>
    <definedName name="ImportantDatesTable" localSheetId="1">'December 2012'!$L$4:$M$8</definedName>
    <definedName name="ImportantDatesTable" localSheetId="3">'February 2013'!$L$4:$M$8</definedName>
    <definedName name="ImportantDatesTable" localSheetId="8">July!$L$4:$M$8</definedName>
    <definedName name="ImportantDatesTable" localSheetId="7">June!$L$4:$M$8</definedName>
    <definedName name="ImportantDatesTable" localSheetId="4">'March 2013'!$L$4:$M$8</definedName>
    <definedName name="ImportantDatesTable" localSheetId="6">May!$L$4:$M$8</definedName>
    <definedName name="ImportantDatesTable" localSheetId="0">'November 2012'!$L$4:$M$8</definedName>
    <definedName name="ImportantDatesTable" localSheetId="11">October!$L$4:$M$8</definedName>
    <definedName name="ImportantDatesTable" localSheetId="10">September!$L$4:$M$8</definedName>
    <definedName name="ImportantDatesTable">'January 2013'!$L$4:$M$8</definedName>
    <definedName name="JanSun1">DATE(CalendarYear,1,1)-WEEKDAY(DATE(CalendarYear,1,1))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_xlnm.Print_Area" localSheetId="5">April!$A$1:$N$33</definedName>
    <definedName name="_xlnm.Print_Area" localSheetId="9">August!$A$1:$N$33</definedName>
    <definedName name="_xlnm.Print_Area" localSheetId="1">'December 2012'!$A$1:$N$33</definedName>
    <definedName name="_xlnm.Print_Area" localSheetId="3">'February 2013'!$A$1:$N$33</definedName>
    <definedName name="_xlnm.Print_Area" localSheetId="2">'January 2013'!$A$1:$N$33</definedName>
    <definedName name="_xlnm.Print_Area" localSheetId="8">July!$A$1:$N$33</definedName>
    <definedName name="_xlnm.Print_Area" localSheetId="7">June!$A$1:$N$33</definedName>
    <definedName name="_xlnm.Print_Area" localSheetId="4">'March 2013'!$A$1:$N$33</definedName>
    <definedName name="_xlnm.Print_Area" localSheetId="6">May!$A$1:$N$33</definedName>
    <definedName name="_xlnm.Print_Area" localSheetId="0">'November 2012'!$A$1:$N$33</definedName>
    <definedName name="_xlnm.Print_Area" localSheetId="11">October!$A$1:$N$33</definedName>
    <definedName name="_xlnm.Print_Area" localSheetId="10">September!$A$1:$N$33</definedName>
    <definedName name="SepSun1">DATE(CalendarYear,9,1)-WEEKDAY(DATE(CalendarYear,9,1))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8" l="1"/>
  <c r="H9" i="8"/>
  <c r="G9" i="8"/>
  <c r="F9" i="8"/>
  <c r="E9" i="8"/>
  <c r="D9" i="8"/>
  <c r="C9" i="8"/>
  <c r="I8" i="8"/>
  <c r="H8" i="8"/>
  <c r="G8" i="8"/>
  <c r="F8" i="8"/>
  <c r="E8" i="8"/>
  <c r="D8" i="8"/>
  <c r="C8" i="8"/>
  <c r="I7" i="8"/>
  <c r="H7" i="8"/>
  <c r="G7" i="8"/>
  <c r="F7" i="8"/>
  <c r="E7" i="8"/>
  <c r="D7" i="8"/>
  <c r="C7" i="8"/>
  <c r="I6" i="8"/>
  <c r="H6" i="8"/>
  <c r="G6" i="8"/>
  <c r="F6" i="8"/>
  <c r="E6" i="8"/>
  <c r="D6" i="8"/>
  <c r="C6" i="8"/>
  <c r="I5" i="8"/>
  <c r="H5" i="8"/>
  <c r="G5" i="8"/>
  <c r="F5" i="8"/>
  <c r="E5" i="8"/>
  <c r="D5" i="8"/>
  <c r="C5" i="8"/>
  <c r="I4" i="8"/>
  <c r="H4" i="8"/>
  <c r="G4" i="8"/>
  <c r="F4" i="8"/>
  <c r="E4" i="8"/>
  <c r="D4" i="8"/>
  <c r="C4" i="8"/>
  <c r="I9" i="14"/>
  <c r="H9" i="14"/>
  <c r="G9" i="14"/>
  <c r="F9" i="14"/>
  <c r="E9" i="14"/>
  <c r="D9" i="14"/>
  <c r="C9" i="14"/>
  <c r="I8" i="14"/>
  <c r="H8" i="14"/>
  <c r="G8" i="14"/>
  <c r="F8" i="14"/>
  <c r="E8" i="14"/>
  <c r="D8" i="14"/>
  <c r="C8" i="14"/>
  <c r="I7" i="14"/>
  <c r="H7" i="14"/>
  <c r="G7" i="14"/>
  <c r="F7" i="14"/>
  <c r="E7" i="14"/>
  <c r="D7" i="14"/>
  <c r="C7" i="14"/>
  <c r="I6" i="14"/>
  <c r="H6" i="14"/>
  <c r="G6" i="14"/>
  <c r="F6" i="14"/>
  <c r="E6" i="14"/>
  <c r="D6" i="14"/>
  <c r="C6" i="14"/>
  <c r="I5" i="14"/>
  <c r="H5" i="14"/>
  <c r="G5" i="14"/>
  <c r="F5" i="14"/>
  <c r="E5" i="14"/>
  <c r="D5" i="14"/>
  <c r="C5" i="14"/>
  <c r="I4" i="14"/>
  <c r="H4" i="14"/>
  <c r="G4" i="14"/>
  <c r="F4" i="14"/>
  <c r="E4" i="14"/>
  <c r="D4" i="14"/>
  <c r="C4" i="14"/>
  <c r="I9" i="13"/>
  <c r="H9" i="13"/>
  <c r="G9" i="13"/>
  <c r="F9" i="13"/>
  <c r="E9" i="13"/>
  <c r="D9" i="13"/>
  <c r="C9" i="13"/>
  <c r="I8" i="13"/>
  <c r="H8" i="13"/>
  <c r="G8" i="13"/>
  <c r="F8" i="13"/>
  <c r="E8" i="13"/>
  <c r="D8" i="13"/>
  <c r="C8" i="13"/>
  <c r="I7" i="13"/>
  <c r="H7" i="13"/>
  <c r="G7" i="13"/>
  <c r="F7" i="13"/>
  <c r="E7" i="13"/>
  <c r="D7" i="13"/>
  <c r="C7" i="13"/>
  <c r="I6" i="13"/>
  <c r="H6" i="13"/>
  <c r="G6" i="13"/>
  <c r="F6" i="13"/>
  <c r="E6" i="13"/>
  <c r="D6" i="13"/>
  <c r="C6" i="13"/>
  <c r="I5" i="13"/>
  <c r="H5" i="13"/>
  <c r="G5" i="13"/>
  <c r="F5" i="13"/>
  <c r="E5" i="13"/>
  <c r="D5" i="13"/>
  <c r="C5" i="13"/>
  <c r="I4" i="13"/>
  <c r="H4" i="13"/>
  <c r="G4" i="13"/>
  <c r="F4" i="13"/>
  <c r="E4" i="13"/>
  <c r="D4" i="13"/>
  <c r="C4" i="13"/>
  <c r="I9" i="12"/>
  <c r="H9" i="12"/>
  <c r="G9" i="12"/>
  <c r="F9" i="12"/>
  <c r="E9" i="12"/>
  <c r="D9" i="12"/>
  <c r="C9" i="12"/>
  <c r="I8" i="12"/>
  <c r="H8" i="12"/>
  <c r="G8" i="12"/>
  <c r="F8" i="12"/>
  <c r="E8" i="12"/>
  <c r="D8" i="12"/>
  <c r="C8" i="12"/>
  <c r="I7" i="12"/>
  <c r="H7" i="12"/>
  <c r="G7" i="12"/>
  <c r="F7" i="12"/>
  <c r="E7" i="12"/>
  <c r="D7" i="12"/>
  <c r="C7" i="12"/>
  <c r="I6" i="12"/>
  <c r="H6" i="12"/>
  <c r="G6" i="12"/>
  <c r="F6" i="12"/>
  <c r="E6" i="12"/>
  <c r="D6" i="12"/>
  <c r="C6" i="12"/>
  <c r="I5" i="12"/>
  <c r="H5" i="12"/>
  <c r="G5" i="12"/>
  <c r="F5" i="12"/>
  <c r="E5" i="12"/>
  <c r="D5" i="12"/>
  <c r="C5" i="12"/>
  <c r="I4" i="12"/>
  <c r="H4" i="12"/>
  <c r="G4" i="12"/>
  <c r="F4" i="12"/>
  <c r="E4" i="12"/>
  <c r="D4" i="12"/>
  <c r="C4" i="12"/>
  <c r="I9" i="11"/>
  <c r="H9" i="11"/>
  <c r="G9" i="11"/>
  <c r="F9" i="11"/>
  <c r="E9" i="11"/>
  <c r="D9" i="11"/>
  <c r="C9" i="11"/>
  <c r="I8" i="11"/>
  <c r="H8" i="11"/>
  <c r="G8" i="11"/>
  <c r="F8" i="11"/>
  <c r="E8" i="11"/>
  <c r="D8" i="11"/>
  <c r="C8" i="11"/>
  <c r="I7" i="11"/>
  <c r="H7" i="11"/>
  <c r="G7" i="11"/>
  <c r="F7" i="11"/>
  <c r="E7" i="11"/>
  <c r="D7" i="11"/>
  <c r="C7" i="11"/>
  <c r="I6" i="11"/>
  <c r="H6" i="11"/>
  <c r="G6" i="11"/>
  <c r="F6" i="11"/>
  <c r="E6" i="11"/>
  <c r="D6" i="11"/>
  <c r="C6" i="11"/>
  <c r="I5" i="11"/>
  <c r="H5" i="11"/>
  <c r="G5" i="11"/>
  <c r="F5" i="11"/>
  <c r="E5" i="11"/>
  <c r="D5" i="11"/>
  <c r="C5" i="11"/>
  <c r="I4" i="11"/>
  <c r="H4" i="11"/>
  <c r="G4" i="11"/>
  <c r="F4" i="11"/>
  <c r="E4" i="11"/>
  <c r="D4" i="11"/>
  <c r="C4" i="11"/>
  <c r="I9" i="10"/>
  <c r="H9" i="10"/>
  <c r="G9" i="10"/>
  <c r="F9" i="10"/>
  <c r="E9" i="10"/>
  <c r="D9" i="10"/>
  <c r="C9" i="10"/>
  <c r="I8" i="10"/>
  <c r="H8" i="10"/>
  <c r="G8" i="10"/>
  <c r="F8" i="10"/>
  <c r="E8" i="10"/>
  <c r="D8" i="10"/>
  <c r="C8" i="10"/>
  <c r="I7" i="10"/>
  <c r="H7" i="10"/>
  <c r="G7" i="10"/>
  <c r="F7" i="10"/>
  <c r="E7" i="10"/>
  <c r="D7" i="10"/>
  <c r="C7" i="10"/>
  <c r="I6" i="10"/>
  <c r="H6" i="10"/>
  <c r="G6" i="10"/>
  <c r="F6" i="10"/>
  <c r="E6" i="10"/>
  <c r="D6" i="10"/>
  <c r="C6" i="10"/>
  <c r="I5" i="10"/>
  <c r="H5" i="10"/>
  <c r="G5" i="10"/>
  <c r="F5" i="10"/>
  <c r="E5" i="10"/>
  <c r="D5" i="10"/>
  <c r="C5" i="10"/>
  <c r="I4" i="10"/>
  <c r="H4" i="10"/>
  <c r="G4" i="10"/>
  <c r="F4" i="10"/>
  <c r="E4" i="10"/>
  <c r="D4" i="10"/>
  <c r="C4" i="10"/>
  <c r="I9" i="9"/>
  <c r="H9" i="9"/>
  <c r="G9" i="9"/>
  <c r="F9" i="9"/>
  <c r="E9" i="9"/>
  <c r="D9" i="9"/>
  <c r="C9" i="9"/>
  <c r="I8" i="9"/>
  <c r="H8" i="9"/>
  <c r="G8" i="9"/>
  <c r="F8" i="9"/>
  <c r="E8" i="9"/>
  <c r="D8" i="9"/>
  <c r="C8" i="9"/>
  <c r="I7" i="9"/>
  <c r="H7" i="9"/>
  <c r="G7" i="9"/>
  <c r="F7" i="9"/>
  <c r="E7" i="9"/>
  <c r="D7" i="9"/>
  <c r="C7" i="9"/>
  <c r="I6" i="9"/>
  <c r="H6" i="9"/>
  <c r="G6" i="9"/>
  <c r="F6" i="9"/>
  <c r="E6" i="9"/>
  <c r="D6" i="9"/>
  <c r="C6" i="9"/>
  <c r="I5" i="9"/>
  <c r="H5" i="9"/>
  <c r="G5" i="9"/>
  <c r="F5" i="9"/>
  <c r="E5" i="9"/>
  <c r="D5" i="9"/>
  <c r="C5" i="9"/>
  <c r="I4" i="9"/>
  <c r="H4" i="9"/>
  <c r="G4" i="9"/>
  <c r="F4" i="9"/>
  <c r="E4" i="9"/>
  <c r="D4" i="9"/>
  <c r="C4" i="9"/>
  <c r="I9" i="7"/>
  <c r="H9" i="7"/>
  <c r="G9" i="7"/>
  <c r="F9" i="7"/>
  <c r="E9" i="7"/>
  <c r="D9" i="7"/>
  <c r="C9" i="7"/>
  <c r="I8" i="7"/>
  <c r="H8" i="7"/>
  <c r="G8" i="7"/>
  <c r="F8" i="7"/>
  <c r="E8" i="7"/>
  <c r="D8" i="7"/>
  <c r="C8" i="7"/>
  <c r="I7" i="7"/>
  <c r="H7" i="7"/>
  <c r="G7" i="7"/>
  <c r="F7" i="7"/>
  <c r="E7" i="7"/>
  <c r="D7" i="7"/>
  <c r="C7" i="7"/>
  <c r="I6" i="7"/>
  <c r="H6" i="7"/>
  <c r="G6" i="7"/>
  <c r="F6" i="7"/>
  <c r="E6" i="7"/>
  <c r="D6" i="7"/>
  <c r="C6" i="7"/>
  <c r="I5" i="7"/>
  <c r="H5" i="7"/>
  <c r="G5" i="7"/>
  <c r="F5" i="7"/>
  <c r="E5" i="7"/>
  <c r="D5" i="7"/>
  <c r="C5" i="7"/>
  <c r="I4" i="7"/>
  <c r="H4" i="7"/>
  <c r="G4" i="7"/>
  <c r="F4" i="7"/>
  <c r="E4" i="7"/>
  <c r="D4" i="7"/>
  <c r="C4" i="7"/>
  <c r="I9" i="6"/>
  <c r="H9" i="6"/>
  <c r="G9" i="6"/>
  <c r="F9" i="6"/>
  <c r="E9" i="6"/>
  <c r="D9" i="6"/>
  <c r="C9" i="6"/>
  <c r="I8" i="6"/>
  <c r="H8" i="6"/>
  <c r="G8" i="6"/>
  <c r="F8" i="6"/>
  <c r="E8" i="6"/>
  <c r="D8" i="6"/>
  <c r="C8" i="6"/>
  <c r="I7" i="6"/>
  <c r="H7" i="6"/>
  <c r="G7" i="6"/>
  <c r="F7" i="6"/>
  <c r="E7" i="6"/>
  <c r="D7" i="6"/>
  <c r="C7" i="6"/>
  <c r="I6" i="6"/>
  <c r="H6" i="6"/>
  <c r="G6" i="6"/>
  <c r="F6" i="6"/>
  <c r="E6" i="6"/>
  <c r="D6" i="6"/>
  <c r="C6" i="6"/>
  <c r="I5" i="6"/>
  <c r="H5" i="6"/>
  <c r="G5" i="6"/>
  <c r="F5" i="6"/>
  <c r="E5" i="6"/>
  <c r="D5" i="6"/>
  <c r="C5" i="6"/>
  <c r="I4" i="6"/>
  <c r="H4" i="6"/>
  <c r="G4" i="6"/>
  <c r="F4" i="6"/>
  <c r="E4" i="6"/>
  <c r="D4" i="6"/>
  <c r="C4" i="6"/>
  <c r="H4" i="1" l="1"/>
  <c r="I9" i="1" l="1"/>
  <c r="H9" i="1"/>
  <c r="G9" i="1"/>
  <c r="F9" i="1"/>
  <c r="E9" i="1"/>
  <c r="D9" i="1"/>
  <c r="C9" i="1"/>
  <c r="I8" i="1"/>
  <c r="H8" i="1"/>
  <c r="G8" i="1"/>
  <c r="F8" i="1"/>
  <c r="E8" i="1"/>
  <c r="D8" i="1"/>
  <c r="C8" i="1"/>
  <c r="I7" i="1"/>
  <c r="H7" i="1"/>
  <c r="G7" i="1"/>
  <c r="F7" i="1"/>
  <c r="E7" i="1"/>
  <c r="D7" i="1"/>
  <c r="C7" i="1"/>
  <c r="I6" i="1"/>
  <c r="H6" i="1"/>
  <c r="G6" i="1"/>
  <c r="F6" i="1"/>
  <c r="E6" i="1"/>
  <c r="D6" i="1"/>
  <c r="C6" i="1"/>
  <c r="I5" i="1"/>
  <c r="H5" i="1"/>
  <c r="G5" i="1"/>
  <c r="F5" i="1"/>
  <c r="E5" i="1"/>
  <c r="D5" i="1"/>
  <c r="C5" i="1"/>
  <c r="I4" i="1"/>
  <c r="G4" i="1"/>
  <c r="F4" i="1"/>
  <c r="E4" i="1"/>
  <c r="D4" i="1"/>
  <c r="C4" i="1"/>
</calcChain>
</file>

<file path=xl/sharedStrings.xml><?xml version="1.0" encoding="utf-8"?>
<sst xmlns="http://schemas.openxmlformats.org/spreadsheetml/2006/main" count="451" uniqueCount="60">
  <si>
    <t>S</t>
  </si>
  <si>
    <t>M</t>
  </si>
  <si>
    <t>T</t>
  </si>
  <si>
    <t>W</t>
  </si>
  <si>
    <t>F</t>
  </si>
  <si>
    <t>MON</t>
  </si>
  <si>
    <t>ASSIGNMENTS</t>
  </si>
  <si>
    <t>TUES</t>
  </si>
  <si>
    <t>WED</t>
  </si>
  <si>
    <t>THURS</t>
  </si>
  <si>
    <t>FRI</t>
  </si>
  <si>
    <t>JANUARY</t>
  </si>
  <si>
    <t>WEEKLY SCHEDULE</t>
  </si>
  <si>
    <t>French</t>
  </si>
  <si>
    <t>Math</t>
  </si>
  <si>
    <t>English</t>
  </si>
  <si>
    <t>Programming</t>
  </si>
  <si>
    <t>Art History</t>
  </si>
  <si>
    <t>8:00</t>
  </si>
  <si>
    <t>9:00</t>
  </si>
  <si>
    <t>2:00</t>
  </si>
  <si>
    <t>10:00</t>
  </si>
  <si>
    <t>4:00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</si>
  <si>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</si>
  <si>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</si>
  <si>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</si>
  <si>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</si>
  <si>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</si>
  <si>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</si>
  <si>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</si>
  <si>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</si>
  <si>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</si>
  <si>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</si>
  <si>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</si>
  <si>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AGENDA ITEMS</t>
  </si>
  <si>
    <t>Deadline to submit new measures &amp; work papers for next PY.</t>
  </si>
  <si>
    <t>Regular TAC meeting.</t>
  </si>
  <si>
    <t>Regular SAG meeting.</t>
  </si>
  <si>
    <t>Weekly TAC meeting to discuss new measures.</t>
  </si>
  <si>
    <t>Weekly TAC meeting to discuss existing measure changes.</t>
  </si>
  <si>
    <t>SAG meeting to approve new measures.</t>
  </si>
  <si>
    <t>Deadline 1: VEIC publishes TRM Update with new measures.</t>
  </si>
  <si>
    <t>Deadline 2: SAG/TAC members submit changes to existing measures.</t>
  </si>
  <si>
    <t>Deadline for eval. rpts. and TRM Change Memo from Evaluators.</t>
  </si>
  <si>
    <t>Deadline 3: SAG/TAC members submit disagreements / additional info about eval rpts.</t>
  </si>
  <si>
    <t>Regularly scheduled SAG meeting.  Weekly TAC meetings as agenda allows.</t>
  </si>
  <si>
    <t>Deadline for VEIC to publish the TRM update for changes to existing measures.</t>
  </si>
  <si>
    <t>Illinois Holiday.  Lincoln's B-day.  No TAC meeting.</t>
  </si>
  <si>
    <t>Weekly TAC meeting to discuss changes to existing measures.</t>
  </si>
  <si>
    <t>SAG meeting to approve changes to existing measures.</t>
  </si>
  <si>
    <t>End of comment period for TRM update document for changes to existing measures.</t>
  </si>
  <si>
    <t>End of comment period for TRM update with new measures.</t>
  </si>
  <si>
    <t>MLK Holiday.</t>
  </si>
  <si>
    <t>President's Day holiday.</t>
  </si>
  <si>
    <t>Weekly TAC meeting to review final changes to fully updated TRM.</t>
  </si>
  <si>
    <t>Deadline for VEIC to publish the final updated TRM.  Staff begins to draft the Staff Report.</t>
  </si>
  <si>
    <t>VEIC to publish the fully updated TRM for review prior to the 26th TAC review meeting.</t>
  </si>
  <si>
    <t>Tentative ICC Bench Meeting.</t>
  </si>
  <si>
    <t>Expected deadline to submit items for the March 6th ICC Bench Meeting.</t>
  </si>
  <si>
    <t>Expected deadline to put items on the March 20th ICC Bench Meeting.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</si>
</sst>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23" x14ac:knownFonts="1">
    <font>
      <sz val="10"/>
      <color theme="1"/>
      <name val="Arial"/>
      <family val="2"/>
      <scheme val="minor"/>
    </font>
    <font>
      <sz val="12"/>
      <color rgb="FF002060"/>
      <name val="Arial"/>
      <family val="2"/>
      <scheme val="minor"/>
    </font>
    <font>
      <sz val="8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name val="Arial"/>
      <family val="2"/>
      <scheme val="minor"/>
    </font>
    <font>
      <sz val="10"/>
      <color indexed="63"/>
      <name val="Arial"/>
      <family val="4"/>
      <scheme val="minor"/>
    </font>
    <font>
      <b/>
      <sz val="28"/>
      <color theme="1" tint="0.34998626667073579"/>
      <name val="Arial"/>
      <family val="2"/>
      <scheme val="minor"/>
    </font>
    <font>
      <sz val="12"/>
      <color theme="4"/>
      <name val="Arial"/>
      <family val="2"/>
      <scheme val="major"/>
    </font>
    <font>
      <sz val="10"/>
      <color theme="1"/>
      <name val="Arial"/>
      <family val="2"/>
      <scheme val="major"/>
    </font>
    <font>
      <b/>
      <sz val="12"/>
      <color theme="4"/>
      <name val="Arial"/>
      <family val="2"/>
      <scheme val="major"/>
    </font>
    <font>
      <b/>
      <sz val="10"/>
      <color theme="1"/>
      <name val="Arial"/>
      <family val="2"/>
      <scheme val="minor"/>
    </font>
    <font>
      <b/>
      <sz val="12"/>
      <color theme="4"/>
      <name val="Arial"/>
      <family val="2"/>
      <scheme val="minor"/>
    </font>
    <font>
      <sz val="10"/>
      <color theme="0"/>
      <name val="Arial"/>
      <family val="2"/>
      <scheme val="minor"/>
    </font>
    <font>
      <b/>
      <sz val="17"/>
      <color theme="4"/>
      <name val="Arial"/>
      <family val="4"/>
      <scheme val="minor"/>
    </font>
    <font>
      <b/>
      <sz val="8.5"/>
      <color theme="1"/>
      <name val="Arial"/>
      <family val="2"/>
      <scheme val="minor"/>
    </font>
    <font>
      <sz val="8.5"/>
      <color theme="1"/>
      <name val="Arial"/>
      <family val="2"/>
      <scheme val="minor"/>
    </font>
    <font>
      <b/>
      <sz val="17"/>
      <color theme="4"/>
      <name val="Arial"/>
      <family val="2"/>
      <scheme val="major"/>
    </font>
    <font>
      <b/>
      <sz val="8.5"/>
      <color theme="1"/>
      <name val="Arial"/>
      <family val="2"/>
      <scheme val="major"/>
    </font>
    <font>
      <sz val="10"/>
      <color theme="1" tint="0.249977111117893"/>
      <name val="Arial"/>
      <family val="2"/>
      <scheme val="minor"/>
    </font>
    <font>
      <sz val="12"/>
      <color theme="1" tint="0.249977111117893"/>
      <name val="Arial"/>
      <family val="2"/>
      <scheme val="minor"/>
    </font>
    <font>
      <sz val="10.5"/>
      <color theme="1" tint="0.249977111117893"/>
      <name val="Arial"/>
      <family val="2"/>
      <scheme val="minor"/>
    </font>
    <font>
      <b/>
      <sz val="10.5"/>
      <name val="Arial"/>
      <family val="2"/>
      <scheme val="minor"/>
    </font>
    <font>
      <b/>
      <sz val="24"/>
      <color theme="4"/>
      <name val="Arial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/>
      <bottom style="thin">
        <color theme="4" tint="0.79998168889431442"/>
      </bottom>
      <diagonal/>
    </border>
    <border>
      <left/>
      <right/>
      <top style="thin">
        <color theme="5"/>
      </top>
      <bottom style="thin">
        <color theme="4" tint="0.79998168889431442"/>
      </bottom>
      <diagonal/>
    </border>
    <border>
      <left/>
      <right style="thin">
        <color theme="0"/>
      </right>
      <top/>
      <bottom/>
      <diagonal/>
    </border>
    <border>
      <left style="thin">
        <color theme="4" tint="0.79998168889431442"/>
      </left>
      <right/>
      <top/>
      <bottom/>
      <diagonal/>
    </border>
    <border>
      <left style="thin">
        <color theme="4" tint="0.79998168889431442"/>
      </left>
      <right style="thin">
        <color theme="0"/>
      </right>
      <top/>
      <bottom/>
      <diagonal/>
    </border>
    <border>
      <left/>
      <right style="thin">
        <color theme="4" tint="0.79998168889431442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4" tint="0.79998168889431442"/>
      </left>
      <right style="thin">
        <color theme="0"/>
      </right>
      <top/>
      <bottom style="thin">
        <color theme="4" tint="0.79995117038483843"/>
      </bottom>
      <diagonal/>
    </border>
    <border>
      <left style="thin">
        <color theme="0"/>
      </left>
      <right/>
      <top/>
      <bottom style="thin">
        <color theme="4" tint="0.79995117038483843"/>
      </bottom>
      <diagonal/>
    </border>
    <border>
      <left/>
      <right style="thin">
        <color theme="0"/>
      </right>
      <top/>
      <bottom style="thin">
        <color theme="4" tint="0.79995117038483843"/>
      </bottom>
      <diagonal/>
    </border>
    <border>
      <left/>
      <right/>
      <top/>
      <bottom style="thin">
        <color theme="4" tint="0.79995117038483843"/>
      </bottom>
      <diagonal/>
    </border>
    <border>
      <left/>
      <right style="thin">
        <color theme="4" tint="0.79992065187536243"/>
      </right>
      <top/>
      <bottom style="thin">
        <color theme="4" tint="0.79995117038483843"/>
      </bottom>
      <diagonal/>
    </border>
    <border>
      <left/>
      <right style="thin">
        <color theme="4" tint="0.79992065187536243"/>
      </right>
      <top/>
      <bottom/>
      <diagonal/>
    </border>
    <border>
      <left/>
      <right/>
      <top style="thin">
        <color theme="4" tint="0.79998168889431442"/>
      </top>
      <bottom style="thin">
        <color theme="5"/>
      </bottom>
      <diagonal/>
    </border>
    <border>
      <left/>
      <right style="thin">
        <color theme="4" tint="0.79995117038483843"/>
      </right>
      <top style="thin">
        <color theme="5"/>
      </top>
      <bottom style="thin">
        <color theme="5"/>
      </bottom>
      <diagonal/>
    </border>
    <border>
      <left/>
      <right style="thin">
        <color theme="4" tint="0.79995117038483843"/>
      </right>
      <top style="thin">
        <color theme="4" tint="0.79998168889431442"/>
      </top>
      <bottom style="thin">
        <color theme="5"/>
      </bottom>
      <diagonal/>
    </border>
    <border>
      <left/>
      <right style="thin">
        <color theme="4" tint="0.79995117038483843"/>
      </right>
      <top style="thin">
        <color theme="5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4" tint="0.7999816888943144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4" tint="0.79992065187536243"/>
      </right>
      <top/>
      <bottom style="thin">
        <color theme="0"/>
      </bottom>
      <diagonal/>
    </border>
    <border>
      <left/>
      <right style="thin">
        <color theme="4" tint="0.79992065187536243"/>
      </right>
      <top style="thin">
        <color theme="0"/>
      </top>
      <bottom/>
      <diagonal/>
    </border>
    <border>
      <left style="thin">
        <color theme="4" tint="0.79992065187536243"/>
      </left>
      <right/>
      <top/>
      <bottom/>
      <diagonal/>
    </border>
    <border>
      <left style="thin">
        <color theme="4" tint="0.79992065187536243"/>
      </left>
      <right/>
      <top/>
      <bottom style="thin">
        <color theme="4" tint="0.79989013336588644"/>
      </bottom>
      <diagonal/>
    </border>
    <border>
      <left/>
      <right/>
      <top/>
      <bottom style="thin">
        <color theme="4" tint="0.79989013336588644"/>
      </bottom>
      <diagonal/>
    </border>
    <border>
      <left/>
      <right style="thin">
        <color theme="4" tint="0.79989013336588644"/>
      </right>
      <top/>
      <bottom style="thin">
        <color theme="4" tint="0.79989013336588644"/>
      </bottom>
      <diagonal/>
    </border>
    <border>
      <left style="thin">
        <color theme="4" tint="0.79992065187536243"/>
      </left>
      <right/>
      <top style="thin">
        <color theme="4" tint="0.79989013336588644"/>
      </top>
      <bottom/>
      <diagonal/>
    </border>
    <border>
      <left/>
      <right/>
      <top style="thin">
        <color theme="4" tint="0.79989013336588644"/>
      </top>
      <bottom/>
      <diagonal/>
    </border>
    <border>
      <left/>
      <right style="thin">
        <color theme="4" tint="0.79989013336588644"/>
      </right>
      <top style="thin">
        <color theme="4" tint="0.79989013336588644"/>
      </top>
      <bottom/>
      <diagonal/>
    </border>
    <border>
      <left style="thin">
        <color theme="4" tint="0.79992065187536243"/>
      </left>
      <right/>
      <top style="thin">
        <color theme="4" tint="0.79998168889431442"/>
      </top>
      <bottom/>
      <diagonal/>
    </border>
    <border>
      <left/>
      <right/>
      <top style="thin">
        <color theme="4" tint="0.79989013336588644"/>
      </top>
      <bottom style="thin">
        <color theme="5"/>
      </bottom>
      <diagonal/>
    </border>
    <border>
      <left/>
      <right style="thin">
        <color theme="4" tint="0.79995117038483843"/>
      </right>
      <top style="thin">
        <color theme="4" tint="0.79989013336588644"/>
      </top>
      <bottom style="thin">
        <color theme="5"/>
      </bottom>
      <diagonal/>
    </border>
    <border>
      <left style="thin">
        <color theme="4" tint="0.79998168889431442"/>
      </left>
      <right/>
      <top style="thin">
        <color theme="4" tint="0.79995117038483843"/>
      </top>
      <bottom/>
      <diagonal/>
    </border>
    <border>
      <left/>
      <right/>
      <top style="thin">
        <color theme="4" tint="0.79995117038483843"/>
      </top>
      <bottom/>
      <diagonal/>
    </border>
    <border>
      <left/>
      <right style="thin">
        <color theme="4" tint="0.79992065187536243"/>
      </right>
      <top style="thin">
        <color theme="4" tint="0.79995117038483843"/>
      </top>
      <bottom/>
      <diagonal/>
    </border>
    <border>
      <left style="thin">
        <color theme="4" tint="0.79998168889431442"/>
      </left>
      <right/>
      <top/>
      <bottom style="thin">
        <color theme="4" tint="0.79995117038483843"/>
      </bottom>
      <diagonal/>
    </border>
    <border>
      <left/>
      <right style="thin">
        <color theme="4" tint="0.79985961485641044"/>
      </right>
      <top style="thin">
        <color theme="4" tint="0.79985961485641044"/>
      </top>
      <bottom/>
      <diagonal/>
    </border>
    <border>
      <left/>
      <right style="thin">
        <color theme="4" tint="0.79985961485641044"/>
      </right>
      <top/>
      <bottom style="thin">
        <color theme="4" tint="0.79989013336588644"/>
      </bottom>
      <diagonal/>
    </border>
  </borders>
  <cellStyleXfs count="5">
    <xf numFmtId="0" fontId="0" fillId="0" borderId="0"/>
    <xf numFmtId="0" fontId="4" fillId="0" borderId="0"/>
    <xf numFmtId="0" fontId="3" fillId="2" borderId="1" applyNumberFormat="0" applyAlignment="0" applyProtection="0"/>
    <xf numFmtId="0" fontId="5" fillId="3" borderId="0" applyNumberFormat="0" applyBorder="0" applyAlignment="0" applyProtection="0"/>
    <xf numFmtId="0" fontId="6" fillId="0" borderId="0" applyNumberFormat="0" applyFill="0" applyAlignment="0" applyProtection="0"/>
  </cellStyleXfs>
  <cellXfs count="79">
    <xf numFmtId="0" fontId="0" fillId="0" borderId="0" xfId="0"/>
    <xf numFmtId="0" fontId="0" fillId="0" borderId="0" xfId="0" applyFont="1"/>
    <xf numFmtId="0" fontId="8" fillId="0" borderId="0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left" indent="1"/>
    </xf>
    <xf numFmtId="0" fontId="0" fillId="0" borderId="9" xfId="0" applyFont="1" applyBorder="1"/>
    <xf numFmtId="0" fontId="0" fillId="0" borderId="16" xfId="0" applyFont="1" applyBorder="1"/>
    <xf numFmtId="0" fontId="15" fillId="5" borderId="21" xfId="0" applyFont="1" applyFill="1" applyBorder="1" applyAlignment="1">
      <alignment horizontal="left" vertical="top" indent="1"/>
    </xf>
    <xf numFmtId="0" fontId="15" fillId="5" borderId="11" xfId="0" applyFont="1" applyFill="1" applyBorder="1" applyAlignment="1">
      <alignment horizontal="left" vertical="top" indent="1"/>
    </xf>
    <xf numFmtId="49" fontId="14" fillId="5" borderId="8" xfId="0" applyNumberFormat="1" applyFont="1" applyFill="1" applyBorder="1" applyAlignment="1">
      <alignment horizontal="left" indent="1"/>
    </xf>
    <xf numFmtId="49" fontId="14" fillId="5" borderId="24" xfId="0" applyNumberFormat="1" applyFont="1" applyFill="1" applyBorder="1" applyAlignment="1">
      <alignment horizontal="left" indent="1"/>
    </xf>
    <xf numFmtId="164" fontId="20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right" vertical="center" textRotation="90"/>
    </xf>
    <xf numFmtId="0" fontId="10" fillId="0" borderId="0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 textRotation="90"/>
    </xf>
    <xf numFmtId="164" fontId="1" fillId="0" borderId="14" xfId="0" applyNumberFormat="1" applyFont="1" applyFill="1" applyBorder="1" applyAlignment="1">
      <alignment horizontal="right" vertic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4" fontId="10" fillId="0" borderId="14" xfId="0" applyNumberFormat="1" applyFont="1" applyFill="1" applyBorder="1" applyAlignment="1">
      <alignment horizontal="center"/>
    </xf>
    <xf numFmtId="0" fontId="0" fillId="0" borderId="40" xfId="0" applyFont="1" applyBorder="1"/>
    <xf numFmtId="0" fontId="0" fillId="0" borderId="41" xfId="0" applyFont="1" applyBorder="1"/>
    <xf numFmtId="164" fontId="21" fillId="0" borderId="14" xfId="0" applyNumberFormat="1" applyFont="1" applyFill="1" applyBorder="1" applyAlignment="1">
      <alignment horizontal="left" vertical="center" wrapText="1" indent="1"/>
    </xf>
    <xf numFmtId="0" fontId="0" fillId="0" borderId="15" xfId="0" applyFont="1" applyBorder="1"/>
    <xf numFmtId="0" fontId="0" fillId="0" borderId="43" xfId="0" applyFont="1" applyBorder="1"/>
    <xf numFmtId="0" fontId="0" fillId="0" borderId="44" xfId="0" applyFont="1" applyBorder="1"/>
    <xf numFmtId="164" fontId="20" fillId="6" borderId="0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left" vertical="top" indent="1"/>
    </xf>
    <xf numFmtId="0" fontId="15" fillId="5" borderId="13" xfId="0" applyFont="1" applyFill="1" applyBorder="1" applyAlignment="1">
      <alignment horizontal="left" vertical="top" indent="1"/>
    </xf>
    <xf numFmtId="164" fontId="15" fillId="5" borderId="12" xfId="0" applyNumberFormat="1" applyFont="1" applyFill="1" applyBorder="1" applyAlignment="1">
      <alignment horizontal="left" vertical="top" indent="1"/>
    </xf>
    <xf numFmtId="164" fontId="15" fillId="5" borderId="15" xfId="0" applyNumberFormat="1" applyFont="1" applyFill="1" applyBorder="1" applyAlignment="1">
      <alignment horizontal="left" vertical="top" indent="1"/>
    </xf>
    <xf numFmtId="164" fontId="19" fillId="0" borderId="5" xfId="0" applyNumberFormat="1" applyFont="1" applyFill="1" applyBorder="1" applyAlignment="1">
      <alignment horizontal="left"/>
    </xf>
    <xf numFmtId="164" fontId="19" fillId="0" borderId="20" xfId="0" applyNumberFormat="1" applyFont="1" applyFill="1" applyBorder="1" applyAlignment="1">
      <alignment horizontal="left"/>
    </xf>
    <xf numFmtId="0" fontId="15" fillId="5" borderId="22" xfId="0" applyFont="1" applyFill="1" applyBorder="1" applyAlignment="1">
      <alignment horizontal="left" vertical="top" indent="1"/>
    </xf>
    <xf numFmtId="0" fontId="15" fillId="5" borderId="23" xfId="0" applyFont="1" applyFill="1" applyBorder="1" applyAlignment="1">
      <alignment horizontal="left" vertical="top" indent="1"/>
    </xf>
    <xf numFmtId="0" fontId="15" fillId="5" borderId="27" xfId="0" applyFont="1" applyFill="1" applyBorder="1" applyAlignment="1">
      <alignment horizontal="left" vertical="top" indent="1"/>
    </xf>
    <xf numFmtId="0" fontId="18" fillId="0" borderId="3" xfId="0" applyFont="1" applyBorder="1" applyAlignment="1">
      <alignment horizontal="left"/>
    </xf>
    <xf numFmtId="0" fontId="18" fillId="0" borderId="18" xfId="0" applyFont="1" applyBorder="1" applyAlignment="1">
      <alignment horizontal="left"/>
    </xf>
    <xf numFmtId="49" fontId="14" fillId="5" borderId="10" xfId="0" applyNumberFormat="1" applyFont="1" applyFill="1" applyBorder="1" applyAlignment="1">
      <alignment horizontal="left" indent="1"/>
    </xf>
    <xf numFmtId="49" fontId="14" fillId="5" borderId="6" xfId="0" applyNumberFormat="1" applyFont="1" applyFill="1" applyBorder="1" applyAlignment="1">
      <alignment horizontal="left" indent="1"/>
    </xf>
    <xf numFmtId="49" fontId="14" fillId="5" borderId="10" xfId="0" applyNumberFormat="1" applyFont="1" applyFill="1" applyBorder="1" applyAlignment="1">
      <alignment horizontal="left" vertical="center" indent="1"/>
    </xf>
    <xf numFmtId="49" fontId="14" fillId="5" borderId="16" xfId="0" applyNumberFormat="1" applyFont="1" applyFill="1" applyBorder="1" applyAlignment="1">
      <alignment horizontal="left" vertical="center" indent="1"/>
    </xf>
    <xf numFmtId="49" fontId="17" fillId="5" borderId="10" xfId="0" applyNumberFormat="1" applyFont="1" applyFill="1" applyBorder="1" applyAlignment="1">
      <alignment horizontal="left" indent="1"/>
    </xf>
    <xf numFmtId="49" fontId="17" fillId="5" borderId="16" xfId="0" applyNumberFormat="1" applyFont="1" applyFill="1" applyBorder="1" applyAlignment="1">
      <alignment horizontal="left" indent="1"/>
    </xf>
    <xf numFmtId="49" fontId="14" fillId="5" borderId="16" xfId="0" applyNumberFormat="1" applyFont="1" applyFill="1" applyBorder="1" applyAlignment="1">
      <alignment horizontal="left" indent="1"/>
    </xf>
    <xf numFmtId="0" fontId="9" fillId="0" borderId="36" xfId="0" applyFont="1" applyBorder="1" applyAlignment="1">
      <alignment horizontal="right" vertical="center" textRotation="90"/>
    </xf>
    <xf numFmtId="0" fontId="9" fillId="0" borderId="29" xfId="0" applyFont="1" applyBorder="1" applyAlignment="1">
      <alignment horizontal="right" vertical="center" textRotation="90"/>
    </xf>
    <xf numFmtId="0" fontId="18" fillId="0" borderId="17" xfId="0" applyFont="1" applyBorder="1" applyAlignment="1">
      <alignment horizontal="left"/>
    </xf>
    <xf numFmtId="0" fontId="18" fillId="0" borderId="19" xfId="0" applyFont="1" applyBorder="1" applyAlignment="1">
      <alignment horizontal="left"/>
    </xf>
    <xf numFmtId="164" fontId="15" fillId="5" borderId="22" xfId="0" applyNumberFormat="1" applyFont="1" applyFill="1" applyBorder="1" applyAlignment="1">
      <alignment horizontal="left" vertical="top" indent="1"/>
    </xf>
    <xf numFmtId="164" fontId="15" fillId="5" borderId="27" xfId="0" applyNumberFormat="1" applyFont="1" applyFill="1" applyBorder="1" applyAlignment="1">
      <alignment horizontal="left" vertical="top" indent="1"/>
    </xf>
    <xf numFmtId="0" fontId="18" fillId="0" borderId="5" xfId="0" applyFont="1" applyBorder="1" applyAlignment="1">
      <alignment horizontal="left"/>
    </xf>
    <xf numFmtId="0" fontId="18" fillId="0" borderId="20" xfId="0" applyFont="1" applyBorder="1" applyAlignment="1">
      <alignment horizontal="left"/>
    </xf>
    <xf numFmtId="0" fontId="17" fillId="5" borderId="22" xfId="0" applyFont="1" applyFill="1" applyBorder="1" applyAlignment="1">
      <alignment horizontal="left" vertical="top" indent="1"/>
    </xf>
    <xf numFmtId="0" fontId="17" fillId="5" borderId="27" xfId="0" applyFont="1" applyFill="1" applyBorder="1" applyAlignment="1">
      <alignment horizontal="left" vertical="top" indent="1"/>
    </xf>
    <xf numFmtId="0" fontId="9" fillId="0" borderId="36" xfId="0" applyFont="1" applyBorder="1" applyAlignment="1">
      <alignment vertical="center" textRotation="90"/>
    </xf>
    <xf numFmtId="0" fontId="9" fillId="0" borderId="29" xfId="0" applyFont="1" applyBorder="1" applyAlignment="1">
      <alignment vertical="center" textRotation="90"/>
    </xf>
    <xf numFmtId="49" fontId="14" fillId="5" borderId="25" xfId="0" applyNumberFormat="1" applyFont="1" applyFill="1" applyBorder="1" applyAlignment="1">
      <alignment horizontal="left" indent="1"/>
    </xf>
    <xf numFmtId="49" fontId="14" fillId="5" borderId="26" xfId="0" applyNumberFormat="1" applyFont="1" applyFill="1" applyBorder="1" applyAlignment="1">
      <alignment horizontal="left" indent="1"/>
    </xf>
    <xf numFmtId="49" fontId="14" fillId="5" borderId="28" xfId="0" applyNumberFormat="1" applyFont="1" applyFill="1" applyBorder="1" applyAlignment="1">
      <alignment horizontal="left" indent="1"/>
    </xf>
    <xf numFmtId="0" fontId="11" fillId="0" borderId="7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2" fillId="4" borderId="10" xfId="0" applyFont="1" applyFill="1" applyBorder="1" applyAlignment="1">
      <alignment horizontal="left" indent="1"/>
    </xf>
    <xf numFmtId="0" fontId="12" fillId="4" borderId="6" xfId="0" applyFont="1" applyFill="1" applyBorder="1" applyAlignment="1">
      <alignment horizontal="left" indent="1"/>
    </xf>
    <xf numFmtId="0" fontId="12" fillId="4" borderId="16" xfId="0" applyFont="1" applyFill="1" applyBorder="1" applyAlignment="1">
      <alignment horizontal="left" indent="1"/>
    </xf>
    <xf numFmtId="0" fontId="22" fillId="0" borderId="39" xfId="0" applyFont="1" applyFill="1" applyBorder="1" applyAlignment="1">
      <alignment horizontal="center" vertical="center" textRotation="90"/>
    </xf>
    <xf numFmtId="0" fontId="22" fillId="0" borderId="7" xfId="0" applyFont="1" applyFill="1" applyBorder="1" applyAlignment="1">
      <alignment horizontal="center" vertical="center" textRotation="90"/>
    </xf>
    <xf numFmtId="0" fontId="22" fillId="0" borderId="42" xfId="0" applyFont="1" applyFill="1" applyBorder="1" applyAlignment="1">
      <alignment horizontal="center" vertical="center" textRotation="90"/>
    </xf>
    <xf numFmtId="0" fontId="16" fillId="0" borderId="33" xfId="0" applyFont="1" applyBorder="1" applyAlignment="1">
      <alignment horizontal="left" vertical="center" indent="2"/>
    </xf>
    <xf numFmtId="0" fontId="16" fillId="0" borderId="34" xfId="0" applyFont="1" applyBorder="1" applyAlignment="1">
      <alignment horizontal="left" vertical="center" indent="2"/>
    </xf>
    <xf numFmtId="0" fontId="16" fillId="0" borderId="30" xfId="0" applyFont="1" applyBorder="1" applyAlignment="1">
      <alignment horizontal="left" vertical="center" indent="2"/>
    </xf>
    <xf numFmtId="0" fontId="16" fillId="0" borderId="31" xfId="0" applyFont="1" applyBorder="1" applyAlignment="1">
      <alignment horizontal="left" vertical="center" indent="2"/>
    </xf>
    <xf numFmtId="0" fontId="9" fillId="0" borderId="33" xfId="0" applyFont="1" applyBorder="1" applyAlignment="1">
      <alignment horizontal="right" vertical="center" textRotation="90"/>
    </xf>
    <xf numFmtId="0" fontId="18" fillId="0" borderId="37" xfId="0" applyFont="1" applyBorder="1" applyAlignment="1">
      <alignment horizontal="left"/>
    </xf>
    <xf numFmtId="0" fontId="18" fillId="0" borderId="38" xfId="0" applyFont="1" applyBorder="1" applyAlignment="1">
      <alignment horizontal="left"/>
    </xf>
    <xf numFmtId="0" fontId="13" fillId="0" borderId="35" xfId="0" applyFont="1" applyFill="1" applyBorder="1" applyAlignment="1">
      <alignment vertical="center"/>
    </xf>
    <xf numFmtId="0" fontId="13" fillId="0" borderId="32" xfId="0" applyFont="1" applyFill="1" applyBorder="1" applyAlignment="1">
      <alignment vertical="center"/>
    </xf>
  </cellXfs>
  <cellStyles count="5">
    <cellStyle name="40% - Accent1 2" xfId="3"/>
    <cellStyle name="Accent1 2" xfId="2"/>
    <cellStyle name="Heading 1 2" xfId="4"/>
    <cellStyle name="Normal" xfId="0" builtinId="0" customBuiltin="1"/>
    <cellStyle name="Normal 2" xfId="1"/>
  </cellStyles>
  <dxfs count="59"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ill>
        <patternFill>
          <bgColor theme="4" tint="0.79998168889431442"/>
        </patternFill>
      </fill>
    </dxf>
    <dxf>
      <font>
        <b/>
        <i val="0"/>
        <color theme="1"/>
      </font>
      <fill>
        <patternFill patternType="solid"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ont>
        <b/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top style="double">
          <color theme="6" tint="-0.24994659260841701"/>
        </top>
      </border>
    </dxf>
    <dxf>
      <font>
        <color theme="0"/>
      </font>
      <fill>
        <patternFill patternType="solid">
          <fgColor theme="4"/>
          <bgColor theme="7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fill>
        <patternFill>
          <bgColor theme="0"/>
        </patternFill>
      </fill>
      <border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/>
        <horizontal style="dashDotDot">
          <color theme="9" tint="0.59996337778862885"/>
        </horizontal>
      </border>
    </dxf>
    <dxf>
      <fill>
        <patternFill patternType="solid">
          <fgColor theme="9" tint="0.79998168889431442"/>
          <bgColor theme="9" tint="0.79998168889431442"/>
        </patternFill>
      </fill>
    </dxf>
    <dxf>
      <fill>
        <patternFill patternType="solid">
          <fgColor theme="9" tint="0.79998168889431442"/>
          <bgColor theme="9" tint="0.79998168889431442"/>
        </patternFill>
      </fill>
    </dxf>
    <dxf>
      <font>
        <b/>
        <color theme="9" tint="-0.249977111117893"/>
      </font>
    </dxf>
    <dxf>
      <font>
        <b/>
        <color theme="9" tint="-0.249977111117893"/>
      </font>
    </dxf>
    <dxf>
      <font>
        <b/>
        <color theme="9" tint="-0.249977111117893"/>
      </font>
      <border>
        <top style="thin">
          <color theme="9"/>
        </top>
      </border>
    </dxf>
    <dxf>
      <font>
        <b/>
        <color theme="9" tint="-0.249977111117893"/>
      </font>
      <border>
        <bottom style="thin">
          <color theme="9"/>
        </bottom>
      </border>
    </dxf>
    <dxf>
      <font>
        <color theme="9" tint="-0.249977111117893"/>
      </font>
      <fill>
        <patternFill>
          <bgColor theme="0"/>
        </patternFill>
      </fill>
      <border>
        <top style="thin">
          <color theme="9"/>
        </top>
        <bottom style="thin">
          <color theme="9"/>
        </bottom>
      </border>
    </dxf>
  </dxfs>
  <tableStyles count="2" defaultTableStyle="TableStyleMedium2" defaultPivotStyle="PivotStyleLight16">
    <tableStyle name="TableStyleLight7 2" pivot="0" count="7">
      <tableStyleElement type="wholeTable" dxfId="58"/>
      <tableStyleElement type="headerRow" dxfId="57"/>
      <tableStyleElement type="totalRow" dxfId="56"/>
      <tableStyleElement type="firstColumn" dxfId="55"/>
      <tableStyleElement type="lastColumn" dxfId="54"/>
      <tableStyleElement type="firstRowStripe" dxfId="53"/>
      <tableStyleElement type="firstColumnStripe" dxfId="52"/>
    </tableStyle>
    <tableStyle name="TableStyleLight9 2" pivot="0" count="4">
      <tableStyleElement type="wholeTable" dxfId="51"/>
      <tableStyleElement type="headerRow" dxfId="50"/>
      <tableStyleElement type="totalRow" dxfId="49"/>
      <tableStyleElement type="firstColumn" dxfId="4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N$2" max="2999" min="1900" page="10" val="2013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28575</xdr:rowOff>
    </xdr:from>
    <xdr:to>
      <xdr:col>18</xdr:col>
      <xdr:colOff>552450</xdr:colOff>
      <xdr:row>2</xdr:row>
      <xdr:rowOff>238124</xdr:rowOff>
    </xdr:to>
    <xdr:sp macro="" textlink="">
      <xdr:nvSpPr>
        <xdr:cNvPr id="3" name="TextBox 2"/>
        <xdr:cNvSpPr txBox="1"/>
      </xdr:nvSpPr>
      <xdr:spPr>
        <a:xfrm>
          <a:off x="9639300" y="171450"/>
          <a:ext cx="2286000" cy="4190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solidFill>
                <a:schemeClr val="accent1"/>
              </a:solidFill>
            </a:rPr>
            <a:t>Click the spinner to </a:t>
          </a:r>
        </a:p>
        <a:p>
          <a:pPr algn="l"/>
          <a:r>
            <a:rPr lang="en-US" sz="1000" b="1">
              <a:solidFill>
                <a:schemeClr val="accent1"/>
              </a:solidFill>
            </a:rPr>
            <a:t>change the calendar year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30480</xdr:colOff>
          <xdr:row>1</xdr:row>
          <xdr:rowOff>83820</xdr:rowOff>
        </xdr:from>
        <xdr:to>
          <xdr:col>15</xdr:col>
          <xdr:colOff>0</xdr:colOff>
          <xdr:row>2</xdr:row>
          <xdr:rowOff>160020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10_college_cal">
  <a:themeElements>
    <a:clrScheme name="Assignment Calenda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9B5D4"/>
      </a:accent1>
      <a:accent2>
        <a:srgbClr val="FFCCCC"/>
      </a:accent2>
      <a:accent3>
        <a:srgbClr val="4DBB68"/>
      </a:accent3>
      <a:accent4>
        <a:srgbClr val="FFFB59"/>
      </a:accent4>
      <a:accent5>
        <a:srgbClr val="FF9900"/>
      </a:accent5>
      <a:accent6>
        <a:srgbClr val="AC75D5"/>
      </a:accent6>
      <a:hlink>
        <a:srgbClr val="57B5D4"/>
      </a:hlink>
      <a:folHlink>
        <a:srgbClr val="BA4F8B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32</v>
      </c>
      <c r="C2" s="21"/>
      <c r="D2" s="21"/>
      <c r="E2" s="21"/>
      <c r="F2" s="21"/>
      <c r="G2" s="21"/>
      <c r="H2" s="21"/>
      <c r="I2" s="21"/>
      <c r="J2" s="22"/>
      <c r="K2" s="70" t="s">
        <v>34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v>41210</v>
      </c>
      <c r="D4" s="10">
        <v>41211</v>
      </c>
      <c r="E4" s="10">
        <v>41212</v>
      </c>
      <c r="F4" s="10">
        <v>41213</v>
      </c>
      <c r="G4" s="10">
        <v>41214</v>
      </c>
      <c r="H4" s="10">
        <v>41215</v>
      </c>
      <c r="I4" s="10">
        <v>41216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v>41217</v>
      </c>
      <c r="D5" s="10">
        <v>41218</v>
      </c>
      <c r="E5" s="10">
        <v>41219</v>
      </c>
      <c r="F5" s="10">
        <v>41220</v>
      </c>
      <c r="G5" s="10">
        <v>41221</v>
      </c>
      <c r="H5" s="10">
        <v>41222</v>
      </c>
      <c r="I5" s="10">
        <v>41223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v>41224</v>
      </c>
      <c r="D6" s="10">
        <v>41225</v>
      </c>
      <c r="E6" s="10">
        <v>41226</v>
      </c>
      <c r="F6" s="10">
        <v>41227</v>
      </c>
      <c r="G6" s="10">
        <v>41228</v>
      </c>
      <c r="H6" s="10">
        <v>41229</v>
      </c>
      <c r="I6" s="10">
        <v>41230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v>41231</v>
      </c>
      <c r="D7" s="10">
        <v>41232</v>
      </c>
      <c r="E7" s="10">
        <v>41233</v>
      </c>
      <c r="F7" s="10">
        <v>41234</v>
      </c>
      <c r="G7" s="10">
        <v>41235</v>
      </c>
      <c r="H7" s="10">
        <v>41236</v>
      </c>
      <c r="I7" s="10">
        <v>41237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v>41238</v>
      </c>
      <c r="D8" s="10">
        <v>41239</v>
      </c>
      <c r="E8" s="10">
        <v>41240</v>
      </c>
      <c r="F8" s="10">
        <v>41241</v>
      </c>
      <c r="G8" s="10">
        <v>41242</v>
      </c>
      <c r="H8" s="10">
        <v>41243</v>
      </c>
      <c r="I8" s="10">
        <v>41244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v>41245</v>
      </c>
      <c r="D9" s="10">
        <v>41246</v>
      </c>
      <c r="E9" s="10">
        <v>41247</v>
      </c>
      <c r="F9" s="10">
        <v>41248</v>
      </c>
      <c r="G9" s="10">
        <v>41249</v>
      </c>
      <c r="H9" s="10">
        <v>41250</v>
      </c>
      <c r="I9" s="10">
        <v>41251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>
        <v>13</v>
      </c>
      <c r="M12" s="37" t="s">
        <v>36</v>
      </c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/>
      <c r="C14" s="39"/>
      <c r="D14" s="40"/>
      <c r="E14" s="39"/>
      <c r="F14" s="40"/>
      <c r="G14" s="39"/>
      <c r="H14" s="40"/>
      <c r="I14" s="39"/>
      <c r="J14" s="45"/>
      <c r="K14" s="11"/>
      <c r="L14" s="17">
        <v>27</v>
      </c>
      <c r="M14" s="37" t="s">
        <v>37</v>
      </c>
      <c r="N14" s="38"/>
    </row>
    <row r="15" spans="1:14" ht="18" customHeight="1" x14ac:dyDescent="0.25">
      <c r="B15" s="6"/>
      <c r="C15" s="34"/>
      <c r="D15" s="35"/>
      <c r="E15" s="34"/>
      <c r="F15" s="35"/>
      <c r="G15" s="34"/>
      <c r="H15" s="35"/>
      <c r="I15" s="50"/>
      <c r="J15" s="51"/>
      <c r="K15" s="13"/>
      <c r="L15" s="19"/>
      <c r="M15" s="52"/>
      <c r="N15" s="53"/>
    </row>
    <row r="16" spans="1:14" ht="18" customHeight="1" x14ac:dyDescent="0.25">
      <c r="B16" s="8"/>
      <c r="C16" s="39"/>
      <c r="D16" s="40"/>
      <c r="E16" s="39"/>
      <c r="F16" s="40"/>
      <c r="G16" s="39"/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/>
      <c r="D17" s="35"/>
      <c r="E17" s="34"/>
      <c r="F17" s="35"/>
      <c r="G17" s="34"/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/>
      <c r="C18" s="58"/>
      <c r="D18" s="59"/>
      <c r="E18" s="58"/>
      <c r="F18" s="59"/>
      <c r="G18" s="58"/>
      <c r="H18" s="59"/>
      <c r="I18" s="58"/>
      <c r="J18" s="60"/>
      <c r="K18" s="57"/>
      <c r="L18" s="17"/>
      <c r="M18" s="37"/>
      <c r="N18" s="38"/>
    </row>
    <row r="19" spans="2:14" ht="18" customHeight="1" x14ac:dyDescent="0.25">
      <c r="B19" s="6"/>
      <c r="C19" s="34"/>
      <c r="D19" s="35"/>
      <c r="E19" s="34"/>
      <c r="F19" s="35"/>
      <c r="G19" s="34"/>
      <c r="H19" s="35"/>
      <c r="I19" s="50"/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/>
      <c r="C26" s="39"/>
      <c r="D26" s="40"/>
      <c r="E26" s="39"/>
      <c r="F26" s="40"/>
      <c r="G26" s="39"/>
      <c r="H26" s="40"/>
      <c r="I26" s="39"/>
      <c r="J26" s="45"/>
      <c r="K26" s="11"/>
      <c r="L26" s="17"/>
      <c r="M26" s="37"/>
      <c r="N26" s="38"/>
    </row>
    <row r="27" spans="2:14" ht="18" customHeight="1" x14ac:dyDescent="0.25">
      <c r="B27" s="6"/>
      <c r="C27" s="34"/>
      <c r="D27" s="35"/>
      <c r="E27" s="34"/>
      <c r="F27" s="35"/>
      <c r="G27" s="34"/>
      <c r="H27" s="35"/>
      <c r="I27" s="50"/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>
        <v>16</v>
      </c>
      <c r="M29" s="37" t="s">
        <v>35</v>
      </c>
      <c r="N29" s="38"/>
    </row>
    <row r="30" spans="2:14" ht="18" customHeight="1" x14ac:dyDescent="0.25">
      <c r="B30" s="8"/>
      <c r="C30" s="39"/>
      <c r="D30" s="40"/>
      <c r="E30" s="39"/>
      <c r="F30" s="40"/>
      <c r="G30" s="39"/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/>
      <c r="D31" s="35"/>
      <c r="E31" s="34"/>
      <c r="F31" s="35"/>
      <c r="G31" s="34"/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47" priority="3" stopIfTrue="1">
      <formula>DAY(C4)&gt;8</formula>
    </cfRule>
  </conditionalFormatting>
  <conditionalFormatting sqref="C8:I10">
    <cfRule type="expression" dxfId="46" priority="2" stopIfTrue="1">
      <formula>AND(DAY(C8)&gt;=1,DAY(C8)&lt;=15)</formula>
    </cfRule>
  </conditionalFormatting>
  <conditionalFormatting sqref="C4:I9">
    <cfRule type="expression" dxfId="45" priority="4">
      <formula>VLOOKUP(DAY(C4),AssignmentDays,1,FALSE)=DAY(C4)</formula>
    </cfRule>
  </conditionalFormatting>
  <conditionalFormatting sqref="B14:J33">
    <cfRule type="expression" dxfId="44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29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IF(DAY(AugSun1)=1,AugSun1-6,AugSun1+1)</f>
        <v>41483</v>
      </c>
      <c r="D4" s="10">
        <f>IF(DAY(AugSun1)=1,AugSun1-5,AugSun1+2)</f>
        <v>41484</v>
      </c>
      <c r="E4" s="10">
        <f>IF(DAY(AugSun1)=1,AugSun1-4,AugSun1+3)</f>
        <v>41485</v>
      </c>
      <c r="F4" s="10">
        <f>IF(DAY(AugSun1)=1,AugSun1-3,AugSun1+4)</f>
        <v>41486</v>
      </c>
      <c r="G4" s="10">
        <f>IF(DAY(AugSun1)=1,AugSun1-2,AugSun1+5)</f>
        <v>41487</v>
      </c>
      <c r="H4" s="10">
        <f>IF(DAY(AugSun1)=1,AugSun1-1,AugSun1+6)</f>
        <v>41488</v>
      </c>
      <c r="I4" s="10">
        <f>IF(DAY(AugSun1)=1,AugSun1,AugSun1+7)</f>
        <v>41489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IF(DAY(AugSun1)=1,AugSun1+1,AugSun1+8)</f>
        <v>41490</v>
      </c>
      <c r="D5" s="10">
        <f>IF(DAY(AugSun1)=1,AugSun1+2,AugSun1+9)</f>
        <v>41491</v>
      </c>
      <c r="E5" s="10">
        <f>IF(DAY(AugSun1)=1,AugSun1+3,AugSun1+10)</f>
        <v>41492</v>
      </c>
      <c r="F5" s="10">
        <f>IF(DAY(AugSun1)=1,AugSun1+4,AugSun1+11)</f>
        <v>41493</v>
      </c>
      <c r="G5" s="10">
        <f>IF(DAY(AugSun1)=1,AugSun1+5,AugSun1+12)</f>
        <v>41494</v>
      </c>
      <c r="H5" s="10">
        <f>IF(DAY(AugSun1)=1,AugSun1+6,AugSun1+13)</f>
        <v>41495</v>
      </c>
      <c r="I5" s="10">
        <f>IF(DAY(AugSun1)=1,AugSun1+7,AugSun1+14)</f>
        <v>41496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IF(DAY(AugSun1)=1,AugSun1+8,AugSun1+15)</f>
        <v>41497</v>
      </c>
      <c r="D6" s="10">
        <f>IF(DAY(AugSun1)=1,AugSun1+9,AugSun1+16)</f>
        <v>41498</v>
      </c>
      <c r="E6" s="10">
        <f>IF(DAY(AugSun1)=1,AugSun1+10,AugSun1+17)</f>
        <v>41499</v>
      </c>
      <c r="F6" s="10">
        <f>IF(DAY(AugSun1)=1,AugSun1+11,AugSun1+18)</f>
        <v>41500</v>
      </c>
      <c r="G6" s="10">
        <f>IF(DAY(AugSun1)=1,AugSun1+12,AugSun1+19)</f>
        <v>41501</v>
      </c>
      <c r="H6" s="10">
        <f>IF(DAY(AugSun1)=1,AugSun1+13,AugSun1+20)</f>
        <v>41502</v>
      </c>
      <c r="I6" s="10">
        <f>IF(DAY(AugSun1)=1,AugSun1+14,AugSun1+21)</f>
        <v>41503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IF(DAY(AugSun1)=1,AugSun1+15,AugSun1+22)</f>
        <v>41504</v>
      </c>
      <c r="D7" s="10">
        <f>IF(DAY(AugSun1)=1,AugSun1+16,AugSun1+23)</f>
        <v>41505</v>
      </c>
      <c r="E7" s="10">
        <f>IF(DAY(AugSun1)=1,AugSun1+17,AugSun1+24)</f>
        <v>41506</v>
      </c>
      <c r="F7" s="10">
        <f>IF(DAY(AugSun1)=1,AugSun1+18,AugSun1+25)</f>
        <v>41507</v>
      </c>
      <c r="G7" s="10">
        <f>IF(DAY(AugSun1)=1,AugSun1+19,AugSun1+26)</f>
        <v>41508</v>
      </c>
      <c r="H7" s="10">
        <f>IF(DAY(AugSun1)=1,AugSun1+20,AugSun1+27)</f>
        <v>41509</v>
      </c>
      <c r="I7" s="10">
        <f>IF(DAY(AugSun1)=1,AugSun1+21,AugSun1+28)</f>
        <v>41510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IF(DAY(AugSun1)=1,AugSun1+22,AugSun1+29)</f>
        <v>41511</v>
      </c>
      <c r="D8" s="10">
        <f>IF(DAY(AugSun1)=1,AugSun1+23,AugSun1+30)</f>
        <v>41512</v>
      </c>
      <c r="E8" s="10">
        <f>IF(DAY(AugSun1)=1,AugSun1+24,AugSun1+31)</f>
        <v>41513</v>
      </c>
      <c r="F8" s="10">
        <f>IF(DAY(AugSun1)=1,AugSun1+25,AugSun1+32)</f>
        <v>41514</v>
      </c>
      <c r="G8" s="10">
        <f>IF(DAY(AugSun1)=1,AugSun1+26,AugSun1+33)</f>
        <v>41515</v>
      </c>
      <c r="H8" s="10">
        <f>IF(DAY(AugSun1)=1,AugSun1+27,AugSun1+34)</f>
        <v>41516</v>
      </c>
      <c r="I8" s="10">
        <f>IF(DAY(AugSun1)=1,AugSun1+28,AugSun1+35)</f>
        <v>41517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IF(DAY(AugSun1)=1,AugSun1+29,AugSun1+36)</f>
        <v>41518</v>
      </c>
      <c r="D9" s="10">
        <f>IF(DAY(AugSun1)=1,AugSun1+30,AugSun1+37)</f>
        <v>41519</v>
      </c>
      <c r="E9" s="10">
        <f>IF(DAY(AugSun1)=1,AugSun1+31,AugSun1+38)</f>
        <v>41520</v>
      </c>
      <c r="F9" s="10">
        <f>IF(DAY(AugSun1)=1,AugSun1+32,AugSun1+39)</f>
        <v>41521</v>
      </c>
      <c r="G9" s="10">
        <f>IF(DAY(AugSun1)=1,AugSun1+33,AugSun1+40)</f>
        <v>41522</v>
      </c>
      <c r="H9" s="10">
        <f>IF(DAY(AugSun1)=1,AugSun1+34,AugSun1+41)</f>
        <v>41523</v>
      </c>
      <c r="I9" s="10">
        <f>IF(DAY(AugSun1)=1,AugSun1+35,AugSun1+42)</f>
        <v>41524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11" priority="3" stopIfTrue="1">
      <formula>DAY(C4)&gt;8</formula>
    </cfRule>
  </conditionalFormatting>
  <conditionalFormatting sqref="C8:I10">
    <cfRule type="expression" dxfId="10" priority="2" stopIfTrue="1">
      <formula>AND(DAY(C8)&gt;=1,DAY(C8)&lt;=15)</formula>
    </cfRule>
  </conditionalFormatting>
  <conditionalFormatting sqref="C4:I9">
    <cfRule type="expression" dxfId="9" priority="4">
      <formula>VLOOKUP(DAY(C4),AssignmentDays,1,FALSE)=DAY(C4)</formula>
    </cfRule>
  </conditionalFormatting>
  <conditionalFormatting sqref="B14:J33">
    <cfRule type="expression" dxfId="8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10937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30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IF(DAY(SepSun1)=1,SepSun1-6,SepSun1+1)</f>
        <v>41518</v>
      </c>
      <c r="D4" s="10">
        <f>IF(DAY(SepSun1)=1,SepSun1-5,SepSun1+2)</f>
        <v>41519</v>
      </c>
      <c r="E4" s="10">
        <f>IF(DAY(SepSun1)=1,SepSun1-4,SepSun1+3)</f>
        <v>41520</v>
      </c>
      <c r="F4" s="10">
        <f>IF(DAY(SepSun1)=1,SepSun1-3,SepSun1+4)</f>
        <v>41521</v>
      </c>
      <c r="G4" s="10">
        <f>IF(DAY(SepSun1)=1,SepSun1-2,SepSun1+5)</f>
        <v>41522</v>
      </c>
      <c r="H4" s="10">
        <f>IF(DAY(SepSun1)=1,SepSun1-1,SepSun1+6)</f>
        <v>41523</v>
      </c>
      <c r="I4" s="10">
        <f>IF(DAY(SepSun1)=1,SepSun1,SepSun1+7)</f>
        <v>41524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IF(DAY(SepSun1)=1,SepSun1+1,SepSun1+8)</f>
        <v>41525</v>
      </c>
      <c r="D5" s="10">
        <f>IF(DAY(SepSun1)=1,SepSun1+2,SepSun1+9)</f>
        <v>41526</v>
      </c>
      <c r="E5" s="10">
        <f>IF(DAY(SepSun1)=1,SepSun1+3,SepSun1+10)</f>
        <v>41527</v>
      </c>
      <c r="F5" s="10">
        <f>IF(DAY(SepSun1)=1,SepSun1+4,SepSun1+11)</f>
        <v>41528</v>
      </c>
      <c r="G5" s="10">
        <f>IF(DAY(SepSun1)=1,SepSun1+5,SepSun1+12)</f>
        <v>41529</v>
      </c>
      <c r="H5" s="10">
        <f>IF(DAY(SepSun1)=1,SepSun1+6,SepSun1+13)</f>
        <v>41530</v>
      </c>
      <c r="I5" s="10">
        <f>IF(DAY(SepSun1)=1,SepSun1+7,SepSun1+14)</f>
        <v>41531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IF(DAY(SepSun1)=1,SepSun1+8,SepSun1+15)</f>
        <v>41532</v>
      </c>
      <c r="D6" s="10">
        <f>IF(DAY(SepSun1)=1,SepSun1+9,SepSun1+16)</f>
        <v>41533</v>
      </c>
      <c r="E6" s="10">
        <f>IF(DAY(SepSun1)=1,SepSun1+10,SepSun1+17)</f>
        <v>41534</v>
      </c>
      <c r="F6" s="10">
        <f>IF(DAY(SepSun1)=1,SepSun1+11,SepSun1+18)</f>
        <v>41535</v>
      </c>
      <c r="G6" s="10">
        <f>IF(DAY(SepSun1)=1,SepSun1+12,SepSun1+19)</f>
        <v>41536</v>
      </c>
      <c r="H6" s="10">
        <f>IF(DAY(SepSun1)=1,SepSun1+13,SepSun1+20)</f>
        <v>41537</v>
      </c>
      <c r="I6" s="10">
        <f>IF(DAY(SepSun1)=1,SepSun1+14,SepSun1+21)</f>
        <v>41538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IF(DAY(SepSun1)=1,SepSun1+15,SepSun1+22)</f>
        <v>41539</v>
      </c>
      <c r="D7" s="10">
        <f>IF(DAY(SepSun1)=1,SepSun1+16,SepSun1+23)</f>
        <v>41540</v>
      </c>
      <c r="E7" s="10">
        <f>IF(DAY(SepSun1)=1,SepSun1+17,SepSun1+24)</f>
        <v>41541</v>
      </c>
      <c r="F7" s="10">
        <f>IF(DAY(SepSun1)=1,SepSun1+18,SepSun1+25)</f>
        <v>41542</v>
      </c>
      <c r="G7" s="10">
        <f>IF(DAY(SepSun1)=1,SepSun1+19,SepSun1+26)</f>
        <v>41543</v>
      </c>
      <c r="H7" s="10">
        <f>IF(DAY(SepSun1)=1,SepSun1+20,SepSun1+27)</f>
        <v>41544</v>
      </c>
      <c r="I7" s="10">
        <f>IF(DAY(SepSun1)=1,SepSun1+21,SepSun1+28)</f>
        <v>41545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IF(DAY(SepSun1)=1,SepSun1+22,SepSun1+29)</f>
        <v>41546</v>
      </c>
      <c r="D8" s="10">
        <f>IF(DAY(SepSun1)=1,SepSun1+23,SepSun1+30)</f>
        <v>41547</v>
      </c>
      <c r="E8" s="10">
        <f>IF(DAY(SepSun1)=1,SepSun1+24,SepSun1+31)</f>
        <v>41548</v>
      </c>
      <c r="F8" s="10">
        <f>IF(DAY(SepSun1)=1,SepSun1+25,SepSun1+32)</f>
        <v>41549</v>
      </c>
      <c r="G8" s="10">
        <f>IF(DAY(SepSun1)=1,SepSun1+26,SepSun1+33)</f>
        <v>41550</v>
      </c>
      <c r="H8" s="10">
        <f>IF(DAY(SepSun1)=1,SepSun1+27,SepSun1+34)</f>
        <v>41551</v>
      </c>
      <c r="I8" s="10">
        <f>IF(DAY(SepSun1)=1,SepSun1+28,SepSun1+35)</f>
        <v>41552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IF(DAY(SepSun1)=1,SepSun1+29,SepSun1+36)</f>
        <v>41553</v>
      </c>
      <c r="D9" s="10">
        <f>IF(DAY(SepSun1)=1,SepSun1+30,SepSun1+37)</f>
        <v>41554</v>
      </c>
      <c r="E9" s="10">
        <f>IF(DAY(SepSun1)=1,SepSun1+31,SepSun1+38)</f>
        <v>41555</v>
      </c>
      <c r="F9" s="10">
        <f>IF(DAY(SepSun1)=1,SepSun1+32,SepSun1+39)</f>
        <v>41556</v>
      </c>
      <c r="G9" s="10">
        <f>IF(DAY(SepSun1)=1,SepSun1+33,SepSun1+40)</f>
        <v>41557</v>
      </c>
      <c r="H9" s="10">
        <f>IF(DAY(SepSun1)=1,SepSun1+34,SepSun1+41)</f>
        <v>41558</v>
      </c>
      <c r="I9" s="10">
        <f>IF(DAY(SepSun1)=1,SepSun1+35,SepSun1+42)</f>
        <v>41559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7" priority="3" stopIfTrue="1">
      <formula>DAY(C4)&gt;8</formula>
    </cfRule>
  </conditionalFormatting>
  <conditionalFormatting sqref="C8:I10">
    <cfRule type="expression" dxfId="6" priority="2" stopIfTrue="1">
      <formula>AND(DAY(C8)&gt;=1,DAY(C8)&lt;=15)</formula>
    </cfRule>
  </conditionalFormatting>
  <conditionalFormatting sqref="C4:I9">
    <cfRule type="expression" dxfId="5" priority="4">
      <formula>VLOOKUP(DAY(C4),AssignmentDays,1,FALSE)=DAY(C4)</formula>
    </cfRule>
  </conditionalFormatting>
  <conditionalFormatting sqref="B14:J33">
    <cfRule type="expression" dxfId="4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31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IF(DAY(OctSun1)=1,OctSun1-6,OctSun1+1)</f>
        <v>41546</v>
      </c>
      <c r="D4" s="10">
        <f>IF(DAY(OctSun1)=1,OctSun1-5,OctSun1+2)</f>
        <v>41547</v>
      </c>
      <c r="E4" s="10">
        <f>IF(DAY(OctSun1)=1,OctSun1-4,OctSun1+3)</f>
        <v>41548</v>
      </c>
      <c r="F4" s="10">
        <f>IF(DAY(OctSun1)=1,OctSun1-3,OctSun1+4)</f>
        <v>41549</v>
      </c>
      <c r="G4" s="10">
        <f>IF(DAY(OctSun1)=1,OctSun1-2,OctSun1+5)</f>
        <v>41550</v>
      </c>
      <c r="H4" s="10">
        <f>IF(DAY(OctSun1)=1,OctSun1-1,OctSun1+6)</f>
        <v>41551</v>
      </c>
      <c r="I4" s="10">
        <f>IF(DAY(OctSun1)=1,OctSun1,OctSun1+7)</f>
        <v>41552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IF(DAY(OctSun1)=1,OctSun1+1,OctSun1+8)</f>
        <v>41553</v>
      </c>
      <c r="D5" s="10">
        <f>IF(DAY(OctSun1)=1,OctSun1+2,OctSun1+9)</f>
        <v>41554</v>
      </c>
      <c r="E5" s="10">
        <f>IF(DAY(OctSun1)=1,OctSun1+3,OctSun1+10)</f>
        <v>41555</v>
      </c>
      <c r="F5" s="10">
        <f>IF(DAY(OctSun1)=1,OctSun1+4,OctSun1+11)</f>
        <v>41556</v>
      </c>
      <c r="G5" s="10">
        <f>IF(DAY(OctSun1)=1,OctSun1+5,OctSun1+12)</f>
        <v>41557</v>
      </c>
      <c r="H5" s="10">
        <f>IF(DAY(OctSun1)=1,OctSun1+6,OctSun1+13)</f>
        <v>41558</v>
      </c>
      <c r="I5" s="10">
        <f>IF(DAY(OctSun1)=1,OctSun1+7,OctSun1+14)</f>
        <v>41559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IF(DAY(OctSun1)=1,OctSun1+8,OctSun1+15)</f>
        <v>41560</v>
      </c>
      <c r="D6" s="10">
        <f>IF(DAY(OctSun1)=1,OctSun1+9,OctSun1+16)</f>
        <v>41561</v>
      </c>
      <c r="E6" s="10">
        <f>IF(DAY(OctSun1)=1,OctSun1+10,OctSun1+17)</f>
        <v>41562</v>
      </c>
      <c r="F6" s="10">
        <f>IF(DAY(OctSun1)=1,OctSun1+11,OctSun1+18)</f>
        <v>41563</v>
      </c>
      <c r="G6" s="10">
        <f>IF(DAY(OctSun1)=1,OctSun1+12,OctSun1+19)</f>
        <v>41564</v>
      </c>
      <c r="H6" s="10">
        <f>IF(DAY(OctSun1)=1,OctSun1+13,OctSun1+20)</f>
        <v>41565</v>
      </c>
      <c r="I6" s="10">
        <f>IF(DAY(OctSun1)=1,OctSun1+14,OctSun1+21)</f>
        <v>41566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IF(DAY(OctSun1)=1,OctSun1+15,OctSun1+22)</f>
        <v>41567</v>
      </c>
      <c r="D7" s="10">
        <f>IF(DAY(OctSun1)=1,OctSun1+16,OctSun1+23)</f>
        <v>41568</v>
      </c>
      <c r="E7" s="10">
        <f>IF(DAY(OctSun1)=1,OctSun1+17,OctSun1+24)</f>
        <v>41569</v>
      </c>
      <c r="F7" s="10">
        <f>IF(DAY(OctSun1)=1,OctSun1+18,OctSun1+25)</f>
        <v>41570</v>
      </c>
      <c r="G7" s="10">
        <f>IF(DAY(OctSun1)=1,OctSun1+19,OctSun1+26)</f>
        <v>41571</v>
      </c>
      <c r="H7" s="10">
        <f>IF(DAY(OctSun1)=1,OctSun1+20,OctSun1+27)</f>
        <v>41572</v>
      </c>
      <c r="I7" s="10">
        <f>IF(DAY(OctSun1)=1,OctSun1+21,OctSun1+28)</f>
        <v>41573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IF(DAY(OctSun1)=1,OctSun1+22,OctSun1+29)</f>
        <v>41574</v>
      </c>
      <c r="D8" s="10">
        <f>IF(DAY(OctSun1)=1,OctSun1+23,OctSun1+30)</f>
        <v>41575</v>
      </c>
      <c r="E8" s="10">
        <f>IF(DAY(OctSun1)=1,OctSun1+24,OctSun1+31)</f>
        <v>41576</v>
      </c>
      <c r="F8" s="10">
        <f>IF(DAY(OctSun1)=1,OctSun1+25,OctSun1+32)</f>
        <v>41577</v>
      </c>
      <c r="G8" s="10">
        <f>IF(DAY(OctSun1)=1,OctSun1+26,OctSun1+33)</f>
        <v>41578</v>
      </c>
      <c r="H8" s="10">
        <f>IF(DAY(OctSun1)=1,OctSun1+27,OctSun1+34)</f>
        <v>41579</v>
      </c>
      <c r="I8" s="10">
        <f>IF(DAY(OctSun1)=1,OctSun1+28,OctSun1+35)</f>
        <v>41580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IF(DAY(OctSun1)=1,OctSun1+29,OctSun1+36)</f>
        <v>41581</v>
      </c>
      <c r="D9" s="10">
        <f>IF(DAY(OctSun1)=1,OctSun1+30,OctSun1+37)</f>
        <v>41582</v>
      </c>
      <c r="E9" s="10">
        <f>IF(DAY(OctSun1)=1,OctSun1+31,OctSun1+38)</f>
        <v>41583</v>
      </c>
      <c r="F9" s="10">
        <f>IF(DAY(OctSun1)=1,OctSun1+32,OctSun1+39)</f>
        <v>41584</v>
      </c>
      <c r="G9" s="10">
        <f>IF(DAY(OctSun1)=1,OctSun1+33,OctSun1+40)</f>
        <v>41585</v>
      </c>
      <c r="H9" s="10">
        <f>IF(DAY(OctSun1)=1,OctSun1+34,OctSun1+41)</f>
        <v>41586</v>
      </c>
      <c r="I9" s="10">
        <f>IF(DAY(OctSun1)=1,OctSun1+35,OctSun1+42)</f>
        <v>41587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3" priority="3" stopIfTrue="1">
      <formula>DAY(C4)&gt;8</formula>
    </cfRule>
  </conditionalFormatting>
  <conditionalFormatting sqref="C8:I10">
    <cfRule type="expression" dxfId="2" priority="2" stopIfTrue="1">
      <formula>AND(DAY(C8)&gt;=1,DAY(C8)&lt;=15)</formula>
    </cfRule>
  </conditionalFormatting>
  <conditionalFormatting sqref="C4:I9">
    <cfRule type="expression" dxfId="1" priority="4">
      <formula>VLOOKUP(DAY(C4),AssignmentDays,1,FALSE)=DAY(C4)</formula>
    </cfRule>
  </conditionalFormatting>
  <conditionalFormatting sqref="B14:J33">
    <cfRule type="expression" dxfId="0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tabSelected="1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33</v>
      </c>
      <c r="C2" s="21"/>
      <c r="D2" s="21"/>
      <c r="E2" s="21"/>
      <c r="F2" s="21"/>
      <c r="G2" s="21"/>
      <c r="H2" s="21"/>
      <c r="I2" s="21"/>
      <c r="J2" s="22"/>
      <c r="K2" s="70" t="s">
        <v>34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v>41238</v>
      </c>
      <c r="D4" s="10">
        <v>41239</v>
      </c>
      <c r="E4" s="10">
        <v>41240</v>
      </c>
      <c r="F4" s="10">
        <v>41241</v>
      </c>
      <c r="G4" s="10">
        <v>41242</v>
      </c>
      <c r="H4" s="10">
        <v>41243</v>
      </c>
      <c r="I4" s="10">
        <v>41244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v>41245</v>
      </c>
      <c r="D5" s="10">
        <v>41246</v>
      </c>
      <c r="E5" s="10">
        <v>41247</v>
      </c>
      <c r="F5" s="10">
        <v>41248</v>
      </c>
      <c r="G5" s="10">
        <v>41249</v>
      </c>
      <c r="H5" s="10">
        <v>41250</v>
      </c>
      <c r="I5" s="10">
        <v>41251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v>41252</v>
      </c>
      <c r="D6" s="10">
        <v>41253</v>
      </c>
      <c r="E6" s="10">
        <v>41254</v>
      </c>
      <c r="F6" s="10">
        <v>41255</v>
      </c>
      <c r="G6" s="10">
        <v>41256</v>
      </c>
      <c r="H6" s="10">
        <v>41257</v>
      </c>
      <c r="I6" s="10">
        <v>41258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v>41259</v>
      </c>
      <c r="D7" s="10">
        <v>41260</v>
      </c>
      <c r="E7" s="10">
        <v>41261</v>
      </c>
      <c r="F7" s="10">
        <v>41262</v>
      </c>
      <c r="G7" s="10">
        <v>41263</v>
      </c>
      <c r="H7" s="10">
        <v>41264</v>
      </c>
      <c r="I7" s="10">
        <v>41265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v>41266</v>
      </c>
      <c r="D8" s="10">
        <v>41267</v>
      </c>
      <c r="E8" s="10">
        <v>41268</v>
      </c>
      <c r="F8" s="10">
        <v>41269</v>
      </c>
      <c r="G8" s="10">
        <v>41270</v>
      </c>
      <c r="H8" s="10">
        <v>41271</v>
      </c>
      <c r="I8" s="10">
        <v>41272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v>41273</v>
      </c>
      <c r="D9" s="10">
        <v>41274</v>
      </c>
      <c r="E9" s="10">
        <v>41275</v>
      </c>
      <c r="F9" s="10">
        <v>41276</v>
      </c>
      <c r="G9" s="10">
        <v>41277</v>
      </c>
      <c r="H9" s="10">
        <v>41278</v>
      </c>
      <c r="I9" s="10">
        <v>41279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>
        <v>4</v>
      </c>
      <c r="M11" s="37" t="s">
        <v>38</v>
      </c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>
        <v>11</v>
      </c>
      <c r="M12" s="37" t="s">
        <v>38</v>
      </c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>
        <v>18</v>
      </c>
      <c r="M13" s="37" t="s">
        <v>45</v>
      </c>
      <c r="N13" s="38"/>
    </row>
    <row r="14" spans="1:14" ht="18" customHeight="1" x14ac:dyDescent="0.25">
      <c r="B14" s="8"/>
      <c r="C14" s="39"/>
      <c r="D14" s="40"/>
      <c r="E14" s="39"/>
      <c r="F14" s="40"/>
      <c r="G14" s="39"/>
      <c r="H14" s="40"/>
      <c r="I14" s="39"/>
      <c r="J14" s="45"/>
      <c r="K14" s="11"/>
      <c r="L14" s="17"/>
      <c r="M14" s="37"/>
      <c r="N14" s="38"/>
    </row>
    <row r="15" spans="1:14" ht="18" customHeight="1" x14ac:dyDescent="0.25">
      <c r="B15" s="6"/>
      <c r="C15" s="34"/>
      <c r="D15" s="35"/>
      <c r="E15" s="34"/>
      <c r="F15" s="35"/>
      <c r="G15" s="34"/>
      <c r="H15" s="35"/>
      <c r="I15" s="50"/>
      <c r="J15" s="51"/>
      <c r="K15" s="13"/>
      <c r="L15" s="19"/>
      <c r="M15" s="52"/>
      <c r="N15" s="53"/>
    </row>
    <row r="16" spans="1:14" ht="18" customHeight="1" x14ac:dyDescent="0.25">
      <c r="B16" s="8"/>
      <c r="C16" s="39"/>
      <c r="D16" s="40"/>
      <c r="E16" s="39"/>
      <c r="F16" s="40"/>
      <c r="G16" s="39"/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/>
      <c r="D17" s="35"/>
      <c r="E17" s="34"/>
      <c r="F17" s="35"/>
      <c r="G17" s="34"/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/>
      <c r="C18" s="58"/>
      <c r="D18" s="59"/>
      <c r="E18" s="58"/>
      <c r="F18" s="59"/>
      <c r="G18" s="58"/>
      <c r="H18" s="59"/>
      <c r="I18" s="58"/>
      <c r="J18" s="60"/>
      <c r="K18" s="57"/>
      <c r="L18" s="17"/>
      <c r="M18" s="37"/>
      <c r="N18" s="38"/>
    </row>
    <row r="19" spans="2:14" ht="18" customHeight="1" x14ac:dyDescent="0.25">
      <c r="B19" s="6"/>
      <c r="C19" s="34"/>
      <c r="D19" s="35"/>
      <c r="E19" s="34"/>
      <c r="F19" s="35"/>
      <c r="G19" s="34"/>
      <c r="H19" s="35"/>
      <c r="I19" s="50"/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/>
      <c r="C26" s="39"/>
      <c r="D26" s="40"/>
      <c r="E26" s="39"/>
      <c r="F26" s="40"/>
      <c r="G26" s="39"/>
      <c r="H26" s="40"/>
      <c r="I26" s="39"/>
      <c r="J26" s="45"/>
      <c r="K26" s="11"/>
      <c r="L26" s="17"/>
      <c r="M26" s="37"/>
      <c r="N26" s="38"/>
    </row>
    <row r="27" spans="2:14" ht="18" customHeight="1" x14ac:dyDescent="0.25">
      <c r="B27" s="6"/>
      <c r="C27" s="34"/>
      <c r="D27" s="35"/>
      <c r="E27" s="34"/>
      <c r="F27" s="35"/>
      <c r="G27" s="34"/>
      <c r="H27" s="35"/>
      <c r="I27" s="50"/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>
        <v>14</v>
      </c>
      <c r="M29" s="37" t="s">
        <v>43</v>
      </c>
      <c r="N29" s="38"/>
    </row>
    <row r="30" spans="2:14" ht="18" customHeight="1" x14ac:dyDescent="0.25">
      <c r="B30" s="8"/>
      <c r="C30" s="39"/>
      <c r="D30" s="40"/>
      <c r="E30" s="39"/>
      <c r="F30" s="40"/>
      <c r="G30" s="39"/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/>
      <c r="D31" s="35"/>
      <c r="E31" s="34"/>
      <c r="F31" s="35"/>
      <c r="G31" s="34"/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43" priority="3" stopIfTrue="1">
      <formula>DAY(C4)&gt;8</formula>
    </cfRule>
  </conditionalFormatting>
  <conditionalFormatting sqref="C8:I10">
    <cfRule type="expression" dxfId="42" priority="2" stopIfTrue="1">
      <formula>AND(DAY(C8)&gt;=1,DAY(C8)&lt;=15)</formula>
    </cfRule>
  </conditionalFormatting>
  <conditionalFormatting sqref="C4:I9">
    <cfRule type="expression" dxfId="41" priority="4">
      <formula>VLOOKUP(DAY(C4),AssignmentDays,1,FALSE)=DAY(C4)</formula>
    </cfRule>
  </conditionalFormatting>
  <conditionalFormatting sqref="B14:J33">
    <cfRule type="expression" dxfId="40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  <pageSetUpPr fitToPage="1"/>
  </sheetPr>
  <dimension ref="A1:AO1048576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11</v>
      </c>
      <c r="C2" s="21"/>
      <c r="D2" s="21"/>
      <c r="E2" s="21"/>
      <c r="F2" s="21"/>
      <c r="G2" s="21"/>
      <c r="H2" s="21"/>
      <c r="I2" s="21"/>
      <c r="J2" s="22"/>
      <c r="K2" s="70" t="s">
        <v>34</v>
      </c>
      <c r="L2" s="71">
        <v>2013</v>
      </c>
      <c r="M2" s="71"/>
      <c r="N2" s="77">
        <v>2013</v>
      </c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78"/>
    </row>
    <row r="4" spans="1:14" ht="18" customHeight="1" x14ac:dyDescent="0.25">
      <c r="A4" s="4"/>
      <c r="B4" s="68"/>
      <c r="C4" s="10">
        <f>IF(DAY(JanSun1)=1,JanSun1-6,JanSun1+1)</f>
        <v>41273</v>
      </c>
      <c r="D4" s="10">
        <f>IF(DAY(JanSun1)=1,JanSun1-5,JanSun1+2)</f>
        <v>41274</v>
      </c>
      <c r="E4" s="10">
        <f>IF(DAY(JanSun1)=1,JanSun1-4,JanSun1+3)</f>
        <v>41275</v>
      </c>
      <c r="F4" s="10">
        <f>IF(DAY(JanSun1)=1,JanSun1-3,JanSun1+4)</f>
        <v>41276</v>
      </c>
      <c r="G4" s="10">
        <f>IF(DAY(JanSun1)=1,JanSun1-2,JanSun1+5)</f>
        <v>41277</v>
      </c>
      <c r="H4" s="10">
        <f>IF(DAY(JanSun1)=1,JanSun1-1,JanSun1+6)</f>
        <v>41278</v>
      </c>
      <c r="I4" s="10">
        <f>IF(DAY(JanSun1)=1,JanSun1,JanSun1+7)</f>
        <v>41279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IF(DAY(JanSun1)=1,JanSun1+1,JanSun1+8)</f>
        <v>41280</v>
      </c>
      <c r="D5" s="10">
        <f>IF(DAY(JanSun1)=1,JanSun1+2,JanSun1+9)</f>
        <v>41281</v>
      </c>
      <c r="E5" s="10">
        <f>IF(DAY(JanSun1)=1,JanSun1+3,JanSun1+10)</f>
        <v>41282</v>
      </c>
      <c r="F5" s="10">
        <f>IF(DAY(JanSun1)=1,JanSun1+4,JanSun1+11)</f>
        <v>41283</v>
      </c>
      <c r="G5" s="10">
        <f>IF(DAY(JanSun1)=1,JanSun1+5,JanSun1+12)</f>
        <v>41284</v>
      </c>
      <c r="H5" s="10">
        <f>IF(DAY(JanSun1)=1,JanSun1+6,JanSun1+13)</f>
        <v>41285</v>
      </c>
      <c r="I5" s="10">
        <f>IF(DAY(JanSun1)=1,JanSun1+7,JanSun1+14)</f>
        <v>41286</v>
      </c>
      <c r="J5" s="5"/>
      <c r="K5" s="47"/>
      <c r="L5" s="17">
        <v>21</v>
      </c>
      <c r="M5" s="37" t="s">
        <v>52</v>
      </c>
      <c r="N5" s="38"/>
    </row>
    <row r="6" spans="1:14" ht="18" customHeight="1" x14ac:dyDescent="0.25">
      <c r="A6" s="4"/>
      <c r="B6" s="68"/>
      <c r="C6" s="10">
        <f>IF(DAY(JanSun1)=1,JanSun1+8,JanSun1+15)</f>
        <v>41287</v>
      </c>
      <c r="D6" s="10">
        <f>IF(DAY(JanSun1)=1,JanSun1+9,JanSun1+16)</f>
        <v>41288</v>
      </c>
      <c r="E6" s="10">
        <f>IF(DAY(JanSun1)=1,JanSun1+10,JanSun1+17)</f>
        <v>41289</v>
      </c>
      <c r="F6" s="10">
        <f>IF(DAY(JanSun1)=1,JanSun1+11,JanSun1+18)</f>
        <v>41290</v>
      </c>
      <c r="G6" s="10">
        <f>IF(DAY(JanSun1)=1,JanSun1+12,JanSun1+19)</f>
        <v>41291</v>
      </c>
      <c r="H6" s="10">
        <f>IF(DAY(JanSun1)=1,JanSun1+13,JanSun1+20)</f>
        <v>41292</v>
      </c>
      <c r="I6" s="10">
        <f>IF(DAY(JanSun1)=1,JanSun1+14,JanSun1+21)</f>
        <v>41293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IF(DAY(JanSun1)=1,JanSun1+15,JanSun1+22)</f>
        <v>41294</v>
      </c>
      <c r="D7" s="10">
        <f>IF(DAY(JanSun1)=1,JanSun1+16,JanSun1+23)</f>
        <v>41295</v>
      </c>
      <c r="E7" s="10">
        <f>IF(DAY(JanSun1)=1,JanSun1+17,JanSun1+24)</f>
        <v>41296</v>
      </c>
      <c r="F7" s="10">
        <f>IF(DAY(JanSun1)=1,JanSun1+18,JanSun1+25)</f>
        <v>41297</v>
      </c>
      <c r="G7" s="10">
        <f>IF(DAY(JanSun1)=1,JanSun1+19,JanSun1+26)</f>
        <v>41298</v>
      </c>
      <c r="H7" s="10">
        <f>IF(DAY(JanSun1)=1,JanSun1+20,JanSun1+27)</f>
        <v>41299</v>
      </c>
      <c r="I7" s="10">
        <f>IF(DAY(JanSun1)=1,JanSun1+21,JanSun1+28)</f>
        <v>41300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IF(DAY(JanSun1)=1,JanSun1+22,JanSun1+29)</f>
        <v>41301</v>
      </c>
      <c r="D8" s="10">
        <f>IF(DAY(JanSun1)=1,JanSun1+23,JanSun1+30)</f>
        <v>41302</v>
      </c>
      <c r="E8" s="10">
        <f>IF(DAY(JanSun1)=1,JanSun1+24,JanSun1+31)</f>
        <v>41303</v>
      </c>
      <c r="F8" s="10">
        <f>IF(DAY(JanSun1)=1,JanSun1+25,JanSun1+32)</f>
        <v>41304</v>
      </c>
      <c r="G8" s="10">
        <f>IF(DAY(JanSun1)=1,JanSun1+26,JanSun1+33)</f>
        <v>41305</v>
      </c>
      <c r="H8" s="10">
        <f>IF(DAY(JanSun1)=1,JanSun1+27,JanSun1+34)</f>
        <v>41306</v>
      </c>
      <c r="I8" s="10">
        <f>IF(DAY(JanSun1)=1,JanSun1+28,JanSun1+35)</f>
        <v>41307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IF(DAY(JanSun1)=1,JanSun1+29,JanSun1+36)</f>
        <v>41308</v>
      </c>
      <c r="D9" s="10">
        <f>IF(DAY(JanSun1)=1,JanSun1+30,JanSun1+37)</f>
        <v>41309</v>
      </c>
      <c r="E9" s="10">
        <f>IF(DAY(JanSun1)=1,JanSun1+31,JanSun1+38)</f>
        <v>41310</v>
      </c>
      <c r="F9" s="10">
        <f>IF(DAY(JanSun1)=1,JanSun1+32,JanSun1+39)</f>
        <v>41311</v>
      </c>
      <c r="G9" s="10">
        <f>IF(DAY(JanSun1)=1,JanSun1+33,JanSun1+40)</f>
        <v>41312</v>
      </c>
      <c r="H9" s="10">
        <f>IF(DAY(JanSun1)=1,JanSun1+34,JanSun1+41)</f>
        <v>41313</v>
      </c>
      <c r="I9" s="10">
        <f>IF(DAY(JanSun1)=1,JanSun1+35,JanSun1+42)</f>
        <v>41314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>
        <v>8</v>
      </c>
      <c r="M11" s="37" t="s">
        <v>39</v>
      </c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>
        <v>15</v>
      </c>
      <c r="M12" s="37" t="s">
        <v>39</v>
      </c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>
        <v>22</v>
      </c>
      <c r="M13" s="37" t="s">
        <v>40</v>
      </c>
      <c r="N13" s="38"/>
    </row>
    <row r="14" spans="1:14" ht="18" customHeight="1" x14ac:dyDescent="0.25">
      <c r="B14" s="8"/>
      <c r="C14" s="39"/>
      <c r="D14" s="40"/>
      <c r="E14" s="39"/>
      <c r="F14" s="40"/>
      <c r="G14" s="39"/>
      <c r="H14" s="40"/>
      <c r="I14" s="39"/>
      <c r="J14" s="45"/>
      <c r="K14" s="11"/>
      <c r="L14" s="17">
        <v>29</v>
      </c>
      <c r="M14" s="37" t="s">
        <v>39</v>
      </c>
      <c r="N14" s="38"/>
    </row>
    <row r="15" spans="1:14" ht="18" customHeight="1" x14ac:dyDescent="0.25">
      <c r="B15" s="6"/>
      <c r="C15" s="34"/>
      <c r="D15" s="35"/>
      <c r="E15" s="34"/>
      <c r="F15" s="35"/>
      <c r="G15" s="34"/>
      <c r="H15" s="35"/>
      <c r="I15" s="50"/>
      <c r="J15" s="51"/>
      <c r="K15" s="13"/>
      <c r="L15" s="19"/>
      <c r="M15" s="52"/>
      <c r="N15" s="53"/>
    </row>
    <row r="16" spans="1:14" ht="18" customHeight="1" x14ac:dyDescent="0.25">
      <c r="B16" s="8"/>
      <c r="C16" s="39"/>
      <c r="D16" s="40"/>
      <c r="E16" s="39"/>
      <c r="F16" s="40"/>
      <c r="G16" s="39"/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/>
      <c r="D17" s="35"/>
      <c r="E17" s="34"/>
      <c r="F17" s="35"/>
      <c r="G17" s="34"/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/>
      <c r="C18" s="58"/>
      <c r="D18" s="59"/>
      <c r="E18" s="58"/>
      <c r="F18" s="59"/>
      <c r="G18" s="58"/>
      <c r="H18" s="59"/>
      <c r="I18" s="58"/>
      <c r="J18" s="60"/>
      <c r="K18" s="57"/>
      <c r="L18" s="17"/>
      <c r="M18" s="37"/>
      <c r="N18" s="38"/>
    </row>
    <row r="19" spans="2:14" ht="18" customHeight="1" x14ac:dyDescent="0.25">
      <c r="B19" s="6"/>
      <c r="C19" s="34"/>
      <c r="D19" s="35"/>
      <c r="E19" s="34"/>
      <c r="F19" s="35"/>
      <c r="G19" s="34"/>
      <c r="H19" s="35"/>
      <c r="I19" s="50"/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/>
      <c r="C26" s="39"/>
      <c r="D26" s="40"/>
      <c r="E26" s="39"/>
      <c r="F26" s="40"/>
      <c r="G26" s="39"/>
      <c r="H26" s="40"/>
      <c r="I26" s="39"/>
      <c r="J26" s="45"/>
      <c r="K26" s="11"/>
      <c r="L26" s="17"/>
      <c r="M26" s="37"/>
      <c r="N26" s="38"/>
    </row>
    <row r="27" spans="2:14" ht="18" customHeight="1" x14ac:dyDescent="0.25">
      <c r="B27" s="6"/>
      <c r="C27" s="34"/>
      <c r="D27" s="35"/>
      <c r="E27" s="34"/>
      <c r="F27" s="35"/>
      <c r="G27" s="34"/>
      <c r="H27" s="35"/>
      <c r="I27" s="50"/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>
        <v>4</v>
      </c>
      <c r="M29" s="37" t="s">
        <v>41</v>
      </c>
      <c r="N29" s="38"/>
    </row>
    <row r="30" spans="2:14" ht="18" customHeight="1" x14ac:dyDescent="0.25">
      <c r="B30" s="8"/>
      <c r="C30" s="39"/>
      <c r="D30" s="40"/>
      <c r="E30" s="39"/>
      <c r="F30" s="40"/>
      <c r="G30" s="39"/>
      <c r="H30" s="40"/>
      <c r="I30" s="43"/>
      <c r="J30" s="44"/>
      <c r="K30" s="47"/>
      <c r="L30" s="17">
        <v>4</v>
      </c>
      <c r="M30" s="37" t="s">
        <v>42</v>
      </c>
      <c r="N30" s="38"/>
    </row>
    <row r="31" spans="2:14" ht="18" customHeight="1" x14ac:dyDescent="0.25">
      <c r="B31" s="6"/>
      <c r="C31" s="34"/>
      <c r="D31" s="35"/>
      <c r="E31" s="34"/>
      <c r="F31" s="35"/>
      <c r="G31" s="34"/>
      <c r="H31" s="35"/>
      <c r="I31" s="34"/>
      <c r="J31" s="36"/>
      <c r="K31" s="14"/>
      <c r="L31" s="17">
        <v>4</v>
      </c>
      <c r="M31" s="37" t="s">
        <v>44</v>
      </c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>
        <v>18</v>
      </c>
      <c r="M32" s="37" t="s">
        <v>51</v>
      </c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  <row r="1048576" spans="13:14" ht="16.5" customHeight="1" x14ac:dyDescent="0.25">
      <c r="M1048576" s="37"/>
      <c r="N1048576" s="38"/>
    </row>
  </sheetData>
  <mergeCells count="124">
    <mergeCell ref="M1048576:N1048576"/>
    <mergeCell ref="K16:K18"/>
    <mergeCell ref="K22:K25"/>
    <mergeCell ref="M12:N12"/>
    <mergeCell ref="M13:N13"/>
    <mergeCell ref="M14:N14"/>
    <mergeCell ref="M15:N15"/>
    <mergeCell ref="M16:N16"/>
    <mergeCell ref="M17:N17"/>
    <mergeCell ref="M18:N18"/>
    <mergeCell ref="M19:N19"/>
    <mergeCell ref="M20:N20"/>
    <mergeCell ref="K28:K30"/>
    <mergeCell ref="I13:J13"/>
    <mergeCell ref="G13:H13"/>
    <mergeCell ref="E13:F13"/>
    <mergeCell ref="C13:D13"/>
    <mergeCell ref="K2:M3"/>
    <mergeCell ref="K10:K12"/>
    <mergeCell ref="K4:K6"/>
    <mergeCell ref="M4:N4"/>
    <mergeCell ref="M5:N5"/>
    <mergeCell ref="M6:N6"/>
    <mergeCell ref="M7:N7"/>
    <mergeCell ref="M8:N8"/>
    <mergeCell ref="M9:N9"/>
    <mergeCell ref="M10:N10"/>
    <mergeCell ref="M11:N11"/>
    <mergeCell ref="N2:N3"/>
    <mergeCell ref="C19:D19"/>
    <mergeCell ref="C20:D20"/>
    <mergeCell ref="C21:D21"/>
    <mergeCell ref="C22:D22"/>
    <mergeCell ref="C23:D23"/>
    <mergeCell ref="C14:D14"/>
    <mergeCell ref="C15:D15"/>
    <mergeCell ref="C16:D16"/>
    <mergeCell ref="C17:D17"/>
    <mergeCell ref="C18:D18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E28:F28"/>
    <mergeCell ref="E27:F27"/>
    <mergeCell ref="E26:F26"/>
    <mergeCell ref="E25:F25"/>
    <mergeCell ref="E24:F24"/>
    <mergeCell ref="E33:F33"/>
    <mergeCell ref="E32:F32"/>
    <mergeCell ref="E31:F31"/>
    <mergeCell ref="E30:F30"/>
    <mergeCell ref="E29:F29"/>
    <mergeCell ref="E18:F18"/>
    <mergeCell ref="E17:F17"/>
    <mergeCell ref="E16:F16"/>
    <mergeCell ref="E15:F15"/>
    <mergeCell ref="E14:F14"/>
    <mergeCell ref="E23:F23"/>
    <mergeCell ref="E22:F22"/>
    <mergeCell ref="E21:F21"/>
    <mergeCell ref="E20:F20"/>
    <mergeCell ref="E19:F19"/>
    <mergeCell ref="G17:H17"/>
    <mergeCell ref="I17:J17"/>
    <mergeCell ref="G18:H18"/>
    <mergeCell ref="I18:J18"/>
    <mergeCell ref="G19:H19"/>
    <mergeCell ref="G14:H14"/>
    <mergeCell ref="I14:J14"/>
    <mergeCell ref="G15:H15"/>
    <mergeCell ref="I15:J15"/>
    <mergeCell ref="G16:H16"/>
    <mergeCell ref="I16:J16"/>
    <mergeCell ref="I22:J22"/>
    <mergeCell ref="I23:J23"/>
    <mergeCell ref="G22:H22"/>
    <mergeCell ref="G23:H23"/>
    <mergeCell ref="G24:H24"/>
    <mergeCell ref="I24:J24"/>
    <mergeCell ref="G20:H20"/>
    <mergeCell ref="G21:H21"/>
    <mergeCell ref="I19:J19"/>
    <mergeCell ref="I20:J20"/>
    <mergeCell ref="I21:J21"/>
    <mergeCell ref="I26:J26"/>
    <mergeCell ref="I27:J27"/>
    <mergeCell ref="I28:J28"/>
    <mergeCell ref="I29:J29"/>
    <mergeCell ref="G25:H25"/>
    <mergeCell ref="G26:H26"/>
    <mergeCell ref="G27:H27"/>
    <mergeCell ref="G28:H28"/>
    <mergeCell ref="G29:H29"/>
    <mergeCell ref="B2:B10"/>
    <mergeCell ref="B11:J12"/>
    <mergeCell ref="M31:N31"/>
    <mergeCell ref="M32:N32"/>
    <mergeCell ref="M33:N33"/>
    <mergeCell ref="M26:N26"/>
    <mergeCell ref="M27:N27"/>
    <mergeCell ref="M28:N28"/>
    <mergeCell ref="M29:N29"/>
    <mergeCell ref="M30:N30"/>
    <mergeCell ref="M21:N21"/>
    <mergeCell ref="M22:N22"/>
    <mergeCell ref="M23:N23"/>
    <mergeCell ref="M24:N24"/>
    <mergeCell ref="M25:N25"/>
    <mergeCell ref="G30:H30"/>
    <mergeCell ref="G31:H31"/>
    <mergeCell ref="G32:H32"/>
    <mergeCell ref="G33:H33"/>
    <mergeCell ref="I30:J30"/>
    <mergeCell ref="I31:J31"/>
    <mergeCell ref="I32:J32"/>
    <mergeCell ref="I33:J33"/>
    <mergeCell ref="I25:J25"/>
  </mergeCells>
  <phoneticPr fontId="2" type="noConversion"/>
  <conditionalFormatting sqref="C4:H4">
    <cfRule type="expression" dxfId="39" priority="4" stopIfTrue="1">
      <formula>DAY(C4)&gt;8</formula>
    </cfRule>
  </conditionalFormatting>
  <conditionalFormatting sqref="C8:I10">
    <cfRule type="expression" dxfId="38" priority="3" stopIfTrue="1">
      <formula>AND(DAY(C8)&gt;=1,DAY(C8)&lt;=15)</formula>
    </cfRule>
  </conditionalFormatting>
  <conditionalFormatting sqref="C4:I9">
    <cfRule type="expression" dxfId="37" priority="15">
      <formula>VLOOKUP(DAY(C4),AssignmentDays,1,FALSE)=DAY(C4)</formula>
    </cfRule>
  </conditionalFormatting>
  <conditionalFormatting sqref="B14:J33">
    <cfRule type="expression" dxfId="36" priority="1">
      <formula>B14&lt;&gt;""</formula>
    </cfRule>
  </conditionalFormatting>
  <dataValidations count="1">
    <dataValidation allowBlank="1" showInputMessage="1" showErrorMessage="1" errorTitle="Invalid Year" error="Enter a year from 1900 to 9999, or use the scroll bar to find a year." sqref="N2"/>
  </dataValidations>
  <printOptions horizontalCentered="1"/>
  <pageMargins left="0.5" right="0.5" top="0.5" bottom="0.5" header="0.3" footer="0.3"/>
  <pageSetup scale="91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 altText="Spinner control. Use spinner to change calendar year or type desired year in cell L2 ">
                <anchor moveWithCells="1">
                  <from>
                    <xdr:col>14</xdr:col>
                    <xdr:colOff>30480</xdr:colOff>
                    <xdr:row>1</xdr:row>
                    <xdr:rowOff>83820</xdr:rowOff>
                  </from>
                  <to>
                    <xdr:col>15</xdr:col>
                    <xdr:colOff>0</xdr:colOff>
                    <xdr:row>2</xdr:row>
                    <xdr:rowOff>160020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23</v>
      </c>
      <c r="C2" s="21"/>
      <c r="D2" s="21"/>
      <c r="E2" s="21"/>
      <c r="F2" s="21"/>
      <c r="G2" s="21"/>
      <c r="H2" s="21"/>
      <c r="I2" s="21"/>
      <c r="J2" s="22"/>
      <c r="K2" s="70" t="s">
        <v>34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IF(DAY(FebSun1)=1,FebSun1-6,FebSun1+1)</f>
        <v>41301</v>
      </c>
      <c r="D4" s="10">
        <f>IF(DAY(FebSun1)=1,FebSun1-5,FebSun1+2)</f>
        <v>41302</v>
      </c>
      <c r="E4" s="10">
        <f>IF(DAY(FebSun1)=1,FebSun1-4,FebSun1+3)</f>
        <v>41303</v>
      </c>
      <c r="F4" s="10">
        <f>IF(DAY(FebSun1)=1,FebSun1-3,FebSun1+4)</f>
        <v>41304</v>
      </c>
      <c r="G4" s="10">
        <f>IF(DAY(FebSun1)=1,FebSun1-2,FebSun1+5)</f>
        <v>41305</v>
      </c>
      <c r="H4" s="10">
        <f>IF(DAY(FebSun1)=1,FebSun1-1,FebSun1+6)</f>
        <v>41306</v>
      </c>
      <c r="I4" s="10">
        <f>IF(DAY(FebSun1)=1,FebSun1,FebSun1+7)</f>
        <v>41307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IF(DAY(FebSun1)=1,FebSun1+1,FebSun1+8)</f>
        <v>41308</v>
      </c>
      <c r="D5" s="10">
        <f>IF(DAY(FebSun1)=1,FebSun1+2,FebSun1+9)</f>
        <v>41309</v>
      </c>
      <c r="E5" s="10">
        <f>IF(DAY(FebSun1)=1,FebSun1+3,FebSun1+10)</f>
        <v>41310</v>
      </c>
      <c r="F5" s="10">
        <f>IF(DAY(FebSun1)=1,FebSun1+4,FebSun1+11)</f>
        <v>41311</v>
      </c>
      <c r="G5" s="10">
        <f>IF(DAY(FebSun1)=1,FebSun1+5,FebSun1+12)</f>
        <v>41312</v>
      </c>
      <c r="H5" s="10">
        <f>IF(DAY(FebSun1)=1,FebSun1+6,FebSun1+13)</f>
        <v>41313</v>
      </c>
      <c r="I5" s="10">
        <f>IF(DAY(FebSun1)=1,FebSun1+7,FebSun1+14)</f>
        <v>41314</v>
      </c>
      <c r="J5" s="5"/>
      <c r="K5" s="47"/>
      <c r="L5" s="17">
        <v>18</v>
      </c>
      <c r="M5" s="37" t="s">
        <v>53</v>
      </c>
      <c r="N5" s="38"/>
    </row>
    <row r="6" spans="1:14" ht="18" customHeight="1" x14ac:dyDescent="0.25">
      <c r="A6" s="4"/>
      <c r="B6" s="68"/>
      <c r="C6" s="10">
        <f>IF(DAY(FebSun1)=1,FebSun1+8,FebSun1+15)</f>
        <v>41315</v>
      </c>
      <c r="D6" s="10">
        <f>IF(DAY(FebSun1)=1,FebSun1+9,FebSun1+16)</f>
        <v>41316</v>
      </c>
      <c r="E6" s="27">
        <f>IF(DAY(FebSun1)=1,FebSun1+10,FebSun1+17)</f>
        <v>41317</v>
      </c>
      <c r="F6" s="10">
        <f>IF(DAY(FebSun1)=1,FebSun1+11,FebSun1+18)</f>
        <v>41318</v>
      </c>
      <c r="G6" s="10">
        <f>IF(DAY(FebSun1)=1,FebSun1+12,FebSun1+19)</f>
        <v>41319</v>
      </c>
      <c r="H6" s="10">
        <f>IF(DAY(FebSun1)=1,FebSun1+13,FebSun1+20)</f>
        <v>41320</v>
      </c>
      <c r="I6" s="10">
        <f>IF(DAY(FebSun1)=1,FebSun1+14,FebSun1+21)</f>
        <v>41321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IF(DAY(FebSun1)=1,FebSun1+15,FebSun1+22)</f>
        <v>41322</v>
      </c>
      <c r="D7" s="10">
        <f>IF(DAY(FebSun1)=1,FebSun1+16,FebSun1+23)</f>
        <v>41323</v>
      </c>
      <c r="E7" s="10">
        <f>IF(DAY(FebSun1)=1,FebSun1+17,FebSun1+24)</f>
        <v>41324</v>
      </c>
      <c r="F7" s="10">
        <f>IF(DAY(FebSun1)=1,FebSun1+18,FebSun1+25)</f>
        <v>41325</v>
      </c>
      <c r="G7" s="10">
        <f>IF(DAY(FebSun1)=1,FebSun1+19,FebSun1+26)</f>
        <v>41326</v>
      </c>
      <c r="H7" s="10">
        <f>IF(DAY(FebSun1)=1,FebSun1+20,FebSun1+27)</f>
        <v>41327</v>
      </c>
      <c r="I7" s="10">
        <f>IF(DAY(FebSun1)=1,FebSun1+21,FebSun1+28)</f>
        <v>41328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IF(DAY(FebSun1)=1,FebSun1+22,FebSun1+29)</f>
        <v>41329</v>
      </c>
      <c r="D8" s="10">
        <f>IF(DAY(FebSun1)=1,FebSun1+23,FebSun1+30)</f>
        <v>41330</v>
      </c>
      <c r="E8" s="10">
        <f>IF(DAY(FebSun1)=1,FebSun1+24,FebSun1+31)</f>
        <v>41331</v>
      </c>
      <c r="F8" s="10">
        <f>IF(DAY(FebSun1)=1,FebSun1+25,FebSun1+32)</f>
        <v>41332</v>
      </c>
      <c r="G8" s="10">
        <f>IF(DAY(FebSun1)=1,FebSun1+26,FebSun1+33)</f>
        <v>41333</v>
      </c>
      <c r="H8" s="10">
        <f>IF(DAY(FebSun1)=1,FebSun1+27,FebSun1+34)</f>
        <v>41334</v>
      </c>
      <c r="I8" s="10">
        <f>IF(DAY(FebSun1)=1,FebSun1+28,FebSun1+35)</f>
        <v>41335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IF(DAY(FebSun1)=1,FebSun1+29,FebSun1+36)</f>
        <v>41336</v>
      </c>
      <c r="D9" s="10">
        <f>IF(DAY(FebSun1)=1,FebSun1+30,FebSun1+37)</f>
        <v>41337</v>
      </c>
      <c r="E9" s="10">
        <f>IF(DAY(FebSun1)=1,FebSun1+31,FebSun1+38)</f>
        <v>41338</v>
      </c>
      <c r="F9" s="10">
        <f>IF(DAY(FebSun1)=1,FebSun1+32,FebSun1+39)</f>
        <v>41339</v>
      </c>
      <c r="G9" s="10">
        <f>IF(DAY(FebSun1)=1,FebSun1+33,FebSun1+40)</f>
        <v>41340</v>
      </c>
      <c r="H9" s="10">
        <f>IF(DAY(FebSun1)=1,FebSun1+34,FebSun1+41)</f>
        <v>41341</v>
      </c>
      <c r="I9" s="10">
        <f>IF(DAY(FebSun1)=1,FebSun1+35,FebSun1+42)</f>
        <v>41342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>
        <v>5</v>
      </c>
      <c r="M11" s="37" t="s">
        <v>48</v>
      </c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>
        <v>12</v>
      </c>
      <c r="M12" s="37" t="s">
        <v>47</v>
      </c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>
        <v>19</v>
      </c>
      <c r="M13" s="37" t="s">
        <v>49</v>
      </c>
      <c r="N13" s="38"/>
    </row>
    <row r="14" spans="1:14" ht="18" customHeight="1" x14ac:dyDescent="0.25">
      <c r="B14" s="8"/>
      <c r="C14" s="39"/>
      <c r="D14" s="40"/>
      <c r="E14" s="39"/>
      <c r="F14" s="40"/>
      <c r="G14" s="39"/>
      <c r="H14" s="40"/>
      <c r="I14" s="39"/>
      <c r="J14" s="45"/>
      <c r="K14" s="11"/>
      <c r="L14" s="17">
        <v>26</v>
      </c>
      <c r="M14" s="37" t="s">
        <v>54</v>
      </c>
      <c r="N14" s="38"/>
    </row>
    <row r="15" spans="1:14" ht="18" customHeight="1" x14ac:dyDescent="0.25">
      <c r="B15" s="6"/>
      <c r="C15" s="34"/>
      <c r="D15" s="35"/>
      <c r="E15" s="34"/>
      <c r="F15" s="35"/>
      <c r="G15" s="34"/>
      <c r="H15" s="35"/>
      <c r="I15" s="50"/>
      <c r="J15" s="51"/>
      <c r="K15" s="13"/>
      <c r="L15" s="19"/>
      <c r="M15" s="52"/>
      <c r="N15" s="53"/>
    </row>
    <row r="16" spans="1:14" ht="18" customHeight="1" x14ac:dyDescent="0.25">
      <c r="B16" s="8"/>
      <c r="C16" s="39"/>
      <c r="D16" s="40"/>
      <c r="E16" s="39"/>
      <c r="F16" s="40"/>
      <c r="G16" s="39"/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/>
      <c r="D17" s="35"/>
      <c r="E17" s="34"/>
      <c r="F17" s="35"/>
      <c r="G17" s="34"/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/>
      <c r="C18" s="58"/>
      <c r="D18" s="59"/>
      <c r="E18" s="58"/>
      <c r="F18" s="59"/>
      <c r="G18" s="58"/>
      <c r="H18" s="59"/>
      <c r="I18" s="58"/>
      <c r="J18" s="60"/>
      <c r="K18" s="57"/>
      <c r="L18" s="17"/>
      <c r="M18" s="37"/>
      <c r="N18" s="38"/>
    </row>
    <row r="19" spans="2:14" ht="18" customHeight="1" x14ac:dyDescent="0.25">
      <c r="B19" s="6"/>
      <c r="C19" s="34"/>
      <c r="D19" s="35"/>
      <c r="E19" s="34"/>
      <c r="F19" s="35"/>
      <c r="G19" s="34"/>
      <c r="H19" s="35"/>
      <c r="I19" s="50"/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/>
      <c r="C26" s="39"/>
      <c r="D26" s="40"/>
      <c r="E26" s="39"/>
      <c r="F26" s="40"/>
      <c r="G26" s="39"/>
      <c r="H26" s="40"/>
      <c r="I26" s="39"/>
      <c r="J26" s="45"/>
      <c r="K26" s="11"/>
      <c r="L26" s="17"/>
      <c r="M26" s="37"/>
      <c r="N26" s="38"/>
    </row>
    <row r="27" spans="2:14" ht="18" customHeight="1" x14ac:dyDescent="0.25">
      <c r="B27" s="6"/>
      <c r="C27" s="34"/>
      <c r="D27" s="35"/>
      <c r="E27" s="34"/>
      <c r="F27" s="35"/>
      <c r="G27" s="34"/>
      <c r="H27" s="35"/>
      <c r="I27" s="50"/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>
        <v>1</v>
      </c>
      <c r="M29" s="37" t="s">
        <v>46</v>
      </c>
      <c r="N29" s="38"/>
    </row>
    <row r="30" spans="2:14" ht="18" customHeight="1" x14ac:dyDescent="0.25">
      <c r="B30" s="8"/>
      <c r="C30" s="39"/>
      <c r="D30" s="40"/>
      <c r="E30" s="39"/>
      <c r="F30" s="40"/>
      <c r="G30" s="39"/>
      <c r="H30" s="40"/>
      <c r="I30" s="43"/>
      <c r="J30" s="44"/>
      <c r="K30" s="47"/>
      <c r="L30" s="17">
        <v>15</v>
      </c>
      <c r="M30" s="37" t="s">
        <v>50</v>
      </c>
      <c r="N30" s="38"/>
    </row>
    <row r="31" spans="2:14" ht="18" customHeight="1" x14ac:dyDescent="0.25">
      <c r="B31" s="6"/>
      <c r="C31" s="34"/>
      <c r="D31" s="35"/>
      <c r="E31" s="34"/>
      <c r="F31" s="35"/>
      <c r="G31" s="34"/>
      <c r="H31" s="35"/>
      <c r="I31" s="34"/>
      <c r="J31" s="36"/>
      <c r="K31" s="14"/>
      <c r="L31" s="17">
        <v>22</v>
      </c>
      <c r="M31" s="37" t="s">
        <v>56</v>
      </c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>
        <v>22</v>
      </c>
      <c r="M32" s="37" t="s">
        <v>58</v>
      </c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35" priority="3" stopIfTrue="1">
      <formula>DAY(C4)&gt;8</formula>
    </cfRule>
  </conditionalFormatting>
  <conditionalFormatting sqref="C8:I10">
    <cfRule type="expression" dxfId="34" priority="2" stopIfTrue="1">
      <formula>AND(DAY(C8)&gt;=1,DAY(C8)&lt;=15)</formula>
    </cfRule>
  </conditionalFormatting>
  <conditionalFormatting sqref="C4:I9">
    <cfRule type="expression" dxfId="33" priority="4">
      <formula>VLOOKUP(DAY(C4),AssignmentDays,1,FALSE)=DAY(C4)</formula>
    </cfRule>
  </conditionalFormatting>
  <conditionalFormatting sqref="B14:J33">
    <cfRule type="expression" dxfId="32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24</v>
      </c>
      <c r="C2" s="21"/>
      <c r="D2" s="21"/>
      <c r="E2" s="21"/>
      <c r="F2" s="21"/>
      <c r="G2" s="21"/>
      <c r="H2" s="21"/>
      <c r="I2" s="21"/>
      <c r="J2" s="22"/>
      <c r="K2" s="70" t="s">
        <v>34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IF(DAY(MarSun1)=1,MarSun1-6,MarSun1+1)</f>
        <v>41329</v>
      </c>
      <c r="D4" s="10">
        <f>IF(DAY(MarSun1)=1,MarSun1-5,MarSun1+2)</f>
        <v>41330</v>
      </c>
      <c r="E4" s="10">
        <f>IF(DAY(MarSun1)=1,MarSun1-4,MarSun1+3)</f>
        <v>41331</v>
      </c>
      <c r="F4" s="10">
        <f>IF(DAY(MarSun1)=1,MarSun1-3,MarSun1+4)</f>
        <v>41332</v>
      </c>
      <c r="G4" s="10">
        <f>IF(DAY(MarSun1)=1,MarSun1-2,MarSun1+5)</f>
        <v>41333</v>
      </c>
      <c r="H4" s="10">
        <f>IF(DAY(MarSun1)=1,MarSun1-1,MarSun1+6)</f>
        <v>41334</v>
      </c>
      <c r="I4" s="10">
        <f>IF(DAY(MarSun1)=1,MarSun1,MarSun1+7)</f>
        <v>41335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IF(DAY(MarSun1)=1,MarSun1+1,MarSun1+8)</f>
        <v>41336</v>
      </c>
      <c r="D5" s="10">
        <f>IF(DAY(MarSun1)=1,MarSun1+2,MarSun1+9)</f>
        <v>41337</v>
      </c>
      <c r="E5" s="10">
        <f>IF(DAY(MarSun1)=1,MarSun1+3,MarSun1+10)</f>
        <v>41338</v>
      </c>
      <c r="F5" s="10">
        <f>IF(DAY(MarSun1)=1,MarSun1+4,MarSun1+11)</f>
        <v>41339</v>
      </c>
      <c r="G5" s="10">
        <f>IF(DAY(MarSun1)=1,MarSun1+5,MarSun1+12)</f>
        <v>41340</v>
      </c>
      <c r="H5" s="10">
        <f>IF(DAY(MarSun1)=1,MarSun1+6,MarSun1+13)</f>
        <v>41341</v>
      </c>
      <c r="I5" s="10">
        <f>IF(DAY(MarSun1)=1,MarSun1+7,MarSun1+14)</f>
        <v>41342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IF(DAY(MarSun1)=1,MarSun1+8,MarSun1+15)</f>
        <v>41343</v>
      </c>
      <c r="D6" s="10">
        <f>IF(DAY(MarSun1)=1,MarSun1+9,MarSun1+16)</f>
        <v>41344</v>
      </c>
      <c r="E6" s="10">
        <f>IF(DAY(MarSun1)=1,MarSun1+10,MarSun1+17)</f>
        <v>41345</v>
      </c>
      <c r="F6" s="10">
        <f>IF(DAY(MarSun1)=1,MarSun1+11,MarSun1+18)</f>
        <v>41346</v>
      </c>
      <c r="G6" s="10">
        <f>IF(DAY(MarSun1)=1,MarSun1+12,MarSun1+19)</f>
        <v>41347</v>
      </c>
      <c r="H6" s="10">
        <f>IF(DAY(MarSun1)=1,MarSun1+13,MarSun1+20)</f>
        <v>41348</v>
      </c>
      <c r="I6" s="10">
        <f>IF(DAY(MarSun1)=1,MarSun1+14,MarSun1+21)</f>
        <v>41349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IF(DAY(MarSun1)=1,MarSun1+15,MarSun1+22)</f>
        <v>41350</v>
      </c>
      <c r="D7" s="10">
        <f>IF(DAY(MarSun1)=1,MarSun1+16,MarSun1+23)</f>
        <v>41351</v>
      </c>
      <c r="E7" s="10">
        <f>IF(DAY(MarSun1)=1,MarSun1+17,MarSun1+24)</f>
        <v>41352</v>
      </c>
      <c r="F7" s="10">
        <f>IF(DAY(MarSun1)=1,MarSun1+18,MarSun1+25)</f>
        <v>41353</v>
      </c>
      <c r="G7" s="10">
        <f>IF(DAY(MarSun1)=1,MarSun1+19,MarSun1+26)</f>
        <v>41354</v>
      </c>
      <c r="H7" s="10">
        <f>IF(DAY(MarSun1)=1,MarSun1+20,MarSun1+27)</f>
        <v>41355</v>
      </c>
      <c r="I7" s="10">
        <f>IF(DAY(MarSun1)=1,MarSun1+21,MarSun1+28)</f>
        <v>41356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IF(DAY(MarSun1)=1,MarSun1+22,MarSun1+29)</f>
        <v>41357</v>
      </c>
      <c r="D8" s="10">
        <f>IF(DAY(MarSun1)=1,MarSun1+23,MarSun1+30)</f>
        <v>41358</v>
      </c>
      <c r="E8" s="10">
        <f>IF(DAY(MarSun1)=1,MarSun1+24,MarSun1+31)</f>
        <v>41359</v>
      </c>
      <c r="F8" s="10">
        <f>IF(DAY(MarSun1)=1,MarSun1+25,MarSun1+32)</f>
        <v>41360</v>
      </c>
      <c r="G8" s="10">
        <f>IF(DAY(MarSun1)=1,MarSun1+26,MarSun1+33)</f>
        <v>41361</v>
      </c>
      <c r="H8" s="10">
        <f>IF(DAY(MarSun1)=1,MarSun1+27,MarSun1+34)</f>
        <v>41362</v>
      </c>
      <c r="I8" s="10">
        <f>IF(DAY(MarSun1)=1,MarSun1+28,MarSun1+35)</f>
        <v>41363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IF(DAY(MarSun1)=1,MarSun1+29,MarSun1+36)</f>
        <v>41364</v>
      </c>
      <c r="D9" s="10">
        <f>IF(DAY(MarSun1)=1,MarSun1+30,MarSun1+37)</f>
        <v>41365</v>
      </c>
      <c r="E9" s="10">
        <f>IF(DAY(MarSun1)=1,MarSun1+31,MarSun1+38)</f>
        <v>41366</v>
      </c>
      <c r="F9" s="10">
        <f>IF(DAY(MarSun1)=1,MarSun1+32,MarSun1+39)</f>
        <v>41367</v>
      </c>
      <c r="G9" s="10">
        <f>IF(DAY(MarSun1)=1,MarSun1+33,MarSun1+40)</f>
        <v>41368</v>
      </c>
      <c r="H9" s="10">
        <f>IF(DAY(MarSun1)=1,MarSun1+34,MarSun1+41)</f>
        <v>41369</v>
      </c>
      <c r="I9" s="10">
        <f>IF(DAY(MarSun1)=1,MarSun1+35,MarSun1+42)</f>
        <v>41370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/>
      <c r="C14" s="39"/>
      <c r="D14" s="40"/>
      <c r="E14" s="39"/>
      <c r="F14" s="40"/>
      <c r="G14" s="39"/>
      <c r="H14" s="40"/>
      <c r="I14" s="39"/>
      <c r="J14" s="45"/>
      <c r="K14" s="11"/>
      <c r="L14" s="17"/>
      <c r="M14" s="37"/>
      <c r="N14" s="38"/>
    </row>
    <row r="15" spans="1:14" ht="18" customHeight="1" x14ac:dyDescent="0.25">
      <c r="B15" s="6"/>
      <c r="C15" s="34"/>
      <c r="D15" s="35"/>
      <c r="E15" s="34"/>
      <c r="F15" s="35"/>
      <c r="G15" s="34"/>
      <c r="H15" s="35"/>
      <c r="I15" s="50"/>
      <c r="J15" s="51"/>
      <c r="K15" s="13"/>
      <c r="L15" s="19"/>
      <c r="M15" s="52"/>
      <c r="N15" s="53"/>
    </row>
    <row r="16" spans="1:14" ht="18" customHeight="1" x14ac:dyDescent="0.25">
      <c r="B16" s="8"/>
      <c r="C16" s="39"/>
      <c r="D16" s="40"/>
      <c r="E16" s="39"/>
      <c r="F16" s="40"/>
      <c r="G16" s="39"/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/>
      <c r="D17" s="35"/>
      <c r="E17" s="34"/>
      <c r="F17" s="35"/>
      <c r="G17" s="34"/>
      <c r="H17" s="35"/>
      <c r="I17" s="50"/>
      <c r="J17" s="51"/>
      <c r="K17" s="57"/>
      <c r="L17" s="17">
        <v>6</v>
      </c>
      <c r="M17" s="37" t="s">
        <v>57</v>
      </c>
      <c r="N17" s="38"/>
    </row>
    <row r="18" spans="2:14" ht="18" customHeight="1" x14ac:dyDescent="0.25">
      <c r="B18" s="9"/>
      <c r="C18" s="58"/>
      <c r="D18" s="59"/>
      <c r="E18" s="58"/>
      <c r="F18" s="59"/>
      <c r="G18" s="58"/>
      <c r="H18" s="59"/>
      <c r="I18" s="58"/>
      <c r="J18" s="60"/>
      <c r="K18" s="57"/>
      <c r="L18" s="17">
        <v>20</v>
      </c>
      <c r="M18" s="37" t="s">
        <v>57</v>
      </c>
      <c r="N18" s="38"/>
    </row>
    <row r="19" spans="2:14" ht="18" customHeight="1" x14ac:dyDescent="0.25">
      <c r="B19" s="6"/>
      <c r="C19" s="34"/>
      <c r="D19" s="35"/>
      <c r="E19" s="34"/>
      <c r="F19" s="35"/>
      <c r="G19" s="34"/>
      <c r="H19" s="35"/>
      <c r="I19" s="50"/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/>
      <c r="C26" s="39"/>
      <c r="D26" s="40"/>
      <c r="E26" s="39"/>
      <c r="F26" s="40"/>
      <c r="G26" s="39"/>
      <c r="H26" s="40"/>
      <c r="I26" s="39"/>
      <c r="J26" s="45"/>
      <c r="K26" s="11"/>
      <c r="L26" s="17"/>
      <c r="M26" s="37"/>
      <c r="N26" s="38"/>
    </row>
    <row r="27" spans="2:14" ht="18" customHeight="1" x14ac:dyDescent="0.25">
      <c r="B27" s="6"/>
      <c r="C27" s="34"/>
      <c r="D27" s="35"/>
      <c r="E27" s="34"/>
      <c r="F27" s="35"/>
      <c r="G27" s="34"/>
      <c r="H27" s="35"/>
      <c r="I27" s="50"/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>
        <v>1</v>
      </c>
      <c r="M29" s="37" t="s">
        <v>55</v>
      </c>
      <c r="N29" s="38"/>
    </row>
    <row r="30" spans="2:14" ht="18" customHeight="1" x14ac:dyDescent="0.25">
      <c r="B30" s="8"/>
      <c r="C30" s="39"/>
      <c r="D30" s="40"/>
      <c r="E30" s="39"/>
      <c r="F30" s="40"/>
      <c r="G30" s="39"/>
      <c r="H30" s="40"/>
      <c r="I30" s="43"/>
      <c r="J30" s="44"/>
      <c r="K30" s="47"/>
      <c r="L30" s="17">
        <v>8</v>
      </c>
      <c r="M30" s="37" t="s">
        <v>59</v>
      </c>
      <c r="N30" s="38"/>
    </row>
    <row r="31" spans="2:14" ht="18" customHeight="1" x14ac:dyDescent="0.25">
      <c r="B31" s="6"/>
      <c r="C31" s="34"/>
      <c r="D31" s="35"/>
      <c r="E31" s="34"/>
      <c r="F31" s="35"/>
      <c r="G31" s="34"/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31" priority="3" stopIfTrue="1">
      <formula>DAY(C4)&gt;8</formula>
    </cfRule>
  </conditionalFormatting>
  <conditionalFormatting sqref="C8:I10">
    <cfRule type="expression" dxfId="30" priority="2" stopIfTrue="1">
      <formula>AND(DAY(C8)&gt;=1,DAY(C8)&lt;=15)</formula>
    </cfRule>
  </conditionalFormatting>
  <conditionalFormatting sqref="C4:I9">
    <cfRule type="expression" dxfId="29" priority="4">
      <formula>VLOOKUP(DAY(C4),AssignmentDays,1,FALSE)=DAY(C4)</formula>
    </cfRule>
  </conditionalFormatting>
  <conditionalFormatting sqref="B14:J33">
    <cfRule type="expression" dxfId="28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25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IF(DAY(AprSun1)=1,AprSun1-6,AprSun1+1)</f>
        <v>41364</v>
      </c>
      <c r="D4" s="10">
        <f>IF(DAY(AprSun1)=1,AprSun1-5,AprSun1+2)</f>
        <v>41365</v>
      </c>
      <c r="E4" s="10">
        <f>IF(DAY(AprSun1)=1,AprSun1-4,AprSun1+3)</f>
        <v>41366</v>
      </c>
      <c r="F4" s="10">
        <f>IF(DAY(AprSun1)=1,AprSun1-3,AprSun1+4)</f>
        <v>41367</v>
      </c>
      <c r="G4" s="10">
        <f>IF(DAY(AprSun1)=1,AprSun1-2,AprSun1+5)</f>
        <v>41368</v>
      </c>
      <c r="H4" s="10">
        <f>IF(DAY(AprSun1)=1,AprSun1-1,AprSun1+6)</f>
        <v>41369</v>
      </c>
      <c r="I4" s="10">
        <f>IF(DAY(AprSun1)=1,AprSun1,AprSun1+7)</f>
        <v>41370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IF(DAY(AprSun1)=1,AprSun1+1,AprSun1+8)</f>
        <v>41371</v>
      </c>
      <c r="D5" s="10">
        <f>IF(DAY(AprSun1)=1,AprSun1+2,AprSun1+9)</f>
        <v>41372</v>
      </c>
      <c r="E5" s="10">
        <f>IF(DAY(AprSun1)=1,AprSun1+3,AprSun1+10)</f>
        <v>41373</v>
      </c>
      <c r="F5" s="10">
        <f>IF(DAY(AprSun1)=1,AprSun1+4,AprSun1+11)</f>
        <v>41374</v>
      </c>
      <c r="G5" s="10">
        <f>IF(DAY(AprSun1)=1,AprSun1+5,AprSun1+12)</f>
        <v>41375</v>
      </c>
      <c r="H5" s="10">
        <f>IF(DAY(AprSun1)=1,AprSun1+6,AprSun1+13)</f>
        <v>41376</v>
      </c>
      <c r="I5" s="10">
        <f>IF(DAY(AprSun1)=1,AprSun1+7,AprSun1+14)</f>
        <v>41377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IF(DAY(AprSun1)=1,AprSun1+8,AprSun1+15)</f>
        <v>41378</v>
      </c>
      <c r="D6" s="10">
        <f>IF(DAY(AprSun1)=1,AprSun1+9,AprSun1+16)</f>
        <v>41379</v>
      </c>
      <c r="E6" s="10">
        <f>IF(DAY(AprSun1)=1,AprSun1+10,AprSun1+17)</f>
        <v>41380</v>
      </c>
      <c r="F6" s="10">
        <f>IF(DAY(AprSun1)=1,AprSun1+11,AprSun1+18)</f>
        <v>41381</v>
      </c>
      <c r="G6" s="10">
        <f>IF(DAY(AprSun1)=1,AprSun1+12,AprSun1+19)</f>
        <v>41382</v>
      </c>
      <c r="H6" s="10">
        <f>IF(DAY(AprSun1)=1,AprSun1+13,AprSun1+20)</f>
        <v>41383</v>
      </c>
      <c r="I6" s="10">
        <f>IF(DAY(AprSun1)=1,AprSun1+14,AprSun1+21)</f>
        <v>41384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IF(DAY(AprSun1)=1,AprSun1+15,AprSun1+22)</f>
        <v>41385</v>
      </c>
      <c r="D7" s="10">
        <f>IF(DAY(AprSun1)=1,AprSun1+16,AprSun1+23)</f>
        <v>41386</v>
      </c>
      <c r="E7" s="10">
        <f>IF(DAY(AprSun1)=1,AprSun1+17,AprSun1+24)</f>
        <v>41387</v>
      </c>
      <c r="F7" s="10">
        <f>IF(DAY(AprSun1)=1,AprSun1+18,AprSun1+25)</f>
        <v>41388</v>
      </c>
      <c r="G7" s="10">
        <f>IF(DAY(AprSun1)=1,AprSun1+19,AprSun1+26)</f>
        <v>41389</v>
      </c>
      <c r="H7" s="10">
        <f>IF(DAY(AprSun1)=1,AprSun1+20,AprSun1+27)</f>
        <v>41390</v>
      </c>
      <c r="I7" s="10">
        <f>IF(DAY(AprSun1)=1,AprSun1+21,AprSun1+28)</f>
        <v>41391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IF(DAY(AprSun1)=1,AprSun1+22,AprSun1+29)</f>
        <v>41392</v>
      </c>
      <c r="D8" s="10">
        <f>IF(DAY(AprSun1)=1,AprSun1+23,AprSun1+30)</f>
        <v>41393</v>
      </c>
      <c r="E8" s="10">
        <f>IF(DAY(AprSun1)=1,AprSun1+24,AprSun1+31)</f>
        <v>41394</v>
      </c>
      <c r="F8" s="10">
        <f>IF(DAY(AprSun1)=1,AprSun1+25,AprSun1+32)</f>
        <v>41395</v>
      </c>
      <c r="G8" s="10">
        <f>IF(DAY(AprSun1)=1,AprSun1+26,AprSun1+33)</f>
        <v>41396</v>
      </c>
      <c r="H8" s="10">
        <f>IF(DAY(AprSun1)=1,AprSun1+27,AprSun1+34)</f>
        <v>41397</v>
      </c>
      <c r="I8" s="10">
        <f>IF(DAY(AprSun1)=1,AprSun1+28,AprSun1+35)</f>
        <v>41398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IF(DAY(AprSun1)=1,AprSun1+29,AprSun1+36)</f>
        <v>41399</v>
      </c>
      <c r="D9" s="10">
        <f>IF(DAY(AprSun1)=1,AprSun1+30,AprSun1+37)</f>
        <v>41400</v>
      </c>
      <c r="E9" s="10">
        <f>IF(DAY(AprSun1)=1,AprSun1+31,AprSun1+38)</f>
        <v>41401</v>
      </c>
      <c r="F9" s="10">
        <f>IF(DAY(AprSun1)=1,AprSun1+32,AprSun1+39)</f>
        <v>41402</v>
      </c>
      <c r="G9" s="10">
        <f>IF(DAY(AprSun1)=1,AprSun1+33,AprSun1+40)</f>
        <v>41403</v>
      </c>
      <c r="H9" s="10">
        <f>IF(DAY(AprSun1)=1,AprSun1+34,AprSun1+41)</f>
        <v>41404</v>
      </c>
      <c r="I9" s="10">
        <f>IF(DAY(AprSun1)=1,AprSun1+35,AprSun1+42)</f>
        <v>41405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27" priority="3" stopIfTrue="1">
      <formula>DAY(C4)&gt;8</formula>
    </cfRule>
  </conditionalFormatting>
  <conditionalFormatting sqref="C8:I10">
    <cfRule type="expression" dxfId="26" priority="2" stopIfTrue="1">
      <formula>AND(DAY(C8)&gt;=1,DAY(C8)&lt;=15)</formula>
    </cfRule>
  </conditionalFormatting>
  <conditionalFormatting sqref="C4:I9">
    <cfRule type="expression" dxfId="25" priority="4">
      <formula>VLOOKUP(DAY(C4),AssignmentDays,1,FALSE)=DAY(C4)</formula>
    </cfRule>
  </conditionalFormatting>
  <conditionalFormatting sqref="B14:J33">
    <cfRule type="expression" dxfId="24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26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IF(DAY(MaySun1)=1,MaySun1-6,MaySun1+1)</f>
        <v>41392</v>
      </c>
      <c r="D4" s="10">
        <f>IF(DAY(MaySun1)=1,MaySun1-5,MaySun1+2)</f>
        <v>41393</v>
      </c>
      <c r="E4" s="10">
        <f>IF(DAY(MaySun1)=1,MaySun1-4,MaySun1+3)</f>
        <v>41394</v>
      </c>
      <c r="F4" s="10">
        <f>IF(DAY(MaySun1)=1,MaySun1-3,MaySun1+4)</f>
        <v>41395</v>
      </c>
      <c r="G4" s="10">
        <f>IF(DAY(MaySun1)=1,MaySun1-2,MaySun1+5)</f>
        <v>41396</v>
      </c>
      <c r="H4" s="10">
        <f>IF(DAY(MaySun1)=1,MaySun1-1,MaySun1+6)</f>
        <v>41397</v>
      </c>
      <c r="I4" s="10">
        <f>IF(DAY(MaySun1)=1,MaySun1,MaySun1+7)</f>
        <v>41398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IF(DAY(MaySun1)=1,MaySun1+1,MaySun1+8)</f>
        <v>41399</v>
      </c>
      <c r="D5" s="10">
        <f>IF(DAY(MaySun1)=1,MaySun1+2,MaySun1+9)</f>
        <v>41400</v>
      </c>
      <c r="E5" s="10">
        <f>IF(DAY(MaySun1)=1,MaySun1+3,MaySun1+10)</f>
        <v>41401</v>
      </c>
      <c r="F5" s="10">
        <f>IF(DAY(MaySun1)=1,MaySun1+4,MaySun1+11)</f>
        <v>41402</v>
      </c>
      <c r="G5" s="10">
        <f>IF(DAY(MaySun1)=1,MaySun1+5,MaySun1+12)</f>
        <v>41403</v>
      </c>
      <c r="H5" s="10">
        <f>IF(DAY(MaySun1)=1,MaySun1+6,MaySun1+13)</f>
        <v>41404</v>
      </c>
      <c r="I5" s="10">
        <f>IF(DAY(MaySun1)=1,MaySun1+7,MaySun1+14)</f>
        <v>41405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IF(DAY(MaySun1)=1,MaySun1+8,MaySun1+15)</f>
        <v>41406</v>
      </c>
      <c r="D6" s="10">
        <f>IF(DAY(MaySun1)=1,MaySun1+9,MaySun1+16)</f>
        <v>41407</v>
      </c>
      <c r="E6" s="10">
        <f>IF(DAY(MaySun1)=1,MaySun1+10,MaySun1+17)</f>
        <v>41408</v>
      </c>
      <c r="F6" s="10">
        <f>IF(DAY(MaySun1)=1,MaySun1+11,MaySun1+18)</f>
        <v>41409</v>
      </c>
      <c r="G6" s="10">
        <f>IF(DAY(MaySun1)=1,MaySun1+12,MaySun1+19)</f>
        <v>41410</v>
      </c>
      <c r="H6" s="10">
        <f>IF(DAY(MaySun1)=1,MaySun1+13,MaySun1+20)</f>
        <v>41411</v>
      </c>
      <c r="I6" s="10">
        <f>IF(DAY(MaySun1)=1,MaySun1+14,MaySun1+21)</f>
        <v>41412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IF(DAY(MaySun1)=1,MaySun1+15,MaySun1+22)</f>
        <v>41413</v>
      </c>
      <c r="D7" s="10">
        <f>IF(DAY(MaySun1)=1,MaySun1+16,MaySun1+23)</f>
        <v>41414</v>
      </c>
      <c r="E7" s="10">
        <f>IF(DAY(MaySun1)=1,MaySun1+17,MaySun1+24)</f>
        <v>41415</v>
      </c>
      <c r="F7" s="10">
        <f>IF(DAY(MaySun1)=1,MaySun1+18,MaySun1+25)</f>
        <v>41416</v>
      </c>
      <c r="G7" s="10">
        <f>IF(DAY(MaySun1)=1,MaySun1+19,MaySun1+26)</f>
        <v>41417</v>
      </c>
      <c r="H7" s="10">
        <f>IF(DAY(MaySun1)=1,MaySun1+20,MaySun1+27)</f>
        <v>41418</v>
      </c>
      <c r="I7" s="10">
        <f>IF(DAY(MaySun1)=1,MaySun1+21,MaySun1+28)</f>
        <v>41419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IF(DAY(MaySun1)=1,MaySun1+22,MaySun1+29)</f>
        <v>41420</v>
      </c>
      <c r="D8" s="10">
        <f>IF(DAY(MaySun1)=1,MaySun1+23,MaySun1+30)</f>
        <v>41421</v>
      </c>
      <c r="E8" s="10">
        <f>IF(DAY(MaySun1)=1,MaySun1+24,MaySun1+31)</f>
        <v>41422</v>
      </c>
      <c r="F8" s="10">
        <f>IF(DAY(MaySun1)=1,MaySun1+25,MaySun1+32)</f>
        <v>41423</v>
      </c>
      <c r="G8" s="10">
        <f>IF(DAY(MaySun1)=1,MaySun1+26,MaySun1+33)</f>
        <v>41424</v>
      </c>
      <c r="H8" s="10">
        <f>IF(DAY(MaySun1)=1,MaySun1+27,MaySun1+34)</f>
        <v>41425</v>
      </c>
      <c r="I8" s="10">
        <f>IF(DAY(MaySun1)=1,MaySun1+28,MaySun1+35)</f>
        <v>41426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IF(DAY(MaySun1)=1,MaySun1+29,MaySun1+36)</f>
        <v>41427</v>
      </c>
      <c r="D9" s="10">
        <f>IF(DAY(MaySun1)=1,MaySun1+30,MaySun1+37)</f>
        <v>41428</v>
      </c>
      <c r="E9" s="10">
        <f>IF(DAY(MaySun1)=1,MaySun1+31,MaySun1+38)</f>
        <v>41429</v>
      </c>
      <c r="F9" s="10">
        <f>IF(DAY(MaySun1)=1,MaySun1+32,MaySun1+39)</f>
        <v>41430</v>
      </c>
      <c r="G9" s="10">
        <f>IF(DAY(MaySun1)=1,MaySun1+33,MaySun1+40)</f>
        <v>41431</v>
      </c>
      <c r="H9" s="10">
        <f>IF(DAY(MaySun1)=1,MaySun1+34,MaySun1+41)</f>
        <v>41432</v>
      </c>
      <c r="I9" s="10">
        <f>IF(DAY(MaySun1)=1,MaySun1+35,MaySun1+42)</f>
        <v>41433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23" priority="3" stopIfTrue="1">
      <formula>DAY(C4)&gt;8</formula>
    </cfRule>
  </conditionalFormatting>
  <conditionalFormatting sqref="C8:I10">
    <cfRule type="expression" dxfId="22" priority="2" stopIfTrue="1">
      <formula>AND(DAY(C8)&gt;=1,DAY(C8)&lt;=15)</formula>
    </cfRule>
  </conditionalFormatting>
  <conditionalFormatting sqref="C4:I9">
    <cfRule type="expression" dxfId="21" priority="4">
      <formula>VLOOKUP(DAY(C4),AssignmentDays,1,FALSE)=DAY(C4)</formula>
    </cfRule>
  </conditionalFormatting>
  <conditionalFormatting sqref="B14:J33">
    <cfRule type="expression" dxfId="20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27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IF(DAY(JunSun1)=1,JunSun1-6,JunSun1+1)</f>
        <v>41420</v>
      </c>
      <c r="D4" s="10">
        <f>IF(DAY(JunSun1)=1,JunSun1-5,JunSun1+2)</f>
        <v>41421</v>
      </c>
      <c r="E4" s="10">
        <f>IF(DAY(JunSun1)=1,JunSun1-4,JunSun1+3)</f>
        <v>41422</v>
      </c>
      <c r="F4" s="10">
        <f>IF(DAY(JunSun1)=1,JunSun1-3,JunSun1+4)</f>
        <v>41423</v>
      </c>
      <c r="G4" s="10">
        <f>IF(DAY(JunSun1)=1,JunSun1-2,JunSun1+5)</f>
        <v>41424</v>
      </c>
      <c r="H4" s="10">
        <f>IF(DAY(JunSun1)=1,JunSun1-1,JunSun1+6)</f>
        <v>41425</v>
      </c>
      <c r="I4" s="10">
        <f>IF(DAY(JunSun1)=1,JunSun1,JunSun1+7)</f>
        <v>41426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IF(DAY(JunSun1)=1,JunSun1+1,JunSun1+8)</f>
        <v>41427</v>
      </c>
      <c r="D5" s="10">
        <f>IF(DAY(JunSun1)=1,JunSun1+2,JunSun1+9)</f>
        <v>41428</v>
      </c>
      <c r="E5" s="10">
        <f>IF(DAY(JunSun1)=1,JunSun1+3,JunSun1+10)</f>
        <v>41429</v>
      </c>
      <c r="F5" s="10">
        <f>IF(DAY(JunSun1)=1,JunSun1+4,JunSun1+11)</f>
        <v>41430</v>
      </c>
      <c r="G5" s="10">
        <f>IF(DAY(JunSun1)=1,JunSun1+5,JunSun1+12)</f>
        <v>41431</v>
      </c>
      <c r="H5" s="10">
        <f>IF(DAY(JunSun1)=1,JunSun1+6,JunSun1+13)</f>
        <v>41432</v>
      </c>
      <c r="I5" s="10">
        <f>IF(DAY(JunSun1)=1,JunSun1+7,JunSun1+14)</f>
        <v>41433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IF(DAY(JunSun1)=1,JunSun1+8,JunSun1+15)</f>
        <v>41434</v>
      </c>
      <c r="D6" s="10">
        <f>IF(DAY(JunSun1)=1,JunSun1+9,JunSun1+16)</f>
        <v>41435</v>
      </c>
      <c r="E6" s="10">
        <f>IF(DAY(JunSun1)=1,JunSun1+10,JunSun1+17)</f>
        <v>41436</v>
      </c>
      <c r="F6" s="10">
        <f>IF(DAY(JunSun1)=1,JunSun1+11,JunSun1+18)</f>
        <v>41437</v>
      </c>
      <c r="G6" s="10">
        <f>IF(DAY(JunSun1)=1,JunSun1+12,JunSun1+19)</f>
        <v>41438</v>
      </c>
      <c r="H6" s="10">
        <f>IF(DAY(JunSun1)=1,JunSun1+13,JunSun1+20)</f>
        <v>41439</v>
      </c>
      <c r="I6" s="10">
        <f>IF(DAY(JunSun1)=1,JunSun1+14,JunSun1+21)</f>
        <v>41440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IF(DAY(JunSun1)=1,JunSun1+15,JunSun1+22)</f>
        <v>41441</v>
      </c>
      <c r="D7" s="10">
        <f>IF(DAY(JunSun1)=1,JunSun1+16,JunSun1+23)</f>
        <v>41442</v>
      </c>
      <c r="E7" s="10">
        <f>IF(DAY(JunSun1)=1,JunSun1+17,JunSun1+24)</f>
        <v>41443</v>
      </c>
      <c r="F7" s="10">
        <f>IF(DAY(JunSun1)=1,JunSun1+18,JunSun1+25)</f>
        <v>41444</v>
      </c>
      <c r="G7" s="10">
        <f>IF(DAY(JunSun1)=1,JunSun1+19,JunSun1+26)</f>
        <v>41445</v>
      </c>
      <c r="H7" s="10">
        <f>IF(DAY(JunSun1)=1,JunSun1+20,JunSun1+27)</f>
        <v>41446</v>
      </c>
      <c r="I7" s="10">
        <f>IF(DAY(JunSun1)=1,JunSun1+21,JunSun1+28)</f>
        <v>41447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IF(DAY(JunSun1)=1,JunSun1+22,JunSun1+29)</f>
        <v>41448</v>
      </c>
      <c r="D8" s="10">
        <f>IF(DAY(JunSun1)=1,JunSun1+23,JunSun1+30)</f>
        <v>41449</v>
      </c>
      <c r="E8" s="10">
        <f>IF(DAY(JunSun1)=1,JunSun1+24,JunSun1+31)</f>
        <v>41450</v>
      </c>
      <c r="F8" s="10">
        <f>IF(DAY(JunSun1)=1,JunSun1+25,JunSun1+32)</f>
        <v>41451</v>
      </c>
      <c r="G8" s="10">
        <f>IF(DAY(JunSun1)=1,JunSun1+26,JunSun1+33)</f>
        <v>41452</v>
      </c>
      <c r="H8" s="10">
        <f>IF(DAY(JunSun1)=1,JunSun1+27,JunSun1+34)</f>
        <v>41453</v>
      </c>
      <c r="I8" s="10">
        <f>IF(DAY(JunSun1)=1,JunSun1+28,JunSun1+35)</f>
        <v>41454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IF(DAY(JunSun1)=1,JunSun1+29,JunSun1+36)</f>
        <v>41455</v>
      </c>
      <c r="D9" s="10">
        <f>IF(DAY(JunSun1)=1,JunSun1+30,JunSun1+37)</f>
        <v>41456</v>
      </c>
      <c r="E9" s="10">
        <f>IF(DAY(JunSun1)=1,JunSun1+31,JunSun1+38)</f>
        <v>41457</v>
      </c>
      <c r="F9" s="10">
        <f>IF(DAY(JunSun1)=1,JunSun1+32,JunSun1+39)</f>
        <v>41458</v>
      </c>
      <c r="G9" s="10">
        <f>IF(DAY(JunSun1)=1,JunSun1+33,JunSun1+40)</f>
        <v>41459</v>
      </c>
      <c r="H9" s="10">
        <f>IF(DAY(JunSun1)=1,JunSun1+34,JunSun1+41)</f>
        <v>41460</v>
      </c>
      <c r="I9" s="10">
        <f>IF(DAY(JunSun1)=1,JunSun1+35,JunSun1+42)</f>
        <v>41461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19" priority="3" stopIfTrue="1">
      <formula>DAY(C4)&gt;8</formula>
    </cfRule>
  </conditionalFormatting>
  <conditionalFormatting sqref="C8:I10">
    <cfRule type="expression" dxfId="18" priority="2" stopIfTrue="1">
      <formula>AND(DAY(C8)&gt;=1,DAY(C8)&lt;=15)</formula>
    </cfRule>
  </conditionalFormatting>
  <conditionalFormatting sqref="C4:I9">
    <cfRule type="expression" dxfId="17" priority="4">
      <formula>VLOOKUP(DAY(C4),AssignmentDays,1,FALSE)=DAY(C4)</formula>
    </cfRule>
  </conditionalFormatting>
  <conditionalFormatting sqref="B14:J33">
    <cfRule type="expression" dxfId="16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AO33"/>
  <sheetViews>
    <sheetView showGridLines="0" zoomScaleNormal="100" zoomScalePageLayoutView="84" workbookViewId="0"/>
  </sheetViews>
  <sheetFormatPr defaultColWidth="8.6640625" defaultRowHeight="16.5" customHeight="1" x14ac:dyDescent="0.25"/>
  <cols>
    <col min="1" max="1" width="2.33203125" style="1" customWidth="1"/>
    <col min="2" max="2" width="12.6640625" style="1" customWidth="1"/>
    <col min="3" max="10" width="6.6640625" style="1" customWidth="1"/>
    <col min="11" max="11" width="7.33203125" style="1" customWidth="1"/>
    <col min="12" max="12" width="3.88671875" customWidth="1"/>
    <col min="13" max="13" width="51.44140625" style="1" customWidth="1"/>
    <col min="14" max="14" width="10.6640625" style="1" customWidth="1"/>
    <col min="15" max="15" width="2.33203125" customWidth="1"/>
    <col min="16" max="22" width="8.88671875" customWidth="1"/>
    <col min="42" max="16384" width="8.6640625" style="1"/>
  </cols>
  <sheetData>
    <row r="1" spans="1:14" ht="11.25" customHeight="1" x14ac:dyDescent="0.25"/>
    <row r="2" spans="1:14" ht="18" customHeight="1" x14ac:dyDescent="0.25">
      <c r="A2" s="4"/>
      <c r="B2" s="67" t="s">
        <v>28</v>
      </c>
      <c r="C2" s="21"/>
      <c r="D2" s="21"/>
      <c r="E2" s="21"/>
      <c r="F2" s="21"/>
      <c r="G2" s="21"/>
      <c r="H2" s="21"/>
      <c r="I2" s="21"/>
      <c r="J2" s="22"/>
      <c r="K2" s="70" t="s">
        <v>6</v>
      </c>
      <c r="L2" s="71">
        <v>2013</v>
      </c>
      <c r="M2" s="71"/>
      <c r="N2" s="25"/>
    </row>
    <row r="3" spans="1:14" ht="21" customHeight="1" x14ac:dyDescent="0.25">
      <c r="A3" s="4"/>
      <c r="B3" s="68"/>
      <c r="C3" s="2" t="s">
        <v>0</v>
      </c>
      <c r="D3" s="2" t="s">
        <v>1</v>
      </c>
      <c r="E3" s="2" t="s">
        <v>2</v>
      </c>
      <c r="F3" s="2" t="s">
        <v>3</v>
      </c>
      <c r="G3" s="2" t="s">
        <v>2</v>
      </c>
      <c r="H3" s="2" t="s">
        <v>4</v>
      </c>
      <c r="I3" s="2" t="s">
        <v>0</v>
      </c>
      <c r="J3" s="5"/>
      <c r="K3" s="72"/>
      <c r="L3" s="73"/>
      <c r="M3" s="73"/>
      <c r="N3" s="26"/>
    </row>
    <row r="4" spans="1:14" ht="18" customHeight="1" x14ac:dyDescent="0.25">
      <c r="A4" s="4"/>
      <c r="B4" s="68"/>
      <c r="C4" s="10">
        <f>IF(DAY(JulSun1)=1,JulSun1-6,JulSun1+1)</f>
        <v>41455</v>
      </c>
      <c r="D4" s="10">
        <f>IF(DAY(JulSun1)=1,JulSun1-5,JulSun1+2)</f>
        <v>41456</v>
      </c>
      <c r="E4" s="10">
        <f>IF(DAY(JulSun1)=1,JulSun1-4,JulSun1+3)</f>
        <v>41457</v>
      </c>
      <c r="F4" s="10">
        <f>IF(DAY(JulSun1)=1,JulSun1-3,JulSun1+4)</f>
        <v>41458</v>
      </c>
      <c r="G4" s="10">
        <f>IF(DAY(JulSun1)=1,JulSun1-2,JulSun1+5)</f>
        <v>41459</v>
      </c>
      <c r="H4" s="10">
        <f>IF(DAY(JulSun1)=1,JulSun1-1,JulSun1+6)</f>
        <v>41460</v>
      </c>
      <c r="I4" s="10">
        <f>IF(DAY(JulSun1)=1,JulSun1,JulSun1+7)</f>
        <v>41461</v>
      </c>
      <c r="J4" s="5"/>
      <c r="K4" s="74" t="s">
        <v>5</v>
      </c>
      <c r="L4" s="16"/>
      <c r="M4" s="75"/>
      <c r="N4" s="76"/>
    </row>
    <row r="5" spans="1:14" ht="18" customHeight="1" x14ac:dyDescent="0.25">
      <c r="A5" s="4"/>
      <c r="B5" s="68"/>
      <c r="C5" s="10">
        <f>IF(DAY(JulSun1)=1,JulSun1+1,JulSun1+8)</f>
        <v>41462</v>
      </c>
      <c r="D5" s="10">
        <f>IF(DAY(JulSun1)=1,JulSun1+2,JulSun1+9)</f>
        <v>41463</v>
      </c>
      <c r="E5" s="10">
        <f>IF(DAY(JulSun1)=1,JulSun1+3,JulSun1+10)</f>
        <v>41464</v>
      </c>
      <c r="F5" s="10">
        <f>IF(DAY(JulSun1)=1,JulSun1+4,JulSun1+11)</f>
        <v>41465</v>
      </c>
      <c r="G5" s="10">
        <f>IF(DAY(JulSun1)=1,JulSun1+5,JulSun1+12)</f>
        <v>41466</v>
      </c>
      <c r="H5" s="10">
        <f>IF(DAY(JulSun1)=1,JulSun1+6,JulSun1+13)</f>
        <v>41467</v>
      </c>
      <c r="I5" s="10">
        <f>IF(DAY(JulSun1)=1,JulSun1+7,JulSun1+14)</f>
        <v>41468</v>
      </c>
      <c r="J5" s="5"/>
      <c r="K5" s="47"/>
      <c r="L5" s="17"/>
      <c r="M5" s="37"/>
      <c r="N5" s="38"/>
    </row>
    <row r="6" spans="1:14" ht="18" customHeight="1" x14ac:dyDescent="0.25">
      <c r="A6" s="4"/>
      <c r="B6" s="68"/>
      <c r="C6" s="10">
        <f>IF(DAY(JulSun1)=1,JulSun1+8,JulSun1+15)</f>
        <v>41469</v>
      </c>
      <c r="D6" s="10">
        <f>IF(DAY(JulSun1)=1,JulSun1+9,JulSun1+16)</f>
        <v>41470</v>
      </c>
      <c r="E6" s="10">
        <f>IF(DAY(JulSun1)=1,JulSun1+10,JulSun1+17)</f>
        <v>41471</v>
      </c>
      <c r="F6" s="10">
        <f>IF(DAY(JulSun1)=1,JulSun1+11,JulSun1+18)</f>
        <v>41472</v>
      </c>
      <c r="G6" s="10">
        <f>IF(DAY(JulSun1)=1,JulSun1+12,JulSun1+19)</f>
        <v>41473</v>
      </c>
      <c r="H6" s="10">
        <f>IF(DAY(JulSun1)=1,JulSun1+13,JulSun1+20)</f>
        <v>41474</v>
      </c>
      <c r="I6" s="10">
        <f>IF(DAY(JulSun1)=1,JulSun1+14,JulSun1+21)</f>
        <v>41475</v>
      </c>
      <c r="J6" s="5"/>
      <c r="K6" s="47"/>
      <c r="L6" s="17"/>
      <c r="M6" s="37"/>
      <c r="N6" s="38"/>
    </row>
    <row r="7" spans="1:14" ht="18" customHeight="1" x14ac:dyDescent="0.25">
      <c r="A7" s="4"/>
      <c r="B7" s="68"/>
      <c r="C7" s="10">
        <f>IF(DAY(JulSun1)=1,JulSun1+15,JulSun1+22)</f>
        <v>41476</v>
      </c>
      <c r="D7" s="10">
        <f>IF(DAY(JulSun1)=1,JulSun1+16,JulSun1+23)</f>
        <v>41477</v>
      </c>
      <c r="E7" s="10">
        <f>IF(DAY(JulSun1)=1,JulSun1+17,JulSun1+24)</f>
        <v>41478</v>
      </c>
      <c r="F7" s="10">
        <f>IF(DAY(JulSun1)=1,JulSun1+18,JulSun1+25)</f>
        <v>41479</v>
      </c>
      <c r="G7" s="10">
        <f>IF(DAY(JulSun1)=1,JulSun1+19,JulSun1+26)</f>
        <v>41480</v>
      </c>
      <c r="H7" s="10">
        <f>IF(DAY(JulSun1)=1,JulSun1+20,JulSun1+27)</f>
        <v>41481</v>
      </c>
      <c r="I7" s="10">
        <f>IF(DAY(JulSun1)=1,JulSun1+21,JulSun1+28)</f>
        <v>41482</v>
      </c>
      <c r="J7" s="5"/>
      <c r="K7" s="11"/>
      <c r="L7" s="17"/>
      <c r="M7" s="37"/>
      <c r="N7" s="38"/>
    </row>
    <row r="8" spans="1:14" ht="18.75" customHeight="1" x14ac:dyDescent="0.25">
      <c r="A8" s="4"/>
      <c r="B8" s="68"/>
      <c r="C8" s="10">
        <f>IF(DAY(JulSun1)=1,JulSun1+22,JulSun1+29)</f>
        <v>41483</v>
      </c>
      <c r="D8" s="10">
        <f>IF(DAY(JulSun1)=1,JulSun1+23,JulSun1+30)</f>
        <v>41484</v>
      </c>
      <c r="E8" s="10">
        <f>IF(DAY(JulSun1)=1,JulSun1+24,JulSun1+31)</f>
        <v>41485</v>
      </c>
      <c r="F8" s="10">
        <f>IF(DAY(JulSun1)=1,JulSun1+25,JulSun1+32)</f>
        <v>41486</v>
      </c>
      <c r="G8" s="10">
        <f>IF(DAY(JulSun1)=1,JulSun1+26,JulSun1+33)</f>
        <v>41487</v>
      </c>
      <c r="H8" s="10">
        <f>IF(DAY(JulSun1)=1,JulSun1+27,JulSun1+34)</f>
        <v>41488</v>
      </c>
      <c r="I8" s="10">
        <f>IF(DAY(JulSun1)=1,JulSun1+28,JulSun1+35)</f>
        <v>41489</v>
      </c>
      <c r="J8" s="5"/>
      <c r="K8" s="11"/>
      <c r="L8" s="17"/>
      <c r="M8" s="37"/>
      <c r="N8" s="38"/>
    </row>
    <row r="9" spans="1:14" ht="18" customHeight="1" x14ac:dyDescent="0.25">
      <c r="A9" s="4"/>
      <c r="B9" s="68"/>
      <c r="C9" s="10">
        <f>IF(DAY(JulSun1)=1,JulSun1+29,JulSun1+36)</f>
        <v>41490</v>
      </c>
      <c r="D9" s="10">
        <f>IF(DAY(JulSun1)=1,JulSun1+30,JulSun1+37)</f>
        <v>41491</v>
      </c>
      <c r="E9" s="10">
        <f>IF(DAY(JulSun1)=1,JulSun1+31,JulSun1+38)</f>
        <v>41492</v>
      </c>
      <c r="F9" s="10">
        <f>IF(DAY(JulSun1)=1,JulSun1+32,JulSun1+39)</f>
        <v>41493</v>
      </c>
      <c r="G9" s="10">
        <f>IF(DAY(JulSun1)=1,JulSun1+33,JulSun1+40)</f>
        <v>41494</v>
      </c>
      <c r="H9" s="10">
        <f>IF(DAY(JulSun1)=1,JulSun1+34,JulSun1+41)</f>
        <v>41495</v>
      </c>
      <c r="I9" s="10">
        <f>IF(DAY(JulSun1)=1,JulSun1+35,JulSun1+42)</f>
        <v>41496</v>
      </c>
      <c r="J9" s="5"/>
      <c r="K9" s="12"/>
      <c r="L9" s="18"/>
      <c r="M9" s="52"/>
      <c r="N9" s="53"/>
    </row>
    <row r="10" spans="1:14" ht="18" customHeight="1" x14ac:dyDescent="0.25">
      <c r="A10" s="4"/>
      <c r="B10" s="69"/>
      <c r="C10" s="23"/>
      <c r="D10" s="23"/>
      <c r="E10" s="23"/>
      <c r="F10" s="23"/>
      <c r="G10" s="23"/>
      <c r="H10" s="23"/>
      <c r="I10" s="23"/>
      <c r="J10" s="24"/>
      <c r="K10" s="46" t="s">
        <v>7</v>
      </c>
      <c r="L10" s="16"/>
      <c r="M10" s="48"/>
      <c r="N10" s="49"/>
    </row>
    <row r="11" spans="1:14" ht="18" customHeight="1" x14ac:dyDescent="0.25">
      <c r="A11" s="4"/>
      <c r="B11" s="61" t="s">
        <v>12</v>
      </c>
      <c r="C11" s="62"/>
      <c r="D11" s="62"/>
      <c r="E11" s="62"/>
      <c r="F11" s="62"/>
      <c r="G11" s="62"/>
      <c r="H11" s="62"/>
      <c r="I11" s="62"/>
      <c r="J11" s="63"/>
      <c r="K11" s="47"/>
      <c r="L11" s="17"/>
      <c r="M11" s="37"/>
      <c r="N11" s="38"/>
    </row>
    <row r="12" spans="1:14" ht="18" customHeight="1" x14ac:dyDescent="0.25">
      <c r="A12" s="4"/>
      <c r="B12" s="61"/>
      <c r="C12" s="62"/>
      <c r="D12" s="62"/>
      <c r="E12" s="62"/>
      <c r="F12" s="62"/>
      <c r="G12" s="62"/>
      <c r="H12" s="62"/>
      <c r="I12" s="62"/>
      <c r="J12" s="63"/>
      <c r="K12" s="47"/>
      <c r="L12" s="17"/>
      <c r="M12" s="37"/>
      <c r="N12" s="38"/>
    </row>
    <row r="13" spans="1:14" ht="18" customHeight="1" x14ac:dyDescent="0.25">
      <c r="B13" s="3" t="s">
        <v>5</v>
      </c>
      <c r="C13" s="64" t="s">
        <v>7</v>
      </c>
      <c r="D13" s="65"/>
      <c r="E13" s="64" t="s">
        <v>8</v>
      </c>
      <c r="F13" s="65"/>
      <c r="G13" s="64" t="s">
        <v>9</v>
      </c>
      <c r="H13" s="65"/>
      <c r="I13" s="64" t="s">
        <v>10</v>
      </c>
      <c r="J13" s="66"/>
      <c r="K13" s="11"/>
      <c r="L13" s="17"/>
      <c r="M13" s="37"/>
      <c r="N13" s="38"/>
    </row>
    <row r="14" spans="1:14" ht="18" customHeight="1" x14ac:dyDescent="0.25">
      <c r="B14" s="8" t="s">
        <v>18</v>
      </c>
      <c r="C14" s="39"/>
      <c r="D14" s="40"/>
      <c r="E14" s="39" t="s">
        <v>18</v>
      </c>
      <c r="F14" s="40"/>
      <c r="G14" s="39"/>
      <c r="H14" s="40"/>
      <c r="I14" s="39" t="s">
        <v>18</v>
      </c>
      <c r="J14" s="45"/>
      <c r="K14" s="11"/>
      <c r="L14" s="17"/>
      <c r="M14" s="37"/>
      <c r="N14" s="38"/>
    </row>
    <row r="15" spans="1:14" ht="18" customHeight="1" x14ac:dyDescent="0.25">
      <c r="B15" s="6" t="s">
        <v>13</v>
      </c>
      <c r="C15" s="34"/>
      <c r="D15" s="35"/>
      <c r="E15" s="34" t="s">
        <v>13</v>
      </c>
      <c r="F15" s="35"/>
      <c r="G15" s="34"/>
      <c r="H15" s="35"/>
      <c r="I15" s="50" t="s">
        <v>13</v>
      </c>
      <c r="J15" s="51"/>
      <c r="K15" s="13"/>
      <c r="L15" s="19"/>
      <c r="M15" s="52"/>
      <c r="N15" s="53"/>
    </row>
    <row r="16" spans="1:14" ht="18" customHeight="1" x14ac:dyDescent="0.25">
      <c r="B16" s="8"/>
      <c r="C16" s="39" t="s">
        <v>19</v>
      </c>
      <c r="D16" s="40"/>
      <c r="E16" s="39"/>
      <c r="F16" s="40"/>
      <c r="G16" s="39" t="s">
        <v>19</v>
      </c>
      <c r="H16" s="40"/>
      <c r="I16" s="41"/>
      <c r="J16" s="42"/>
      <c r="K16" s="56" t="s">
        <v>8</v>
      </c>
      <c r="L16" s="16"/>
      <c r="M16" s="48"/>
      <c r="N16" s="49"/>
    </row>
    <row r="17" spans="2:14" ht="18" customHeight="1" x14ac:dyDescent="0.25">
      <c r="B17" s="6"/>
      <c r="C17" s="34" t="s">
        <v>17</v>
      </c>
      <c r="D17" s="35"/>
      <c r="E17" s="34"/>
      <c r="F17" s="35"/>
      <c r="G17" s="34" t="s">
        <v>17</v>
      </c>
      <c r="H17" s="35"/>
      <c r="I17" s="50"/>
      <c r="J17" s="51"/>
      <c r="K17" s="57"/>
      <c r="L17" s="17"/>
      <c r="M17" s="37"/>
      <c r="N17" s="38"/>
    </row>
    <row r="18" spans="2:14" ht="18" customHeight="1" x14ac:dyDescent="0.25">
      <c r="B18" s="9" t="s">
        <v>21</v>
      </c>
      <c r="C18" s="58"/>
      <c r="D18" s="59"/>
      <c r="E18" s="58" t="s">
        <v>21</v>
      </c>
      <c r="F18" s="59"/>
      <c r="G18" s="58"/>
      <c r="H18" s="59"/>
      <c r="I18" s="58" t="s">
        <v>21</v>
      </c>
      <c r="J18" s="60"/>
      <c r="K18" s="57"/>
      <c r="L18" s="17"/>
      <c r="M18" s="37"/>
      <c r="N18" s="38"/>
    </row>
    <row r="19" spans="2:14" ht="18" customHeight="1" x14ac:dyDescent="0.25">
      <c r="B19" s="6" t="s">
        <v>14</v>
      </c>
      <c r="C19" s="34"/>
      <c r="D19" s="35"/>
      <c r="E19" s="34" t="s">
        <v>14</v>
      </c>
      <c r="F19" s="35"/>
      <c r="G19" s="34"/>
      <c r="H19" s="35"/>
      <c r="I19" s="50" t="s">
        <v>14</v>
      </c>
      <c r="J19" s="51"/>
      <c r="K19" s="11"/>
      <c r="L19" s="17"/>
      <c r="M19" s="37"/>
      <c r="N19" s="38"/>
    </row>
    <row r="20" spans="2:14" ht="18" customHeight="1" x14ac:dyDescent="0.25">
      <c r="B20" s="8"/>
      <c r="C20" s="39"/>
      <c r="D20" s="40"/>
      <c r="E20" s="39"/>
      <c r="F20" s="40"/>
      <c r="G20" s="39"/>
      <c r="H20" s="40"/>
      <c r="I20" s="39"/>
      <c r="J20" s="45"/>
      <c r="K20" s="11"/>
      <c r="L20" s="17"/>
      <c r="M20" s="37"/>
      <c r="N20" s="38"/>
    </row>
    <row r="21" spans="2:14" ht="18" customHeight="1" x14ac:dyDescent="0.25">
      <c r="B21" s="6"/>
      <c r="C21" s="34"/>
      <c r="D21" s="35"/>
      <c r="E21" s="34"/>
      <c r="F21" s="35"/>
      <c r="G21" s="34"/>
      <c r="H21" s="35"/>
      <c r="I21" s="54"/>
      <c r="J21" s="55"/>
      <c r="K21" s="13"/>
      <c r="L21" s="19"/>
      <c r="M21" s="52"/>
      <c r="N21" s="53"/>
    </row>
    <row r="22" spans="2:14" ht="18" customHeight="1" x14ac:dyDescent="0.25">
      <c r="B22" s="8"/>
      <c r="C22" s="39"/>
      <c r="D22" s="40"/>
      <c r="E22" s="39"/>
      <c r="F22" s="40"/>
      <c r="G22" s="39"/>
      <c r="H22" s="40"/>
      <c r="I22" s="39"/>
      <c r="J22" s="45"/>
      <c r="K22" s="56" t="s">
        <v>9</v>
      </c>
      <c r="L22" s="16"/>
      <c r="M22" s="48"/>
      <c r="N22" s="49"/>
    </row>
    <row r="23" spans="2:14" ht="18" customHeight="1" x14ac:dyDescent="0.25">
      <c r="B23" s="6"/>
      <c r="C23" s="34"/>
      <c r="D23" s="35"/>
      <c r="E23" s="34"/>
      <c r="F23" s="35"/>
      <c r="G23" s="34"/>
      <c r="H23" s="35"/>
      <c r="I23" s="50"/>
      <c r="J23" s="51"/>
      <c r="K23" s="57"/>
      <c r="L23" s="17"/>
      <c r="M23" s="37"/>
      <c r="N23" s="38"/>
    </row>
    <row r="24" spans="2:14" ht="18" customHeight="1" x14ac:dyDescent="0.25">
      <c r="B24" s="8"/>
      <c r="C24" s="39"/>
      <c r="D24" s="40"/>
      <c r="E24" s="39"/>
      <c r="F24" s="40"/>
      <c r="G24" s="39"/>
      <c r="H24" s="40"/>
      <c r="I24" s="39"/>
      <c r="J24" s="45"/>
      <c r="K24" s="57"/>
      <c r="L24" s="17"/>
      <c r="M24" s="37"/>
      <c r="N24" s="38"/>
    </row>
    <row r="25" spans="2:14" ht="18" customHeight="1" x14ac:dyDescent="0.25">
      <c r="B25" s="6"/>
      <c r="C25" s="34"/>
      <c r="D25" s="35"/>
      <c r="E25" s="34"/>
      <c r="F25" s="35"/>
      <c r="G25" s="34"/>
      <c r="H25" s="35"/>
      <c r="I25" s="50"/>
      <c r="J25" s="51"/>
      <c r="K25" s="57"/>
      <c r="L25" s="17"/>
      <c r="M25" s="37"/>
      <c r="N25" s="38"/>
    </row>
    <row r="26" spans="2:14" ht="18" customHeight="1" x14ac:dyDescent="0.25">
      <c r="B26" s="8" t="s">
        <v>20</v>
      </c>
      <c r="C26" s="39"/>
      <c r="D26" s="40"/>
      <c r="E26" s="39" t="s">
        <v>20</v>
      </c>
      <c r="F26" s="40"/>
      <c r="G26" s="39"/>
      <c r="H26" s="40"/>
      <c r="I26" s="39" t="s">
        <v>20</v>
      </c>
      <c r="J26" s="45"/>
      <c r="K26" s="11"/>
      <c r="L26" s="17"/>
      <c r="M26" s="37"/>
      <c r="N26" s="38"/>
    </row>
    <row r="27" spans="2:14" ht="18" customHeight="1" x14ac:dyDescent="0.25">
      <c r="B27" s="6" t="s">
        <v>15</v>
      </c>
      <c r="C27" s="34"/>
      <c r="D27" s="35"/>
      <c r="E27" s="34" t="s">
        <v>15</v>
      </c>
      <c r="F27" s="35"/>
      <c r="G27" s="34"/>
      <c r="H27" s="35"/>
      <c r="I27" s="50" t="s">
        <v>15</v>
      </c>
      <c r="J27" s="51"/>
      <c r="K27" s="13"/>
      <c r="L27" s="19"/>
      <c r="M27" s="52"/>
      <c r="N27" s="53"/>
    </row>
    <row r="28" spans="2:14" ht="18" customHeight="1" x14ac:dyDescent="0.25">
      <c r="B28" s="8"/>
      <c r="C28" s="39"/>
      <c r="D28" s="40"/>
      <c r="E28" s="39"/>
      <c r="F28" s="40"/>
      <c r="G28" s="39"/>
      <c r="H28" s="40"/>
      <c r="I28" s="39"/>
      <c r="J28" s="45"/>
      <c r="K28" s="46" t="s">
        <v>10</v>
      </c>
      <c r="L28" s="16"/>
      <c r="M28" s="48"/>
      <c r="N28" s="49"/>
    </row>
    <row r="29" spans="2:14" ht="18" customHeight="1" x14ac:dyDescent="0.25">
      <c r="B29" s="6"/>
      <c r="C29" s="34"/>
      <c r="D29" s="35"/>
      <c r="E29" s="34"/>
      <c r="F29" s="35"/>
      <c r="G29" s="34"/>
      <c r="H29" s="35"/>
      <c r="I29" s="34"/>
      <c r="J29" s="36"/>
      <c r="K29" s="47"/>
      <c r="L29" s="17"/>
      <c r="M29" s="37"/>
      <c r="N29" s="38"/>
    </row>
    <row r="30" spans="2:14" ht="18" customHeight="1" x14ac:dyDescent="0.25">
      <c r="B30" s="8"/>
      <c r="C30" s="39" t="s">
        <v>22</v>
      </c>
      <c r="D30" s="40"/>
      <c r="E30" s="39"/>
      <c r="F30" s="40"/>
      <c r="G30" s="39" t="s">
        <v>22</v>
      </c>
      <c r="H30" s="40"/>
      <c r="I30" s="43"/>
      <c r="J30" s="44"/>
      <c r="K30" s="47"/>
      <c r="L30" s="17"/>
      <c r="M30" s="37"/>
      <c r="N30" s="38"/>
    </row>
    <row r="31" spans="2:14" ht="18" customHeight="1" x14ac:dyDescent="0.25">
      <c r="B31" s="6"/>
      <c r="C31" s="34" t="s">
        <v>16</v>
      </c>
      <c r="D31" s="35"/>
      <c r="E31" s="34"/>
      <c r="F31" s="35"/>
      <c r="G31" s="34" t="s">
        <v>16</v>
      </c>
      <c r="H31" s="35"/>
      <c r="I31" s="34"/>
      <c r="J31" s="36"/>
      <c r="K31" s="14"/>
      <c r="L31" s="17"/>
      <c r="M31" s="37"/>
      <c r="N31" s="38"/>
    </row>
    <row r="32" spans="2:14" ht="18" customHeight="1" x14ac:dyDescent="0.25">
      <c r="B32" s="8"/>
      <c r="C32" s="39"/>
      <c r="D32" s="40"/>
      <c r="E32" s="39"/>
      <c r="F32" s="40"/>
      <c r="G32" s="39"/>
      <c r="H32" s="40"/>
      <c r="I32" s="41"/>
      <c r="J32" s="42"/>
      <c r="K32" s="14"/>
      <c r="L32" s="17"/>
      <c r="M32" s="37"/>
      <c r="N32" s="38"/>
    </row>
    <row r="33" spans="2:14" ht="18" customHeight="1" x14ac:dyDescent="0.25">
      <c r="B33" s="7"/>
      <c r="C33" s="28"/>
      <c r="D33" s="29"/>
      <c r="E33" s="28"/>
      <c r="F33" s="29"/>
      <c r="G33" s="28"/>
      <c r="H33" s="29"/>
      <c r="I33" s="30"/>
      <c r="J33" s="31"/>
      <c r="K33" s="15"/>
      <c r="L33" s="20"/>
      <c r="M33" s="32"/>
      <c r="N33" s="33"/>
    </row>
  </sheetData>
  <mergeCells count="122">
    <mergeCell ref="M10:N10"/>
    <mergeCell ref="B11:J12"/>
    <mergeCell ref="M11:N11"/>
    <mergeCell ref="M12:N12"/>
    <mergeCell ref="C13:D13"/>
    <mergeCell ref="E13:F13"/>
    <mergeCell ref="G13:H13"/>
    <mergeCell ref="I13:J13"/>
    <mergeCell ref="M13:N13"/>
    <mergeCell ref="B2:B10"/>
    <mergeCell ref="K2:M3"/>
    <mergeCell ref="K4:K6"/>
    <mergeCell ref="M4:N4"/>
    <mergeCell ref="M5:N5"/>
    <mergeCell ref="M6:N6"/>
    <mergeCell ref="M7:N7"/>
    <mergeCell ref="M8:N8"/>
    <mergeCell ref="M9:N9"/>
    <mergeCell ref="K10:K12"/>
    <mergeCell ref="C14:D14"/>
    <mergeCell ref="E14:F14"/>
    <mergeCell ref="G14:H14"/>
    <mergeCell ref="I14:J14"/>
    <mergeCell ref="M14:N14"/>
    <mergeCell ref="C15:D15"/>
    <mergeCell ref="E15:F15"/>
    <mergeCell ref="G15:H15"/>
    <mergeCell ref="I15:J15"/>
    <mergeCell ref="M15:N15"/>
    <mergeCell ref="M17:N17"/>
    <mergeCell ref="C18:D18"/>
    <mergeCell ref="E18:F18"/>
    <mergeCell ref="G18:H18"/>
    <mergeCell ref="I18:J18"/>
    <mergeCell ref="M18:N18"/>
    <mergeCell ref="C16:D16"/>
    <mergeCell ref="E16:F16"/>
    <mergeCell ref="G16:H16"/>
    <mergeCell ref="I16:J16"/>
    <mergeCell ref="K16:K18"/>
    <mergeCell ref="M16:N16"/>
    <mergeCell ref="C17:D17"/>
    <mergeCell ref="E17:F17"/>
    <mergeCell ref="G17:H17"/>
    <mergeCell ref="I17:J17"/>
    <mergeCell ref="C19:D19"/>
    <mergeCell ref="E19:F19"/>
    <mergeCell ref="G19:H19"/>
    <mergeCell ref="I19:J19"/>
    <mergeCell ref="M19:N19"/>
    <mergeCell ref="C20:D20"/>
    <mergeCell ref="E20:F20"/>
    <mergeCell ref="G20:H20"/>
    <mergeCell ref="I20:J20"/>
    <mergeCell ref="M20:N20"/>
    <mergeCell ref="M22:N22"/>
    <mergeCell ref="C23:D23"/>
    <mergeCell ref="E23:F23"/>
    <mergeCell ref="G23:H23"/>
    <mergeCell ref="I23:J23"/>
    <mergeCell ref="M23:N23"/>
    <mergeCell ref="C21:D21"/>
    <mergeCell ref="E21:F21"/>
    <mergeCell ref="G21:H21"/>
    <mergeCell ref="I21:J21"/>
    <mergeCell ref="M21:N21"/>
    <mergeCell ref="C22:D22"/>
    <mergeCell ref="E22:F22"/>
    <mergeCell ref="G22:H22"/>
    <mergeCell ref="I22:J22"/>
    <mergeCell ref="K22:K25"/>
    <mergeCell ref="C24:D24"/>
    <mergeCell ref="E24:F24"/>
    <mergeCell ref="G24:H24"/>
    <mergeCell ref="I24:J24"/>
    <mergeCell ref="M24:N24"/>
    <mergeCell ref="C25:D25"/>
    <mergeCell ref="E25:F25"/>
    <mergeCell ref="G25:H25"/>
    <mergeCell ref="I25:J25"/>
    <mergeCell ref="M25:N25"/>
    <mergeCell ref="C26:D26"/>
    <mergeCell ref="E26:F26"/>
    <mergeCell ref="G26:H26"/>
    <mergeCell ref="I26:J26"/>
    <mergeCell ref="M26:N26"/>
    <mergeCell ref="C27:D27"/>
    <mergeCell ref="E27:F27"/>
    <mergeCell ref="G27:H27"/>
    <mergeCell ref="I27:J27"/>
    <mergeCell ref="M27:N27"/>
    <mergeCell ref="M29:N29"/>
    <mergeCell ref="C30:D30"/>
    <mergeCell ref="E30:F30"/>
    <mergeCell ref="G30:H30"/>
    <mergeCell ref="I30:J30"/>
    <mergeCell ref="M30:N30"/>
    <mergeCell ref="C28:D28"/>
    <mergeCell ref="E28:F28"/>
    <mergeCell ref="G28:H28"/>
    <mergeCell ref="I28:J28"/>
    <mergeCell ref="K28:K30"/>
    <mergeCell ref="M28:N28"/>
    <mergeCell ref="C29:D29"/>
    <mergeCell ref="E29:F29"/>
    <mergeCell ref="G29:H29"/>
    <mergeCell ref="I29:J29"/>
    <mergeCell ref="C33:D33"/>
    <mergeCell ref="E33:F33"/>
    <mergeCell ref="G33:H33"/>
    <mergeCell ref="I33:J33"/>
    <mergeCell ref="M33:N33"/>
    <mergeCell ref="C31:D31"/>
    <mergeCell ref="E31:F31"/>
    <mergeCell ref="G31:H31"/>
    <mergeCell ref="I31:J31"/>
    <mergeCell ref="M31:N31"/>
    <mergeCell ref="C32:D32"/>
    <mergeCell ref="E32:F32"/>
    <mergeCell ref="G32:H32"/>
    <mergeCell ref="I32:J32"/>
    <mergeCell ref="M32:N32"/>
  </mergeCells>
  <conditionalFormatting sqref="C4:H4">
    <cfRule type="expression" dxfId="15" priority="3" stopIfTrue="1">
      <formula>DAY(C4)&gt;8</formula>
    </cfRule>
  </conditionalFormatting>
  <conditionalFormatting sqref="C8:I10">
    <cfRule type="expression" dxfId="14" priority="2" stopIfTrue="1">
      <formula>AND(DAY(C8)&gt;=1,DAY(C8)&lt;=15)</formula>
    </cfRule>
  </conditionalFormatting>
  <conditionalFormatting sqref="C4:I9">
    <cfRule type="expression" dxfId="13" priority="4">
      <formula>VLOOKUP(DAY(C4),AssignmentDays,1,FALSE)=DAY(C4)</formula>
    </cfRule>
  </conditionalFormatting>
  <conditionalFormatting sqref="B14:J33">
    <cfRule type="expression" dxfId="12" priority="1">
      <formula>B14&lt;&gt;""</formula>
    </cfRule>
  </conditionalFormatting>
  <printOptions horizontalCentered="1"/>
  <pageMargins left="0.5" right="0.5" top="0.5" bottom="0.5" header="0.3" footer="0.3"/>
  <pageSetup scale="91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5C584562-2214-4635-9C12-30F6F155A4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37</vt:i4>
      </vt:variant>
    </vt:vector>
  </HeadingPairs>
  <TitlesOfParts>
    <vt:vector size="49" baseType="lpstr">
      <vt:lpstr>November 2012</vt:lpstr>
      <vt:lpstr>December 2012</vt:lpstr>
      <vt:lpstr>January 2013</vt:lpstr>
      <vt:lpstr>February 2013</vt:lpstr>
      <vt:lpstr>March 2013</vt:lpstr>
      <vt:lpstr>April</vt:lpstr>
      <vt:lpstr>May</vt:lpstr>
      <vt:lpstr>June</vt:lpstr>
      <vt:lpstr>July</vt:lpstr>
      <vt:lpstr>August</vt:lpstr>
      <vt:lpstr>September</vt:lpstr>
      <vt:lpstr>October</vt:lpstr>
      <vt:lpstr>April!AssignmentDays</vt:lpstr>
      <vt:lpstr>August!AssignmentDays</vt:lpstr>
      <vt:lpstr>'December 2012'!AssignmentDays</vt:lpstr>
      <vt:lpstr>'February 2013'!AssignmentDays</vt:lpstr>
      <vt:lpstr>July!AssignmentDays</vt:lpstr>
      <vt:lpstr>June!AssignmentDays</vt:lpstr>
      <vt:lpstr>'March 2013'!AssignmentDays</vt:lpstr>
      <vt:lpstr>May!AssignmentDays</vt:lpstr>
      <vt:lpstr>'November 2012'!AssignmentDays</vt:lpstr>
      <vt:lpstr>October!AssignmentDays</vt:lpstr>
      <vt:lpstr>September!AssignmentDays</vt:lpstr>
      <vt:lpstr>AssignmentDays</vt:lpstr>
      <vt:lpstr>CalendarYear</vt:lpstr>
      <vt:lpstr>April!ImportantDatesTable</vt:lpstr>
      <vt:lpstr>August!ImportantDatesTable</vt:lpstr>
      <vt:lpstr>'December 2012'!ImportantDatesTable</vt:lpstr>
      <vt:lpstr>'February 2013'!ImportantDatesTable</vt:lpstr>
      <vt:lpstr>July!ImportantDatesTable</vt:lpstr>
      <vt:lpstr>June!ImportantDatesTable</vt:lpstr>
      <vt:lpstr>'March 2013'!ImportantDatesTable</vt:lpstr>
      <vt:lpstr>May!ImportantDatesTable</vt:lpstr>
      <vt:lpstr>'November 2012'!ImportantDatesTable</vt:lpstr>
      <vt:lpstr>October!ImportantDatesTable</vt:lpstr>
      <vt:lpstr>September!ImportantDatesTable</vt:lpstr>
      <vt:lpstr>ImportantDatesTable</vt:lpstr>
      <vt:lpstr>April!Print_Area</vt:lpstr>
      <vt:lpstr>August!Print_Area</vt:lpstr>
      <vt:lpstr>'December 2012'!Print_Area</vt:lpstr>
      <vt:lpstr>'February 2013'!Print_Area</vt:lpstr>
      <vt:lpstr>'January 2013'!Print_Area</vt:lpstr>
      <vt:lpstr>July!Print_Area</vt:lpstr>
      <vt:lpstr>June!Print_Area</vt:lpstr>
      <vt:lpstr>'March 2013'!Print_Area</vt:lpstr>
      <vt:lpstr>May!Print_Area</vt:lpstr>
      <vt:lpstr>'November 2012'!Print_Area</vt:lpstr>
      <vt:lpstr>October!Print_Area</vt:lpstr>
      <vt:lpstr>September!Print_Area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2012-10-26T17:48:33Z</dcterms:created>
  <dcterms:modified xsi:type="dcterms:W3CDTF">2013-08-27T19:25:15Z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TC025512939991</vt:lpwstr>
  </property>
</Properties>
</file>