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120" windowHeight="7752"/>
  </bookViews>
  <sheets>
    <sheet name="Aggregated Results" sheetId="1" r:id="rId1"/>
    <sheet name="WS" sheetId="2" r:id="rId2"/>
    <sheet name="NWS" sheetId="3" r:id="rId3"/>
    <sheet name="Sanity checks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X62" i="1" l="1"/>
  <c r="Y62" i="1" s="1"/>
  <c r="Z62" i="1" s="1"/>
  <c r="X76" i="1"/>
  <c r="Y76" i="1" s="1"/>
  <c r="Z76" i="1" s="1"/>
  <c r="T48" i="1"/>
  <c r="T47" i="1"/>
  <c r="T46" i="1"/>
  <c r="T45" i="1"/>
  <c r="T44" i="1"/>
  <c r="T43" i="1"/>
  <c r="T42" i="1"/>
  <c r="T36" i="1"/>
  <c r="T35" i="1"/>
  <c r="T34" i="1"/>
  <c r="T33" i="1"/>
  <c r="T32" i="1"/>
  <c r="T31" i="1"/>
  <c r="T24" i="1"/>
  <c r="T23" i="1"/>
  <c r="T22" i="1"/>
  <c r="T21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F65" i="4" l="1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F21" i="4"/>
  <c r="E21" i="4"/>
  <c r="D21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F7" i="4"/>
  <c r="F66" i="4" s="1"/>
  <c r="E7" i="4"/>
  <c r="D7" i="4"/>
  <c r="F6" i="4"/>
  <c r="E6" i="4"/>
  <c r="E66" i="4" s="1"/>
  <c r="D6" i="4"/>
  <c r="D66" i="4" s="1"/>
  <c r="F22" i="1" l="1"/>
  <c r="H22" i="1"/>
  <c r="I22" i="1"/>
  <c r="J22" i="1"/>
  <c r="F23" i="1"/>
  <c r="J23" i="1" s="1"/>
  <c r="H23" i="1"/>
  <c r="I23" i="1"/>
  <c r="N23" i="1"/>
  <c r="F26" i="1"/>
  <c r="J26" i="1" s="1"/>
  <c r="H26" i="1"/>
  <c r="X26" i="1" s="1"/>
  <c r="Y26" i="1" s="1"/>
  <c r="Z26" i="1" s="1"/>
  <c r="I26" i="1"/>
  <c r="N26" i="1"/>
  <c r="F28" i="1"/>
  <c r="J28" i="1" s="1"/>
  <c r="H28" i="1"/>
  <c r="X28" i="1" s="1"/>
  <c r="Y28" i="1" s="1"/>
  <c r="Z28" i="1" s="1"/>
  <c r="I28" i="1"/>
  <c r="N28" i="1"/>
  <c r="F40" i="1"/>
  <c r="J40" i="1" s="1"/>
  <c r="H40" i="1"/>
  <c r="X40" i="1" s="1"/>
  <c r="Y40" i="1" s="1"/>
  <c r="Z40" i="1" s="1"/>
  <c r="I40" i="1"/>
  <c r="F41" i="1"/>
  <c r="J41" i="1" s="1"/>
  <c r="H41" i="1"/>
  <c r="X41" i="1" s="1"/>
  <c r="Y41" i="1" s="1"/>
  <c r="Z41" i="1" s="1"/>
  <c r="I41" i="1"/>
  <c r="F53" i="1"/>
  <c r="J53" i="1" s="1"/>
  <c r="H53" i="1"/>
  <c r="X53" i="1" s="1"/>
  <c r="Y53" i="1" s="1"/>
  <c r="Z53" i="1" s="1"/>
  <c r="I53" i="1"/>
  <c r="F54" i="1"/>
  <c r="J54" i="1" s="1"/>
  <c r="H54" i="1"/>
  <c r="X54" i="1" s="1"/>
  <c r="Y54" i="1" s="1"/>
  <c r="Z54" i="1" s="1"/>
  <c r="I54" i="1"/>
  <c r="F55" i="1"/>
  <c r="J55" i="1" s="1"/>
  <c r="H55" i="1"/>
  <c r="X55" i="1" s="1"/>
  <c r="Y55" i="1" s="1"/>
  <c r="Z55" i="1" s="1"/>
  <c r="I55" i="1"/>
  <c r="N55" i="1"/>
  <c r="F56" i="1"/>
  <c r="J56" i="1" s="1"/>
  <c r="H56" i="1"/>
  <c r="X56" i="1" s="1"/>
  <c r="Y56" i="1" s="1"/>
  <c r="Z56" i="1" s="1"/>
  <c r="I56" i="1"/>
  <c r="F57" i="1"/>
  <c r="J57" i="1" s="1"/>
  <c r="H57" i="1"/>
  <c r="X57" i="1" s="1"/>
  <c r="Y57" i="1" s="1"/>
  <c r="Z57" i="1" s="1"/>
  <c r="I57" i="1"/>
  <c r="N57" i="1"/>
  <c r="F58" i="1"/>
  <c r="J58" i="1" s="1"/>
  <c r="H58" i="1"/>
  <c r="X58" i="1" s="1"/>
  <c r="Y58" i="1" s="1"/>
  <c r="Z58" i="1" s="1"/>
  <c r="I58" i="1"/>
  <c r="F65" i="1"/>
  <c r="J65" i="1" s="1"/>
  <c r="H65" i="1"/>
  <c r="O65" i="1" s="1"/>
  <c r="P65" i="1" s="1"/>
  <c r="I65" i="1"/>
  <c r="F66" i="1"/>
  <c r="J66" i="1" s="1"/>
  <c r="H66" i="1"/>
  <c r="N66" i="1" s="1"/>
  <c r="I66" i="1"/>
  <c r="F71" i="1"/>
  <c r="J71" i="1" s="1"/>
  <c r="H71" i="1"/>
  <c r="X71" i="1" s="1"/>
  <c r="Y71" i="1" s="1"/>
  <c r="Z71" i="1" s="1"/>
  <c r="I71" i="1"/>
  <c r="F72" i="1"/>
  <c r="J72" i="1" s="1"/>
  <c r="H72" i="1"/>
  <c r="X72" i="1" s="1"/>
  <c r="Y72" i="1" s="1"/>
  <c r="Z72" i="1" s="1"/>
  <c r="I72" i="1"/>
  <c r="F73" i="1"/>
  <c r="J73" i="1" s="1"/>
  <c r="H73" i="1"/>
  <c r="X73" i="1" s="1"/>
  <c r="Y73" i="1" s="1"/>
  <c r="Z73" i="1" s="1"/>
  <c r="I73" i="1"/>
  <c r="F74" i="1"/>
  <c r="J74" i="1" s="1"/>
  <c r="H74" i="1"/>
  <c r="X74" i="1" s="1"/>
  <c r="Y74" i="1" s="1"/>
  <c r="Z74" i="1" s="1"/>
  <c r="I74" i="1"/>
  <c r="N74" i="1"/>
  <c r="F75" i="1"/>
  <c r="J75" i="1" s="1"/>
  <c r="H75" i="1"/>
  <c r="X75" i="1" s="1"/>
  <c r="Y75" i="1" s="1"/>
  <c r="Z75" i="1" s="1"/>
  <c r="I75" i="1"/>
  <c r="F76" i="1"/>
  <c r="J76" i="1" s="1"/>
  <c r="O76" i="1"/>
  <c r="P76" i="1" s="1"/>
  <c r="I76" i="1"/>
  <c r="F77" i="1"/>
  <c r="J77" i="1" s="1"/>
  <c r="H77" i="1"/>
  <c r="I77" i="1"/>
  <c r="F78" i="1"/>
  <c r="J78" i="1" s="1"/>
  <c r="H78" i="1"/>
  <c r="X78" i="1" s="1"/>
  <c r="Y78" i="1" s="1"/>
  <c r="Z78" i="1" s="1"/>
  <c r="I78" i="1"/>
  <c r="F79" i="1"/>
  <c r="J79" i="1" s="1"/>
  <c r="H79" i="1"/>
  <c r="X79" i="1" s="1"/>
  <c r="Y79" i="1" s="1"/>
  <c r="Z79" i="1" s="1"/>
  <c r="I79" i="1"/>
  <c r="F81" i="1"/>
  <c r="J81" i="1" s="1"/>
  <c r="H81" i="1"/>
  <c r="X81" i="1" s="1"/>
  <c r="Y81" i="1" s="1"/>
  <c r="Z81" i="1" s="1"/>
  <c r="I81" i="1"/>
  <c r="F82" i="1"/>
  <c r="J82" i="1" s="1"/>
  <c r="H82" i="1"/>
  <c r="X82" i="1" s="1"/>
  <c r="Y82" i="1" s="1"/>
  <c r="Z82" i="1" s="1"/>
  <c r="I82" i="1"/>
  <c r="F83" i="1"/>
  <c r="J83" i="1" s="1"/>
  <c r="H83" i="1"/>
  <c r="X83" i="1" s="1"/>
  <c r="Y83" i="1" s="1"/>
  <c r="Z83" i="1" s="1"/>
  <c r="I83" i="1"/>
  <c r="F87" i="1"/>
  <c r="J87" i="1" s="1"/>
  <c r="H87" i="1"/>
  <c r="X87" i="1" s="1"/>
  <c r="Y87" i="1" s="1"/>
  <c r="Z87" i="1" s="1"/>
  <c r="I87" i="1"/>
  <c r="F88" i="1"/>
  <c r="J88" i="1" s="1"/>
  <c r="H88" i="1"/>
  <c r="X88" i="1" s="1"/>
  <c r="Y88" i="1" s="1"/>
  <c r="Z88" i="1" s="1"/>
  <c r="I88" i="1"/>
  <c r="AA81" i="1" l="1"/>
  <c r="N72" i="1"/>
  <c r="AA57" i="1"/>
  <c r="N53" i="1"/>
  <c r="N41" i="1"/>
  <c r="N40" i="1"/>
  <c r="K22" i="1"/>
  <c r="L22" i="1" s="1"/>
  <c r="AA82" i="1"/>
  <c r="AA26" i="1"/>
  <c r="AA41" i="1"/>
  <c r="AA55" i="1"/>
  <c r="N73" i="1"/>
  <c r="M73" i="1" s="1"/>
  <c r="Q76" i="1"/>
  <c r="U66" i="1"/>
  <c r="X66" i="1" s="1"/>
  <c r="Y66" i="1" s="1"/>
  <c r="Z66" i="1" s="1"/>
  <c r="AA66" i="1" s="1"/>
  <c r="U65" i="1"/>
  <c r="X65" i="1" s="1"/>
  <c r="Y65" i="1" s="1"/>
  <c r="Z65" i="1" s="1"/>
  <c r="N77" i="1"/>
  <c r="X77" i="1"/>
  <c r="Y77" i="1" s="1"/>
  <c r="Z77" i="1" s="1"/>
  <c r="U23" i="1"/>
  <c r="X23" i="1" s="1"/>
  <c r="Y23" i="1" s="1"/>
  <c r="Z23" i="1" s="1"/>
  <c r="U22" i="1"/>
  <c r="X22" i="1" s="1"/>
  <c r="Y22" i="1" s="1"/>
  <c r="Z22" i="1" s="1"/>
  <c r="AA22" i="1" s="1"/>
  <c r="Q65" i="1"/>
  <c r="O88" i="1"/>
  <c r="P88" i="1" s="1"/>
  <c r="O81" i="1"/>
  <c r="P81" i="1" s="1"/>
  <c r="R81" i="1" s="1"/>
  <c r="O87" i="1"/>
  <c r="P87" i="1" s="1"/>
  <c r="O82" i="1"/>
  <c r="P82" i="1" s="1"/>
  <c r="O79" i="1"/>
  <c r="P79" i="1" s="1"/>
  <c r="N71" i="1"/>
  <c r="O66" i="1"/>
  <c r="N65" i="1"/>
  <c r="O56" i="1"/>
  <c r="O55" i="1"/>
  <c r="M55" i="1" s="1"/>
  <c r="O83" i="1"/>
  <c r="P83" i="1" s="1"/>
  <c r="O78" i="1"/>
  <c r="P78" i="1" s="1"/>
  <c r="O77" i="1"/>
  <c r="P77" i="1" s="1"/>
  <c r="O75" i="1"/>
  <c r="P75" i="1" s="1"/>
  <c r="O74" i="1"/>
  <c r="P74" i="1" s="1"/>
  <c r="O73" i="1"/>
  <c r="P73" i="1" s="1"/>
  <c r="O72" i="1"/>
  <c r="P72" i="1" s="1"/>
  <c r="O58" i="1"/>
  <c r="P58" i="1" s="1"/>
  <c r="O57" i="1"/>
  <c r="O54" i="1"/>
  <c r="O53" i="1"/>
  <c r="P53" i="1" s="1"/>
  <c r="O41" i="1"/>
  <c r="P41" i="1" s="1"/>
  <c r="O40" i="1"/>
  <c r="P40" i="1" s="1"/>
  <c r="O28" i="1"/>
  <c r="P28" i="1" s="1"/>
  <c r="O26" i="1"/>
  <c r="P26" i="1" s="1"/>
  <c r="AH26" i="1" s="1"/>
  <c r="O23" i="1"/>
  <c r="P23" i="1" s="1"/>
  <c r="N22" i="1"/>
  <c r="N75" i="1"/>
  <c r="N78" i="1"/>
  <c r="M78" i="1" s="1"/>
  <c r="N76" i="1"/>
  <c r="N79" i="1"/>
  <c r="N82" i="1"/>
  <c r="N83" i="1"/>
  <c r="N81" i="1"/>
  <c r="K71" i="1"/>
  <c r="L71" i="1" s="1"/>
  <c r="AA71" i="1" s="1"/>
  <c r="N88" i="1"/>
  <c r="N87" i="1"/>
  <c r="M87" i="1" s="1"/>
  <c r="K58" i="1"/>
  <c r="L58" i="1" s="1"/>
  <c r="AA58" i="1" s="1"/>
  <c r="AE26" i="1"/>
  <c r="AF26" i="1" s="1"/>
  <c r="AG26" i="1" s="1"/>
  <c r="K56" i="1"/>
  <c r="L56" i="1" s="1"/>
  <c r="AA56" i="1" s="1"/>
  <c r="AE41" i="1"/>
  <c r="AF41" i="1" s="1"/>
  <c r="AE23" i="1"/>
  <c r="AF23" i="1" s="1"/>
  <c r="AG23" i="1" s="1"/>
  <c r="AE28" i="1"/>
  <c r="AF28" i="1" s="1"/>
  <c r="AH28" i="1" s="1"/>
  <c r="O22" i="1"/>
  <c r="P22" i="1" s="1"/>
  <c r="AE40" i="1"/>
  <c r="AF40" i="1" s="1"/>
  <c r="AH40" i="1" s="1"/>
  <c r="AE22" i="1"/>
  <c r="AF22" i="1" s="1"/>
  <c r="AG22" i="1" s="1"/>
  <c r="K54" i="1"/>
  <c r="L54" i="1" s="1"/>
  <c r="AA54" i="1" s="1"/>
  <c r="K26" i="1"/>
  <c r="L26" i="1" s="1"/>
  <c r="K23" i="1"/>
  <c r="L23" i="1" s="1"/>
  <c r="AH23" i="1"/>
  <c r="AE77" i="1"/>
  <c r="AF77" i="1" s="1"/>
  <c r="M23" i="1"/>
  <c r="M22" i="1"/>
  <c r="R26" i="1"/>
  <c r="K40" i="1"/>
  <c r="L40" i="1" s="1"/>
  <c r="R40" i="1" s="1"/>
  <c r="K28" i="1"/>
  <c r="L28" i="1" s="1"/>
  <c r="R28" i="1" s="1"/>
  <c r="AE82" i="1"/>
  <c r="AF82" i="1" s="1"/>
  <c r="AG82" i="1" s="1"/>
  <c r="AE75" i="1"/>
  <c r="AF75" i="1" s="1"/>
  <c r="AG75" i="1" s="1"/>
  <c r="AG28" i="1"/>
  <c r="K41" i="1"/>
  <c r="L41" i="1" s="1"/>
  <c r="M28" i="1"/>
  <c r="AE79" i="1"/>
  <c r="AF79" i="1" s="1"/>
  <c r="AG79" i="1" s="1"/>
  <c r="AE73" i="1"/>
  <c r="AF73" i="1" s="1"/>
  <c r="AG73" i="1" s="1"/>
  <c r="AG40" i="1"/>
  <c r="AE78" i="1"/>
  <c r="AF78" i="1" s="1"/>
  <c r="AH78" i="1" s="1"/>
  <c r="AE76" i="1"/>
  <c r="AF76" i="1" s="1"/>
  <c r="AG76" i="1" s="1"/>
  <c r="AE74" i="1"/>
  <c r="AF74" i="1" s="1"/>
  <c r="AG74" i="1" s="1"/>
  <c r="AE72" i="1"/>
  <c r="AF72" i="1" s="1"/>
  <c r="AG72" i="1" s="1"/>
  <c r="K65" i="1"/>
  <c r="L65" i="1" s="1"/>
  <c r="S65" i="1" s="1"/>
  <c r="V65" i="1" s="1"/>
  <c r="K57" i="1"/>
  <c r="L57" i="1" s="1"/>
  <c r="K55" i="1"/>
  <c r="L55" i="1" s="1"/>
  <c r="M40" i="1"/>
  <c r="AE83" i="1"/>
  <c r="AF83" i="1" s="1"/>
  <c r="AG83" i="1" s="1"/>
  <c r="AE81" i="1"/>
  <c r="AF81" i="1" s="1"/>
  <c r="AE53" i="1"/>
  <c r="AF53" i="1" s="1"/>
  <c r="AG53" i="1" s="1"/>
  <c r="K53" i="1"/>
  <c r="L53" i="1" s="1"/>
  <c r="AA53" i="1" s="1"/>
  <c r="K66" i="1"/>
  <c r="L66" i="1" s="1"/>
  <c r="N58" i="1"/>
  <c r="N56" i="1"/>
  <c r="M56" i="1" s="1"/>
  <c r="N54" i="1"/>
  <c r="M54" i="1" s="1"/>
  <c r="P56" i="1"/>
  <c r="P54" i="1"/>
  <c r="P57" i="1"/>
  <c r="M57" i="1"/>
  <c r="P55" i="1"/>
  <c r="O71" i="1"/>
  <c r="P71" i="1" s="1"/>
  <c r="R71" i="1" s="1"/>
  <c r="AE65" i="1"/>
  <c r="AF65" i="1" s="1"/>
  <c r="AE58" i="1"/>
  <c r="AF58" i="1" s="1"/>
  <c r="AE57" i="1"/>
  <c r="AF57" i="1" s="1"/>
  <c r="AE56" i="1"/>
  <c r="AF56" i="1" s="1"/>
  <c r="AE55" i="1"/>
  <c r="AF55" i="1" s="1"/>
  <c r="AE54" i="1"/>
  <c r="AF54" i="1" s="1"/>
  <c r="M65" i="1"/>
  <c r="P66" i="1"/>
  <c r="R66" i="1" s="1"/>
  <c r="M66" i="1"/>
  <c r="AE71" i="1"/>
  <c r="AF71" i="1" s="1"/>
  <c r="AG71" i="1" s="1"/>
  <c r="AE66" i="1"/>
  <c r="AF66" i="1" s="1"/>
  <c r="K79" i="1"/>
  <c r="L79" i="1" s="1"/>
  <c r="R79" i="1" s="1"/>
  <c r="K78" i="1"/>
  <c r="L78" i="1" s="1"/>
  <c r="AA78" i="1" s="1"/>
  <c r="K77" i="1"/>
  <c r="L77" i="1" s="1"/>
  <c r="K76" i="1"/>
  <c r="L76" i="1" s="1"/>
  <c r="AA76" i="1" s="1"/>
  <c r="K75" i="1"/>
  <c r="L75" i="1" s="1"/>
  <c r="R75" i="1" s="1"/>
  <c r="K74" i="1"/>
  <c r="L74" i="1" s="1"/>
  <c r="AA74" i="1" s="1"/>
  <c r="K73" i="1"/>
  <c r="L73" i="1" s="1"/>
  <c r="R73" i="1" s="1"/>
  <c r="K72" i="1"/>
  <c r="L72" i="1" s="1"/>
  <c r="AA72" i="1" s="1"/>
  <c r="AH79" i="1"/>
  <c r="AH77" i="1"/>
  <c r="AG77" i="1"/>
  <c r="AH74" i="1"/>
  <c r="AH72" i="1"/>
  <c r="AH71" i="1"/>
  <c r="R78" i="1"/>
  <c r="R74" i="1"/>
  <c r="R72" i="1"/>
  <c r="M77" i="1"/>
  <c r="M76" i="1"/>
  <c r="M74" i="1"/>
  <c r="M72" i="1"/>
  <c r="AE87" i="1"/>
  <c r="AF87" i="1" s="1"/>
  <c r="AE88" i="1"/>
  <c r="AF88" i="1" s="1"/>
  <c r="AH88" i="1" s="1"/>
  <c r="K83" i="1"/>
  <c r="L83" i="1" s="1"/>
  <c r="R83" i="1" s="1"/>
  <c r="K82" i="1"/>
  <c r="L82" i="1" s="1"/>
  <c r="R82" i="1" s="1"/>
  <c r="K81" i="1"/>
  <c r="L81" i="1" s="1"/>
  <c r="AH83" i="1"/>
  <c r="AH82" i="1"/>
  <c r="AG81" i="1"/>
  <c r="M83" i="1"/>
  <c r="M82" i="1"/>
  <c r="K87" i="1"/>
  <c r="L87" i="1" s="1"/>
  <c r="R87" i="1" s="1"/>
  <c r="K88" i="1"/>
  <c r="L88" i="1" s="1"/>
  <c r="R88" i="1" s="1"/>
  <c r="AH87" i="1"/>
  <c r="AG87" i="1"/>
  <c r="M88" i="1"/>
  <c r="M41" i="1" l="1"/>
  <c r="R23" i="1"/>
  <c r="AH41" i="1"/>
  <c r="AA79" i="1"/>
  <c r="AA88" i="1"/>
  <c r="M81" i="1"/>
  <c r="M79" i="1"/>
  <c r="R76" i="1"/>
  <c r="AG78" i="1"/>
  <c r="R77" i="1"/>
  <c r="R65" i="1"/>
  <c r="M53" i="1"/>
  <c r="AH81" i="1"/>
  <c r="AG41" i="1"/>
  <c r="R41" i="1"/>
  <c r="M26" i="1"/>
  <c r="AA77" i="1"/>
  <c r="S76" i="1"/>
  <c r="V76" i="1" s="1"/>
  <c r="AA87" i="1"/>
  <c r="AA28" i="1"/>
  <c r="AA73" i="1"/>
  <c r="AA65" i="1"/>
  <c r="AA75" i="1"/>
  <c r="AA83" i="1"/>
  <c r="M58" i="1"/>
  <c r="AA23" i="1"/>
  <c r="M71" i="1"/>
  <c r="M75" i="1"/>
  <c r="AH75" i="1"/>
  <c r="AH53" i="1"/>
  <c r="AA40" i="1"/>
  <c r="Q66" i="1"/>
  <c r="S66" i="1"/>
  <c r="V66" i="1" s="1"/>
  <c r="Q71" i="1"/>
  <c r="S71" i="1"/>
  <c r="V71" i="1" s="1"/>
  <c r="Q54" i="1"/>
  <c r="V54" i="1"/>
  <c r="S54" i="1"/>
  <c r="Q58" i="1"/>
  <c r="S58" i="1"/>
  <c r="V58" i="1" s="1"/>
  <c r="Q26" i="1"/>
  <c r="S26" i="1"/>
  <c r="V26" i="1" s="1"/>
  <c r="Q40" i="1"/>
  <c r="S40" i="1"/>
  <c r="V40" i="1" s="1"/>
  <c r="Q53" i="1"/>
  <c r="S53" i="1"/>
  <c r="V53" i="1"/>
  <c r="Q72" i="1"/>
  <c r="S72" i="1"/>
  <c r="V72" i="1" s="1"/>
  <c r="Q74" i="1"/>
  <c r="S74" i="1"/>
  <c r="V74" i="1" s="1"/>
  <c r="Q77" i="1"/>
  <c r="S77" i="1"/>
  <c r="V77" i="1" s="1"/>
  <c r="Q83" i="1"/>
  <c r="S83" i="1"/>
  <c r="V83" i="1" s="1"/>
  <c r="Q79" i="1"/>
  <c r="S79" i="1"/>
  <c r="V79" i="1" s="1"/>
  <c r="Q87" i="1"/>
  <c r="S87" i="1"/>
  <c r="V87" i="1" s="1"/>
  <c r="Q88" i="1"/>
  <c r="S88" i="1"/>
  <c r="V88" i="1" s="1"/>
  <c r="Q55" i="1"/>
  <c r="S55" i="1"/>
  <c r="V55" i="1"/>
  <c r="Q57" i="1"/>
  <c r="S57" i="1"/>
  <c r="V57" i="1" s="1"/>
  <c r="Q56" i="1"/>
  <c r="V56" i="1"/>
  <c r="S56" i="1"/>
  <c r="Q22" i="1"/>
  <c r="V22" i="1"/>
  <c r="S22" i="1"/>
  <c r="Q23" i="1"/>
  <c r="V23" i="1"/>
  <c r="S23" i="1"/>
  <c r="Q28" i="1"/>
  <c r="S28" i="1"/>
  <c r="V28" i="1" s="1"/>
  <c r="Q41" i="1"/>
  <c r="S41" i="1"/>
  <c r="V41" i="1" s="1"/>
  <c r="Q73" i="1"/>
  <c r="S73" i="1"/>
  <c r="V73" i="1" s="1"/>
  <c r="Q75" i="1"/>
  <c r="S75" i="1"/>
  <c r="V75" i="1" s="1"/>
  <c r="Q78" i="1"/>
  <c r="S78" i="1"/>
  <c r="V78" i="1" s="1"/>
  <c r="Q82" i="1"/>
  <c r="V82" i="1"/>
  <c r="S82" i="1"/>
  <c r="Q81" i="1"/>
  <c r="S81" i="1"/>
  <c r="V81" i="1"/>
  <c r="AG88" i="1"/>
  <c r="AH73" i="1"/>
  <c r="AH76" i="1"/>
  <c r="R22" i="1"/>
  <c r="AH22" i="1"/>
  <c r="R58" i="1"/>
  <c r="R53" i="1"/>
  <c r="R56" i="1"/>
  <c r="R57" i="1"/>
  <c r="AH54" i="1"/>
  <c r="AG54" i="1"/>
  <c r="AH55" i="1"/>
  <c r="AG55" i="1"/>
  <c r="AH56" i="1"/>
  <c r="AG56" i="1"/>
  <c r="AH57" i="1"/>
  <c r="AG57" i="1"/>
  <c r="AH58" i="1"/>
  <c r="AG58" i="1"/>
  <c r="AG65" i="1"/>
  <c r="AH65" i="1"/>
  <c r="R55" i="1"/>
  <c r="R54" i="1"/>
  <c r="AH66" i="1"/>
  <c r="AG66" i="1"/>
  <c r="I6" i="4" l="1"/>
  <c r="I65" i="4"/>
  <c r="I97" i="1"/>
  <c r="I96" i="1"/>
  <c r="I95" i="1"/>
  <c r="I94" i="1"/>
  <c r="I93" i="1"/>
  <c r="I92" i="1"/>
  <c r="I91" i="1"/>
  <c r="I90" i="1"/>
  <c r="I89" i="1"/>
  <c r="I86" i="1"/>
  <c r="I85" i="1"/>
  <c r="I84" i="1"/>
  <c r="I80" i="1"/>
  <c r="I70" i="1"/>
  <c r="I69" i="1"/>
  <c r="I68" i="1"/>
  <c r="I67" i="1"/>
  <c r="I64" i="1"/>
  <c r="I63" i="1"/>
  <c r="I62" i="1"/>
  <c r="I61" i="1"/>
  <c r="I60" i="1"/>
  <c r="I59" i="1"/>
  <c r="I52" i="1"/>
  <c r="I51" i="1"/>
  <c r="I50" i="1"/>
  <c r="I49" i="1"/>
  <c r="I48" i="1"/>
  <c r="I47" i="1"/>
  <c r="I46" i="1"/>
  <c r="I45" i="1"/>
  <c r="I44" i="1"/>
  <c r="I43" i="1"/>
  <c r="I42" i="1"/>
  <c r="I39" i="1"/>
  <c r="I38" i="1"/>
  <c r="I37" i="1"/>
  <c r="I36" i="1"/>
  <c r="I35" i="1"/>
  <c r="I34" i="1"/>
  <c r="I33" i="1"/>
  <c r="I32" i="1"/>
  <c r="I31" i="1"/>
  <c r="I30" i="1"/>
  <c r="I29" i="1"/>
  <c r="I27" i="1"/>
  <c r="I25" i="1"/>
  <c r="I24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97" i="1"/>
  <c r="X97" i="1" s="1"/>
  <c r="Y97" i="1" s="1"/>
  <c r="Z97" i="1" s="1"/>
  <c r="H96" i="1"/>
  <c r="X96" i="1" s="1"/>
  <c r="Y96" i="1" s="1"/>
  <c r="Z96" i="1" s="1"/>
  <c r="H95" i="1"/>
  <c r="X95" i="1" s="1"/>
  <c r="Y95" i="1" s="1"/>
  <c r="Z95" i="1" s="1"/>
  <c r="H94" i="1"/>
  <c r="X94" i="1" s="1"/>
  <c r="Y94" i="1" s="1"/>
  <c r="Z94" i="1" s="1"/>
  <c r="H93" i="1"/>
  <c r="X93" i="1" s="1"/>
  <c r="Y93" i="1" s="1"/>
  <c r="Z93" i="1" s="1"/>
  <c r="H92" i="1"/>
  <c r="X92" i="1" s="1"/>
  <c r="Y92" i="1" s="1"/>
  <c r="Z92" i="1" s="1"/>
  <c r="H91" i="1"/>
  <c r="X91" i="1" s="1"/>
  <c r="Y91" i="1" s="1"/>
  <c r="Z91" i="1" s="1"/>
  <c r="H90" i="1"/>
  <c r="X90" i="1" s="1"/>
  <c r="Y90" i="1" s="1"/>
  <c r="Z90" i="1" s="1"/>
  <c r="H89" i="1"/>
  <c r="X89" i="1" s="1"/>
  <c r="Y89" i="1" s="1"/>
  <c r="Z89" i="1" s="1"/>
  <c r="H86" i="1"/>
  <c r="X86" i="1" s="1"/>
  <c r="Y86" i="1" s="1"/>
  <c r="Z86" i="1" s="1"/>
  <c r="H85" i="1"/>
  <c r="X85" i="1" s="1"/>
  <c r="Y85" i="1" s="1"/>
  <c r="Z85" i="1" s="1"/>
  <c r="H84" i="1"/>
  <c r="X84" i="1" s="1"/>
  <c r="Y84" i="1" s="1"/>
  <c r="Z84" i="1" s="1"/>
  <c r="H80" i="1"/>
  <c r="X80" i="1" s="1"/>
  <c r="Y80" i="1" s="1"/>
  <c r="Z80" i="1" s="1"/>
  <c r="H70" i="1"/>
  <c r="X70" i="1" s="1"/>
  <c r="Y70" i="1" s="1"/>
  <c r="Z70" i="1" s="1"/>
  <c r="H69" i="1"/>
  <c r="X69" i="1" s="1"/>
  <c r="Y69" i="1" s="1"/>
  <c r="Z69" i="1" s="1"/>
  <c r="H68" i="1"/>
  <c r="X68" i="1" s="1"/>
  <c r="Y68" i="1" s="1"/>
  <c r="Z68" i="1" s="1"/>
  <c r="H67" i="1"/>
  <c r="H64" i="1"/>
  <c r="H63" i="1"/>
  <c r="H61" i="1"/>
  <c r="X61" i="1" s="1"/>
  <c r="Y61" i="1" s="1"/>
  <c r="Z61" i="1" s="1"/>
  <c r="H60" i="1"/>
  <c r="X60" i="1" s="1"/>
  <c r="Y60" i="1" s="1"/>
  <c r="Z60" i="1" s="1"/>
  <c r="H59" i="1"/>
  <c r="X59" i="1" s="1"/>
  <c r="Y59" i="1" s="1"/>
  <c r="Z59" i="1" s="1"/>
  <c r="H52" i="1"/>
  <c r="X52" i="1" s="1"/>
  <c r="Y52" i="1" s="1"/>
  <c r="Z52" i="1" s="1"/>
  <c r="H51" i="1"/>
  <c r="X51" i="1" s="1"/>
  <c r="Y51" i="1" s="1"/>
  <c r="Z51" i="1" s="1"/>
  <c r="H50" i="1"/>
  <c r="X50" i="1" s="1"/>
  <c r="Y50" i="1" s="1"/>
  <c r="Z50" i="1" s="1"/>
  <c r="H49" i="1"/>
  <c r="X49" i="1" s="1"/>
  <c r="Y49" i="1" s="1"/>
  <c r="Z49" i="1" s="1"/>
  <c r="K110" i="3"/>
  <c r="K109" i="3"/>
  <c r="K108" i="3"/>
  <c r="M107" i="3"/>
  <c r="N107" i="3" s="1"/>
  <c r="K107" i="3"/>
  <c r="M106" i="3"/>
  <c r="N106" i="3" s="1"/>
  <c r="K106" i="3"/>
  <c r="M105" i="3"/>
  <c r="K105" i="3"/>
  <c r="M104" i="3"/>
  <c r="N104" i="3" s="1"/>
  <c r="K104" i="3"/>
  <c r="H104" i="3"/>
  <c r="O104" i="3" s="1"/>
  <c r="E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I83" i="3"/>
  <c r="K82" i="3"/>
  <c r="K81" i="3"/>
  <c r="K80" i="3"/>
  <c r="O79" i="3"/>
  <c r="N79" i="3"/>
  <c r="K79" i="3"/>
  <c r="K78" i="3"/>
  <c r="K77" i="3"/>
  <c r="K76" i="3"/>
  <c r="K75" i="3"/>
  <c r="K74" i="3"/>
  <c r="K73" i="3"/>
  <c r="K72" i="3"/>
  <c r="E72" i="3"/>
  <c r="K71" i="3"/>
  <c r="K70" i="3"/>
  <c r="K69" i="3"/>
  <c r="K68" i="3"/>
  <c r="M67" i="3"/>
  <c r="K67" i="3"/>
  <c r="M66" i="3"/>
  <c r="K66" i="3"/>
  <c r="M65" i="3"/>
  <c r="K65" i="3"/>
  <c r="M64" i="3"/>
  <c r="K64" i="3"/>
  <c r="M63" i="3"/>
  <c r="K63" i="3"/>
  <c r="M62" i="3"/>
  <c r="K62" i="3"/>
  <c r="M61" i="3"/>
  <c r="K61" i="3"/>
  <c r="K60" i="3"/>
  <c r="G60" i="3"/>
  <c r="I60" i="3" s="1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I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I26" i="3"/>
  <c r="K25" i="3"/>
  <c r="I25" i="3"/>
  <c r="K24" i="3"/>
  <c r="I24" i="3"/>
  <c r="K23" i="3"/>
  <c r="I23" i="3"/>
  <c r="K22" i="3"/>
  <c r="I22" i="3"/>
  <c r="K21" i="3"/>
  <c r="I21" i="3"/>
  <c r="K20" i="3"/>
  <c r="K19" i="3"/>
  <c r="K18" i="3"/>
  <c r="K17" i="3"/>
  <c r="K16" i="3"/>
  <c r="K15" i="3"/>
  <c r="K14" i="3"/>
  <c r="K13" i="3"/>
  <c r="K12" i="3"/>
  <c r="K11" i="3"/>
  <c r="K10" i="3"/>
  <c r="G10" i="3"/>
  <c r="I10" i="3" s="1"/>
  <c r="E10" i="3"/>
  <c r="K9" i="3"/>
  <c r="G9" i="3"/>
  <c r="I9" i="3" s="1"/>
  <c r="E9" i="3"/>
  <c r="H9" i="3" s="1"/>
  <c r="K8" i="3"/>
  <c r="G8" i="3"/>
  <c r="I8" i="3" s="1"/>
  <c r="E8" i="3"/>
  <c r="K7" i="3"/>
  <c r="G7" i="3"/>
  <c r="I7" i="3" s="1"/>
  <c r="E7" i="3"/>
  <c r="K6" i="3"/>
  <c r="G6" i="3"/>
  <c r="I6" i="3" s="1"/>
  <c r="E6" i="3"/>
  <c r="K5" i="3"/>
  <c r="G5" i="3"/>
  <c r="I5" i="3" s="1"/>
  <c r="E5" i="3"/>
  <c r="H5" i="3" s="1"/>
  <c r="K4" i="3"/>
  <c r="H48" i="1"/>
  <c r="H47" i="1"/>
  <c r="X47" i="1" s="1"/>
  <c r="Y47" i="1" s="1"/>
  <c r="Z47" i="1" s="1"/>
  <c r="H46" i="1"/>
  <c r="X46" i="1" s="1"/>
  <c r="Y46" i="1" s="1"/>
  <c r="Z46" i="1" s="1"/>
  <c r="H45" i="1"/>
  <c r="H44" i="1"/>
  <c r="X44" i="1" s="1"/>
  <c r="Y44" i="1" s="1"/>
  <c r="Z44" i="1" s="1"/>
  <c r="H43" i="1"/>
  <c r="X43" i="1" s="1"/>
  <c r="Y43" i="1" s="1"/>
  <c r="Z43" i="1" s="1"/>
  <c r="H42" i="1"/>
  <c r="X42" i="1" s="1"/>
  <c r="Y42" i="1" s="1"/>
  <c r="Z42" i="1" s="1"/>
  <c r="H39" i="1"/>
  <c r="X39" i="1" s="1"/>
  <c r="Y39" i="1" s="1"/>
  <c r="Z39" i="1" s="1"/>
  <c r="H38" i="1"/>
  <c r="X38" i="1" s="1"/>
  <c r="Y38" i="1" s="1"/>
  <c r="Z38" i="1" s="1"/>
  <c r="H37" i="1"/>
  <c r="X37" i="1" s="1"/>
  <c r="Y37" i="1" s="1"/>
  <c r="Z37" i="1" s="1"/>
  <c r="H36" i="1"/>
  <c r="H35" i="1"/>
  <c r="H34" i="1"/>
  <c r="H33" i="1"/>
  <c r="H32" i="1"/>
  <c r="X32" i="1" s="1"/>
  <c r="Y32" i="1" s="1"/>
  <c r="Z32" i="1" s="1"/>
  <c r="H31" i="1"/>
  <c r="X31" i="1" s="1"/>
  <c r="Y31" i="1" s="1"/>
  <c r="Z31" i="1" s="1"/>
  <c r="H30" i="1"/>
  <c r="X30" i="1" s="1"/>
  <c r="Y30" i="1" s="1"/>
  <c r="Z30" i="1" s="1"/>
  <c r="H29" i="1"/>
  <c r="X29" i="1" s="1"/>
  <c r="Y29" i="1" s="1"/>
  <c r="Z29" i="1" s="1"/>
  <c r="H27" i="1"/>
  <c r="X27" i="1" s="1"/>
  <c r="Y27" i="1" s="1"/>
  <c r="Z27" i="1" s="1"/>
  <c r="H25" i="1"/>
  <c r="X25" i="1" s="1"/>
  <c r="Y25" i="1" s="1"/>
  <c r="Z25" i="1" s="1"/>
  <c r="H24" i="1"/>
  <c r="H21" i="1"/>
  <c r="H20" i="1"/>
  <c r="X20" i="1" s="1"/>
  <c r="Y20" i="1" s="1"/>
  <c r="Z20" i="1" s="1"/>
  <c r="H19" i="1"/>
  <c r="H18" i="1"/>
  <c r="X18" i="1" s="1"/>
  <c r="Y18" i="1" s="1"/>
  <c r="Z18" i="1" s="1"/>
  <c r="H17" i="1"/>
  <c r="X17" i="1" s="1"/>
  <c r="Y17" i="1" s="1"/>
  <c r="Z17" i="1" s="1"/>
  <c r="H16" i="1"/>
  <c r="X16" i="1" s="1"/>
  <c r="Y16" i="1" s="1"/>
  <c r="Z16" i="1" s="1"/>
  <c r="H15" i="1"/>
  <c r="X15" i="1" s="1"/>
  <c r="Y15" i="1" s="1"/>
  <c r="Z15" i="1" s="1"/>
  <c r="H14" i="1"/>
  <c r="X14" i="1" s="1"/>
  <c r="Y14" i="1" s="1"/>
  <c r="Z14" i="1" s="1"/>
  <c r="H13" i="1"/>
  <c r="X13" i="1" s="1"/>
  <c r="Y13" i="1" s="1"/>
  <c r="Z13" i="1" s="1"/>
  <c r="H12" i="1"/>
  <c r="X12" i="1" s="1"/>
  <c r="Y12" i="1" s="1"/>
  <c r="Z12" i="1" s="1"/>
  <c r="H11" i="1"/>
  <c r="X11" i="1" s="1"/>
  <c r="Y11" i="1" s="1"/>
  <c r="Z11" i="1" s="1"/>
  <c r="H10" i="1"/>
  <c r="X10" i="1" s="1"/>
  <c r="Y10" i="1" s="1"/>
  <c r="Z10" i="1" s="1"/>
  <c r="H9" i="1"/>
  <c r="X9" i="1" s="1"/>
  <c r="Y9" i="1" s="1"/>
  <c r="Z9" i="1" s="1"/>
  <c r="H8" i="1"/>
  <c r="X8" i="1" s="1"/>
  <c r="Y8" i="1" s="1"/>
  <c r="Z8" i="1" s="1"/>
  <c r="H7" i="1"/>
  <c r="X7" i="1" s="1"/>
  <c r="Y7" i="1" s="1"/>
  <c r="Z7" i="1" s="1"/>
  <c r="H6" i="1"/>
  <c r="X6" i="1" s="1"/>
  <c r="Y6" i="1" s="1"/>
  <c r="Z6" i="1" s="1"/>
  <c r="H5" i="1"/>
  <c r="X5" i="1" s="1"/>
  <c r="Y5" i="1" s="1"/>
  <c r="Z5" i="1" s="1"/>
  <c r="F97" i="1"/>
  <c r="J97" i="1" s="1"/>
  <c r="K97" i="1" s="1"/>
  <c r="L97" i="1" s="1"/>
  <c r="F96" i="1"/>
  <c r="J96" i="1" s="1"/>
  <c r="F95" i="1"/>
  <c r="J95" i="1" s="1"/>
  <c r="F94" i="1"/>
  <c r="J94" i="1" s="1"/>
  <c r="K94" i="1" s="1"/>
  <c r="L94" i="1" s="1"/>
  <c r="F93" i="1"/>
  <c r="J93" i="1" s="1"/>
  <c r="F92" i="1"/>
  <c r="J92" i="1" s="1"/>
  <c r="F91" i="1"/>
  <c r="J91" i="1" s="1"/>
  <c r="K91" i="1" s="1"/>
  <c r="L91" i="1" s="1"/>
  <c r="F90" i="1"/>
  <c r="J90" i="1" s="1"/>
  <c r="K90" i="1" s="1"/>
  <c r="L90" i="1" s="1"/>
  <c r="F89" i="1"/>
  <c r="J89" i="1" s="1"/>
  <c r="F86" i="1"/>
  <c r="J86" i="1" s="1"/>
  <c r="F85" i="1"/>
  <c r="J85" i="1" s="1"/>
  <c r="F84" i="1"/>
  <c r="J84" i="1" s="1"/>
  <c r="K84" i="1" s="1"/>
  <c r="L84" i="1" s="1"/>
  <c r="F80" i="1"/>
  <c r="J80" i="1" s="1"/>
  <c r="F70" i="1"/>
  <c r="J70" i="1" s="1"/>
  <c r="F69" i="1"/>
  <c r="J69" i="1" s="1"/>
  <c r="K69" i="1" s="1"/>
  <c r="L69" i="1" s="1"/>
  <c r="F68" i="1"/>
  <c r="J68" i="1" s="1"/>
  <c r="F67" i="1"/>
  <c r="J67" i="1" s="1"/>
  <c r="K67" i="1" s="1"/>
  <c r="L67" i="1" s="1"/>
  <c r="F64" i="1"/>
  <c r="J64" i="1" s="1"/>
  <c r="F63" i="1"/>
  <c r="J63" i="1" s="1"/>
  <c r="K63" i="1" s="1"/>
  <c r="L63" i="1" s="1"/>
  <c r="F62" i="1"/>
  <c r="J62" i="1" s="1"/>
  <c r="F61" i="1"/>
  <c r="J61" i="1" s="1"/>
  <c r="K61" i="1" s="1"/>
  <c r="L61" i="1" s="1"/>
  <c r="F60" i="1"/>
  <c r="J60" i="1" s="1"/>
  <c r="F59" i="1"/>
  <c r="J59" i="1" s="1"/>
  <c r="K59" i="1" s="1"/>
  <c r="L59" i="1" s="1"/>
  <c r="F52" i="1"/>
  <c r="J52" i="1" s="1"/>
  <c r="F51" i="1"/>
  <c r="J51" i="1" s="1"/>
  <c r="K51" i="1" s="1"/>
  <c r="L51" i="1" s="1"/>
  <c r="F50" i="1"/>
  <c r="J50" i="1" s="1"/>
  <c r="F49" i="1"/>
  <c r="J49" i="1" s="1"/>
  <c r="K49" i="1" s="1"/>
  <c r="L49" i="1" s="1"/>
  <c r="F48" i="1"/>
  <c r="J48" i="1" s="1"/>
  <c r="F47" i="1"/>
  <c r="J47" i="1" s="1"/>
  <c r="K47" i="1" s="1"/>
  <c r="L47" i="1" s="1"/>
  <c r="F46" i="1"/>
  <c r="J46" i="1" s="1"/>
  <c r="F45" i="1"/>
  <c r="J45" i="1" s="1"/>
  <c r="K45" i="1" s="1"/>
  <c r="L45" i="1" s="1"/>
  <c r="F44" i="1"/>
  <c r="J44" i="1" s="1"/>
  <c r="F43" i="1"/>
  <c r="J43" i="1" s="1"/>
  <c r="K43" i="1" s="1"/>
  <c r="L43" i="1" s="1"/>
  <c r="F42" i="1"/>
  <c r="J42" i="1" s="1"/>
  <c r="F39" i="1"/>
  <c r="J39" i="1" s="1"/>
  <c r="F38" i="1"/>
  <c r="J38" i="1" s="1"/>
  <c r="F37" i="1"/>
  <c r="J37" i="1" s="1"/>
  <c r="K37" i="1" s="1"/>
  <c r="L37" i="1" s="1"/>
  <c r="F36" i="1"/>
  <c r="J36" i="1" s="1"/>
  <c r="F35" i="1"/>
  <c r="J35" i="1" s="1"/>
  <c r="K35" i="1" s="1"/>
  <c r="L35" i="1" s="1"/>
  <c r="F34" i="1"/>
  <c r="J34" i="1" s="1"/>
  <c r="F33" i="1"/>
  <c r="J33" i="1" s="1"/>
  <c r="F32" i="1"/>
  <c r="J32" i="1" s="1"/>
  <c r="F31" i="1"/>
  <c r="J31" i="1" s="1"/>
  <c r="K31" i="1" s="1"/>
  <c r="L31" i="1" s="1"/>
  <c r="F30" i="1"/>
  <c r="J30" i="1" s="1"/>
  <c r="F29" i="1"/>
  <c r="J29" i="1" s="1"/>
  <c r="K29" i="1" s="1"/>
  <c r="L29" i="1" s="1"/>
  <c r="F27" i="1"/>
  <c r="J27" i="1" s="1"/>
  <c r="F25" i="1"/>
  <c r="J25" i="1" s="1"/>
  <c r="F24" i="1"/>
  <c r="J24" i="1" s="1"/>
  <c r="F21" i="1"/>
  <c r="J21" i="1" s="1"/>
  <c r="K21" i="1" s="1"/>
  <c r="L21" i="1" s="1"/>
  <c r="F20" i="1"/>
  <c r="J20" i="1" s="1"/>
  <c r="F19" i="1"/>
  <c r="J19" i="1" s="1"/>
  <c r="K19" i="1" s="1"/>
  <c r="L19" i="1" s="1"/>
  <c r="F18" i="1"/>
  <c r="J18" i="1" s="1"/>
  <c r="F17" i="1"/>
  <c r="J17" i="1" s="1"/>
  <c r="F16" i="1"/>
  <c r="J16" i="1" s="1"/>
  <c r="F15" i="1"/>
  <c r="J15" i="1" s="1"/>
  <c r="F14" i="1"/>
  <c r="J14" i="1" s="1"/>
  <c r="F13" i="1"/>
  <c r="J13" i="1" s="1"/>
  <c r="K13" i="1" s="1"/>
  <c r="L13" i="1" s="1"/>
  <c r="F12" i="1"/>
  <c r="J12" i="1" s="1"/>
  <c r="F11" i="1"/>
  <c r="J11" i="1" s="1"/>
  <c r="F10" i="1"/>
  <c r="J10" i="1" s="1"/>
  <c r="K10" i="1" s="1"/>
  <c r="L10" i="1" s="1"/>
  <c r="F9" i="1"/>
  <c r="J9" i="1" s="1"/>
  <c r="F8" i="1"/>
  <c r="J8" i="1" s="1"/>
  <c r="F7" i="1"/>
  <c r="J7" i="1" s="1"/>
  <c r="F6" i="1"/>
  <c r="J6" i="1" s="1"/>
  <c r="K6" i="1" s="1"/>
  <c r="L6" i="1" s="1"/>
  <c r="F5" i="1"/>
  <c r="J5" i="1" s="1"/>
  <c r="K5" i="1" s="1"/>
  <c r="L5" i="1" s="1"/>
  <c r="AA97" i="1" l="1"/>
  <c r="AA13" i="1"/>
  <c r="AA29" i="1"/>
  <c r="AA43" i="1"/>
  <c r="AA61" i="1"/>
  <c r="AA84" i="1"/>
  <c r="AA90" i="1"/>
  <c r="AA6" i="1"/>
  <c r="AA10" i="1"/>
  <c r="H7" i="3"/>
  <c r="AA69" i="1"/>
  <c r="AA91" i="1"/>
  <c r="AA27" i="1"/>
  <c r="AA5" i="1"/>
  <c r="AA37" i="1"/>
  <c r="AA47" i="1"/>
  <c r="AA51" i="1"/>
  <c r="AA94" i="1"/>
  <c r="K8" i="1"/>
  <c r="L8" i="1" s="1"/>
  <c r="AA8" i="1" s="1"/>
  <c r="K12" i="1"/>
  <c r="L12" i="1" s="1"/>
  <c r="AA12" i="1" s="1"/>
  <c r="K20" i="1"/>
  <c r="L20" i="1" s="1"/>
  <c r="AA20" i="1" s="1"/>
  <c r="K27" i="1"/>
  <c r="L27" i="1" s="1"/>
  <c r="K92" i="1"/>
  <c r="L92" i="1" s="1"/>
  <c r="K96" i="1"/>
  <c r="L96" i="1" s="1"/>
  <c r="AA31" i="1"/>
  <c r="AA49" i="1"/>
  <c r="AA59" i="1"/>
  <c r="AA92" i="1"/>
  <c r="AA96" i="1"/>
  <c r="U19" i="1"/>
  <c r="X19" i="1" s="1"/>
  <c r="Y19" i="1" s="1"/>
  <c r="Z19" i="1" s="1"/>
  <c r="AA19" i="1" s="1"/>
  <c r="U21" i="1"/>
  <c r="X21" i="1" s="1"/>
  <c r="Y21" i="1" s="1"/>
  <c r="Z21" i="1" s="1"/>
  <c r="AA21" i="1" s="1"/>
  <c r="U33" i="1"/>
  <c r="X33" i="1" s="1"/>
  <c r="Y33" i="1" s="1"/>
  <c r="Z33" i="1" s="1"/>
  <c r="U35" i="1"/>
  <c r="X35" i="1" s="1"/>
  <c r="Y35" i="1" s="1"/>
  <c r="Z35" i="1" s="1"/>
  <c r="AA35" i="1" s="1"/>
  <c r="U45" i="1"/>
  <c r="X45" i="1" s="1"/>
  <c r="Y45" i="1" s="1"/>
  <c r="Z45" i="1" s="1"/>
  <c r="AA45" i="1" s="1"/>
  <c r="U64" i="1"/>
  <c r="X64" i="1" s="1"/>
  <c r="Y64" i="1" s="1"/>
  <c r="Z64" i="1" s="1"/>
  <c r="U24" i="1"/>
  <c r="X24" i="1" s="1"/>
  <c r="Y24" i="1" s="1"/>
  <c r="Z24" i="1" s="1"/>
  <c r="U34" i="1"/>
  <c r="X34" i="1" s="1"/>
  <c r="Y34" i="1" s="1"/>
  <c r="Z34" i="1" s="1"/>
  <c r="U36" i="1"/>
  <c r="X36" i="1" s="1"/>
  <c r="Y36" i="1" s="1"/>
  <c r="Z36" i="1" s="1"/>
  <c r="U48" i="1"/>
  <c r="X48" i="1" s="1"/>
  <c r="Y48" i="1" s="1"/>
  <c r="Z48" i="1" s="1"/>
  <c r="U63" i="1"/>
  <c r="X63" i="1" s="1"/>
  <c r="Y63" i="1" s="1"/>
  <c r="Z63" i="1" s="1"/>
  <c r="AA63" i="1" s="1"/>
  <c r="U67" i="1"/>
  <c r="X67" i="1" s="1"/>
  <c r="Y67" i="1" s="1"/>
  <c r="Z67" i="1" s="1"/>
  <c r="AA67" i="1" s="1"/>
  <c r="N36" i="1"/>
  <c r="N38" i="1"/>
  <c r="N42" i="1"/>
  <c r="N85" i="1"/>
  <c r="N89" i="1"/>
  <c r="N93" i="1"/>
  <c r="N9" i="1"/>
  <c r="N15" i="1"/>
  <c r="N17" i="1"/>
  <c r="N86" i="1"/>
  <c r="O6" i="1"/>
  <c r="O8" i="1"/>
  <c r="P8" i="1" s="1"/>
  <c r="O10" i="1"/>
  <c r="P10" i="1" s="1"/>
  <c r="O12" i="1"/>
  <c r="P12" i="1" s="1"/>
  <c r="O13" i="1"/>
  <c r="O19" i="1"/>
  <c r="P19" i="1" s="1"/>
  <c r="O21" i="1"/>
  <c r="P21" i="1" s="1"/>
  <c r="O25" i="1"/>
  <c r="P25" i="1" s="1"/>
  <c r="O27" i="1"/>
  <c r="O29" i="1"/>
  <c r="P29" i="1" s="1"/>
  <c r="S29" i="1" s="1"/>
  <c r="V29" i="1" s="1"/>
  <c r="O31" i="1"/>
  <c r="P31" i="1" s="1"/>
  <c r="O33" i="1"/>
  <c r="O35" i="1"/>
  <c r="P35" i="1" s="1"/>
  <c r="O37" i="1"/>
  <c r="P37" i="1" s="1"/>
  <c r="S37" i="1" s="1"/>
  <c r="V37" i="1" s="1"/>
  <c r="O39" i="1"/>
  <c r="P39" i="1" s="1"/>
  <c r="O43" i="1"/>
  <c r="O45" i="1"/>
  <c r="P45" i="1" s="1"/>
  <c r="O47" i="1"/>
  <c r="P47" i="1" s="1"/>
  <c r="O49" i="1"/>
  <c r="P49" i="1" s="1"/>
  <c r="O51" i="1"/>
  <c r="P51" i="1" s="1"/>
  <c r="O59" i="1"/>
  <c r="O61" i="1"/>
  <c r="P61" i="1" s="1"/>
  <c r="S61" i="1" s="1"/>
  <c r="V61" i="1" s="1"/>
  <c r="O63" i="1"/>
  <c r="P63" i="1" s="1"/>
  <c r="S63" i="1" s="1"/>
  <c r="V63" i="1" s="1"/>
  <c r="O67" i="1"/>
  <c r="P67" i="1" s="1"/>
  <c r="S67" i="1" s="1"/>
  <c r="V67" i="1" s="1"/>
  <c r="O69" i="1"/>
  <c r="O84" i="1"/>
  <c r="P84" i="1" s="1"/>
  <c r="S84" i="1" s="1"/>
  <c r="V84" i="1" s="1"/>
  <c r="O90" i="1"/>
  <c r="P90" i="1" s="1"/>
  <c r="S90" i="1" s="1"/>
  <c r="V90" i="1" s="1"/>
  <c r="O91" i="1"/>
  <c r="P91" i="1" s="1"/>
  <c r="S91" i="1" s="1"/>
  <c r="V91" i="1" s="1"/>
  <c r="O92" i="1"/>
  <c r="P92" i="1" s="1"/>
  <c r="S92" i="1" s="1"/>
  <c r="V92" i="1" s="1"/>
  <c r="O94" i="1"/>
  <c r="O96" i="1"/>
  <c r="P96" i="1" s="1"/>
  <c r="S96" i="1" s="1"/>
  <c r="V96" i="1" s="1"/>
  <c r="N5" i="1"/>
  <c r="N6" i="1"/>
  <c r="M6" i="1" s="1"/>
  <c r="N10" i="1"/>
  <c r="N13" i="1"/>
  <c r="M13" i="1" s="1"/>
  <c r="N19" i="1"/>
  <c r="M19" i="1" s="1"/>
  <c r="N29" i="1"/>
  <c r="N31" i="1"/>
  <c r="N33" i="1"/>
  <c r="N35" i="1"/>
  <c r="N43" i="1"/>
  <c r="N45" i="1"/>
  <c r="N47" i="1"/>
  <c r="N49" i="1"/>
  <c r="N51" i="1"/>
  <c r="N59" i="1"/>
  <c r="N61" i="1"/>
  <c r="N63" i="1"/>
  <c r="N67" i="1"/>
  <c r="N69" i="1"/>
  <c r="N84" i="1"/>
  <c r="M84" i="1" s="1"/>
  <c r="N90" i="1"/>
  <c r="N94" i="1"/>
  <c r="M94" i="1" s="1"/>
  <c r="O7" i="1"/>
  <c r="P7" i="1" s="1"/>
  <c r="O9" i="1"/>
  <c r="P9" i="1" s="1"/>
  <c r="O11" i="1"/>
  <c r="P11" i="1" s="1"/>
  <c r="O14" i="1"/>
  <c r="P14" i="1" s="1"/>
  <c r="O15" i="1"/>
  <c r="P15" i="1" s="1"/>
  <c r="O16" i="1"/>
  <c r="O17" i="1"/>
  <c r="P17" i="1" s="1"/>
  <c r="O18" i="1"/>
  <c r="P18" i="1" s="1"/>
  <c r="O20" i="1"/>
  <c r="O24" i="1"/>
  <c r="P24" i="1" s="1"/>
  <c r="O30" i="1"/>
  <c r="O32" i="1"/>
  <c r="P32" i="1" s="1"/>
  <c r="O34" i="1"/>
  <c r="P34" i="1" s="1"/>
  <c r="O36" i="1"/>
  <c r="P36" i="1" s="1"/>
  <c r="O38" i="1"/>
  <c r="P38" i="1" s="1"/>
  <c r="O42" i="1"/>
  <c r="O44" i="1"/>
  <c r="P44" i="1" s="1"/>
  <c r="O46" i="1"/>
  <c r="P46" i="1" s="1"/>
  <c r="O48" i="1"/>
  <c r="P48" i="1" s="1"/>
  <c r="O50" i="1"/>
  <c r="P50" i="1" s="1"/>
  <c r="O52" i="1"/>
  <c r="O60" i="1"/>
  <c r="P60" i="1" s="1"/>
  <c r="O62" i="1"/>
  <c r="O64" i="1"/>
  <c r="P64" i="1" s="1"/>
  <c r="O68" i="1"/>
  <c r="O70" i="1"/>
  <c r="P70" i="1" s="1"/>
  <c r="O80" i="1"/>
  <c r="P80" i="1" s="1"/>
  <c r="O85" i="1"/>
  <c r="P85" i="1" s="1"/>
  <c r="O86" i="1"/>
  <c r="P86" i="1" s="1"/>
  <c r="O89" i="1"/>
  <c r="O93" i="1"/>
  <c r="O95" i="1"/>
  <c r="O97" i="1"/>
  <c r="N97" i="1"/>
  <c r="N7" i="1"/>
  <c r="N8" i="1"/>
  <c r="N11" i="1"/>
  <c r="N12" i="1"/>
  <c r="N14" i="1"/>
  <c r="N16" i="1"/>
  <c r="N18" i="1"/>
  <c r="N20" i="1"/>
  <c r="N21" i="1"/>
  <c r="N24" i="1"/>
  <c r="N25" i="1"/>
  <c r="N27" i="1"/>
  <c r="M27" i="1" s="1"/>
  <c r="N30" i="1"/>
  <c r="N32" i="1"/>
  <c r="N34" i="1"/>
  <c r="N37" i="1"/>
  <c r="N39" i="1"/>
  <c r="N44" i="1"/>
  <c r="N46" i="1"/>
  <c r="N48" i="1"/>
  <c r="N50" i="1"/>
  <c r="N52" i="1"/>
  <c r="N60" i="1"/>
  <c r="N62" i="1"/>
  <c r="N64" i="1"/>
  <c r="N68" i="1"/>
  <c r="N70" i="1"/>
  <c r="N80" i="1"/>
  <c r="N91" i="1"/>
  <c r="N92" i="1"/>
  <c r="N95" i="1"/>
  <c r="N96" i="1"/>
  <c r="M96" i="1" s="1"/>
  <c r="P94" i="1"/>
  <c r="S94" i="1" s="1"/>
  <c r="V94" i="1" s="1"/>
  <c r="P69" i="1"/>
  <c r="S69" i="1" s="1"/>
  <c r="V69" i="1" s="1"/>
  <c r="P59" i="1"/>
  <c r="S59" i="1" s="1"/>
  <c r="V59" i="1" s="1"/>
  <c r="P43" i="1"/>
  <c r="P33" i="1"/>
  <c r="P27" i="1"/>
  <c r="S27" i="1" s="1"/>
  <c r="V27" i="1" s="1"/>
  <c r="P13" i="1"/>
  <c r="P6" i="1"/>
  <c r="AE6" i="1"/>
  <c r="AF6" i="1" s="1"/>
  <c r="AE9" i="1"/>
  <c r="AF9" i="1" s="1"/>
  <c r="AE10" i="1"/>
  <c r="AF10" i="1" s="1"/>
  <c r="AE13" i="1"/>
  <c r="AF13" i="1" s="1"/>
  <c r="AE15" i="1"/>
  <c r="AF15" i="1" s="1"/>
  <c r="AE17" i="1"/>
  <c r="AF17" i="1" s="1"/>
  <c r="AE19" i="1"/>
  <c r="AF19" i="1" s="1"/>
  <c r="AE30" i="1"/>
  <c r="AF30" i="1" s="1"/>
  <c r="AE32" i="1"/>
  <c r="AF32" i="1" s="1"/>
  <c r="AE33" i="1"/>
  <c r="AF33" i="1" s="1"/>
  <c r="AE36" i="1"/>
  <c r="AF36" i="1" s="1"/>
  <c r="AE37" i="1"/>
  <c r="AF37" i="1" s="1"/>
  <c r="AE44" i="1"/>
  <c r="AF44" i="1" s="1"/>
  <c r="AE45" i="1"/>
  <c r="AF45" i="1" s="1"/>
  <c r="AE48" i="1"/>
  <c r="AF48" i="1" s="1"/>
  <c r="AE49" i="1"/>
  <c r="AF49" i="1" s="1"/>
  <c r="AE52" i="1"/>
  <c r="AF52" i="1" s="1"/>
  <c r="AE59" i="1"/>
  <c r="AF59" i="1" s="1"/>
  <c r="AE62" i="1"/>
  <c r="AF62" i="1" s="1"/>
  <c r="AE63" i="1"/>
  <c r="AF63" i="1" s="1"/>
  <c r="AE67" i="1"/>
  <c r="AF67" i="1" s="1"/>
  <c r="AE70" i="1"/>
  <c r="AF70" i="1" s="1"/>
  <c r="AE80" i="1"/>
  <c r="AF80" i="1" s="1"/>
  <c r="AE91" i="1"/>
  <c r="AF91" i="1" s="1"/>
  <c r="AE92" i="1"/>
  <c r="AF92" i="1" s="1"/>
  <c r="AE95" i="1"/>
  <c r="AF95" i="1" s="1"/>
  <c r="AE96" i="1"/>
  <c r="AF96" i="1" s="1"/>
  <c r="AE8" i="1"/>
  <c r="AF8" i="1" s="1"/>
  <c r="P97" i="1"/>
  <c r="P95" i="1"/>
  <c r="P93" i="1"/>
  <c r="P89" i="1"/>
  <c r="P68" i="1"/>
  <c r="P62" i="1"/>
  <c r="P52" i="1"/>
  <c r="P42" i="1"/>
  <c r="P30" i="1"/>
  <c r="P20" i="1"/>
  <c r="P16" i="1"/>
  <c r="AE5" i="1"/>
  <c r="AF5" i="1" s="1"/>
  <c r="AE7" i="1"/>
  <c r="AF7" i="1" s="1"/>
  <c r="AE11" i="1"/>
  <c r="AF11" i="1" s="1"/>
  <c r="AE12" i="1"/>
  <c r="AF12" i="1" s="1"/>
  <c r="AE14" i="1"/>
  <c r="AF14" i="1" s="1"/>
  <c r="AE16" i="1"/>
  <c r="AF16" i="1" s="1"/>
  <c r="AE18" i="1"/>
  <c r="AF18" i="1" s="1"/>
  <c r="AE20" i="1"/>
  <c r="AF20" i="1" s="1"/>
  <c r="AE21" i="1"/>
  <c r="AF21" i="1" s="1"/>
  <c r="AE24" i="1"/>
  <c r="AF24" i="1" s="1"/>
  <c r="AE25" i="1"/>
  <c r="AF25" i="1" s="1"/>
  <c r="AE27" i="1"/>
  <c r="AF27" i="1" s="1"/>
  <c r="AE29" i="1"/>
  <c r="AF29" i="1" s="1"/>
  <c r="AE31" i="1"/>
  <c r="AF31" i="1" s="1"/>
  <c r="AE34" i="1"/>
  <c r="AF34" i="1" s="1"/>
  <c r="AE35" i="1"/>
  <c r="AF35" i="1" s="1"/>
  <c r="AE38" i="1"/>
  <c r="AF38" i="1" s="1"/>
  <c r="AE39" i="1"/>
  <c r="AF39" i="1" s="1"/>
  <c r="AE42" i="1"/>
  <c r="AF42" i="1" s="1"/>
  <c r="AE43" i="1"/>
  <c r="AF43" i="1" s="1"/>
  <c r="AE46" i="1"/>
  <c r="AF46" i="1" s="1"/>
  <c r="AE47" i="1"/>
  <c r="AF47" i="1" s="1"/>
  <c r="AE50" i="1"/>
  <c r="AF50" i="1" s="1"/>
  <c r="AE51" i="1"/>
  <c r="AF51" i="1" s="1"/>
  <c r="AE60" i="1"/>
  <c r="AF60" i="1" s="1"/>
  <c r="AE61" i="1"/>
  <c r="AF61" i="1" s="1"/>
  <c r="AE64" i="1"/>
  <c r="AF64" i="1" s="1"/>
  <c r="AE68" i="1"/>
  <c r="AF68" i="1" s="1"/>
  <c r="AE69" i="1"/>
  <c r="AF69" i="1" s="1"/>
  <c r="AE84" i="1"/>
  <c r="AF84" i="1" s="1"/>
  <c r="AE85" i="1"/>
  <c r="AF85" i="1" s="1"/>
  <c r="AE86" i="1"/>
  <c r="AF86" i="1" s="1"/>
  <c r="AE89" i="1"/>
  <c r="AF89" i="1" s="1"/>
  <c r="AE90" i="1"/>
  <c r="AF90" i="1" s="1"/>
  <c r="AE93" i="1"/>
  <c r="AF93" i="1" s="1"/>
  <c r="AE94" i="1"/>
  <c r="AF94" i="1" s="1"/>
  <c r="AE97" i="1"/>
  <c r="AF97" i="1" s="1"/>
  <c r="O5" i="1"/>
  <c r="K32" i="1"/>
  <c r="K34" i="1"/>
  <c r="K38" i="1"/>
  <c r="K60" i="1"/>
  <c r="K25" i="1"/>
  <c r="K33" i="1"/>
  <c r="K39" i="1"/>
  <c r="K7" i="1"/>
  <c r="K9" i="1"/>
  <c r="K11" i="1"/>
  <c r="K14" i="1"/>
  <c r="K15" i="1"/>
  <c r="K16" i="1"/>
  <c r="K17" i="1"/>
  <c r="K18" i="1"/>
  <c r="K24" i="1"/>
  <c r="K30" i="1"/>
  <c r="K36" i="1"/>
  <c r="K42" i="1"/>
  <c r="K44" i="1"/>
  <c r="K46" i="1"/>
  <c r="K48" i="1"/>
  <c r="K50" i="1"/>
  <c r="K52" i="1"/>
  <c r="K62" i="1"/>
  <c r="K64" i="1"/>
  <c r="K68" i="1"/>
  <c r="K70" i="1"/>
  <c r="K80" i="1"/>
  <c r="K85" i="1"/>
  <c r="K86" i="1"/>
  <c r="K89" i="1"/>
  <c r="K93" i="1"/>
  <c r="K95" i="1"/>
  <c r="H6" i="3"/>
  <c r="H8" i="3"/>
  <c r="H10" i="3"/>
  <c r="S70" i="1" l="1"/>
  <c r="V70" i="1" s="1"/>
  <c r="S20" i="1"/>
  <c r="V20" i="1" s="1"/>
  <c r="S86" i="1"/>
  <c r="V86" i="1" s="1"/>
  <c r="M31" i="1"/>
  <c r="M10" i="1"/>
  <c r="S30" i="1"/>
  <c r="V30" i="1" s="1"/>
  <c r="AA33" i="1"/>
  <c r="M21" i="1"/>
  <c r="V16" i="1"/>
  <c r="V42" i="1"/>
  <c r="V6" i="1"/>
  <c r="S6" i="1"/>
  <c r="S13" i="1"/>
  <c r="V13" i="1"/>
  <c r="S43" i="1"/>
  <c r="V43" i="1"/>
  <c r="V50" i="1"/>
  <c r="S45" i="1"/>
  <c r="V45" i="1"/>
  <c r="V35" i="1"/>
  <c r="S35" i="1"/>
  <c r="V31" i="1"/>
  <c r="S31" i="1"/>
  <c r="S9" i="1"/>
  <c r="V32" i="1"/>
  <c r="V52" i="1"/>
  <c r="S97" i="1"/>
  <c r="V97" i="1"/>
  <c r="V10" i="1"/>
  <c r="S10" i="1"/>
  <c r="V21" i="1"/>
  <c r="S21" i="1"/>
  <c r="V33" i="1"/>
  <c r="S49" i="1"/>
  <c r="V49" i="1"/>
  <c r="V44" i="1"/>
  <c r="V34" i="1"/>
  <c r="S17" i="1"/>
  <c r="S11" i="1"/>
  <c r="S51" i="1"/>
  <c r="V51" i="1"/>
  <c r="S47" i="1"/>
  <c r="V47" i="1"/>
  <c r="S19" i="1"/>
  <c r="V19" i="1"/>
  <c r="V12" i="1"/>
  <c r="S12" i="1"/>
  <c r="V8" i="1"/>
  <c r="S8" i="1"/>
  <c r="M90" i="1"/>
  <c r="M43" i="1"/>
  <c r="M25" i="1"/>
  <c r="M12" i="1"/>
  <c r="M92" i="1"/>
  <c r="M91" i="1"/>
  <c r="M8" i="1"/>
  <c r="M67" i="1"/>
  <c r="L95" i="1"/>
  <c r="AA95" i="1" s="1"/>
  <c r="L86" i="1"/>
  <c r="AA86" i="1" s="1"/>
  <c r="L93" i="1"/>
  <c r="AA93" i="1" s="1"/>
  <c r="L70" i="1"/>
  <c r="AA70" i="1" s="1"/>
  <c r="L62" i="1"/>
  <c r="AA62" i="1" s="1"/>
  <c r="L50" i="1"/>
  <c r="AA50" i="1" s="1"/>
  <c r="L46" i="1"/>
  <c r="AA46" i="1" s="1"/>
  <c r="L42" i="1"/>
  <c r="AA42" i="1" s="1"/>
  <c r="L36" i="1"/>
  <c r="AA36" i="1" s="1"/>
  <c r="L30" i="1"/>
  <c r="AA30" i="1" s="1"/>
  <c r="L18" i="1"/>
  <c r="AA18" i="1" s="1"/>
  <c r="L16" i="1"/>
  <c r="AA16" i="1" s="1"/>
  <c r="L14" i="1"/>
  <c r="AA14" i="1" s="1"/>
  <c r="L11" i="1"/>
  <c r="AA11" i="1" s="1"/>
  <c r="L7" i="1"/>
  <c r="AA7" i="1" s="1"/>
  <c r="L33" i="1"/>
  <c r="S33" i="1" s="1"/>
  <c r="L60" i="1"/>
  <c r="AA60" i="1" s="1"/>
  <c r="L34" i="1"/>
  <c r="AA34" i="1" s="1"/>
  <c r="L89" i="1"/>
  <c r="AA89" i="1" s="1"/>
  <c r="L85" i="1"/>
  <c r="AA85" i="1" s="1"/>
  <c r="L80" i="1"/>
  <c r="AA80" i="1" s="1"/>
  <c r="L68" i="1"/>
  <c r="AA68" i="1" s="1"/>
  <c r="L64" i="1"/>
  <c r="AA64" i="1" s="1"/>
  <c r="L52" i="1"/>
  <c r="AA52" i="1" s="1"/>
  <c r="L48" i="1"/>
  <c r="V48" i="1" s="1"/>
  <c r="L44" i="1"/>
  <c r="AA44" i="1" s="1"/>
  <c r="L24" i="1"/>
  <c r="AA24" i="1" s="1"/>
  <c r="L17" i="1"/>
  <c r="AA17" i="1" s="1"/>
  <c r="L15" i="1"/>
  <c r="AA15" i="1" s="1"/>
  <c r="L9" i="1"/>
  <c r="AA9" i="1" s="1"/>
  <c r="L39" i="1"/>
  <c r="AA39" i="1" s="1"/>
  <c r="L25" i="1"/>
  <c r="AA25" i="1" s="1"/>
  <c r="L38" i="1"/>
  <c r="AA38" i="1" s="1"/>
  <c r="L32" i="1"/>
  <c r="AA32" i="1" s="1"/>
  <c r="Q9" i="1"/>
  <c r="Q15" i="1"/>
  <c r="Q17" i="1"/>
  <c r="Q30" i="1"/>
  <c r="Q32" i="1"/>
  <c r="Q36" i="1"/>
  <c r="Q44" i="1"/>
  <c r="Q48" i="1"/>
  <c r="Q52" i="1"/>
  <c r="Q62" i="1"/>
  <c r="R62" i="1"/>
  <c r="Q70" i="1"/>
  <c r="R70" i="1"/>
  <c r="Q80" i="1"/>
  <c r="Q95" i="1"/>
  <c r="Q6" i="1"/>
  <c r="R6" i="1"/>
  <c r="Q10" i="1"/>
  <c r="R10" i="1"/>
  <c r="Q13" i="1"/>
  <c r="R13" i="1"/>
  <c r="Q19" i="1"/>
  <c r="R19" i="1"/>
  <c r="Q33" i="1"/>
  <c r="Q37" i="1"/>
  <c r="R37" i="1"/>
  <c r="Q45" i="1"/>
  <c r="R45" i="1"/>
  <c r="Q49" i="1"/>
  <c r="R49" i="1"/>
  <c r="Q59" i="1"/>
  <c r="R59" i="1"/>
  <c r="Q63" i="1"/>
  <c r="R63" i="1"/>
  <c r="Q67" i="1"/>
  <c r="R67" i="1"/>
  <c r="Q91" i="1"/>
  <c r="R91" i="1"/>
  <c r="Q92" i="1"/>
  <c r="R92" i="1"/>
  <c r="Q96" i="1"/>
  <c r="R96" i="1"/>
  <c r="Q7" i="1"/>
  <c r="Q11" i="1"/>
  <c r="Q14" i="1"/>
  <c r="R14" i="1"/>
  <c r="Q16" i="1"/>
  <c r="Q18" i="1"/>
  <c r="Q20" i="1"/>
  <c r="R20" i="1"/>
  <c r="Q24" i="1"/>
  <c r="Q34" i="1"/>
  <c r="Q38" i="1"/>
  <c r="Q42" i="1"/>
  <c r="R42" i="1"/>
  <c r="Q46" i="1"/>
  <c r="R46" i="1"/>
  <c r="Q50" i="1"/>
  <c r="R50" i="1"/>
  <c r="Q60" i="1"/>
  <c r="R60" i="1"/>
  <c r="Q64" i="1"/>
  <c r="R64" i="1"/>
  <c r="Q68" i="1"/>
  <c r="R68" i="1"/>
  <c r="Q85" i="1"/>
  <c r="Q86" i="1"/>
  <c r="Q89" i="1"/>
  <c r="R89" i="1"/>
  <c r="Q93" i="1"/>
  <c r="R93" i="1"/>
  <c r="Q97" i="1"/>
  <c r="R97" i="1"/>
  <c r="Q8" i="1"/>
  <c r="R8" i="1"/>
  <c r="Q12" i="1"/>
  <c r="R12" i="1"/>
  <c r="Q21" i="1"/>
  <c r="R21" i="1"/>
  <c r="Q25" i="1"/>
  <c r="Q27" i="1"/>
  <c r="R27" i="1"/>
  <c r="Q29" i="1"/>
  <c r="R29" i="1"/>
  <c r="Q31" i="1"/>
  <c r="R31" i="1"/>
  <c r="Q35" i="1"/>
  <c r="R35" i="1"/>
  <c r="Q39" i="1"/>
  <c r="Q43" i="1"/>
  <c r="R43" i="1"/>
  <c r="Q47" i="1"/>
  <c r="R47" i="1"/>
  <c r="Q51" i="1"/>
  <c r="R51" i="1"/>
  <c r="Q61" i="1"/>
  <c r="R61" i="1"/>
  <c r="Q69" i="1"/>
  <c r="R69" i="1"/>
  <c r="Q84" i="1"/>
  <c r="R84" i="1"/>
  <c r="Q90" i="1"/>
  <c r="R90" i="1"/>
  <c r="Q94" i="1"/>
  <c r="R94" i="1"/>
  <c r="AG97" i="1"/>
  <c r="AH97" i="1"/>
  <c r="AG93" i="1"/>
  <c r="AH93" i="1"/>
  <c r="AG89" i="1"/>
  <c r="AH89" i="1"/>
  <c r="AG86" i="1"/>
  <c r="AH86" i="1"/>
  <c r="AG85" i="1"/>
  <c r="AH85" i="1"/>
  <c r="AG68" i="1"/>
  <c r="AH68" i="1"/>
  <c r="AG64" i="1"/>
  <c r="AH64" i="1"/>
  <c r="AG60" i="1"/>
  <c r="AH60" i="1"/>
  <c r="AG50" i="1"/>
  <c r="AH50" i="1"/>
  <c r="AG46" i="1"/>
  <c r="AH46" i="1"/>
  <c r="AG42" i="1"/>
  <c r="AH42" i="1"/>
  <c r="AG38" i="1"/>
  <c r="AH38" i="1"/>
  <c r="AG34" i="1"/>
  <c r="AH34" i="1"/>
  <c r="AG24" i="1"/>
  <c r="AH24" i="1"/>
  <c r="AG20" i="1"/>
  <c r="AH20" i="1"/>
  <c r="AG18" i="1"/>
  <c r="AH18" i="1"/>
  <c r="AG16" i="1"/>
  <c r="AH16" i="1"/>
  <c r="AG14" i="1"/>
  <c r="AH14" i="1"/>
  <c r="AG11" i="1"/>
  <c r="AH11" i="1"/>
  <c r="AG5" i="1"/>
  <c r="AG8" i="1"/>
  <c r="AH8" i="1"/>
  <c r="AG95" i="1"/>
  <c r="AH95" i="1"/>
  <c r="AG80" i="1"/>
  <c r="AH80" i="1"/>
  <c r="AG70" i="1"/>
  <c r="AH70" i="1"/>
  <c r="AG62" i="1"/>
  <c r="AH62" i="1"/>
  <c r="AG52" i="1"/>
  <c r="AH52" i="1"/>
  <c r="AG48" i="1"/>
  <c r="AH48" i="1"/>
  <c r="AG44" i="1"/>
  <c r="AH44" i="1"/>
  <c r="AG36" i="1"/>
  <c r="AH36" i="1"/>
  <c r="AG32" i="1"/>
  <c r="AH32" i="1"/>
  <c r="AG30" i="1"/>
  <c r="AH30" i="1"/>
  <c r="AG17" i="1"/>
  <c r="AH17" i="1"/>
  <c r="AG15" i="1"/>
  <c r="AH15" i="1"/>
  <c r="AG9" i="1"/>
  <c r="AH9" i="1"/>
  <c r="M95" i="1"/>
  <c r="M80" i="1"/>
  <c r="M70" i="1"/>
  <c r="M62" i="1"/>
  <c r="M52" i="1"/>
  <c r="M48" i="1"/>
  <c r="M44" i="1"/>
  <c r="M32" i="1"/>
  <c r="M30" i="1"/>
  <c r="M17" i="1"/>
  <c r="M15" i="1"/>
  <c r="M9" i="1"/>
  <c r="M63" i="1"/>
  <c r="M59" i="1"/>
  <c r="M49" i="1"/>
  <c r="M45" i="1"/>
  <c r="M37" i="1"/>
  <c r="M33" i="1"/>
  <c r="M5" i="1"/>
  <c r="AG94" i="1"/>
  <c r="AH94" i="1"/>
  <c r="AG90" i="1"/>
  <c r="AH90" i="1"/>
  <c r="AG84" i="1"/>
  <c r="AH84" i="1"/>
  <c r="AG69" i="1"/>
  <c r="AH69" i="1"/>
  <c r="AG61" i="1"/>
  <c r="AH61" i="1"/>
  <c r="AG51" i="1"/>
  <c r="AH51" i="1"/>
  <c r="AG47" i="1"/>
  <c r="AH47" i="1"/>
  <c r="AG43" i="1"/>
  <c r="AH43" i="1"/>
  <c r="AG39" i="1"/>
  <c r="AH39" i="1"/>
  <c r="AG35" i="1"/>
  <c r="AH35" i="1"/>
  <c r="AG31" i="1"/>
  <c r="AH31" i="1"/>
  <c r="AG29" i="1"/>
  <c r="AH29" i="1"/>
  <c r="AG27" i="1"/>
  <c r="AH27" i="1"/>
  <c r="AG25" i="1"/>
  <c r="AH25" i="1"/>
  <c r="AG21" i="1"/>
  <c r="AH21" i="1"/>
  <c r="AG12" i="1"/>
  <c r="AH12" i="1"/>
  <c r="AG7" i="1"/>
  <c r="AH7" i="1"/>
  <c r="AG96" i="1"/>
  <c r="AH96" i="1"/>
  <c r="AG92" i="1"/>
  <c r="AH92" i="1"/>
  <c r="AG91" i="1"/>
  <c r="AH91" i="1"/>
  <c r="AG67" i="1"/>
  <c r="AH67" i="1"/>
  <c r="AG63" i="1"/>
  <c r="AH63" i="1"/>
  <c r="AG59" i="1"/>
  <c r="AH59" i="1"/>
  <c r="AG49" i="1"/>
  <c r="AH49" i="1"/>
  <c r="AG45" i="1"/>
  <c r="AH45" i="1"/>
  <c r="AG37" i="1"/>
  <c r="AH37" i="1"/>
  <c r="AG33" i="1"/>
  <c r="AH33" i="1"/>
  <c r="AG19" i="1"/>
  <c r="AH19" i="1"/>
  <c r="AG13" i="1"/>
  <c r="AH13" i="1"/>
  <c r="AG10" i="1"/>
  <c r="AH10" i="1"/>
  <c r="AG6" i="1"/>
  <c r="AH6" i="1"/>
  <c r="M97" i="1"/>
  <c r="M93" i="1"/>
  <c r="M89" i="1"/>
  <c r="M86" i="1"/>
  <c r="M85" i="1"/>
  <c r="M68" i="1"/>
  <c r="M64" i="1"/>
  <c r="M60" i="1"/>
  <c r="M50" i="1"/>
  <c r="M46" i="1"/>
  <c r="M42" i="1"/>
  <c r="M38" i="1"/>
  <c r="M34" i="1"/>
  <c r="M24" i="1"/>
  <c r="M20" i="1"/>
  <c r="M18" i="1"/>
  <c r="M16" i="1"/>
  <c r="M14" i="1"/>
  <c r="M11" i="1"/>
  <c r="M7" i="1"/>
  <c r="M69" i="1"/>
  <c r="M61" i="1"/>
  <c r="M51" i="1"/>
  <c r="M47" i="1"/>
  <c r="M39" i="1"/>
  <c r="M35" i="1"/>
  <c r="M29" i="1"/>
  <c r="M36" i="1"/>
  <c r="P5" i="1"/>
  <c r="S5" i="1" s="1"/>
  <c r="V5" i="1" s="1"/>
  <c r="V18" i="1" l="1"/>
  <c r="V36" i="1"/>
  <c r="AA48" i="1"/>
  <c r="S64" i="1"/>
  <c r="V64" i="1" s="1"/>
  <c r="S39" i="1"/>
  <c r="V39" i="1" s="1"/>
  <c r="R39" i="1"/>
  <c r="R7" i="1"/>
  <c r="V7" i="1"/>
  <c r="V15" i="1"/>
  <c r="S34" i="1"/>
  <c r="S48" i="1"/>
  <c r="S52" i="1"/>
  <c r="V9" i="1"/>
  <c r="S14" i="1"/>
  <c r="S24" i="1"/>
  <c r="S46" i="1"/>
  <c r="S16" i="1"/>
  <c r="S25" i="1"/>
  <c r="V25" i="1" s="1"/>
  <c r="S68" i="1"/>
  <c r="V68" i="1" s="1"/>
  <c r="S85" i="1"/>
  <c r="V85" i="1" s="1"/>
  <c r="S93" i="1"/>
  <c r="V93" i="1" s="1"/>
  <c r="S60" i="1"/>
  <c r="V60" i="1" s="1"/>
  <c r="S7" i="1"/>
  <c r="S15" i="1"/>
  <c r="V14" i="1"/>
  <c r="V24" i="1"/>
  <c r="V46" i="1"/>
  <c r="S38" i="1"/>
  <c r="V38" i="1" s="1"/>
  <c r="S95" i="1"/>
  <c r="V95" i="1" s="1"/>
  <c r="R18" i="1"/>
  <c r="V11" i="1"/>
  <c r="V17" i="1"/>
  <c r="S44" i="1"/>
  <c r="S32" i="1"/>
  <c r="S18" i="1"/>
  <c r="S36" i="1"/>
  <c r="S50" i="1"/>
  <c r="S42" i="1"/>
  <c r="S80" i="1"/>
  <c r="V80" i="1" s="1"/>
  <c r="S62" i="1"/>
  <c r="V62" i="1" s="1"/>
  <c r="S89" i="1"/>
  <c r="V89" i="1" s="1"/>
  <c r="R16" i="1"/>
  <c r="R11" i="1"/>
  <c r="R30" i="1"/>
  <c r="R25" i="1"/>
  <c r="R86" i="1"/>
  <c r="R85" i="1"/>
  <c r="R34" i="1"/>
  <c r="R95" i="1"/>
  <c r="R36" i="1"/>
  <c r="R38" i="1"/>
  <c r="R24" i="1"/>
  <c r="R33" i="1"/>
  <c r="R80" i="1"/>
  <c r="R52" i="1"/>
  <c r="R48" i="1"/>
  <c r="R44" i="1"/>
  <c r="R32" i="1"/>
  <c r="R17" i="1"/>
  <c r="R15" i="1"/>
  <c r="R9" i="1"/>
  <c r="Q5" i="1"/>
  <c r="R5" i="1"/>
  <c r="AH5" i="1"/>
</calcChain>
</file>

<file path=xl/comments1.xml><?xml version="1.0" encoding="utf-8"?>
<comments xmlns="http://schemas.openxmlformats.org/spreadsheetml/2006/main">
  <authors>
    <author xml:space="preserve">Shoff, Kyle </author>
  </authors>
  <commentList>
    <comment ref="AM76" authorId="0">
      <text>
        <r>
          <rPr>
            <b/>
            <sz val="8"/>
            <color indexed="81"/>
            <rFont val="Tahoma"/>
            <family val="2"/>
          </rPr>
          <t>Shoff, Kyle :</t>
        </r>
        <r>
          <rPr>
            <sz val="8"/>
            <color indexed="81"/>
            <rFont val="Tahoma"/>
            <family val="2"/>
          </rPr>
          <t xml:space="preserve">
Assumes 30 gallon tank size</t>
        </r>
      </text>
    </comment>
    <comment ref="AM89" authorId="0">
      <text>
        <r>
          <rPr>
            <b/>
            <sz val="8"/>
            <color indexed="81"/>
            <rFont val="Tahoma"/>
            <family val="2"/>
          </rPr>
          <t>Shoff, Kyle :</t>
        </r>
        <r>
          <rPr>
            <sz val="8"/>
            <color indexed="81"/>
            <rFont val="Tahoma"/>
            <family val="2"/>
          </rPr>
          <t xml:space="preserve">
Room AC</t>
        </r>
      </text>
    </comment>
    <comment ref="AM116" authorId="0">
      <text>
        <r>
          <rPr>
            <b/>
            <sz val="8"/>
            <color indexed="81"/>
            <rFont val="Tahoma"/>
            <family val="2"/>
          </rPr>
          <t>Shoff, Kyle :</t>
        </r>
        <r>
          <rPr>
            <sz val="8"/>
            <color indexed="81"/>
            <rFont val="Tahoma"/>
            <family val="2"/>
          </rPr>
          <t xml:space="preserve">
Assumes 6.7 cubic feet
</t>
        </r>
      </text>
    </comment>
    <comment ref="AM117" authorId="0">
      <text>
        <r>
          <rPr>
            <b/>
            <sz val="8"/>
            <color indexed="81"/>
            <rFont val="Tahoma"/>
            <family val="2"/>
          </rPr>
          <t>Shoff, Kyle :</t>
        </r>
        <r>
          <rPr>
            <sz val="8"/>
            <color indexed="81"/>
            <rFont val="Tahoma"/>
            <family val="2"/>
          </rPr>
          <t xml:space="preserve">
Assumes 6.7 cubic feet</t>
        </r>
      </text>
    </comment>
  </commentList>
</comments>
</file>

<file path=xl/sharedStrings.xml><?xml version="1.0" encoding="utf-8"?>
<sst xmlns="http://schemas.openxmlformats.org/spreadsheetml/2006/main" count="951" uniqueCount="430">
  <si>
    <t>Baseline Measure</t>
  </si>
  <si>
    <t>Efficient Measure</t>
  </si>
  <si>
    <t>kWh/unit</t>
  </si>
  <si>
    <t>Therm/unit</t>
  </si>
  <si>
    <t>EUL</t>
  </si>
  <si>
    <t>Installed Cost per Unit</t>
  </si>
  <si>
    <t>Standard can light</t>
  </si>
  <si>
    <t xml:space="preserve">SEER 13 </t>
  </si>
  <si>
    <t>No insulation</t>
  </si>
  <si>
    <t>Varies by vintage</t>
  </si>
  <si>
    <t>Standard fans, 140 W/cfm</t>
  </si>
  <si>
    <t>SEER 13; 78 AFUE</t>
  </si>
  <si>
    <t>Uninsulated ducts</t>
  </si>
  <si>
    <t>Ducts outside conditioned space</t>
  </si>
  <si>
    <t>15% total</t>
  </si>
  <si>
    <t>20% total</t>
  </si>
  <si>
    <t>25% total</t>
  </si>
  <si>
    <t>30% total</t>
  </si>
  <si>
    <t>Standard motor continuous operation</t>
  </si>
  <si>
    <t>Standard motor intermittent operation</t>
  </si>
  <si>
    <t>EER 13.4 GSHP</t>
  </si>
  <si>
    <t>AFUE 78 standard motor</t>
  </si>
  <si>
    <t>10% EER degradation; 5% furnace efficiency degradation</t>
  </si>
  <si>
    <t>8.7 EER</t>
  </si>
  <si>
    <t>7.1 EER</t>
  </si>
  <si>
    <t>8.5 EER</t>
  </si>
  <si>
    <t>7.0 EER</t>
  </si>
  <si>
    <t>10% EER degradation</t>
  </si>
  <si>
    <t>15% EER degradation</t>
  </si>
  <si>
    <t>5% EER degradation</t>
  </si>
  <si>
    <t>Varies by building</t>
  </si>
  <si>
    <t>No setback</t>
  </si>
  <si>
    <t>Incandescent lamps</t>
  </si>
  <si>
    <t>Compact fluorescent lamps</t>
  </si>
  <si>
    <t xml:space="preserve">60W incand </t>
  </si>
  <si>
    <t>13W CFL</t>
  </si>
  <si>
    <t>45W EISA compliant bulb (25% improvement)</t>
  </si>
  <si>
    <t xml:space="preserve">75W incand </t>
  </si>
  <si>
    <t>18W CFL</t>
  </si>
  <si>
    <t>56W EISA compliant bulb (25% improvement)</t>
  </si>
  <si>
    <t xml:space="preserve">100W incand </t>
  </si>
  <si>
    <t>23W CFL</t>
  </si>
  <si>
    <t>75W EISA compliant bulb (25% improvement)</t>
  </si>
  <si>
    <t>Incandescent lamps with reflectors</t>
  </si>
  <si>
    <t>Compact fluorescent lamps with reflectors</t>
  </si>
  <si>
    <t>Incandescent downlight</t>
  </si>
  <si>
    <t>LED downlight</t>
  </si>
  <si>
    <t>Incandescent fixtures</t>
  </si>
  <si>
    <t>Compact fluorescent fixtures</t>
  </si>
  <si>
    <t>Incandescent night light</t>
  </si>
  <si>
    <t>LED night light</t>
  </si>
  <si>
    <t>Incandescent task light</t>
  </si>
  <si>
    <t>LED task light</t>
  </si>
  <si>
    <t>Incandescent Torchiere</t>
  </si>
  <si>
    <t>CFL Torchiere</t>
  </si>
  <si>
    <t>Incandescent holiday lights</t>
  </si>
  <si>
    <t>LED holiday lights</t>
  </si>
  <si>
    <t>T12 fluorescent</t>
  </si>
  <si>
    <t>Standard T8 fluorescent</t>
  </si>
  <si>
    <t>Manual switch</t>
  </si>
  <si>
    <t>Photosensor control</t>
  </si>
  <si>
    <t>Incandescent lighting</t>
  </si>
  <si>
    <t>Metal Halide lighting</t>
  </si>
  <si>
    <t>Standard Electric water heater EF=0.9</t>
  </si>
  <si>
    <t>Efficient Electric water heater EF&gt;=0.93</t>
  </si>
  <si>
    <t>Heat pump water heater EF&gt;=2.0</t>
  </si>
  <si>
    <t>Standard Gas Water Heater EF=0.60</t>
  </si>
  <si>
    <t>High Efficiency Gas Water Heater EF&gt;= 0.62</t>
  </si>
  <si>
    <t>Super High Efficiency Gas Water Heater EF&gt;= 0.67</t>
  </si>
  <si>
    <t>Tankless Gas Water Heater EF&gt;= 0.80 (0r .82)</t>
  </si>
  <si>
    <t>Uninsulated</t>
  </si>
  <si>
    <t>R4 5 Ln feet</t>
  </si>
  <si>
    <t>Standard Flow 2.5 gal.min</t>
  </si>
  <si>
    <t>Low Flow 1.75 gal/minute</t>
  </si>
  <si>
    <t>2.2 gal/minute</t>
  </si>
  <si>
    <t>1.5 gal/minute</t>
  </si>
  <si>
    <t>Standard shower head 2.5 gpm</t>
  </si>
  <si>
    <t>Shower start technology with low flow showerhead 1.75 gpm</t>
  </si>
  <si>
    <t>No GFX unit</t>
  </si>
  <si>
    <t>40-60 ft GFX unit installed</t>
  </si>
  <si>
    <t>Standard A/C unit, 9.8 EER</t>
  </si>
  <si>
    <t>Energy Star A/C unit, 10.8 EER</t>
  </si>
  <si>
    <t>Standard pump and motor efficiency</t>
  </si>
  <si>
    <t>High efficiency pump and motor, speed control</t>
  </si>
  <si>
    <t>High efficiency pump and motor</t>
  </si>
  <si>
    <t>Pool pump without speed control</t>
  </si>
  <si>
    <t>Variable speed pump control</t>
  </si>
  <si>
    <t>Standard Clothes Washer MEF=1.26</t>
  </si>
  <si>
    <t>Clothes washer MEF= 1.8</t>
  </si>
  <si>
    <t>Clothes washer MEF= 2.0</t>
  </si>
  <si>
    <t>Clothes washer MEF= 2.2</t>
  </si>
  <si>
    <t>Standard plug outlet</t>
  </si>
  <si>
    <t xml:space="preserve">Smart Strip plug outlet </t>
  </si>
  <si>
    <t>Standard refrigerator</t>
  </si>
  <si>
    <t>Energy Star refrigerator</t>
  </si>
  <si>
    <t>Standard freezer</t>
  </si>
  <si>
    <t>Energy Star freezer</t>
  </si>
  <si>
    <t>Old refrigerator running</t>
  </si>
  <si>
    <t>Old refrigerator removed</t>
  </si>
  <si>
    <t>Old freezer running</t>
  </si>
  <si>
    <t>Old freezer removed</t>
  </si>
  <si>
    <t>Old unit running</t>
  </si>
  <si>
    <t>Old unit removed</t>
  </si>
  <si>
    <t>Standard Dehumidfier</t>
  </si>
  <si>
    <t>Energy Star Dehumidifier</t>
  </si>
  <si>
    <t>Standard Dishwasher EF=0.46</t>
  </si>
  <si>
    <t>ES High Efficiency Dishwasher EF&gt;= 0.65</t>
  </si>
  <si>
    <t>ES High Efficiency Dishwasher EF&gt;= 0.68</t>
  </si>
  <si>
    <t>Standard Gas Clothes Dryer EF=2.67</t>
  </si>
  <si>
    <t xml:space="preserve">High Efficiency Gas Clothes Dryer with Moisture Sensor.  </t>
  </si>
  <si>
    <t>Standard Electric Clothes Dryer EF=3.01</t>
  </si>
  <si>
    <t xml:space="preserve">High Efficiency Electric Clothes Dryer with Moisture Sensor.  </t>
  </si>
  <si>
    <t>No Photovoltaic system</t>
  </si>
  <si>
    <t>1 kW PV system</t>
  </si>
  <si>
    <t>Solar water heater</t>
  </si>
  <si>
    <t>Solar Water Heater</t>
  </si>
  <si>
    <t>Photovoltaic Lighting Fixture</t>
  </si>
  <si>
    <t>Electric Attic Fan</t>
  </si>
  <si>
    <t>Solar Attic Fan</t>
  </si>
  <si>
    <t>No Radiant Barrier</t>
  </si>
  <si>
    <t>Radiant Barrier</t>
  </si>
  <si>
    <t>No Desuperheater</t>
  </si>
  <si>
    <t>Desuperheater</t>
  </si>
  <si>
    <t>?</t>
  </si>
  <si>
    <t>High Intensity Discharge Lamps (HID) - Exterior</t>
  </si>
  <si>
    <t>No Occupancy Sensors</t>
  </si>
  <si>
    <t>Wall-Switch Occupancy Sensors</t>
  </si>
  <si>
    <t>No timeclock</t>
  </si>
  <si>
    <t>Timeclock - Controling 4 - 70W (95W w/ballast) HPS fixtures</t>
  </si>
  <si>
    <t>Multiple Drawer Refrigerators</t>
  </si>
  <si>
    <t>Energy Star</t>
  </si>
  <si>
    <t>Non Energy Star</t>
  </si>
  <si>
    <t>Standard plug load appliance.</t>
  </si>
  <si>
    <t>1W or less standby power use for small appliances</t>
  </si>
  <si>
    <t>No Tank Insulation</t>
  </si>
  <si>
    <t>Install Insulation (R-5)</t>
  </si>
  <si>
    <t>135 degrees</t>
  </si>
  <si>
    <t>120 degrees</t>
  </si>
  <si>
    <t>No Water Heater, Timer</t>
  </si>
  <si>
    <t>Water Heater, Timer</t>
  </si>
  <si>
    <t>Standard Electric Dryer</t>
  </si>
  <si>
    <t>Heat Pump Clothes Dryer</t>
  </si>
  <si>
    <t>No windmill</t>
  </si>
  <si>
    <t>2.5 kW wind system, 16% capacity factor on customer site</t>
  </si>
  <si>
    <t>No Storage</t>
  </si>
  <si>
    <t>Ni-Cad battery</t>
  </si>
  <si>
    <t>Elec Resist / SEER 13</t>
  </si>
  <si>
    <t>GCHP (COP 4.0, EER 20)</t>
  </si>
  <si>
    <t>Gas Furnace AFUE 0.95 / SEER 13</t>
  </si>
  <si>
    <t>CCF/unit</t>
  </si>
  <si>
    <t>Setback thermostat - full setback</t>
  </si>
  <si>
    <t>Setback thermostat - moderate setback</t>
  </si>
  <si>
    <t>Airtight Can Lights</t>
  </si>
  <si>
    <t>ASHP - SEER 14</t>
  </si>
  <si>
    <t>ASHP - SEER 15</t>
  </si>
  <si>
    <t>ASHP - SEER 16</t>
  </si>
  <si>
    <t>ASHP - SEER 17</t>
  </si>
  <si>
    <t>ASHP - SEER 18</t>
  </si>
  <si>
    <t>Basement Wall Insulation</t>
  </si>
  <si>
    <t>Ceiling Fans</t>
  </si>
  <si>
    <t>Cool roof</t>
  </si>
  <si>
    <t>Crawlspace Wall Insulation</t>
  </si>
  <si>
    <t>DFHP - SEER 14</t>
  </si>
  <si>
    <t>DFHP - SEER 14 with 95 AFUE furnace</t>
  </si>
  <si>
    <t>DFHP - SEER 15</t>
  </si>
  <si>
    <t>DFHP - SEER 15 with 95 AFUE furnace</t>
  </si>
  <si>
    <t>DFHP - SEER 16</t>
  </si>
  <si>
    <t>DFHP - SEER 16 with 95 AFUE furnace</t>
  </si>
  <si>
    <t>DFHP - SEER 17</t>
  </si>
  <si>
    <t>DFHP - SEER 17 with 95 AFUE furnace</t>
  </si>
  <si>
    <t>DFHP - SEER 18</t>
  </si>
  <si>
    <t>DFHP - SEER 18 with 95 AFUE furnace</t>
  </si>
  <si>
    <t>Door weatherstripping</t>
  </si>
  <si>
    <t>Duct Insulation</t>
  </si>
  <si>
    <t>Duct location</t>
  </si>
  <si>
    <t>Duct sealing 15% leakage base</t>
  </si>
  <si>
    <t>Duct sealing 20% leakage base</t>
  </si>
  <si>
    <t>Duct sealing 25% leakage base</t>
  </si>
  <si>
    <t>Duct sealing 30% leakage base</t>
  </si>
  <si>
    <t>ECM blower - continuous</t>
  </si>
  <si>
    <t>ECM blower - intermittent</t>
  </si>
  <si>
    <t>Energy Star Door</t>
  </si>
  <si>
    <t>Floor Insulation</t>
  </si>
  <si>
    <t>Furnace-AC - SEER 14</t>
  </si>
  <si>
    <t>Furnace-AC - SEER 14 with 95 AFUE furnace</t>
  </si>
  <si>
    <t>Furnace-AC - SEER 15</t>
  </si>
  <si>
    <t>Furnace-AC - SEER 15 with 95 AFUE furnace</t>
  </si>
  <si>
    <t>Furnace-AC - SEER 16</t>
  </si>
  <si>
    <t>Furnace-AC - SEER 16 with 95 AFUE furnace</t>
  </si>
  <si>
    <t>Furnace-AC - SEER 17</t>
  </si>
  <si>
    <t>Furnace-AC - SEER 17 with 95 AFUE furnace</t>
  </si>
  <si>
    <t>GSHP - EER 17</t>
  </si>
  <si>
    <t>GSHP - EER 19</t>
  </si>
  <si>
    <t>GSHP - EER 17 ASHP Base</t>
  </si>
  <si>
    <t>GSHP - EER 19 ASHP Base</t>
  </si>
  <si>
    <t>High efficiency furnace with ECM</t>
  </si>
  <si>
    <t>High efficiency furnace without ECM</t>
  </si>
  <si>
    <t>Infiltration reduction - 30%</t>
  </si>
  <si>
    <t>Infiltration reduction - 30% and attic insulation</t>
  </si>
  <si>
    <t>Infiltration reduction - 50%</t>
  </si>
  <si>
    <t>Infiltration reduction - 50% and attic insulation</t>
  </si>
  <si>
    <t>HVAC Maintenance and Tune-up</t>
  </si>
  <si>
    <t>PTAC 10.3 EER</t>
  </si>
  <si>
    <t>PTAC 9.3 EER</t>
  </si>
  <si>
    <t>PTHP 10.9 EER</t>
  </si>
  <si>
    <t>PTHP 9.1 EER</t>
  </si>
  <si>
    <t>RCA 10% improvement</t>
  </si>
  <si>
    <t>RCA 15% improvement</t>
  </si>
  <si>
    <t>RCA 5% improvement</t>
  </si>
  <si>
    <t>Roof Insulation</t>
  </si>
  <si>
    <t>Wall Insulation</t>
  </si>
  <si>
    <t>Whole House Fan</t>
  </si>
  <si>
    <t>Window Film</t>
  </si>
  <si>
    <t>Window Replacement</t>
  </si>
  <si>
    <t>CFL bulbs regular</t>
  </si>
  <si>
    <t>13W CFL (60W incand equiv) Pre-EISA</t>
  </si>
  <si>
    <t>13W CFL (60W incand equiv) POST-EISA</t>
  </si>
  <si>
    <t>18W CFL (75W incand equiv) Pre-EISA</t>
  </si>
  <si>
    <t>18W CFL (75W incand equiv) POST-EISA</t>
  </si>
  <si>
    <t>23W CFL (100W incand equiv) Pre-EISA</t>
  </si>
  <si>
    <t>23W CFL (100W incand equiv) POST-EISA</t>
  </si>
  <si>
    <t>CFL bulbs specialty</t>
  </si>
  <si>
    <t>CFL bulbs hgh wattage</t>
  </si>
  <si>
    <t>CFL Reflector</t>
  </si>
  <si>
    <t>LED Downlight</t>
  </si>
  <si>
    <t>LED Lamps</t>
  </si>
  <si>
    <t>CFL fixtures</t>
  </si>
  <si>
    <t>LED Night Light</t>
  </si>
  <si>
    <t>LED Task Light</t>
  </si>
  <si>
    <t>Torchiere Floor Lamps - CFL</t>
  </si>
  <si>
    <t>LED Holiday Lights</t>
  </si>
  <si>
    <t>T8 4ft 1 lamp</t>
  </si>
  <si>
    <t>T8 4ft 2 lamp</t>
  </si>
  <si>
    <t>T8 4ft 3 lamp</t>
  </si>
  <si>
    <t>T8 4ft 4 lamp</t>
  </si>
  <si>
    <t>T8 8ft 1 lamp</t>
  </si>
  <si>
    <t>T8 8ft 2 lamp</t>
  </si>
  <si>
    <t>Photosensor Control  - Outdoor Lighting</t>
  </si>
  <si>
    <t>Metal Halide Outdoor Lighting</t>
  </si>
  <si>
    <t>Electric Water Heater EF 0.93+</t>
  </si>
  <si>
    <t>Heat Pump Water Heaters</t>
  </si>
  <si>
    <t>High Efficiency Gas Water Heater</t>
  </si>
  <si>
    <t>Super Efficiency Gas Water Heater</t>
  </si>
  <si>
    <t>Instant Gas Water Heater</t>
  </si>
  <si>
    <t>Pipe Wrap - Gas water heater</t>
  </si>
  <si>
    <t>Pipe Wrap - Electric water heater</t>
  </si>
  <si>
    <t>Low Flow Showerheads - Gas water heater</t>
  </si>
  <si>
    <t>Low Flow Showerheads - Electric water heater</t>
  </si>
  <si>
    <t>Low Flow Faucet Aerators - Gas water heater</t>
  </si>
  <si>
    <t>Low Flow Faucet Aerators - Electric water heater</t>
  </si>
  <si>
    <t>Shower Start - Gas water heater</t>
  </si>
  <si>
    <t>Shower Start - Electric water heater</t>
  </si>
  <si>
    <t>Gravity Film Heat Exchanger GFX - Electric water heater</t>
  </si>
  <si>
    <t>Gravity Film Heat Exchanger GFX - Gas water heater</t>
  </si>
  <si>
    <t>Energy Star Room AC</t>
  </si>
  <si>
    <t>Pool Pump and Motor Single Speed</t>
  </si>
  <si>
    <t>Pool Pump and motor w auto controls - multi speed</t>
  </si>
  <si>
    <t>VFDs on Residential Swimming Pool Pumps</t>
  </si>
  <si>
    <t>Clothes Washer Energy Star-CEE Tier1, Gas water heater, Gas dryer</t>
  </si>
  <si>
    <t>Clothes Washer Energy Star-CEE Tier1, Gas water heater, Electric dryer</t>
  </si>
  <si>
    <t>Clothes Washer Energy Star-CEE Tier1, Electric Water heater, Gas Dryer</t>
  </si>
  <si>
    <t>Clothes Washer Energy Star-CEE Tier1, Electric Water heater, Electric Dryer</t>
  </si>
  <si>
    <t>Clothes Washer CEE Tier2, Gas water heater, Gas dryer</t>
  </si>
  <si>
    <t>Clothes Washer CEE Tier2, Gas water heater, Electric dryer</t>
  </si>
  <si>
    <t>Clothes Washer CEE Tier2, Electric Water heater, Gas Dryer</t>
  </si>
  <si>
    <t>Clothes Washer CEE Tier2, Electric Water heater, Electric Dryer</t>
  </si>
  <si>
    <t>Clothes Washer CEE Tier3, Gas water heater, Gas dryer</t>
  </si>
  <si>
    <t>Clothes Washer CEE Tier3, Gas water heater, Electric dryer</t>
  </si>
  <si>
    <t>Clothes Washer CEE Tier3, Electric Water heater, Gas Dryer</t>
  </si>
  <si>
    <t>Clothes Washer CEE Tier3, Electric Water heater, Electric Dryer</t>
  </si>
  <si>
    <t>Smart Strip plug outlet</t>
  </si>
  <si>
    <t>Refrigerators Energy Star - Refrig. Only - single door</t>
  </si>
  <si>
    <t>Refrigerators Energy Star - Refrig-Freezer - single door</t>
  </si>
  <si>
    <t>Refrigerators-Freezers Energy Star - Side by Side</t>
  </si>
  <si>
    <t>Refrigerators-Freezers Energy Star - Top Freezer</t>
  </si>
  <si>
    <t>Freezers Energy Star - Bottom Freezer</t>
  </si>
  <si>
    <t>Freezers Energy Star - Chest Freezer</t>
  </si>
  <si>
    <t>Freezers Energy Star - Upright Freezer</t>
  </si>
  <si>
    <t>Refrigerator recycling</t>
  </si>
  <si>
    <t>Freezer recycling</t>
  </si>
  <si>
    <t>Room AC recycling</t>
  </si>
  <si>
    <t>Dehumidifier recycling</t>
  </si>
  <si>
    <t>ES Dishwasher Tier 1 - gas water heater</t>
  </si>
  <si>
    <t>ES Dishwasher Tier 1 - elec water heater</t>
  </si>
  <si>
    <t>ES Dishwasher Tier 2 - gas water heater</t>
  </si>
  <si>
    <t>ES Dishwasher Tier 2 - elec water heater</t>
  </si>
  <si>
    <t>Clothes Dryers - Gas</t>
  </si>
  <si>
    <t>Clothes Dryers - Electric</t>
  </si>
  <si>
    <t>Residential PV</t>
  </si>
  <si>
    <t>Solar Domestic Hot Water - Electric Water Heater</t>
  </si>
  <si>
    <t>Solar Domestic Hot Water - Gas Water Heater</t>
  </si>
  <si>
    <t>Outdoor Ligthing - Photovoltaics</t>
  </si>
  <si>
    <t>Geothermal HP Desuperheater</t>
  </si>
  <si>
    <t>Occupancy Sensor</t>
  </si>
  <si>
    <t>Lighting Timeclock</t>
  </si>
  <si>
    <t>Home Electronics - Copier, Printer, Energy Star</t>
  </si>
  <si>
    <t>Home Electronics - DVD-VCR-Audio-Set-top box, Energy Star</t>
  </si>
  <si>
    <t xml:space="preserve">Home Electronics - Monitor, Energy Star </t>
  </si>
  <si>
    <t>Home Electronics - Personal Computer, Energy Star</t>
  </si>
  <si>
    <t>Home Electronics - Television, Energy Star</t>
  </si>
  <si>
    <t>1-Watt Standby Power</t>
  </si>
  <si>
    <t>EnergyStar Battery Charger</t>
  </si>
  <si>
    <t>Water Heater, Tank Blanket-Insulation - Electric</t>
  </si>
  <si>
    <t>Water Heater, Tank Blanket-Insulation - Gas</t>
  </si>
  <si>
    <t>Water Heater, Thermostat Setback - Electric</t>
  </si>
  <si>
    <t>Water Heater, Thermostat Setback - Gas</t>
  </si>
  <si>
    <t>Water Heater, Timer - Electric</t>
  </si>
  <si>
    <t>Water Heater, Timer - Gas</t>
  </si>
  <si>
    <t>Small Windmills - Residential</t>
  </si>
  <si>
    <t>Battery Storage - Residential</t>
  </si>
  <si>
    <t>GCHP replacing Elec Resist and SEER13</t>
  </si>
  <si>
    <t>GCHP replacing Gas Furnace and SEER13</t>
  </si>
  <si>
    <t>Measure</t>
  </si>
  <si>
    <t>Summer kW/unit</t>
  </si>
  <si>
    <t>Winter kW/unit</t>
  </si>
  <si>
    <t>Units</t>
  </si>
  <si>
    <t>Base Equipment Cost per Unit</t>
  </si>
  <si>
    <t>Measure Equipment Cost per Unit</t>
  </si>
  <si>
    <t>Incremental Equipment Cost per Unit</t>
  </si>
  <si>
    <t>Labor Cost per Unit</t>
  </si>
  <si>
    <t>Typical size</t>
  </si>
  <si>
    <t>Light</t>
  </si>
  <si>
    <t>ton</t>
  </si>
  <si>
    <t>1000 sq ft basement wall area</t>
  </si>
  <si>
    <t>fan</t>
  </si>
  <si>
    <t>1000 sq ft roof area</t>
  </si>
  <si>
    <t>1000 sq ft crawl wall area</t>
  </si>
  <si>
    <t>Door</t>
  </si>
  <si>
    <t>1000 sq ft cond floor area</t>
  </si>
  <si>
    <t>1000 sq ft floor area</t>
  </si>
  <si>
    <t>kBtu/hr capacity</t>
  </si>
  <si>
    <t>1000 sq ft wall area</t>
  </si>
  <si>
    <t>100 sq ft window area</t>
  </si>
  <si>
    <t>Utility Rates</t>
  </si>
  <si>
    <t>RES_elec</t>
  </si>
  <si>
    <t>RES_gas</t>
  </si>
  <si>
    <t>Interest Rate</t>
  </si>
  <si>
    <t>Loan Term (yrs)</t>
  </si>
  <si>
    <t>Months</t>
  </si>
  <si>
    <t>Proposed Technologies for Measures Library</t>
  </si>
  <si>
    <t>Base Efficiency Level</t>
  </si>
  <si>
    <t>Proposed Efficiency Level</t>
  </si>
  <si>
    <t>Assumed hours of operation</t>
  </si>
  <si>
    <t>Coincidence Factor</t>
  </si>
  <si>
    <t>Actual (non-coincident) kW</t>
  </si>
  <si>
    <t>Target kWh percust</t>
  </si>
  <si>
    <t>Target (coincident) kW percust</t>
  </si>
  <si>
    <t>Target Therms percust</t>
  </si>
  <si>
    <t>Target CCF percust</t>
  </si>
  <si>
    <t>Measure life</t>
  </si>
  <si>
    <t>Incremental Costs YR1</t>
  </si>
  <si>
    <t>Tax Credits and Incentives</t>
  </si>
  <si>
    <t>Annual Fixed Costs</t>
  </si>
  <si>
    <t>Size Basis</t>
  </si>
  <si>
    <t>Notes</t>
  </si>
  <si>
    <t>Avg Size</t>
  </si>
  <si>
    <t>Avg Size units</t>
  </si>
  <si>
    <t>Installation Cost</t>
  </si>
  <si>
    <t>per lamp</t>
  </si>
  <si>
    <t>lamp</t>
  </si>
  <si>
    <t>per fixture</t>
  </si>
  <si>
    <t>fixture</t>
  </si>
  <si>
    <r>
      <t xml:space="preserve">Incandescent lamp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60W</t>
    </r>
  </si>
  <si>
    <r>
      <t xml:space="preserve">LED lamp  </t>
    </r>
    <r>
      <rPr>
        <sz val="10"/>
        <rFont val="Calibri"/>
        <family val="2"/>
      </rPr>
      <t>≤</t>
    </r>
    <r>
      <rPr>
        <sz val="6"/>
        <rFont val="Arial"/>
        <family val="2"/>
      </rPr>
      <t xml:space="preserve"> </t>
    </r>
    <r>
      <rPr>
        <sz val="10"/>
        <rFont val="Arial"/>
        <family val="2"/>
      </rPr>
      <t>12W</t>
    </r>
  </si>
  <si>
    <t>per string</t>
  </si>
  <si>
    <t>Typical string size of 25 bulbs</t>
  </si>
  <si>
    <t>string</t>
  </si>
  <si>
    <t>sensor</t>
  </si>
  <si>
    <t>stand-alone sensor</t>
  </si>
  <si>
    <t>Watt</t>
  </si>
  <si>
    <t>unit</t>
  </si>
  <si>
    <t>5 ln feet</t>
  </si>
  <si>
    <t>LF</t>
  </si>
  <si>
    <t>Btu</t>
  </si>
  <si>
    <t>Typical Pool Pump Size is 1.5 Hp</t>
  </si>
  <si>
    <t>hp</t>
  </si>
  <si>
    <t>per unit</t>
  </si>
  <si>
    <t>One control outlet with several dependent outlets</t>
  </si>
  <si>
    <t>per nominal kW</t>
  </si>
  <si>
    <t>30% Fed tax credit capped at $2,000; plus $2.00/Watt State of MO.  Assume tax credits in IL are similar and available</t>
  </si>
  <si>
    <t>40 SF collector</t>
  </si>
  <si>
    <t>SF</t>
  </si>
  <si>
    <t>30% Fed tax credit for &lt;100 kW, capped at $4,000</t>
  </si>
  <si>
    <t>kW</t>
  </si>
  <si>
    <t>30% Fed tax credit</t>
  </si>
  <si>
    <t>PHEV Energy Storage - Residential</t>
  </si>
  <si>
    <t>Microwave Dryer</t>
  </si>
  <si>
    <t>Passive Solar Heating</t>
  </si>
  <si>
    <t>Monthly kWh Savings</t>
  </si>
  <si>
    <t>Monthly Therm Savings</t>
  </si>
  <si>
    <t>Total Monthly Savings</t>
  </si>
  <si>
    <t>Monthly Savings</t>
  </si>
  <si>
    <t>Interest</t>
  </si>
  <si>
    <t>Principal</t>
  </si>
  <si>
    <t>Total Payment</t>
  </si>
  <si>
    <t>Include (Y/N)</t>
  </si>
  <si>
    <t>Sanity check</t>
  </si>
  <si>
    <t>IPMT</t>
  </si>
  <si>
    <t>PPMT</t>
  </si>
  <si>
    <t>PMT</t>
  </si>
  <si>
    <t>Interest Paid</t>
  </si>
  <si>
    <t>NPV Lifetime Savings</t>
  </si>
  <si>
    <t>Annual Payments</t>
  </si>
  <si>
    <t>If under $1,000 = 5 year loan term, if not = 10 year loan term</t>
  </si>
  <si>
    <t>Total Interest Paid</t>
  </si>
  <si>
    <t>Installed Cost per Unit (Principal)</t>
  </si>
  <si>
    <t>Difference b/w Annual and Monthly total Payments</t>
  </si>
  <si>
    <t>For comparison purposes only</t>
  </si>
  <si>
    <t>Monthly Payment</t>
  </si>
  <si>
    <t>Lifetime Payment</t>
  </si>
  <si>
    <t>Dual Fuel TRC</t>
  </si>
  <si>
    <t>AIU Website Incentive</t>
  </si>
  <si>
    <t>ECM blower  - continuous</t>
  </si>
  <si>
    <t>ECM blower  - intermittent</t>
  </si>
  <si>
    <t>Furnace/AC - SEER 14</t>
  </si>
  <si>
    <t>Furnace/AC - SEER 14 with 95 AFUE furnace</t>
  </si>
  <si>
    <t>Furnace/AC - SEER 15</t>
  </si>
  <si>
    <t>Furnace/AC - SEER 15 with 95 AFUE furnace</t>
  </si>
  <si>
    <t>Furnace/AC - SEER 16</t>
  </si>
  <si>
    <t>Furnace/AC - SEER 16 with 95 AFUE furnace</t>
  </si>
  <si>
    <t>Furnace/AC - SEER 17</t>
  </si>
  <si>
    <t>Furnace/AC - SEER 17 with 95 AFUE furnace</t>
  </si>
  <si>
    <t>GSHP EER 19</t>
  </si>
  <si>
    <t>Incentive From Ameren</t>
  </si>
  <si>
    <t>Payback (Costs/Savings) Years</t>
  </si>
  <si>
    <t>Net Measure Cost/Savings Payback</t>
  </si>
  <si>
    <t>Federal incentives</t>
  </si>
  <si>
    <t>Initial Cost less Ameren/Federal Incentives</t>
  </si>
  <si>
    <t>Annual Payment</t>
  </si>
  <si>
    <t>Include 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</si>
</sst>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_(* #,##0_);_(* \(#,##0\);_(* &quot;-&quot;??_);_(@_)"/>
    <numFmt numFmtId="166" formatCode="0.000"/>
    <numFmt numFmtId="167" formatCode="0.0"/>
    <numFmt numFmtId="168" formatCode="&quot;$&quot;#,##0\ ;\(&quot;$&quot;#,##0\)"/>
    <numFmt numFmtId="169" formatCode="&quot;$&quot;#,##0"/>
    <numFmt numFmtId="170" formatCode="_(* #,##0.000_);_(* \(#,##0.0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22"/>
      <name val="Arial"/>
      <family val="2"/>
    </font>
    <font>
      <sz val="10"/>
      <name val="MS Sans Serif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6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2D37F7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8" fontId="7" fillId="0" borderId="0" applyFont="0" applyFill="0" applyBorder="0" applyAlignment="0" applyProtection="0"/>
    <xf numFmtId="0" fontId="5" fillId="0" borderId="0"/>
    <xf numFmtId="168" fontId="7" fillId="0" borderId="0" applyFont="0" applyFill="0" applyBorder="0" applyAlignment="0" applyProtection="0"/>
    <xf numFmtId="0" fontId="5" fillId="0" borderId="0"/>
    <xf numFmtId="168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4" borderId="0" applyNumberFormat="0" applyAlignment="0">
      <alignment horizontal="right"/>
    </xf>
    <xf numFmtId="0" fontId="5" fillId="3" borderId="0" applyNumberFormat="0" applyAlignment="0"/>
    <xf numFmtId="44" fontId="5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0" xfId="0"/>
    <xf numFmtId="0" fontId="3" fillId="0" borderId="0" xfId="0" applyFont="1" applyAlignment="1">
      <alignment wrapText="1"/>
    </xf>
    <xf numFmtId="165" fontId="0" fillId="0" borderId="0" xfId="1" applyNumberFormat="1" applyFont="1"/>
    <xf numFmtId="0" fontId="3" fillId="0" borderId="1" xfId="0" applyFont="1" applyBorder="1" applyAlignment="1">
      <alignment wrapText="1"/>
    </xf>
    <xf numFmtId="44" fontId="0" fillId="0" borderId="0" xfId="2" applyFont="1"/>
    <xf numFmtId="0" fontId="4" fillId="0" borderId="1" xfId="0" applyFont="1" applyBorder="1" applyAlignment="1">
      <alignment wrapText="1"/>
    </xf>
    <xf numFmtId="0" fontId="3" fillId="0" borderId="0" xfId="0" applyFont="1"/>
    <xf numFmtId="0" fontId="14" fillId="0" borderId="0" xfId="0" applyFont="1"/>
    <xf numFmtId="0" fontId="3" fillId="0" borderId="3" xfId="0" applyFont="1" applyFill="1" applyBorder="1" applyAlignment="1">
      <alignment wrapText="1"/>
    </xf>
    <xf numFmtId="169" fontId="0" fillId="0" borderId="1" xfId="0" applyNumberFormat="1" applyBorder="1"/>
    <xf numFmtId="0" fontId="14" fillId="0" borderId="1" xfId="0" applyFont="1" applyBorder="1"/>
    <xf numFmtId="166" fontId="14" fillId="0" borderId="1" xfId="0" applyNumberFormat="1" applyFont="1" applyBorder="1"/>
    <xf numFmtId="167" fontId="14" fillId="0" borderId="1" xfId="0" applyNumberFormat="1" applyFont="1" applyBorder="1"/>
    <xf numFmtId="0" fontId="15" fillId="0" borderId="1" xfId="0" applyFont="1" applyBorder="1" applyAlignment="1">
      <alignment wrapText="1"/>
    </xf>
    <xf numFmtId="0" fontId="0" fillId="0" borderId="1" xfId="0" applyBorder="1"/>
    <xf numFmtId="166" fontId="0" fillId="0" borderId="1" xfId="0" applyNumberFormat="1" applyBorder="1"/>
    <xf numFmtId="170" fontId="0" fillId="0" borderId="1" xfId="17" applyNumberFormat="1" applyFont="1" applyBorder="1"/>
    <xf numFmtId="169" fontId="0" fillId="6" borderId="1" xfId="0" applyNumberFormat="1" applyFill="1" applyBorder="1"/>
    <xf numFmtId="0" fontId="5" fillId="0" borderId="1" xfId="0" applyFont="1" applyBorder="1"/>
    <xf numFmtId="166" fontId="14" fillId="0" borderId="0" xfId="0" applyNumberFormat="1" applyFont="1"/>
    <xf numFmtId="2" fontId="14" fillId="0" borderId="0" xfId="0" applyNumberFormat="1" applyFont="1"/>
    <xf numFmtId="169" fontId="14" fillId="0" borderId="0" xfId="0" applyNumberFormat="1" applyFont="1"/>
    <xf numFmtId="166" fontId="14" fillId="0" borderId="0" xfId="17" applyNumberFormat="1" applyFont="1"/>
    <xf numFmtId="169" fontId="14" fillId="7" borderId="0" xfId="0" applyNumberFormat="1" applyFont="1" applyFill="1"/>
    <xf numFmtId="0" fontId="3" fillId="0" borderId="0" xfId="0" applyFont="1" applyFill="1" applyBorder="1" applyAlignment="1">
      <alignment wrapText="1"/>
    </xf>
    <xf numFmtId="0" fontId="17" fillId="9" borderId="1" xfId="0" applyFont="1" applyFill="1" applyBorder="1" applyAlignment="1">
      <alignment wrapText="1"/>
    </xf>
    <xf numFmtId="8" fontId="2" fillId="9" borderId="0" xfId="0" applyNumberFormat="1" applyFont="1" applyFill="1"/>
    <xf numFmtId="164" fontId="16" fillId="10" borderId="0" xfId="0" applyNumberFormat="1" applyFont="1" applyFill="1"/>
    <xf numFmtId="0" fontId="16" fillId="10" borderId="2" xfId="0" applyFont="1" applyFill="1" applyBorder="1" applyAlignment="1">
      <alignment wrapText="1"/>
    </xf>
    <xf numFmtId="43" fontId="14" fillId="0" borderId="0" xfId="17" applyNumberFormat="1" applyFont="1"/>
    <xf numFmtId="8" fontId="11" fillId="0" borderId="0" xfId="2" applyNumberFormat="1" applyFont="1"/>
    <xf numFmtId="0" fontId="0" fillId="0" borderId="0" xfId="0" applyBorder="1" applyAlignment="1"/>
    <xf numFmtId="44" fontId="11" fillId="2" borderId="2" xfId="2" applyFont="1" applyFill="1" applyBorder="1"/>
    <xf numFmtId="170" fontId="14" fillId="0" borderId="1" xfId="17" applyNumberFormat="1" applyFont="1" applyBorder="1"/>
    <xf numFmtId="169" fontId="14" fillId="0" borderId="1" xfId="0" applyNumberFormat="1" applyFont="1" applyBorder="1"/>
    <xf numFmtId="2" fontId="0" fillId="0" borderId="1" xfId="0" applyNumberFormat="1" applyBorder="1"/>
    <xf numFmtId="0" fontId="0" fillId="2" borderId="1" xfId="0" applyFill="1" applyBorder="1"/>
    <xf numFmtId="44" fontId="11" fillId="2" borderId="1" xfId="2" applyFont="1" applyFill="1" applyBorder="1"/>
    <xf numFmtId="0" fontId="0" fillId="0" borderId="0" xfId="0"/>
    <xf numFmtId="164" fontId="0" fillId="0" borderId="0" xfId="0" applyNumberFormat="1"/>
    <xf numFmtId="0" fontId="0" fillId="2" borderId="1" xfId="0" applyFill="1" applyBorder="1"/>
    <xf numFmtId="9" fontId="0" fillId="2" borderId="1" xfId="0" applyNumberFormat="1" applyFill="1" applyBorder="1"/>
    <xf numFmtId="0" fontId="3" fillId="0" borderId="1" xfId="0" applyFont="1" applyBorder="1" applyAlignment="1">
      <alignment wrapText="1"/>
    </xf>
    <xf numFmtId="44" fontId="0" fillId="0" borderId="0" xfId="2" applyFont="1"/>
    <xf numFmtId="44" fontId="0" fillId="0" borderId="0" xfId="0" applyNumberFormat="1"/>
    <xf numFmtId="0" fontId="0" fillId="5" borderId="0" xfId="0" applyFill="1"/>
    <xf numFmtId="0" fontId="3" fillId="0" borderId="1" xfId="0" applyFont="1" applyFill="1" applyBorder="1" applyAlignment="1">
      <alignment wrapText="1"/>
    </xf>
    <xf numFmtId="8" fontId="0" fillId="0" borderId="0" xfId="0" applyNumberFormat="1"/>
    <xf numFmtId="0" fontId="15" fillId="0" borderId="4" xfId="0" applyNumberFormat="1" applyFont="1" applyBorder="1" applyAlignment="1">
      <alignment horizontal="center" wrapText="1"/>
    </xf>
    <xf numFmtId="0" fontId="15" fillId="0" borderId="0" xfId="0" applyNumberFormat="1" applyFont="1" applyBorder="1" applyAlignment="1">
      <alignment horizontal="center"/>
    </xf>
    <xf numFmtId="0" fontId="15" fillId="0" borderId="5" xfId="0" applyNumberFormat="1" applyFont="1" applyBorder="1" applyAlignment="1">
      <alignment horizontal="center"/>
    </xf>
    <xf numFmtId="2" fontId="15" fillId="0" borderId="0" xfId="17" applyNumberFormat="1" applyFont="1" applyAlignment="1">
      <alignment horizontal="center"/>
    </xf>
    <xf numFmtId="44" fontId="0" fillId="0" borderId="0" xfId="2" applyFont="1" applyFill="1"/>
    <xf numFmtId="44" fontId="20" fillId="0" borderId="0" xfId="2" applyFont="1" applyFill="1" applyBorder="1" applyAlignment="1">
      <alignment horizontal="center"/>
    </xf>
    <xf numFmtId="44" fontId="20" fillId="0" borderId="0" xfId="2" applyFont="1"/>
    <xf numFmtId="164" fontId="20" fillId="0" borderId="0" xfId="0" applyNumberFormat="1" applyFont="1"/>
    <xf numFmtId="2" fontId="15" fillId="0" borderId="0" xfId="150" applyNumberFormat="1" applyFont="1" applyAlignment="1">
      <alignment horizontal="center"/>
    </xf>
    <xf numFmtId="7" fontId="20" fillId="0" borderId="0" xfId="2" applyNumberFormat="1" applyFont="1"/>
    <xf numFmtId="0" fontId="11" fillId="0" borderId="0" xfId="110" applyFont="1" applyFill="1" applyBorder="1"/>
    <xf numFmtId="43" fontId="0" fillId="0" borderId="0" xfId="1" applyFont="1"/>
    <xf numFmtId="43" fontId="0" fillId="8" borderId="0" xfId="1" applyFont="1" applyFill="1"/>
    <xf numFmtId="0" fontId="3" fillId="8" borderId="2" xfId="0" applyFont="1" applyFill="1" applyBorder="1" applyAlignment="1">
      <alignment wrapText="1"/>
    </xf>
    <xf numFmtId="0" fontId="0" fillId="0" borderId="0" xfId="0" applyBorder="1"/>
    <xf numFmtId="44" fontId="0" fillId="0" borderId="0" xfId="0" applyNumberFormat="1" applyBorder="1"/>
    <xf numFmtId="8" fontId="0" fillId="0" borderId="0" xfId="0" applyNumberFormat="1" applyBorder="1"/>
    <xf numFmtId="0" fontId="3" fillId="0" borderId="2" xfId="0" applyFont="1" applyFill="1" applyBorder="1" applyAlignment="1">
      <alignment wrapText="1"/>
    </xf>
    <xf numFmtId="44" fontId="11" fillId="0" borderId="0" xfId="2" applyNumberFormat="1" applyFont="1" applyBorder="1"/>
    <xf numFmtId="8" fontId="3" fillId="0" borderId="0" xfId="0" applyNumberFormat="1" applyFont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52">
    <cellStyle name="Comma" xfId="1" builtinId="3"/>
    <cellStyle name="Comma 2" xfId="17"/>
    <cellStyle name="Comma 2 10" xfId="135"/>
    <cellStyle name="Comma 2 2" xfId="6"/>
    <cellStyle name="Comma 2 2 2" xfId="26"/>
    <cellStyle name="Comma 2 3" xfId="11"/>
    <cellStyle name="Comma 2 4" xfId="14"/>
    <cellStyle name="Comma 2 5" xfId="112"/>
    <cellStyle name="Comma 2 6" xfId="116"/>
    <cellStyle name="Comma 2 7" xfId="121"/>
    <cellStyle name="Comma 2 8" xfId="126"/>
    <cellStyle name="Comma 2 9" xfId="130"/>
    <cellStyle name="Comma 3" xfId="106"/>
    <cellStyle name="Comma 3 2" xfId="113"/>
    <cellStyle name="Comma 3 3" xfId="117"/>
    <cellStyle name="Comma 3 4" xfId="122"/>
    <cellStyle name="Comma 3 5" xfId="127"/>
    <cellStyle name="Comma 3 6" xfId="131"/>
    <cellStyle name="Comma 3 7" xfId="136"/>
    <cellStyle name="Comma 8" xfId="150"/>
    <cellStyle name="Currency" xfId="2" builtinId="4"/>
    <cellStyle name="Currency [0] 2" xfId="103"/>
    <cellStyle name="Currency 2" xfId="18"/>
    <cellStyle name="Currency 2 10" xfId="134"/>
    <cellStyle name="Currency 2 2" xfId="5"/>
    <cellStyle name="Currency 2 2 2" xfId="27"/>
    <cellStyle name="Currency 2 3" xfId="10"/>
    <cellStyle name="Currency 2 4" xfId="13"/>
    <cellStyle name="Currency 2 5" xfId="111"/>
    <cellStyle name="Currency 2 6" xfId="115"/>
    <cellStyle name="Currency 2 7" xfId="120"/>
    <cellStyle name="Currency 2 8" xfId="125"/>
    <cellStyle name="Currency 2 9" xfId="129"/>
    <cellStyle name="Currency 3 2" xfId="28"/>
    <cellStyle name="Currency 4" xfId="29"/>
    <cellStyle name="Currency 5" xfId="30"/>
    <cellStyle name="Currency 6" xfId="31"/>
    <cellStyle name="Currency 7" xfId="109"/>
    <cellStyle name="Currency0" xfId="15"/>
    <cellStyle name="Currency0 2" xfId="20"/>
    <cellStyle name="Currency0 3" xfId="22"/>
    <cellStyle name="Currency0 4" xfId="24"/>
    <cellStyle name="Data Field" xfId="107"/>
    <cellStyle name="Data Name" xfId="108"/>
    <cellStyle name="Hyperlink 2" xfId="32"/>
    <cellStyle name="Hyperlink 3" xfId="33"/>
    <cellStyle name="Normal" xfId="0" builtinId="0"/>
    <cellStyle name="Normal 10" xfId="34"/>
    <cellStyle name="Normal 10 2" xfId="35"/>
    <cellStyle name="Normal 11" xfId="36"/>
    <cellStyle name="Normal 12" xfId="37"/>
    <cellStyle name="Normal 13" xfId="38"/>
    <cellStyle name="Normal 14" xfId="25"/>
    <cellStyle name="Normal 15" xfId="104"/>
    <cellStyle name="Normal 18" xfId="39"/>
    <cellStyle name="Normal 19" xfId="40"/>
    <cellStyle name="Normal 2" xfId="3"/>
    <cellStyle name="Normal 2 10" xfId="133"/>
    <cellStyle name="Normal 2 2" xfId="4"/>
    <cellStyle name="Normal 2 3" xfId="9"/>
    <cellStyle name="Normal 2 4" xfId="12"/>
    <cellStyle name="Normal 2 5" xfId="110"/>
    <cellStyle name="Normal 2 6" xfId="114"/>
    <cellStyle name="Normal 2 7" xfId="119"/>
    <cellStyle name="Normal 2 8" xfId="124"/>
    <cellStyle name="Normal 2 9" xfId="128"/>
    <cellStyle name="Normal 21" xfId="118"/>
    <cellStyle name="Normal 22" xfId="123"/>
    <cellStyle name="Normal 23" xfId="132"/>
    <cellStyle name="Normal 26" xfId="138"/>
    <cellStyle name="Normal 27" xfId="137"/>
    <cellStyle name="Normal 28" xfId="41"/>
    <cellStyle name="Normal 3" xfId="7"/>
    <cellStyle name="Normal 3 2" xfId="140"/>
    <cellStyle name="Normal 3 3" xfId="146"/>
    <cellStyle name="Normal 3 4" xfId="148"/>
    <cellStyle name="Normal 3 5" xfId="149"/>
    <cellStyle name="Normal 3 6" xfId="151"/>
    <cellStyle name="Normal 33" xfId="141"/>
    <cellStyle name="Normal 36" xfId="42"/>
    <cellStyle name="Normal 37" xfId="43"/>
    <cellStyle name="Normal 38" xfId="44"/>
    <cellStyle name="Normal 39" xfId="45"/>
    <cellStyle name="Normal 4" xfId="8"/>
    <cellStyle name="Normal 40" xfId="46"/>
    <cellStyle name="Normal 41" xfId="47"/>
    <cellStyle name="Normal 42" xfId="48"/>
    <cellStyle name="Normal 43" xfId="49"/>
    <cellStyle name="Normal 44" xfId="50"/>
    <cellStyle name="Normal 45" xfId="51"/>
    <cellStyle name="Normal 46" xfId="52"/>
    <cellStyle name="Normal 47" xfId="53"/>
    <cellStyle name="Normal 48" xfId="54"/>
    <cellStyle name="Normal 49" xfId="55"/>
    <cellStyle name="Normal 5" xfId="16"/>
    <cellStyle name="Normal 5 2" xfId="56"/>
    <cellStyle name="Normal 50" xfId="57"/>
    <cellStyle name="Normal 51" xfId="58"/>
    <cellStyle name="Normal 52" xfId="59"/>
    <cellStyle name="Normal 53" xfId="60"/>
    <cellStyle name="Normal 54" xfId="61"/>
    <cellStyle name="Normal 55" xfId="62"/>
    <cellStyle name="Normal 56" xfId="63"/>
    <cellStyle name="Normal 57" xfId="64"/>
    <cellStyle name="Normal 58" xfId="65"/>
    <cellStyle name="Normal 59" xfId="66"/>
    <cellStyle name="Normal 6" xfId="19"/>
    <cellStyle name="Normal 6 2" xfId="67"/>
    <cellStyle name="Normal 60" xfId="68"/>
    <cellStyle name="Normal 61" xfId="69"/>
    <cellStyle name="Normal 62" xfId="70"/>
    <cellStyle name="Normal 63" xfId="71"/>
    <cellStyle name="Normal 64" xfId="72"/>
    <cellStyle name="Normal 65" xfId="73"/>
    <cellStyle name="Normal 66" xfId="74"/>
    <cellStyle name="Normal 67" xfId="75"/>
    <cellStyle name="Normal 69" xfId="76"/>
    <cellStyle name="Normal 7" xfId="21"/>
    <cellStyle name="Normal 7 2" xfId="77"/>
    <cellStyle name="Normal 70" xfId="78"/>
    <cellStyle name="Normal 71" xfId="79"/>
    <cellStyle name="Normal 72" xfId="80"/>
    <cellStyle name="Normal 73" xfId="81"/>
    <cellStyle name="Normal 74" xfId="82"/>
    <cellStyle name="Normal 75" xfId="83"/>
    <cellStyle name="Normal 76" xfId="84"/>
    <cellStyle name="Normal 77" xfId="85"/>
    <cellStyle name="Normal 78" xfId="86"/>
    <cellStyle name="Normal 79" xfId="87"/>
    <cellStyle name="Normal 8" xfId="23"/>
    <cellStyle name="Normal 8 2" xfId="88"/>
    <cellStyle name="Normal 80" xfId="89"/>
    <cellStyle name="Normal 81" xfId="90"/>
    <cellStyle name="Normal 82" xfId="91"/>
    <cellStyle name="Normal 83" xfId="92"/>
    <cellStyle name="Normal 84" xfId="93"/>
    <cellStyle name="Normal 85" xfId="94"/>
    <cellStyle name="Normal 86" xfId="95"/>
    <cellStyle name="Normal 87" xfId="96"/>
    <cellStyle name="Normal 88" xfId="142"/>
    <cellStyle name="Normal 9 2" xfId="97"/>
    <cellStyle name="Normal 9 3" xfId="139"/>
    <cellStyle name="Normal 9 4" xfId="145"/>
    <cellStyle name="Normal 9 5" xfId="144"/>
    <cellStyle name="Normal 9 6" xfId="143"/>
    <cellStyle name="Normal 9 7" xfId="147"/>
    <cellStyle name="Percent 2 2" xfId="98"/>
    <cellStyle name="Percent 3" xfId="99"/>
    <cellStyle name="Percent 4" xfId="100"/>
    <cellStyle name="Percent 5" xfId="101"/>
    <cellStyle name="Percent 6" xfId="102"/>
    <cellStyle name="Percent 7" xfId="10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lsag.org/Users/Annette/AppData/Local/Microsoft/Windows/Temporary%20Internet%20Files/Content.Outlook/B5CO3LOD/New_Measure_Annual_Analysis%20therms%20vs%20kwh_03-04-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d Results"/>
      <sheetName val="RES_WS"/>
      <sheetName val="RES_NW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24"/>
  <sheetViews>
    <sheetView tabSelected="1" zoomScale="85" zoomScaleNormal="85" workbookViewId="0">
      <pane xSplit="2" ySplit="4" topLeftCell="P5" activePane="bottomRight" state="frozen"/>
      <selection pane="topRight" activeCell="C1" sqref="C1"/>
      <selection pane="bottomLeft" activeCell="A5" sqref="A5"/>
      <selection pane="bottomRight" activeCell="P14" sqref="O14:P14"/>
    </sheetView>
  </sheetViews>
  <sheetFormatPr defaultRowHeight="14.4" x14ac:dyDescent="0.3"/>
  <cols>
    <col min="1" max="1" width="35.88671875" customWidth="1"/>
    <col min="2" max="2" width="37.109375" customWidth="1"/>
    <col min="3" max="3" width="14.109375" style="39" bestFit="1" customWidth="1"/>
    <col min="4" max="4" width="10.5546875" customWidth="1"/>
    <col min="5" max="5" width="12.88671875" hidden="1" customWidth="1"/>
    <col min="6" max="6" width="12.88671875" style="1" customWidth="1"/>
    <col min="8" max="8" width="15.6640625" customWidth="1"/>
    <col min="9" max="9" width="9.109375" customWidth="1"/>
    <col min="12" max="12" width="12.33203125" customWidth="1"/>
    <col min="13" max="13" width="10.5546875" bestFit="1" customWidth="1"/>
    <col min="15" max="15" width="10.44140625" customWidth="1"/>
    <col min="16" max="16" width="11.5546875" customWidth="1"/>
    <col min="17" max="17" width="12.6640625" style="39" bestFit="1" customWidth="1"/>
    <col min="19" max="19" width="14.44140625" style="39" hidden="1" customWidth="1"/>
    <col min="20" max="21" width="13.44140625" style="39" hidden="1" customWidth="1"/>
    <col min="22" max="22" width="18.44140625" style="39" hidden="1" customWidth="1"/>
    <col min="23" max="23" width="14.88671875" style="39" hidden="1" customWidth="1"/>
    <col min="24" max="24" width="16.109375" hidden="1" customWidth="1"/>
    <col min="25" max="25" width="14.33203125" hidden="1" customWidth="1"/>
    <col min="26" max="28" width="14.33203125" style="39" customWidth="1"/>
    <col min="29" max="29" width="12.5546875" bestFit="1" customWidth="1"/>
    <col min="30" max="30" width="3.109375" style="46" customWidth="1"/>
    <col min="32" max="33" width="12.5546875" bestFit="1" customWidth="1"/>
    <col min="34" max="34" width="15.44140625" customWidth="1"/>
    <col min="39" max="39" width="45.6640625" bestFit="1" customWidth="1"/>
    <col min="40" max="40" width="10.5546875" bestFit="1" customWidth="1"/>
  </cols>
  <sheetData>
    <row r="1" spans="1:40" s="1" customFormat="1" x14ac:dyDescent="0.3">
      <c r="A1" s="41" t="s">
        <v>336</v>
      </c>
      <c r="B1" s="42">
        <v>0.05</v>
      </c>
      <c r="C1" s="49"/>
      <c r="G1" s="69" t="s">
        <v>333</v>
      </c>
      <c r="H1" s="70"/>
      <c r="Q1" s="39"/>
      <c r="S1" s="39"/>
      <c r="T1" s="39"/>
      <c r="U1" s="39"/>
      <c r="V1" s="39"/>
      <c r="W1" s="39"/>
      <c r="Z1" s="39"/>
      <c r="AA1" s="39"/>
      <c r="AB1" s="39"/>
      <c r="AD1" s="46"/>
    </row>
    <row r="2" spans="1:40" s="1" customFormat="1" x14ac:dyDescent="0.3">
      <c r="A2" s="41" t="s">
        <v>337</v>
      </c>
      <c r="B2" s="41">
        <v>10</v>
      </c>
      <c r="C2" s="50"/>
      <c r="G2" s="37" t="s">
        <v>334</v>
      </c>
      <c r="H2" s="38">
        <v>8.9489115827526083E-2</v>
      </c>
      <c r="P2" s="39" t="s">
        <v>403</v>
      </c>
      <c r="Q2" s="39"/>
      <c r="S2" s="39"/>
      <c r="T2" s="39"/>
      <c r="U2" s="39"/>
      <c r="V2" s="39"/>
      <c r="W2" s="63"/>
      <c r="X2" s="63"/>
      <c r="Y2" s="63"/>
      <c r="Z2" s="63"/>
      <c r="AA2" s="63"/>
      <c r="AB2" s="63"/>
      <c r="AC2" s="63"/>
      <c r="AD2" s="46"/>
      <c r="AF2" s="39" t="s">
        <v>407</v>
      </c>
    </row>
    <row r="3" spans="1:40" s="1" customFormat="1" ht="15" thickBot="1" x14ac:dyDescent="0.35">
      <c r="A3" s="41" t="s">
        <v>338</v>
      </c>
      <c r="B3" s="41">
        <v>12</v>
      </c>
      <c r="C3" s="51"/>
      <c r="G3" s="37" t="s">
        <v>335</v>
      </c>
      <c r="H3" s="33">
        <v>0.9139980416289295</v>
      </c>
      <c r="I3" s="71" t="s">
        <v>391</v>
      </c>
      <c r="J3" s="71"/>
      <c r="K3" s="71"/>
      <c r="L3" s="32"/>
      <c r="M3" s="71" t="s">
        <v>408</v>
      </c>
      <c r="N3" s="71"/>
      <c r="O3" s="71"/>
      <c r="Q3" s="39"/>
      <c r="S3" s="39"/>
      <c r="T3" s="39"/>
      <c r="U3" s="39"/>
      <c r="V3" s="39"/>
      <c r="W3" s="64"/>
      <c r="Y3" s="65"/>
      <c r="Z3" s="65"/>
      <c r="AA3" s="65"/>
      <c r="AB3" s="65"/>
      <c r="AC3" s="63"/>
      <c r="AD3" s="46"/>
    </row>
    <row r="4" spans="1:40" ht="57.6" x14ac:dyDescent="0.3">
      <c r="A4" s="6" t="s">
        <v>0</v>
      </c>
      <c r="B4" s="4" t="s">
        <v>1</v>
      </c>
      <c r="C4" s="52" t="s">
        <v>410</v>
      </c>
      <c r="D4" s="4" t="s">
        <v>2</v>
      </c>
      <c r="E4" s="4" t="s">
        <v>149</v>
      </c>
      <c r="F4" s="4" t="s">
        <v>3</v>
      </c>
      <c r="G4" s="4" t="s">
        <v>4</v>
      </c>
      <c r="H4" s="43" t="s">
        <v>405</v>
      </c>
      <c r="I4" s="47" t="s">
        <v>388</v>
      </c>
      <c r="J4" s="47" t="s">
        <v>389</v>
      </c>
      <c r="K4" s="29" t="s">
        <v>390</v>
      </c>
      <c r="L4" s="47" t="s">
        <v>401</v>
      </c>
      <c r="M4" s="9" t="s">
        <v>392</v>
      </c>
      <c r="N4" s="47" t="s">
        <v>393</v>
      </c>
      <c r="O4" s="26" t="s">
        <v>394</v>
      </c>
      <c r="P4" s="47" t="s">
        <v>409</v>
      </c>
      <c r="Q4" s="47" t="s">
        <v>400</v>
      </c>
      <c r="R4" s="47" t="s">
        <v>395</v>
      </c>
      <c r="S4" s="47" t="s">
        <v>424</v>
      </c>
      <c r="T4" s="47" t="s">
        <v>423</v>
      </c>
      <c r="U4" s="66" t="s">
        <v>426</v>
      </c>
      <c r="V4" s="62" t="s">
        <v>425</v>
      </c>
      <c r="W4" s="25"/>
      <c r="X4" s="68" t="s">
        <v>427</v>
      </c>
      <c r="Y4" s="25" t="s">
        <v>408</v>
      </c>
      <c r="Z4" s="25" t="s">
        <v>428</v>
      </c>
      <c r="AA4" s="25" t="s">
        <v>429</v>
      </c>
      <c r="AB4" s="25"/>
      <c r="AC4" s="63"/>
      <c r="AE4" s="47" t="s">
        <v>402</v>
      </c>
      <c r="AF4" s="47" t="s">
        <v>394</v>
      </c>
      <c r="AG4" s="47" t="s">
        <v>404</v>
      </c>
      <c r="AH4" s="25" t="s">
        <v>406</v>
      </c>
      <c r="AN4" s="43" t="s">
        <v>411</v>
      </c>
    </row>
    <row r="5" spans="1:40" x14ac:dyDescent="0.3">
      <c r="A5" t="s">
        <v>6</v>
      </c>
      <c r="B5" t="s">
        <v>152</v>
      </c>
      <c r="C5" s="57">
        <v>1.6362586364020091</v>
      </c>
      <c r="D5" s="3">
        <v>90.543100061050254</v>
      </c>
      <c r="E5" s="3">
        <v>13.682155187662978</v>
      </c>
      <c r="F5" s="3">
        <f>E5*1.024</f>
        <v>14.01052691216689</v>
      </c>
      <c r="G5">
        <v>15.000000000000002</v>
      </c>
      <c r="H5" s="5">
        <f>WS!N2*WS!M2</f>
        <v>592.22210526315803</v>
      </c>
      <c r="I5" s="40">
        <f t="shared" ref="I5:I36" si="0">(D5*$H$2)/12</f>
        <v>0.67521849739555095</v>
      </c>
      <c r="J5" s="40">
        <f t="shared" ref="J5:J36" si="1">($H$3*F5)/12</f>
        <v>1.0671328466591625</v>
      </c>
      <c r="K5" s="28">
        <f>J5+I5</f>
        <v>1.7423513440547134</v>
      </c>
      <c r="L5" s="44">
        <f>ABS(PV($B$1/12,G5*12,K5))</f>
        <v>220.32946209165181</v>
      </c>
      <c r="M5" s="48">
        <f>O5+N5</f>
        <v>-1.3055932965164594</v>
      </c>
      <c r="N5" s="45">
        <f>H5/IF(H5&lt;1000,5*$B$3,$B$2*$B$3)</f>
        <v>9.8703684210526337</v>
      </c>
      <c r="O5" s="27">
        <f>PMT($B$1/12,IF(H5&lt;1000,5*$B$3,$B$2*$B$3),H5)</f>
        <v>-11.175961717569093</v>
      </c>
      <c r="P5" s="31">
        <f>O5*IF(H5&lt;1000,5*$B$3,$B$2*$B$3)</f>
        <v>-670.55770305414558</v>
      </c>
      <c r="Q5" s="31">
        <f>P5+H5</f>
        <v>-78.335597790987549</v>
      </c>
      <c r="R5" t="str">
        <f>IF(L5&gt;=ABS(P5),"YES","NO")</f>
        <v>NO</v>
      </c>
      <c r="S5" s="60">
        <f>ABS(P5)/L5</f>
        <v>3.0434318528640967</v>
      </c>
      <c r="T5" s="39">
        <v>0</v>
      </c>
      <c r="V5" s="61">
        <f>S5</f>
        <v>3.0434318528640967</v>
      </c>
      <c r="W5" s="64"/>
      <c r="X5" s="67">
        <f>H5-T5-U5</f>
        <v>592.22210526315803</v>
      </c>
      <c r="Y5" s="27">
        <f>PMT($B$1/12,IF(X5&lt;1000,5*$B$3,$B$2*$B$3),X5)</f>
        <v>-11.175961717569093</v>
      </c>
      <c r="Z5" s="31">
        <f>Y5*IF(X5&lt;1000,5*$B$3,$B$2*$B$3)</f>
        <v>-670.55770305414558</v>
      </c>
      <c r="AA5" s="63" t="str">
        <f>IF(ABS(Z5)&gt;L5,"N","Y")</f>
        <v>N</v>
      </c>
      <c r="AB5" s="63"/>
      <c r="AC5" s="63"/>
      <c r="AE5" s="48">
        <f t="shared" ref="AE5:AE27" si="2">PMT($B$1,IF(H5&lt;1000,5,10),H5)</f>
        <v>-136.78838121025589</v>
      </c>
      <c r="AF5" s="48">
        <f t="shared" ref="AF5:AF27" si="3">AE5*IF(H5&lt;1000,5,10)</f>
        <v>-683.94190605127949</v>
      </c>
      <c r="AG5" s="48">
        <f t="shared" ref="AG5:AG27" si="4">AF5+H5</f>
        <v>-91.719800788121461</v>
      </c>
      <c r="AH5" s="48">
        <f t="shared" ref="AH5:AH27" si="5">AF5-P5</f>
        <v>-13.384202997133912</v>
      </c>
      <c r="AM5" s="39" t="s">
        <v>153</v>
      </c>
      <c r="AN5" s="56">
        <v>110</v>
      </c>
    </row>
    <row r="6" spans="1:40" x14ac:dyDescent="0.3">
      <c r="A6" t="s">
        <v>7</v>
      </c>
      <c r="B6" t="s">
        <v>153</v>
      </c>
      <c r="C6" s="57">
        <v>3.5766675697285133</v>
      </c>
      <c r="D6" s="3">
        <v>542.4678300434565</v>
      </c>
      <c r="E6" s="3">
        <v>0</v>
      </c>
      <c r="F6" s="3">
        <f t="shared" ref="F6:F48" si="6">E6*1.024</f>
        <v>0</v>
      </c>
      <c r="G6">
        <v>15</v>
      </c>
      <c r="H6" s="5">
        <f>WS!N3*WS!M3</f>
        <v>2894.1918909802316</v>
      </c>
      <c r="I6" s="40">
        <f t="shared" si="0"/>
        <v>4.0454138729554678</v>
      </c>
      <c r="J6" s="40">
        <f t="shared" si="1"/>
        <v>0</v>
      </c>
      <c r="K6" s="28">
        <f t="shared" ref="K6:K48" si="7">J6+I6</f>
        <v>4.0454138729554678</v>
      </c>
      <c r="L6" s="44">
        <f t="shared" ref="L6:L48" si="8">ABS(PV($B$1/12,G6*12,K6))</f>
        <v>511.56379315100912</v>
      </c>
      <c r="M6" s="48">
        <f t="shared" ref="M6:M48" si="9">O6+N6</f>
        <v>-6.5791296535885735</v>
      </c>
      <c r="N6" s="45">
        <f t="shared" ref="N6:N48" si="10">H6/IF(H6&lt;1000,5*$B$3,$B$2*$B$3)</f>
        <v>24.118265758168597</v>
      </c>
      <c r="O6" s="27">
        <f t="shared" ref="O6:O48" si="11">PMT($B$1/12,IF(H6&lt;1000,5*$B$3,$B$2*$B$3),H6)</f>
        <v>-30.697395411757171</v>
      </c>
      <c r="P6" s="31">
        <f t="shared" ref="P6:P48" si="12">O6*IF(H6&lt;1000,5*$B$3,$B$2*$B$3)</f>
        <v>-3683.6874494108606</v>
      </c>
      <c r="Q6" s="31">
        <f t="shared" ref="Q6:Q48" si="13">P6+H6</f>
        <v>-789.49555843062899</v>
      </c>
      <c r="R6" s="39" t="str">
        <f t="shared" ref="R6:R48" si="14">IF(L6&gt;=ABS(P6),"YES","NO")</f>
        <v>NO</v>
      </c>
      <c r="S6" s="60">
        <f t="shared" ref="S6:S69" si="15">ABS(P6)/L6</f>
        <v>7.2008369214735817</v>
      </c>
      <c r="T6" s="44">
        <f t="shared" ref="T6:T19" si="16">VLOOKUP(B6,$AM$5:$AN$121,2,FALSE)</f>
        <v>110</v>
      </c>
      <c r="U6" s="44"/>
      <c r="V6" s="61">
        <f>((ABS(P6)-T6)/L6)</f>
        <v>6.9858099757187855</v>
      </c>
      <c r="W6" s="64"/>
      <c r="X6" s="67">
        <f t="shared" ref="X6:X69" si="17">H6-T6-U6</f>
        <v>2784.1918909802316</v>
      </c>
      <c r="Y6" s="27">
        <f t="shared" ref="Y6:Y69" si="18">PMT($B$1/12,IF(X6&lt;1000,5*$B$3,$B$2*$B$3),X6)</f>
        <v>-29.530674744127346</v>
      </c>
      <c r="Z6" s="31">
        <f t="shared" ref="Z6:Z69" si="19">Y6*IF(X6&lt;1000,5*$B$3,$B$2*$B$3)</f>
        <v>-3543.6809692952816</v>
      </c>
      <c r="AA6" s="63" t="str">
        <f t="shared" ref="AA6:AA69" si="20">IF(ABS(Z6)&gt;L6,"N","Y")</f>
        <v>N</v>
      </c>
      <c r="AB6" s="63"/>
      <c r="AC6" s="63"/>
      <c r="AE6" s="48">
        <f t="shared" si="2"/>
        <v>-374.81109070986622</v>
      </c>
      <c r="AF6" s="48">
        <f t="shared" si="3"/>
        <v>-3748.1109070986622</v>
      </c>
      <c r="AG6" s="48">
        <f t="shared" si="4"/>
        <v>-853.91901611843059</v>
      </c>
      <c r="AH6" s="48">
        <f t="shared" si="5"/>
        <v>-64.423457687801601</v>
      </c>
      <c r="AM6" s="39" t="s">
        <v>154</v>
      </c>
      <c r="AN6" s="56">
        <v>110</v>
      </c>
    </row>
    <row r="7" spans="1:40" x14ac:dyDescent="0.3">
      <c r="A7" t="s">
        <v>7</v>
      </c>
      <c r="B7" t="s">
        <v>154</v>
      </c>
      <c r="C7" s="57">
        <v>3.3325569047299122</v>
      </c>
      <c r="D7" s="3">
        <v>1010.8880319525558</v>
      </c>
      <c r="E7" s="3">
        <v>0</v>
      </c>
      <c r="F7" s="3">
        <f t="shared" si="6"/>
        <v>0</v>
      </c>
      <c r="G7">
        <v>15</v>
      </c>
      <c r="H7" s="5">
        <f>WS!N4*WS!M4</f>
        <v>3188.000139038013</v>
      </c>
      <c r="I7" s="40">
        <f t="shared" si="0"/>
        <v>7.5386230150051796</v>
      </c>
      <c r="J7" s="40">
        <f t="shared" si="1"/>
        <v>0</v>
      </c>
      <c r="K7" s="28">
        <f t="shared" si="7"/>
        <v>7.5386230150051796</v>
      </c>
      <c r="L7" s="44">
        <f t="shared" si="8"/>
        <v>953.29840303190122</v>
      </c>
      <c r="M7" s="48">
        <f t="shared" si="9"/>
        <v>-7.2470199076142556</v>
      </c>
      <c r="N7" s="45">
        <f t="shared" si="10"/>
        <v>26.566667825316774</v>
      </c>
      <c r="O7" s="27">
        <f t="shared" si="11"/>
        <v>-33.813687732931029</v>
      </c>
      <c r="P7" s="31">
        <f t="shared" si="12"/>
        <v>-4057.6425279517234</v>
      </c>
      <c r="Q7" s="31">
        <f t="shared" si="13"/>
        <v>-869.64238891371042</v>
      </c>
      <c r="R7" s="39" t="str">
        <f t="shared" si="14"/>
        <v>NO</v>
      </c>
      <c r="S7" s="60">
        <f t="shared" si="15"/>
        <v>4.2564243421017647</v>
      </c>
      <c r="T7" s="44">
        <f t="shared" si="16"/>
        <v>110</v>
      </c>
      <c r="U7" s="44"/>
      <c r="V7" s="61">
        <f t="shared" ref="V7:V24" si="21">((ABS(P7)-T7)/L7)</f>
        <v>4.141035498849587</v>
      </c>
      <c r="W7" s="64"/>
      <c r="X7" s="67">
        <f t="shared" si="17"/>
        <v>3078.000139038013</v>
      </c>
      <c r="Y7" s="27">
        <f t="shared" si="18"/>
        <v>-32.646967065301205</v>
      </c>
      <c r="Z7" s="31">
        <f t="shared" si="19"/>
        <v>-3917.6360478361444</v>
      </c>
      <c r="AA7" s="63" t="str">
        <f t="shared" si="20"/>
        <v>N</v>
      </c>
      <c r="AB7" s="63"/>
      <c r="AC7" s="63"/>
      <c r="AE7" s="48">
        <f t="shared" si="2"/>
        <v>-412.86060299593464</v>
      </c>
      <c r="AF7" s="48">
        <f t="shared" si="3"/>
        <v>-4128.6060299593464</v>
      </c>
      <c r="AG7" s="48">
        <f t="shared" si="4"/>
        <v>-940.60589092133341</v>
      </c>
      <c r="AH7" s="48">
        <f t="shared" si="5"/>
        <v>-70.963502007622992</v>
      </c>
      <c r="AM7" s="39" t="s">
        <v>155</v>
      </c>
      <c r="AN7" s="56">
        <v>110</v>
      </c>
    </row>
    <row r="8" spans="1:40" x14ac:dyDescent="0.3">
      <c r="A8" t="s">
        <v>7</v>
      </c>
      <c r="B8" t="s">
        <v>155</v>
      </c>
      <c r="C8" s="57">
        <v>2.8026137852850885</v>
      </c>
      <c r="D8" s="3">
        <v>1275.2048895230496</v>
      </c>
      <c r="E8" s="3">
        <v>0</v>
      </c>
      <c r="F8" s="3">
        <f t="shared" si="6"/>
        <v>0</v>
      </c>
      <c r="G8">
        <v>15</v>
      </c>
      <c r="H8" s="5">
        <f>WS!N5*WS!M5</f>
        <v>3481.808387095793</v>
      </c>
      <c r="I8" s="40">
        <f t="shared" si="0"/>
        <v>9.5097465051963166</v>
      </c>
      <c r="J8" s="40">
        <f t="shared" si="1"/>
        <v>0</v>
      </c>
      <c r="K8" s="28">
        <f t="shared" si="7"/>
        <v>9.5097465051963166</v>
      </c>
      <c r="L8" s="44">
        <f t="shared" si="8"/>
        <v>1202.5573023876195</v>
      </c>
      <c r="M8" s="48">
        <f t="shared" si="9"/>
        <v>-7.9149101616399307</v>
      </c>
      <c r="N8" s="45">
        <f t="shared" si="10"/>
        <v>29.015069892464943</v>
      </c>
      <c r="O8" s="27">
        <f t="shared" si="11"/>
        <v>-36.929980054104874</v>
      </c>
      <c r="P8" s="31">
        <f t="shared" si="12"/>
        <v>-4431.5976064925853</v>
      </c>
      <c r="Q8" s="31">
        <f t="shared" si="13"/>
        <v>-949.7892193967923</v>
      </c>
      <c r="R8" s="39" t="str">
        <f t="shared" si="14"/>
        <v>NO</v>
      </c>
      <c r="S8" s="60">
        <f t="shared" si="15"/>
        <v>3.6851446477385004</v>
      </c>
      <c r="T8" s="44">
        <f t="shared" si="16"/>
        <v>110</v>
      </c>
      <c r="U8" s="44">
        <v>300</v>
      </c>
      <c r="V8" s="61">
        <f t="shared" si="21"/>
        <v>3.5936729151386482</v>
      </c>
      <c r="W8" s="64"/>
      <c r="X8" s="67">
        <f t="shared" si="17"/>
        <v>3071.808387095793</v>
      </c>
      <c r="Y8" s="27">
        <f t="shared" si="18"/>
        <v>-32.581293929302795</v>
      </c>
      <c r="Z8" s="31">
        <f t="shared" si="19"/>
        <v>-3909.7552715163356</v>
      </c>
      <c r="AA8" s="63" t="str">
        <f t="shared" si="20"/>
        <v>N</v>
      </c>
      <c r="AB8" s="63"/>
      <c r="AC8" s="63"/>
      <c r="AE8" s="48">
        <f t="shared" si="2"/>
        <v>-450.91011528200289</v>
      </c>
      <c r="AF8" s="48">
        <f t="shared" si="3"/>
        <v>-4509.1011528200288</v>
      </c>
      <c r="AG8" s="48">
        <f t="shared" si="4"/>
        <v>-1027.2927657242358</v>
      </c>
      <c r="AH8" s="48">
        <f t="shared" si="5"/>
        <v>-77.503546327443473</v>
      </c>
      <c r="AM8" s="39" t="s">
        <v>156</v>
      </c>
      <c r="AN8" s="56">
        <v>110</v>
      </c>
    </row>
    <row r="9" spans="1:40" x14ac:dyDescent="0.3">
      <c r="A9" t="s">
        <v>7</v>
      </c>
      <c r="B9" t="s">
        <v>156</v>
      </c>
      <c r="C9" s="57">
        <v>2.428317867079874</v>
      </c>
      <c r="D9" s="3">
        <v>1473.1976315984607</v>
      </c>
      <c r="E9" s="3">
        <v>0</v>
      </c>
      <c r="F9" s="3">
        <f t="shared" si="6"/>
        <v>0</v>
      </c>
      <c r="G9">
        <v>15</v>
      </c>
      <c r="H9" s="5">
        <f>WS!N6*WS!M6</f>
        <v>3775.616635153574</v>
      </c>
      <c r="I9" s="40">
        <f t="shared" si="0"/>
        <v>10.986262790912646</v>
      </c>
      <c r="J9" s="40">
        <f t="shared" si="1"/>
        <v>0</v>
      </c>
      <c r="K9" s="28">
        <f t="shared" si="7"/>
        <v>10.986262790912646</v>
      </c>
      <c r="L9" s="44">
        <f t="shared" si="8"/>
        <v>1389.2705276573149</v>
      </c>
      <c r="M9" s="48">
        <f t="shared" si="9"/>
        <v>-8.5828004156656164</v>
      </c>
      <c r="N9" s="45">
        <f t="shared" si="10"/>
        <v>31.463471959613116</v>
      </c>
      <c r="O9" s="27">
        <f t="shared" si="11"/>
        <v>-40.046272375278733</v>
      </c>
      <c r="P9" s="31">
        <f t="shared" si="12"/>
        <v>-4805.5526850334481</v>
      </c>
      <c r="Q9" s="31">
        <f t="shared" si="13"/>
        <v>-1029.9360498798742</v>
      </c>
      <c r="R9" s="39" t="str">
        <f t="shared" si="14"/>
        <v>NO</v>
      </c>
      <c r="S9" s="60">
        <f t="shared" si="15"/>
        <v>3.4590474564640101</v>
      </c>
      <c r="T9" s="44">
        <f t="shared" si="16"/>
        <v>110</v>
      </c>
      <c r="U9" s="44">
        <v>300</v>
      </c>
      <c r="V9" s="61">
        <f t="shared" si="21"/>
        <v>3.3798692130548664</v>
      </c>
      <c r="W9" s="45"/>
      <c r="X9" s="67">
        <f t="shared" si="17"/>
        <v>3365.616635153574</v>
      </c>
      <c r="Y9" s="27">
        <f t="shared" si="18"/>
        <v>-35.697586250476654</v>
      </c>
      <c r="Z9" s="31">
        <f t="shared" si="19"/>
        <v>-4283.7103500571984</v>
      </c>
      <c r="AA9" s="63" t="str">
        <f t="shared" si="20"/>
        <v>N</v>
      </c>
      <c r="AE9" s="48">
        <f t="shared" si="2"/>
        <v>-488.95962756807126</v>
      </c>
      <c r="AF9" s="48">
        <f t="shared" si="3"/>
        <v>-4889.596275680713</v>
      </c>
      <c r="AG9" s="48">
        <f t="shared" si="4"/>
        <v>-1113.9796405271391</v>
      </c>
      <c r="AH9" s="48">
        <f t="shared" si="5"/>
        <v>-84.043590647264864</v>
      </c>
      <c r="AM9" s="39" t="s">
        <v>157</v>
      </c>
      <c r="AN9" s="56">
        <v>110</v>
      </c>
    </row>
    <row r="10" spans="1:40" x14ac:dyDescent="0.3">
      <c r="A10" t="s">
        <v>7</v>
      </c>
      <c r="B10" t="s">
        <v>157</v>
      </c>
      <c r="C10" s="57">
        <v>1.9966943661834509</v>
      </c>
      <c r="D10" s="3">
        <v>1514.1784726002227</v>
      </c>
      <c r="E10" s="3">
        <v>0</v>
      </c>
      <c r="F10" s="3">
        <f t="shared" si="6"/>
        <v>0</v>
      </c>
      <c r="G10">
        <v>15</v>
      </c>
      <c r="H10" s="5">
        <f>WS!N7*WS!M7</f>
        <v>4069.4248832113544</v>
      </c>
      <c r="I10" s="40">
        <f t="shared" si="0"/>
        <v>11.291874393172321</v>
      </c>
      <c r="J10" s="40">
        <f t="shared" si="1"/>
        <v>0</v>
      </c>
      <c r="K10" s="28">
        <f t="shared" si="7"/>
        <v>11.291874393172321</v>
      </c>
      <c r="L10" s="44">
        <f t="shared" si="8"/>
        <v>1427.9167169948473</v>
      </c>
      <c r="M10" s="48">
        <f t="shared" si="9"/>
        <v>-9.250690669691302</v>
      </c>
      <c r="N10" s="45">
        <f t="shared" si="10"/>
        <v>33.911874026761289</v>
      </c>
      <c r="O10" s="27">
        <f t="shared" si="11"/>
        <v>-43.162564696452591</v>
      </c>
      <c r="P10" s="31">
        <f t="shared" si="12"/>
        <v>-5179.507763574311</v>
      </c>
      <c r="Q10" s="31">
        <f t="shared" si="13"/>
        <v>-1110.0828803629565</v>
      </c>
      <c r="R10" s="39" t="str">
        <f t="shared" si="14"/>
        <v>NO</v>
      </c>
      <c r="S10" s="60">
        <f t="shared" si="15"/>
        <v>3.6273178273834867</v>
      </c>
      <c r="T10" s="44">
        <f t="shared" si="16"/>
        <v>110</v>
      </c>
      <c r="U10" s="44">
        <v>300</v>
      </c>
      <c r="V10" s="61">
        <f t="shared" si="21"/>
        <v>3.5502825222492329</v>
      </c>
      <c r="W10" s="45"/>
      <c r="X10" s="67">
        <f t="shared" si="17"/>
        <v>3659.4248832113544</v>
      </c>
      <c r="Y10" s="27">
        <f t="shared" si="18"/>
        <v>-38.813878571650505</v>
      </c>
      <c r="Z10" s="31">
        <f t="shared" si="19"/>
        <v>-4657.6654285980603</v>
      </c>
      <c r="AA10" s="63" t="str">
        <f t="shared" si="20"/>
        <v>N</v>
      </c>
      <c r="AE10" s="48">
        <f t="shared" si="2"/>
        <v>-527.00913985413956</v>
      </c>
      <c r="AF10" s="48">
        <f t="shared" si="3"/>
        <v>-5270.0913985413954</v>
      </c>
      <c r="AG10" s="48">
        <f t="shared" si="4"/>
        <v>-1200.666515330041</v>
      </c>
      <c r="AH10" s="48">
        <f t="shared" si="5"/>
        <v>-90.583634967084436</v>
      </c>
      <c r="AM10" s="39" t="s">
        <v>158</v>
      </c>
      <c r="AN10" s="56">
        <v>660</v>
      </c>
    </row>
    <row r="11" spans="1:40" x14ac:dyDescent="0.3">
      <c r="A11" t="s">
        <v>8</v>
      </c>
      <c r="B11" t="s">
        <v>158</v>
      </c>
      <c r="C11" s="57">
        <v>3.4350960026496802</v>
      </c>
      <c r="D11" s="3">
        <v>305.49151746173641</v>
      </c>
      <c r="E11" s="3">
        <v>56.719392165809921</v>
      </c>
      <c r="F11" s="3">
        <f t="shared" si="6"/>
        <v>58.08065757778936</v>
      </c>
      <c r="G11">
        <v>20</v>
      </c>
      <c r="H11" s="5">
        <f>WS!N8*WS!M8</f>
        <v>1104.2136588743515</v>
      </c>
      <c r="I11" s="40">
        <f t="shared" si="0"/>
        <v>2.2781804825383363</v>
      </c>
      <c r="J11" s="40">
        <f t="shared" si="1"/>
        <v>4.4238006068849929</v>
      </c>
      <c r="K11" s="28">
        <f t="shared" si="7"/>
        <v>6.7019810894233292</v>
      </c>
      <c r="L11" s="44">
        <f t="shared" si="8"/>
        <v>1015.5197827930617</v>
      </c>
      <c r="M11" s="48">
        <f t="shared" si="9"/>
        <v>-2.5101185756336601</v>
      </c>
      <c r="N11" s="45">
        <f t="shared" si="10"/>
        <v>9.2017804906195959</v>
      </c>
      <c r="O11" s="27">
        <f t="shared" si="11"/>
        <v>-11.711899066253256</v>
      </c>
      <c r="P11" s="31">
        <f t="shared" si="12"/>
        <v>-1405.4278879503906</v>
      </c>
      <c r="Q11" s="31">
        <f t="shared" si="13"/>
        <v>-301.21422907603915</v>
      </c>
      <c r="R11" s="39" t="str">
        <f t="shared" si="14"/>
        <v>NO</v>
      </c>
      <c r="S11" s="60">
        <f t="shared" si="15"/>
        <v>1.383949295487809</v>
      </c>
      <c r="T11" s="44">
        <f t="shared" si="16"/>
        <v>660</v>
      </c>
      <c r="U11" s="44">
        <v>500</v>
      </c>
      <c r="V11" s="61">
        <f t="shared" si="21"/>
        <v>0.7340358115921517</v>
      </c>
      <c r="W11" s="45"/>
      <c r="X11" s="67">
        <f t="shared" si="17"/>
        <v>-55.786341125648505</v>
      </c>
      <c r="Y11" s="27">
        <f t="shared" si="18"/>
        <v>1.0527570775266089</v>
      </c>
      <c r="Z11" s="31">
        <f t="shared" si="19"/>
        <v>63.165424651596531</v>
      </c>
      <c r="AA11" s="63" t="str">
        <f t="shared" si="20"/>
        <v>Y</v>
      </c>
      <c r="AE11" s="48">
        <f t="shared" si="2"/>
        <v>-143.00072056357465</v>
      </c>
      <c r="AF11" s="48">
        <f t="shared" si="3"/>
        <v>-1430.0072056357465</v>
      </c>
      <c r="AG11" s="48">
        <f t="shared" si="4"/>
        <v>-325.79354676139496</v>
      </c>
      <c r="AH11" s="48">
        <f t="shared" si="5"/>
        <v>-24.579317685355818</v>
      </c>
      <c r="AM11" s="39" t="s">
        <v>159</v>
      </c>
      <c r="AN11" s="56">
        <v>20</v>
      </c>
    </row>
    <row r="12" spans="1:40" x14ac:dyDescent="0.3">
      <c r="A12" t="s">
        <v>10</v>
      </c>
      <c r="B12" t="s">
        <v>159</v>
      </c>
      <c r="C12" s="57">
        <v>4.3999030137785224</v>
      </c>
      <c r="D12" s="3">
        <v>362.10021909781909</v>
      </c>
      <c r="E12" s="3">
        <v>0.15589729842746131</v>
      </c>
      <c r="F12" s="3">
        <f t="shared" si="6"/>
        <v>0.15963883358972039</v>
      </c>
      <c r="G12">
        <v>14.999999999999998</v>
      </c>
      <c r="H12" s="5">
        <f>WS!N9*WS!M9</f>
        <v>1649.9999999999998</v>
      </c>
      <c r="I12" s="40">
        <f t="shared" si="0"/>
        <v>2.7003357040014424</v>
      </c>
      <c r="J12" s="40">
        <f t="shared" si="1"/>
        <v>1.2159131772410917E-2</v>
      </c>
      <c r="K12" s="28">
        <f t="shared" si="7"/>
        <v>2.7124948357738532</v>
      </c>
      <c r="L12" s="44">
        <f t="shared" si="8"/>
        <v>343.00919279669057</v>
      </c>
      <c r="M12" s="48">
        <f t="shared" si="9"/>
        <v>-3.7508100144474117</v>
      </c>
      <c r="N12" s="45">
        <f t="shared" si="10"/>
        <v>13.749999999999998</v>
      </c>
      <c r="O12" s="27">
        <f t="shared" si="11"/>
        <v>-17.50081001444741</v>
      </c>
      <c r="P12" s="31">
        <f t="shared" si="12"/>
        <v>-2100.097201733689</v>
      </c>
      <c r="Q12" s="31">
        <f t="shared" si="13"/>
        <v>-450.09720173368919</v>
      </c>
      <c r="R12" s="39" t="str">
        <f t="shared" si="14"/>
        <v>NO</v>
      </c>
      <c r="S12" s="60">
        <f t="shared" si="15"/>
        <v>6.1225682746598133</v>
      </c>
      <c r="T12" s="44">
        <f t="shared" si="16"/>
        <v>20</v>
      </c>
      <c r="U12" s="44"/>
      <c r="V12" s="61">
        <f t="shared" si="21"/>
        <v>6.0642607994667079</v>
      </c>
      <c r="W12" s="45"/>
      <c r="X12" s="67">
        <f t="shared" si="17"/>
        <v>1629.9999999999998</v>
      </c>
      <c r="Y12" s="27">
        <f t="shared" si="18"/>
        <v>-17.288678983969259</v>
      </c>
      <c r="Z12" s="31">
        <f t="shared" si="19"/>
        <v>-2074.6414780763112</v>
      </c>
      <c r="AA12" s="63" t="str">
        <f t="shared" si="20"/>
        <v>N</v>
      </c>
      <c r="AE12" s="48">
        <f t="shared" si="2"/>
        <v>-213.68254869300347</v>
      </c>
      <c r="AF12" s="48">
        <f t="shared" si="3"/>
        <v>-2136.8254869300345</v>
      </c>
      <c r="AG12" s="48">
        <f t="shared" si="4"/>
        <v>-486.82548693003469</v>
      </c>
      <c r="AH12" s="48">
        <f t="shared" si="5"/>
        <v>-36.728285196345496</v>
      </c>
      <c r="AM12" s="39" t="s">
        <v>161</v>
      </c>
      <c r="AN12" s="56">
        <v>0</v>
      </c>
    </row>
    <row r="13" spans="1:40" x14ac:dyDescent="0.3">
      <c r="A13" t="s">
        <v>8</v>
      </c>
      <c r="B13" t="s">
        <v>161</v>
      </c>
      <c r="C13" s="57">
        <v>2.9138373719025479</v>
      </c>
      <c r="D13" s="3">
        <v>178.38625748502989</v>
      </c>
      <c r="E13" s="3">
        <v>14.837829224363773</v>
      </c>
      <c r="F13" s="3">
        <f t="shared" si="6"/>
        <v>15.193937125748503</v>
      </c>
      <c r="G13">
        <v>20</v>
      </c>
      <c r="H13" s="5">
        <f>WS!N11*WS!M11</f>
        <v>552.10682943717575</v>
      </c>
      <c r="I13" s="40">
        <f t="shared" si="0"/>
        <v>1.3303023715097277</v>
      </c>
      <c r="J13" s="40">
        <f t="shared" si="1"/>
        <v>1.1572690647972681</v>
      </c>
      <c r="K13" s="28">
        <f t="shared" si="7"/>
        <v>2.4875714363069958</v>
      </c>
      <c r="L13" s="44">
        <f t="shared" si="8"/>
        <v>376.93004068116068</v>
      </c>
      <c r="M13" s="48">
        <f t="shared" si="9"/>
        <v>-1.217156484143441</v>
      </c>
      <c r="N13" s="45">
        <f t="shared" si="10"/>
        <v>9.2017804906195959</v>
      </c>
      <c r="O13" s="27">
        <f t="shared" si="11"/>
        <v>-10.418936974763037</v>
      </c>
      <c r="P13" s="31">
        <f t="shared" si="12"/>
        <v>-625.13621848578225</v>
      </c>
      <c r="Q13" s="31">
        <f t="shared" si="13"/>
        <v>-73.029389048606504</v>
      </c>
      <c r="R13" s="39" t="str">
        <f t="shared" si="14"/>
        <v>NO</v>
      </c>
      <c r="S13" s="60">
        <f t="shared" si="15"/>
        <v>1.6584940201531333</v>
      </c>
      <c r="T13" s="44">
        <f t="shared" si="16"/>
        <v>0</v>
      </c>
      <c r="U13" s="44"/>
      <c r="V13" s="61">
        <f t="shared" si="21"/>
        <v>1.6584940201531333</v>
      </c>
      <c r="W13" s="45"/>
      <c r="X13" s="67">
        <f t="shared" si="17"/>
        <v>552.10682943717575</v>
      </c>
      <c r="Y13" s="27">
        <f t="shared" si="18"/>
        <v>-10.418936974763037</v>
      </c>
      <c r="Z13" s="31">
        <f t="shared" si="19"/>
        <v>-625.13621848578225</v>
      </c>
      <c r="AA13" s="63" t="str">
        <f t="shared" si="20"/>
        <v>N</v>
      </c>
      <c r="AE13" s="48">
        <f t="shared" si="2"/>
        <v>-127.52276347448984</v>
      </c>
      <c r="AF13" s="48">
        <f t="shared" si="3"/>
        <v>-637.61381737244915</v>
      </c>
      <c r="AG13" s="48">
        <f t="shared" si="4"/>
        <v>-85.506987935273401</v>
      </c>
      <c r="AH13" s="48">
        <f t="shared" si="5"/>
        <v>-12.477598886666897</v>
      </c>
      <c r="AM13" s="39" t="s">
        <v>162</v>
      </c>
      <c r="AN13" s="56">
        <v>110</v>
      </c>
    </row>
    <row r="14" spans="1:40" x14ac:dyDescent="0.3">
      <c r="A14" t="s">
        <v>11</v>
      </c>
      <c r="B14" t="s">
        <v>162</v>
      </c>
      <c r="C14" s="57">
        <v>4.3427410478926101</v>
      </c>
      <c r="D14" s="3">
        <v>650.41167677980934</v>
      </c>
      <c r="E14" s="3">
        <v>-5.1849057821044964</v>
      </c>
      <c r="F14" s="3">
        <f t="shared" si="6"/>
        <v>-5.3093435208750046</v>
      </c>
      <c r="G14">
        <v>15</v>
      </c>
      <c r="H14" s="5">
        <f>WS!N12*WS!M12</f>
        <v>2634.3585874517285</v>
      </c>
      <c r="I14" s="40">
        <f t="shared" si="0"/>
        <v>4.8503971565769843</v>
      </c>
      <c r="J14" s="40">
        <f t="shared" si="1"/>
        <v>-0.40439413170124999</v>
      </c>
      <c r="K14" s="28">
        <f t="shared" si="7"/>
        <v>4.4460030248757345</v>
      </c>
      <c r="L14" s="44">
        <f t="shared" si="8"/>
        <v>562.22039158249754</v>
      </c>
      <c r="M14" s="48">
        <f t="shared" si="9"/>
        <v>-5.9884718614905985</v>
      </c>
      <c r="N14" s="45">
        <f t="shared" si="10"/>
        <v>21.952988228764404</v>
      </c>
      <c r="O14" s="27">
        <f t="shared" si="11"/>
        <v>-27.941460090255003</v>
      </c>
      <c r="P14" s="31">
        <f t="shared" si="12"/>
        <v>-3352.9752108306002</v>
      </c>
      <c r="Q14" s="31">
        <f t="shared" si="13"/>
        <v>-718.61662337887174</v>
      </c>
      <c r="R14" s="39" t="str">
        <f t="shared" si="14"/>
        <v>NO</v>
      </c>
      <c r="S14" s="60">
        <f t="shared" si="15"/>
        <v>5.9638093193185089</v>
      </c>
      <c r="T14" s="44">
        <f t="shared" si="16"/>
        <v>110</v>
      </c>
      <c r="U14" s="44"/>
      <c r="V14" s="61">
        <f t="shared" si="21"/>
        <v>5.7681565083445419</v>
      </c>
      <c r="W14" s="45"/>
      <c r="X14" s="67">
        <f t="shared" si="17"/>
        <v>2524.3585874517285</v>
      </c>
      <c r="Y14" s="27">
        <f t="shared" si="18"/>
        <v>-26.774739422625171</v>
      </c>
      <c r="Z14" s="31">
        <f t="shared" si="19"/>
        <v>-3212.9687307150207</v>
      </c>
      <c r="AA14" s="63" t="str">
        <f t="shared" si="20"/>
        <v>N</v>
      </c>
      <c r="AE14" s="48">
        <f t="shared" si="2"/>
        <v>-341.16148917453688</v>
      </c>
      <c r="AF14" s="48">
        <f t="shared" si="3"/>
        <v>-3411.6148917453688</v>
      </c>
      <c r="AG14" s="48">
        <f t="shared" si="4"/>
        <v>-777.25630429364037</v>
      </c>
      <c r="AH14" s="48">
        <f t="shared" si="5"/>
        <v>-58.639680914768633</v>
      </c>
      <c r="AM14" s="39" t="s">
        <v>163</v>
      </c>
      <c r="AN14" s="56">
        <v>200</v>
      </c>
    </row>
    <row r="15" spans="1:40" x14ac:dyDescent="0.3">
      <c r="A15" t="s">
        <v>11</v>
      </c>
      <c r="B15" t="s">
        <v>164</v>
      </c>
      <c r="C15" s="57">
        <v>4.3780771238080716</v>
      </c>
      <c r="D15" s="3">
        <v>1342.3939228745739</v>
      </c>
      <c r="E15" s="3">
        <v>-16.292930315709565</v>
      </c>
      <c r="F15" s="3">
        <f t="shared" si="6"/>
        <v>-16.683960643286596</v>
      </c>
      <c r="G15">
        <v>15</v>
      </c>
      <c r="H15" s="5">
        <f>WS!N14*WS!M14</f>
        <v>2912.2147294245824</v>
      </c>
      <c r="I15" s="40">
        <f t="shared" si="0"/>
        <v>10.010803770857489</v>
      </c>
      <c r="J15" s="40">
        <f t="shared" si="1"/>
        <v>-1.2707589462148403</v>
      </c>
      <c r="K15" s="28">
        <f t="shared" si="7"/>
        <v>8.7400448246426485</v>
      </c>
      <c r="L15" s="44">
        <f t="shared" si="8"/>
        <v>1105.2244895619503</v>
      </c>
      <c r="M15" s="48">
        <f t="shared" si="9"/>
        <v>-6.6200994977860539</v>
      </c>
      <c r="N15" s="45">
        <f t="shared" si="10"/>
        <v>24.268456078538186</v>
      </c>
      <c r="O15" s="27">
        <f t="shared" si="11"/>
        <v>-30.88855557632424</v>
      </c>
      <c r="P15" s="31">
        <f t="shared" si="12"/>
        <v>-3706.626669158909</v>
      </c>
      <c r="Q15" s="31">
        <f t="shared" si="13"/>
        <v>-794.41193973432655</v>
      </c>
      <c r="R15" s="39" t="str">
        <f t="shared" si="14"/>
        <v>NO</v>
      </c>
      <c r="S15" s="60">
        <f t="shared" si="15"/>
        <v>3.3537319378690298</v>
      </c>
      <c r="T15" s="44">
        <f t="shared" si="16"/>
        <v>110</v>
      </c>
      <c r="U15" s="44"/>
      <c r="V15" s="61">
        <f t="shared" si="21"/>
        <v>3.2542046463197827</v>
      </c>
      <c r="W15" s="45"/>
      <c r="X15" s="67">
        <f t="shared" si="17"/>
        <v>2802.2147294245824</v>
      </c>
      <c r="Y15" s="27">
        <f t="shared" si="18"/>
        <v>-29.721834908694412</v>
      </c>
      <c r="Z15" s="31">
        <f t="shared" si="19"/>
        <v>-3566.6201890433294</v>
      </c>
      <c r="AA15" s="63" t="str">
        <f t="shared" si="20"/>
        <v>N</v>
      </c>
      <c r="AE15" s="48">
        <f t="shared" si="2"/>
        <v>-377.14513074227295</v>
      </c>
      <c r="AF15" s="48">
        <f t="shared" si="3"/>
        <v>-3771.4513074227298</v>
      </c>
      <c r="AG15" s="48">
        <f t="shared" si="4"/>
        <v>-859.23657799814737</v>
      </c>
      <c r="AH15" s="48">
        <f t="shared" si="5"/>
        <v>-64.824638263820816</v>
      </c>
      <c r="AM15" s="39" t="s">
        <v>164</v>
      </c>
      <c r="AN15" s="56">
        <v>110</v>
      </c>
    </row>
    <row r="16" spans="1:40" x14ac:dyDescent="0.3">
      <c r="A16" t="s">
        <v>11</v>
      </c>
      <c r="B16" t="s">
        <v>166</v>
      </c>
      <c r="C16" s="57">
        <v>3.3038632963277705</v>
      </c>
      <c r="D16" s="3">
        <v>1474.5025270284643</v>
      </c>
      <c r="E16" s="3">
        <v>-9.9578465878039673</v>
      </c>
      <c r="F16" s="3">
        <f t="shared" si="6"/>
        <v>-10.196834905911263</v>
      </c>
      <c r="G16">
        <v>15</v>
      </c>
      <c r="H16" s="5">
        <f>WS!N16*WS!M16</f>
        <v>3190.070871397435</v>
      </c>
      <c r="I16" s="40">
        <f t="shared" si="0"/>
        <v>10.995993952435846</v>
      </c>
      <c r="J16" s="40">
        <f t="shared" si="1"/>
        <v>-0.77665726123470036</v>
      </c>
      <c r="K16" s="28">
        <f t="shared" si="7"/>
        <v>10.219336691201146</v>
      </c>
      <c r="L16" s="44">
        <f t="shared" si="8"/>
        <v>1292.2887015806921</v>
      </c>
      <c r="M16" s="48">
        <f t="shared" si="9"/>
        <v>-7.2517271340815093</v>
      </c>
      <c r="N16" s="45">
        <f t="shared" si="10"/>
        <v>26.583923928311957</v>
      </c>
      <c r="O16" s="27">
        <f t="shared" si="11"/>
        <v>-33.835651062393467</v>
      </c>
      <c r="P16" s="31">
        <f t="shared" si="12"/>
        <v>-4060.2781274872159</v>
      </c>
      <c r="Q16" s="31">
        <f t="shared" si="13"/>
        <v>-870.20725608978091</v>
      </c>
      <c r="R16" s="39" t="str">
        <f t="shared" si="14"/>
        <v>NO</v>
      </c>
      <c r="S16" s="60">
        <f t="shared" si="15"/>
        <v>3.14192805564329</v>
      </c>
      <c r="T16" s="44">
        <f t="shared" si="16"/>
        <v>110</v>
      </c>
      <c r="U16" s="44"/>
      <c r="V16" s="61">
        <f t="shared" si="21"/>
        <v>3.0568077571639711</v>
      </c>
      <c r="W16" s="45"/>
      <c r="X16" s="67">
        <f t="shared" si="17"/>
        <v>3080.070871397435</v>
      </c>
      <c r="Y16" s="27">
        <f t="shared" si="18"/>
        <v>-32.668930394763635</v>
      </c>
      <c r="Z16" s="31">
        <f t="shared" si="19"/>
        <v>-3920.2716473716364</v>
      </c>
      <c r="AA16" s="63" t="str">
        <f t="shared" si="20"/>
        <v>N</v>
      </c>
      <c r="AE16" s="48">
        <f t="shared" si="2"/>
        <v>-413.1287723100088</v>
      </c>
      <c r="AF16" s="48">
        <f t="shared" si="3"/>
        <v>-4131.2877231000875</v>
      </c>
      <c r="AG16" s="48">
        <f t="shared" si="4"/>
        <v>-941.21685170265255</v>
      </c>
      <c r="AH16" s="48">
        <f t="shared" si="5"/>
        <v>-71.009595612871635</v>
      </c>
      <c r="AM16" s="39" t="s">
        <v>165</v>
      </c>
      <c r="AN16" s="56">
        <v>200</v>
      </c>
    </row>
    <row r="17" spans="1:40" x14ac:dyDescent="0.3">
      <c r="A17" t="s">
        <v>11</v>
      </c>
      <c r="B17" t="s">
        <v>168</v>
      </c>
      <c r="C17" s="57">
        <v>2.9716896526623122</v>
      </c>
      <c r="D17" s="3">
        <v>1787.3658534903075</v>
      </c>
      <c r="E17" s="3">
        <v>-15.527410700048438</v>
      </c>
      <c r="F17" s="3">
        <f t="shared" si="6"/>
        <v>-15.900068556849602</v>
      </c>
      <c r="G17">
        <v>15</v>
      </c>
      <c r="H17" s="5">
        <f>WS!N18*WS!M18</f>
        <v>3467.9270133702885</v>
      </c>
      <c r="I17" s="40">
        <f t="shared" si="0"/>
        <v>13.32914915742993</v>
      </c>
      <c r="J17" s="40">
        <f t="shared" si="1"/>
        <v>-1.2110526268938546</v>
      </c>
      <c r="K17" s="28">
        <f t="shared" si="7"/>
        <v>12.118096530536075</v>
      </c>
      <c r="L17" s="44">
        <f t="shared" si="8"/>
        <v>1532.3968379042929</v>
      </c>
      <c r="M17" s="48">
        <f t="shared" si="9"/>
        <v>-7.8833547703769611</v>
      </c>
      <c r="N17" s="45">
        <f t="shared" si="10"/>
        <v>28.899391778085736</v>
      </c>
      <c r="O17" s="27">
        <f t="shared" si="11"/>
        <v>-36.782746548462697</v>
      </c>
      <c r="P17" s="31">
        <f t="shared" si="12"/>
        <v>-4413.9295858155238</v>
      </c>
      <c r="Q17" s="31">
        <f t="shared" si="13"/>
        <v>-946.00257244523527</v>
      </c>
      <c r="R17" s="39" t="str">
        <f t="shared" si="14"/>
        <v>NO</v>
      </c>
      <c r="S17" s="60">
        <f t="shared" si="15"/>
        <v>2.8804089623755798</v>
      </c>
      <c r="T17" s="44">
        <f t="shared" si="16"/>
        <v>110</v>
      </c>
      <c r="U17" s="44"/>
      <c r="V17" s="61">
        <f t="shared" si="21"/>
        <v>2.8086259899241122</v>
      </c>
      <c r="W17" s="45"/>
      <c r="X17" s="67">
        <f t="shared" si="17"/>
        <v>3357.9270133702885</v>
      </c>
      <c r="Y17" s="27">
        <f t="shared" si="18"/>
        <v>-35.616025880832879</v>
      </c>
      <c r="Z17" s="31">
        <f t="shared" si="19"/>
        <v>-4273.9231056999452</v>
      </c>
      <c r="AA17" s="63" t="str">
        <f t="shared" si="20"/>
        <v>N</v>
      </c>
      <c r="AE17" s="48">
        <f t="shared" si="2"/>
        <v>-449.11241387774476</v>
      </c>
      <c r="AF17" s="48">
        <f t="shared" si="3"/>
        <v>-4491.124138777448</v>
      </c>
      <c r="AG17" s="48">
        <f t="shared" si="4"/>
        <v>-1023.1971254071595</v>
      </c>
      <c r="AH17" s="48">
        <f t="shared" si="5"/>
        <v>-77.194552961924273</v>
      </c>
      <c r="AM17" s="39" t="s">
        <v>166</v>
      </c>
      <c r="AN17" s="56">
        <v>110</v>
      </c>
    </row>
    <row r="18" spans="1:40" x14ac:dyDescent="0.3">
      <c r="A18" t="s">
        <v>11</v>
      </c>
      <c r="B18" t="s">
        <v>170</v>
      </c>
      <c r="C18" s="57">
        <v>2.2461960157939851</v>
      </c>
      <c r="D18" s="3">
        <v>1767.5038697868654</v>
      </c>
      <c r="E18" s="3">
        <v>-12.527862613520421</v>
      </c>
      <c r="F18" s="3">
        <f t="shared" si="6"/>
        <v>-12.828531316244911</v>
      </c>
      <c r="G18">
        <v>15</v>
      </c>
      <c r="H18" s="5">
        <f>WS!N20*WS!M20</f>
        <v>3823.5024454788759</v>
      </c>
      <c r="I18" s="40">
        <f t="shared" si="0"/>
        <v>13.181029877413115</v>
      </c>
      <c r="J18" s="40">
        <f t="shared" si="1"/>
        <v>-0.97710437500193681</v>
      </c>
      <c r="K18" s="28">
        <f t="shared" si="7"/>
        <v>12.203925502411177</v>
      </c>
      <c r="L18" s="44">
        <f t="shared" si="8"/>
        <v>1543.2503613739698</v>
      </c>
      <c r="M18" s="48">
        <f t="shared" si="9"/>
        <v>-8.6916553107674872</v>
      </c>
      <c r="N18" s="45">
        <f t="shared" si="10"/>
        <v>31.862520378990631</v>
      </c>
      <c r="O18" s="27">
        <f t="shared" si="11"/>
        <v>-40.554175689758118</v>
      </c>
      <c r="P18" s="31">
        <f t="shared" si="12"/>
        <v>-4866.5010827709739</v>
      </c>
      <c r="Q18" s="31">
        <f t="shared" si="13"/>
        <v>-1042.998637292098</v>
      </c>
      <c r="R18" s="39" t="str">
        <f t="shared" si="14"/>
        <v>NO</v>
      </c>
      <c r="S18" s="60">
        <f t="shared" si="15"/>
        <v>3.1534099745411912</v>
      </c>
      <c r="T18" s="44">
        <f t="shared" si="16"/>
        <v>110</v>
      </c>
      <c r="U18" s="44"/>
      <c r="V18" s="61">
        <f t="shared" si="21"/>
        <v>3.0821318444637966</v>
      </c>
      <c r="W18" s="45"/>
      <c r="X18" s="67">
        <f t="shared" si="17"/>
        <v>3713.5024454788759</v>
      </c>
      <c r="Y18" s="27">
        <f t="shared" si="18"/>
        <v>-39.387455022128286</v>
      </c>
      <c r="Z18" s="31">
        <f t="shared" si="19"/>
        <v>-4726.4946026553944</v>
      </c>
      <c r="AA18" s="63" t="str">
        <f t="shared" si="20"/>
        <v>N</v>
      </c>
      <c r="AE18" s="48">
        <f t="shared" si="2"/>
        <v>-495.16105908112598</v>
      </c>
      <c r="AF18" s="48">
        <f t="shared" si="3"/>
        <v>-4951.6105908112595</v>
      </c>
      <c r="AG18" s="48">
        <f t="shared" si="4"/>
        <v>-1128.1081453323836</v>
      </c>
      <c r="AH18" s="48">
        <f t="shared" si="5"/>
        <v>-85.109508040285618</v>
      </c>
      <c r="AM18" s="39" t="s">
        <v>167</v>
      </c>
      <c r="AN18" s="56">
        <v>200</v>
      </c>
    </row>
    <row r="19" spans="1:40" x14ac:dyDescent="0.3">
      <c r="A19" t="s">
        <v>12</v>
      </c>
      <c r="B19" t="s">
        <v>173</v>
      </c>
      <c r="C19" s="57">
        <v>5.5550173000962593</v>
      </c>
      <c r="D19" s="3">
        <v>378.76959545750367</v>
      </c>
      <c r="E19" s="3">
        <v>55.379266198673534</v>
      </c>
      <c r="F19" s="3">
        <f t="shared" si="6"/>
        <v>56.708368587441697</v>
      </c>
      <c r="G19">
        <v>20.000000000000004</v>
      </c>
      <c r="H19" s="5">
        <f>WS!N23*WS!M23</f>
        <v>720</v>
      </c>
      <c r="I19" s="40">
        <f t="shared" si="0"/>
        <v>2.824646349986812</v>
      </c>
      <c r="J19" s="40">
        <f t="shared" si="1"/>
        <v>4.3192781527411013</v>
      </c>
      <c r="K19" s="28">
        <f t="shared" si="7"/>
        <v>7.1439245027279128</v>
      </c>
      <c r="L19" s="44">
        <f t="shared" si="8"/>
        <v>1082.4853968551693</v>
      </c>
      <c r="M19" s="48">
        <f t="shared" si="9"/>
        <v>-1.5872882236878727</v>
      </c>
      <c r="N19" s="45">
        <f t="shared" si="10"/>
        <v>12</v>
      </c>
      <c r="O19" s="27">
        <f t="shared" si="11"/>
        <v>-13.587288223687873</v>
      </c>
      <c r="P19" s="31">
        <f t="shared" si="12"/>
        <v>-815.2372934212724</v>
      </c>
      <c r="Q19" s="31">
        <f t="shared" si="13"/>
        <v>-95.237293421272398</v>
      </c>
      <c r="R19" s="39" t="str">
        <f t="shared" si="14"/>
        <v>YES</v>
      </c>
      <c r="S19" s="60">
        <f t="shared" si="15"/>
        <v>0.75311620442150573</v>
      </c>
      <c r="T19" s="44">
        <f t="shared" si="16"/>
        <v>0</v>
      </c>
      <c r="U19" s="44">
        <f>0.3*H19</f>
        <v>216</v>
      </c>
      <c r="V19" s="61">
        <f t="shared" si="21"/>
        <v>0.75311620442150573</v>
      </c>
      <c r="W19" s="45"/>
      <c r="X19" s="67">
        <f t="shared" si="17"/>
        <v>504</v>
      </c>
      <c r="Y19" s="27">
        <f t="shared" si="18"/>
        <v>-9.5111017565815104</v>
      </c>
      <c r="Z19" s="31">
        <f t="shared" si="19"/>
        <v>-570.66610539489056</v>
      </c>
      <c r="AA19" s="63" t="str">
        <f t="shared" si="20"/>
        <v>Y</v>
      </c>
      <c r="AE19" s="48">
        <f t="shared" si="2"/>
        <v>-166.30185465235306</v>
      </c>
      <c r="AF19" s="48">
        <f t="shared" si="3"/>
        <v>-831.50927326176532</v>
      </c>
      <c r="AG19" s="48">
        <f t="shared" si="4"/>
        <v>-111.50927326176532</v>
      </c>
      <c r="AH19" s="48">
        <f t="shared" si="5"/>
        <v>-16.271979840492918</v>
      </c>
      <c r="AM19" s="39" t="s">
        <v>168</v>
      </c>
      <c r="AN19" s="56">
        <v>110</v>
      </c>
    </row>
    <row r="20" spans="1:40" x14ac:dyDescent="0.3">
      <c r="A20" t="s">
        <v>13</v>
      </c>
      <c r="B20" t="s">
        <v>174</v>
      </c>
      <c r="C20" s="57">
        <v>3.7570649818380404</v>
      </c>
      <c r="D20" s="3">
        <v>685.51892847420208</v>
      </c>
      <c r="E20" s="3">
        <v>86.247277113406554</v>
      </c>
      <c r="F20" s="3">
        <f t="shared" si="6"/>
        <v>88.317211764128317</v>
      </c>
      <c r="G20">
        <v>30.000000000000004</v>
      </c>
      <c r="H20" s="5">
        <f>WS!N24*WS!M24</f>
        <v>1602.6315789473686</v>
      </c>
      <c r="I20" s="40">
        <f t="shared" si="0"/>
        <v>5.1122068993491201</v>
      </c>
      <c r="J20" s="40">
        <f t="shared" si="1"/>
        <v>6.7268132162117276</v>
      </c>
      <c r="K20" s="28">
        <f t="shared" si="7"/>
        <v>11.839020115560848</v>
      </c>
      <c r="L20" s="44">
        <f t="shared" si="8"/>
        <v>2205.3918113676873</v>
      </c>
      <c r="M20" s="48">
        <f t="shared" si="9"/>
        <v>-3.6431312580517936</v>
      </c>
      <c r="N20" s="45">
        <f t="shared" si="10"/>
        <v>13.355263157894738</v>
      </c>
      <c r="O20" s="27">
        <f t="shared" si="11"/>
        <v>-16.998394415946532</v>
      </c>
      <c r="P20" s="31">
        <f t="shared" si="12"/>
        <v>-2039.8073299135838</v>
      </c>
      <c r="Q20" s="31">
        <f t="shared" si="13"/>
        <v>-437.17575096621522</v>
      </c>
      <c r="R20" s="39" t="str">
        <f t="shared" si="14"/>
        <v>YES</v>
      </c>
      <c r="S20" s="60">
        <f t="shared" si="15"/>
        <v>0.92491833850085114</v>
      </c>
      <c r="T20" s="44">
        <v>0</v>
      </c>
      <c r="U20" s="44"/>
      <c r="V20" s="61">
        <f>S20</f>
        <v>0.92491833850085114</v>
      </c>
      <c r="W20" s="45"/>
      <c r="X20" s="67">
        <f t="shared" si="17"/>
        <v>1602.6315789473686</v>
      </c>
      <c r="Y20" s="27">
        <f t="shared" si="18"/>
        <v>-16.998394415946532</v>
      </c>
      <c r="Z20" s="31">
        <f t="shared" si="19"/>
        <v>-2039.8073299135838</v>
      </c>
      <c r="AA20" s="63" t="str">
        <f t="shared" si="20"/>
        <v>Y</v>
      </c>
      <c r="AE20" s="48">
        <f t="shared" si="2"/>
        <v>-207.54812145779766</v>
      </c>
      <c r="AF20" s="48">
        <f t="shared" si="3"/>
        <v>-2075.4812145779765</v>
      </c>
      <c r="AG20" s="48">
        <f t="shared" si="4"/>
        <v>-472.84963563060796</v>
      </c>
      <c r="AH20" s="48">
        <f t="shared" si="5"/>
        <v>-35.673884664392745</v>
      </c>
      <c r="AM20" s="39" t="s">
        <v>169</v>
      </c>
      <c r="AN20" s="56">
        <v>200</v>
      </c>
    </row>
    <row r="21" spans="1:40" x14ac:dyDescent="0.3">
      <c r="A21" t="s">
        <v>14</v>
      </c>
      <c r="B21" t="s">
        <v>175</v>
      </c>
      <c r="C21" s="57">
        <v>8.387007985140194</v>
      </c>
      <c r="D21" s="3">
        <v>217.40644101539232</v>
      </c>
      <c r="E21" s="3">
        <v>28.57215443055934</v>
      </c>
      <c r="F21" s="3">
        <f t="shared" si="6"/>
        <v>29.257886136892765</v>
      </c>
      <c r="G21">
        <v>18</v>
      </c>
      <c r="H21" s="5">
        <f>WS!N25*WS!M25</f>
        <v>647.4627999999999</v>
      </c>
      <c r="I21" s="40">
        <f t="shared" si="0"/>
        <v>1.6212925151397217</v>
      </c>
      <c r="J21" s="40">
        <f t="shared" si="1"/>
        <v>2.2284708859435161</v>
      </c>
      <c r="K21" s="28">
        <f t="shared" si="7"/>
        <v>3.849763401083238</v>
      </c>
      <c r="L21" s="44">
        <f t="shared" si="8"/>
        <v>547.59289188478931</v>
      </c>
      <c r="M21" s="48">
        <f t="shared" si="9"/>
        <v>-1.4273751079388575</v>
      </c>
      <c r="N21" s="45">
        <f t="shared" si="10"/>
        <v>10.791046666666665</v>
      </c>
      <c r="O21" s="27">
        <f t="shared" si="11"/>
        <v>-12.218421774605522</v>
      </c>
      <c r="P21" s="31">
        <f t="shared" si="12"/>
        <v>-733.10530647633129</v>
      </c>
      <c r="Q21" s="31">
        <f t="shared" si="13"/>
        <v>-85.642506476331391</v>
      </c>
      <c r="R21" s="39" t="str">
        <f t="shared" si="14"/>
        <v>NO</v>
      </c>
      <c r="S21" s="60">
        <f t="shared" si="15"/>
        <v>1.3387779814909884</v>
      </c>
      <c r="T21" s="44">
        <f>VLOOKUP(B21,$AM$5:$AN$121,2,FALSE)</f>
        <v>150</v>
      </c>
      <c r="U21" s="44">
        <f t="shared" ref="U21:U24" si="22">IF((0.1*H21)&lt;=500,(0.1*H21),500)</f>
        <v>64.746279999999999</v>
      </c>
      <c r="V21" s="61">
        <f t="shared" si="21"/>
        <v>1.0648518545763257</v>
      </c>
      <c r="W21" s="45"/>
      <c r="X21" s="67">
        <f t="shared" si="17"/>
        <v>432.71651999999989</v>
      </c>
      <c r="Y21" s="27">
        <f t="shared" si="18"/>
        <v>-8.165894550543328</v>
      </c>
      <c r="Z21" s="31">
        <f t="shared" si="19"/>
        <v>-489.95367303259968</v>
      </c>
      <c r="AA21" s="63" t="str">
        <f t="shared" si="20"/>
        <v>Y</v>
      </c>
      <c r="AE21" s="48">
        <f t="shared" si="2"/>
        <v>-149.54758952556321</v>
      </c>
      <c r="AF21" s="48">
        <f t="shared" si="3"/>
        <v>-747.73794762781608</v>
      </c>
      <c r="AG21" s="48">
        <f t="shared" si="4"/>
        <v>-100.27514762781618</v>
      </c>
      <c r="AH21" s="48">
        <f t="shared" si="5"/>
        <v>-14.63264115148479</v>
      </c>
      <c r="AM21" s="39" t="s">
        <v>170</v>
      </c>
      <c r="AN21" s="56">
        <v>110</v>
      </c>
    </row>
    <row r="22" spans="1:40" x14ac:dyDescent="0.3">
      <c r="A22" t="s">
        <v>15</v>
      </c>
      <c r="B22" t="s">
        <v>176</v>
      </c>
      <c r="C22" s="57">
        <v>13.016625709228276</v>
      </c>
      <c r="D22" s="3">
        <v>338.20263380188089</v>
      </c>
      <c r="E22" s="3">
        <v>44.19535458195196</v>
      </c>
      <c r="F22" s="3">
        <f t="shared" si="6"/>
        <v>45.256043091918805</v>
      </c>
      <c r="G22">
        <v>18</v>
      </c>
      <c r="H22" s="5">
        <f>WS!N26*WS!M26</f>
        <v>647.4627999999999</v>
      </c>
      <c r="I22" s="40">
        <f t="shared" si="0"/>
        <v>2.5221212224559091</v>
      </c>
      <c r="J22" s="40">
        <f t="shared" si="1"/>
        <v>3.4469945631573524</v>
      </c>
      <c r="K22" s="28">
        <f t="shared" si="7"/>
        <v>5.9691157856132619</v>
      </c>
      <c r="L22" s="44">
        <f t="shared" si="8"/>
        <v>849.0509765143978</v>
      </c>
      <c r="M22" s="48">
        <f t="shared" si="9"/>
        <v>-1.4273751079388575</v>
      </c>
      <c r="N22" s="45">
        <f t="shared" si="10"/>
        <v>10.791046666666665</v>
      </c>
      <c r="O22" s="27">
        <f t="shared" si="11"/>
        <v>-12.218421774605522</v>
      </c>
      <c r="P22" s="31">
        <f t="shared" si="12"/>
        <v>-733.10530647633129</v>
      </c>
      <c r="Q22" s="31">
        <f t="shared" si="13"/>
        <v>-85.642506476331391</v>
      </c>
      <c r="R22" s="39" t="str">
        <f t="shared" si="14"/>
        <v>YES</v>
      </c>
      <c r="S22" s="60">
        <f t="shared" si="15"/>
        <v>0.86344086133195752</v>
      </c>
      <c r="T22" s="44">
        <f>VLOOKUP(B22,$AM$5:$AN$121,2,FALSE)</f>
        <v>150</v>
      </c>
      <c r="U22" s="44">
        <f t="shared" si="22"/>
        <v>64.746279999999999</v>
      </c>
      <c r="V22" s="61">
        <f t="shared" si="21"/>
        <v>0.68677302377078564</v>
      </c>
      <c r="W22" s="45"/>
      <c r="X22" s="67">
        <f t="shared" si="17"/>
        <v>432.71651999999989</v>
      </c>
      <c r="Y22" s="27">
        <f t="shared" si="18"/>
        <v>-8.165894550543328</v>
      </c>
      <c r="Z22" s="31">
        <f t="shared" si="19"/>
        <v>-489.95367303259968</v>
      </c>
      <c r="AA22" s="63" t="str">
        <f t="shared" si="20"/>
        <v>Y</v>
      </c>
      <c r="AE22" s="48">
        <f t="shared" si="2"/>
        <v>-149.54758952556321</v>
      </c>
      <c r="AF22" s="48">
        <f t="shared" si="3"/>
        <v>-747.73794762781608</v>
      </c>
      <c r="AG22" s="48">
        <f t="shared" si="4"/>
        <v>-100.27514762781618</v>
      </c>
      <c r="AH22" s="48">
        <f t="shared" si="5"/>
        <v>-14.63264115148479</v>
      </c>
      <c r="AM22" s="39" t="s">
        <v>171</v>
      </c>
      <c r="AN22" s="56">
        <v>200</v>
      </c>
    </row>
    <row r="23" spans="1:40" x14ac:dyDescent="0.3">
      <c r="A23" t="s">
        <v>16</v>
      </c>
      <c r="B23" t="s">
        <v>177</v>
      </c>
      <c r="C23" s="57">
        <v>17.622264309017137</v>
      </c>
      <c r="D23" s="3">
        <v>459.61161167895796</v>
      </c>
      <c r="E23" s="3">
        <v>59.504134477344365</v>
      </c>
      <c r="F23" s="3">
        <f t="shared" si="6"/>
        <v>60.93223370480063</v>
      </c>
      <c r="G23">
        <v>18</v>
      </c>
      <c r="H23" s="5">
        <f>WS!N27*WS!M27</f>
        <v>647.4627999999999</v>
      </c>
      <c r="I23" s="40">
        <f t="shared" si="0"/>
        <v>3.427519729434517</v>
      </c>
      <c r="J23" s="40">
        <f t="shared" si="1"/>
        <v>4.6409951898553361</v>
      </c>
      <c r="K23" s="28">
        <f t="shared" si="7"/>
        <v>8.0685149192898535</v>
      </c>
      <c r="L23" s="44">
        <f t="shared" si="8"/>
        <v>1147.6708975482229</v>
      </c>
      <c r="M23" s="48">
        <f t="shared" si="9"/>
        <v>-1.4273751079388575</v>
      </c>
      <c r="N23" s="45">
        <f t="shared" si="10"/>
        <v>10.791046666666665</v>
      </c>
      <c r="O23" s="27">
        <f t="shared" si="11"/>
        <v>-12.218421774605522</v>
      </c>
      <c r="P23" s="31">
        <f t="shared" si="12"/>
        <v>-733.10530647633129</v>
      </c>
      <c r="Q23" s="31">
        <f t="shared" si="13"/>
        <v>-85.642506476331391</v>
      </c>
      <c r="R23" s="39" t="str">
        <f t="shared" si="14"/>
        <v>YES</v>
      </c>
      <c r="S23" s="60">
        <f t="shared" si="15"/>
        <v>0.63877659357091754</v>
      </c>
      <c r="T23" s="44">
        <f>VLOOKUP(B23,$AM$5:$AN$121,2,FALSE)</f>
        <v>150</v>
      </c>
      <c r="U23" s="44">
        <f t="shared" si="22"/>
        <v>64.746279999999999</v>
      </c>
      <c r="V23" s="61">
        <f t="shared" si="21"/>
        <v>0.50807710443997756</v>
      </c>
      <c r="W23" s="45"/>
      <c r="X23" s="67">
        <f t="shared" si="17"/>
        <v>432.71651999999989</v>
      </c>
      <c r="Y23" s="27">
        <f t="shared" si="18"/>
        <v>-8.165894550543328</v>
      </c>
      <c r="Z23" s="31">
        <f t="shared" si="19"/>
        <v>-489.95367303259968</v>
      </c>
      <c r="AA23" s="63" t="str">
        <f t="shared" si="20"/>
        <v>Y</v>
      </c>
      <c r="AE23" s="48">
        <f t="shared" si="2"/>
        <v>-149.54758952556321</v>
      </c>
      <c r="AF23" s="48">
        <f t="shared" si="3"/>
        <v>-747.73794762781608</v>
      </c>
      <c r="AG23" s="48">
        <f t="shared" si="4"/>
        <v>-100.27514762781618</v>
      </c>
      <c r="AH23" s="48">
        <f t="shared" si="5"/>
        <v>-14.63264115148479</v>
      </c>
      <c r="AM23" s="39" t="s">
        <v>173</v>
      </c>
      <c r="AN23" s="56">
        <v>0</v>
      </c>
    </row>
    <row r="24" spans="1:40" x14ac:dyDescent="0.3">
      <c r="A24" t="s">
        <v>17</v>
      </c>
      <c r="B24" t="s">
        <v>178</v>
      </c>
      <c r="C24" s="57">
        <v>22.166197020355458</v>
      </c>
      <c r="D24" s="3">
        <v>578.35167600267005</v>
      </c>
      <c r="E24" s="3">
        <v>74.804324020090363</v>
      </c>
      <c r="F24" s="3">
        <f t="shared" si="6"/>
        <v>76.599627796572534</v>
      </c>
      <c r="G24">
        <v>18</v>
      </c>
      <c r="H24" s="5">
        <f>WS!N28*WS!M28</f>
        <v>647.4627999999999</v>
      </c>
      <c r="I24" s="40">
        <f t="shared" si="0"/>
        <v>4.3130150102372316</v>
      </c>
      <c r="J24" s="40">
        <f t="shared" si="1"/>
        <v>5.8343258162976843</v>
      </c>
      <c r="K24" s="28">
        <f t="shared" si="7"/>
        <v>10.147340826534915</v>
      </c>
      <c r="L24" s="44">
        <f t="shared" si="8"/>
        <v>1443.3644692500675</v>
      </c>
      <c r="M24" s="48">
        <f t="shared" si="9"/>
        <v>-1.4273751079388575</v>
      </c>
      <c r="N24" s="45">
        <f t="shared" si="10"/>
        <v>10.791046666666665</v>
      </c>
      <c r="O24" s="27">
        <f t="shared" si="11"/>
        <v>-12.218421774605522</v>
      </c>
      <c r="P24" s="31">
        <f t="shared" si="12"/>
        <v>-733.10530647633129</v>
      </c>
      <c r="Q24" s="31">
        <f t="shared" si="13"/>
        <v>-85.642506476331391</v>
      </c>
      <c r="R24" s="39" t="str">
        <f t="shared" si="14"/>
        <v>YES</v>
      </c>
      <c r="S24" s="60">
        <f t="shared" si="15"/>
        <v>0.50791419776131297</v>
      </c>
      <c r="T24" s="44">
        <f>VLOOKUP(B24,$AM$5:$AN$121,2,FALSE)</f>
        <v>150</v>
      </c>
      <c r="U24" s="44">
        <f t="shared" si="22"/>
        <v>64.746279999999999</v>
      </c>
      <c r="V24" s="61">
        <f t="shared" si="21"/>
        <v>0.40399034263279099</v>
      </c>
      <c r="W24" s="45"/>
      <c r="X24" s="67">
        <f t="shared" si="17"/>
        <v>432.71651999999989</v>
      </c>
      <c r="Y24" s="27">
        <f t="shared" si="18"/>
        <v>-8.165894550543328</v>
      </c>
      <c r="Z24" s="31">
        <f t="shared" si="19"/>
        <v>-489.95367303259968</v>
      </c>
      <c r="AA24" s="63" t="str">
        <f t="shared" si="20"/>
        <v>Y</v>
      </c>
      <c r="AE24" s="48">
        <f t="shared" si="2"/>
        <v>-149.54758952556321</v>
      </c>
      <c r="AF24" s="48">
        <f t="shared" si="3"/>
        <v>-747.73794762781608</v>
      </c>
      <c r="AG24" s="48">
        <f t="shared" si="4"/>
        <v>-100.27514762781618</v>
      </c>
      <c r="AH24" s="48">
        <f t="shared" si="5"/>
        <v>-14.63264115148479</v>
      </c>
      <c r="AM24" s="39" t="s">
        <v>175</v>
      </c>
      <c r="AN24" s="56">
        <v>150</v>
      </c>
    </row>
    <row r="25" spans="1:40" x14ac:dyDescent="0.3">
      <c r="A25" t="s">
        <v>18</v>
      </c>
      <c r="B25" t="s">
        <v>179</v>
      </c>
      <c r="C25" s="57">
        <v>5.4512735591100503</v>
      </c>
      <c r="D25" s="3">
        <v>1659.5943015592447</v>
      </c>
      <c r="E25" s="3">
        <v>-34.337372489154632</v>
      </c>
      <c r="F25" s="3">
        <f t="shared" si="6"/>
        <v>-35.161469428894343</v>
      </c>
      <c r="G25">
        <v>15</v>
      </c>
      <c r="H25" s="5">
        <f>WS!N29*WS!M29</f>
        <v>977.85614197285327</v>
      </c>
      <c r="I25" s="40">
        <f t="shared" si="0"/>
        <v>12.376302223244792</v>
      </c>
      <c r="J25" s="40">
        <f t="shared" si="1"/>
        <v>-2.6781261832337417</v>
      </c>
      <c r="K25" s="28">
        <f t="shared" si="7"/>
        <v>9.6981760400110506</v>
      </c>
      <c r="L25" s="44">
        <f t="shared" si="8"/>
        <v>1226.3852049456052</v>
      </c>
      <c r="M25" s="48">
        <f t="shared" si="9"/>
        <v>-2.1557493591866219</v>
      </c>
      <c r="N25" s="45">
        <f t="shared" si="10"/>
        <v>16.297602366214221</v>
      </c>
      <c r="O25" s="27">
        <f t="shared" si="11"/>
        <v>-18.453351725400843</v>
      </c>
      <c r="P25" s="31">
        <f t="shared" si="12"/>
        <v>-1107.2011035240505</v>
      </c>
      <c r="Q25" s="31">
        <f t="shared" si="13"/>
        <v>-129.34496155119723</v>
      </c>
      <c r="R25" s="39" t="str">
        <f t="shared" si="14"/>
        <v>YES</v>
      </c>
      <c r="S25" s="60">
        <f t="shared" si="15"/>
        <v>0.90281674881519713</v>
      </c>
      <c r="T25" s="44">
        <v>0</v>
      </c>
      <c r="U25" s="44">
        <v>50</v>
      </c>
      <c r="V25" s="61">
        <f>S25</f>
        <v>0.90281674881519713</v>
      </c>
      <c r="W25" s="45"/>
      <c r="X25" s="67">
        <f t="shared" si="17"/>
        <v>927.85614197285327</v>
      </c>
      <c r="Y25" s="27">
        <f t="shared" si="18"/>
        <v>-17.509790043200294</v>
      </c>
      <c r="Z25" s="31">
        <f t="shared" si="19"/>
        <v>-1050.5874025920177</v>
      </c>
      <c r="AA25" s="63" t="str">
        <f t="shared" si="20"/>
        <v>Y</v>
      </c>
      <c r="AE25" s="48">
        <f t="shared" si="2"/>
        <v>-225.86012499066689</v>
      </c>
      <c r="AF25" s="48">
        <f t="shared" si="3"/>
        <v>-1129.3006249533344</v>
      </c>
      <c r="AG25" s="48">
        <f t="shared" si="4"/>
        <v>-151.4444829804811</v>
      </c>
      <c r="AH25" s="48">
        <f t="shared" si="5"/>
        <v>-22.099521429283868</v>
      </c>
      <c r="AM25" s="39" t="s">
        <v>176</v>
      </c>
      <c r="AN25" s="56">
        <v>150</v>
      </c>
    </row>
    <row r="26" spans="1:40" x14ac:dyDescent="0.3">
      <c r="A26" t="s">
        <v>19</v>
      </c>
      <c r="B26" t="s">
        <v>180</v>
      </c>
      <c r="C26" s="57">
        <v>1.2405307247231436</v>
      </c>
      <c r="D26" s="3">
        <v>378.10249208234939</v>
      </c>
      <c r="E26" s="3">
        <v>-7.8957179929117869</v>
      </c>
      <c r="F26" s="3">
        <f t="shared" si="6"/>
        <v>-8.0852152247416704</v>
      </c>
      <c r="G26">
        <v>15</v>
      </c>
      <c r="H26" s="5">
        <f>WS!N30*WS!M30</f>
        <v>977.85614197285327</v>
      </c>
      <c r="I26" s="40">
        <f t="shared" si="0"/>
        <v>2.8196714757194687</v>
      </c>
      <c r="J26" s="40">
        <f t="shared" si="1"/>
        <v>-0.61582257346352431</v>
      </c>
      <c r="K26" s="28">
        <f t="shared" si="7"/>
        <v>2.2038489022559444</v>
      </c>
      <c r="L26" s="44">
        <f t="shared" si="8"/>
        <v>278.6882478222393</v>
      </c>
      <c r="M26" s="48">
        <f t="shared" si="9"/>
        <v>-2.1557493591866219</v>
      </c>
      <c r="N26" s="45">
        <f t="shared" si="10"/>
        <v>16.297602366214221</v>
      </c>
      <c r="O26" s="27">
        <f t="shared" si="11"/>
        <v>-18.453351725400843</v>
      </c>
      <c r="P26" s="31">
        <f t="shared" si="12"/>
        <v>-1107.2011035240505</v>
      </c>
      <c r="Q26" s="31">
        <f t="shared" si="13"/>
        <v>-129.34496155119723</v>
      </c>
      <c r="R26" s="39" t="str">
        <f t="shared" si="14"/>
        <v>NO</v>
      </c>
      <c r="S26" s="60">
        <f t="shared" si="15"/>
        <v>3.9729020228735168</v>
      </c>
      <c r="T26" s="44">
        <v>0</v>
      </c>
      <c r="U26" s="44">
        <v>50</v>
      </c>
      <c r="V26" s="61">
        <f>S26</f>
        <v>3.9729020228735168</v>
      </c>
      <c r="W26" s="45"/>
      <c r="X26" s="67">
        <f t="shared" si="17"/>
        <v>927.85614197285327</v>
      </c>
      <c r="Y26" s="27">
        <f t="shared" si="18"/>
        <v>-17.509790043200294</v>
      </c>
      <c r="Z26" s="31">
        <f t="shared" si="19"/>
        <v>-1050.5874025920177</v>
      </c>
      <c r="AA26" s="63" t="str">
        <f t="shared" si="20"/>
        <v>N</v>
      </c>
      <c r="AE26" s="48">
        <f t="shared" si="2"/>
        <v>-225.86012499066689</v>
      </c>
      <c r="AF26" s="48">
        <f t="shared" si="3"/>
        <v>-1129.3006249533344</v>
      </c>
      <c r="AG26" s="48">
        <f t="shared" si="4"/>
        <v>-151.4444829804811</v>
      </c>
      <c r="AH26" s="48">
        <f t="shared" si="5"/>
        <v>-22.099521429283868</v>
      </c>
      <c r="AM26" s="39" t="s">
        <v>177</v>
      </c>
      <c r="AN26" s="56">
        <v>150</v>
      </c>
    </row>
    <row r="27" spans="1:40" x14ac:dyDescent="0.3">
      <c r="A27" t="s">
        <v>7</v>
      </c>
      <c r="B27" t="s">
        <v>183</v>
      </c>
      <c r="C27" s="57">
        <v>3.5872718473050615</v>
      </c>
      <c r="D27" s="3">
        <v>543.5892029224857</v>
      </c>
      <c r="E27" s="3">
        <v>-5.869283224524338</v>
      </c>
      <c r="F27" s="3">
        <f t="shared" si="6"/>
        <v>-6.0101460219129219</v>
      </c>
      <c r="G27">
        <v>15</v>
      </c>
      <c r="H27" s="5">
        <f>WS!N33*WS!M33</f>
        <v>2634.3585874517285</v>
      </c>
      <c r="I27" s="40">
        <f t="shared" si="0"/>
        <v>4.0537764285769091</v>
      </c>
      <c r="J27" s="40">
        <f t="shared" si="1"/>
        <v>-0.45777180782769267</v>
      </c>
      <c r="K27" s="28">
        <f t="shared" si="7"/>
        <v>3.5960046207492162</v>
      </c>
      <c r="L27" s="44">
        <f t="shared" si="8"/>
        <v>454.73363708892271</v>
      </c>
      <c r="M27" s="48">
        <f t="shared" si="9"/>
        <v>-5.9884718614905985</v>
      </c>
      <c r="N27" s="45">
        <f t="shared" si="10"/>
        <v>21.952988228764404</v>
      </c>
      <c r="O27" s="27">
        <f t="shared" si="11"/>
        <v>-27.941460090255003</v>
      </c>
      <c r="P27" s="31">
        <f t="shared" si="12"/>
        <v>-3352.9752108306002</v>
      </c>
      <c r="Q27" s="31">
        <f t="shared" si="13"/>
        <v>-718.61662337887174</v>
      </c>
      <c r="R27" s="39" t="str">
        <f t="shared" si="14"/>
        <v>NO</v>
      </c>
      <c r="S27" s="60">
        <f t="shared" si="15"/>
        <v>7.3734928260319768</v>
      </c>
      <c r="T27" s="44">
        <v>0</v>
      </c>
      <c r="U27" s="44">
        <v>300</v>
      </c>
      <c r="V27" s="61">
        <f t="shared" ref="V27:V30" si="23">S27</f>
        <v>7.3734928260319768</v>
      </c>
      <c r="W27" s="45"/>
      <c r="X27" s="67">
        <f t="shared" si="17"/>
        <v>2334.3585874517285</v>
      </c>
      <c r="Y27" s="27">
        <f t="shared" si="18"/>
        <v>-24.759494633082745</v>
      </c>
      <c r="Z27" s="31">
        <f t="shared" si="19"/>
        <v>-2971.1393559699295</v>
      </c>
      <c r="AA27" s="63" t="str">
        <f t="shared" si="20"/>
        <v>N</v>
      </c>
      <c r="AE27" s="48">
        <f t="shared" si="2"/>
        <v>-341.16148917453688</v>
      </c>
      <c r="AF27" s="48">
        <f t="shared" si="3"/>
        <v>-3411.6148917453688</v>
      </c>
      <c r="AG27" s="48">
        <f t="shared" si="4"/>
        <v>-777.25630429364037</v>
      </c>
      <c r="AH27" s="48">
        <f t="shared" si="5"/>
        <v>-58.639680914768633</v>
      </c>
      <c r="AM27" s="39" t="s">
        <v>178</v>
      </c>
      <c r="AN27" s="56">
        <v>150</v>
      </c>
    </row>
    <row r="28" spans="1:40" x14ac:dyDescent="0.3">
      <c r="A28" t="s">
        <v>7</v>
      </c>
      <c r="B28" t="s">
        <v>185</v>
      </c>
      <c r="C28" s="57">
        <v>1.7523030136210997</v>
      </c>
      <c r="D28" s="3">
        <v>564.04425237799296</v>
      </c>
      <c r="E28" s="3">
        <v>-12.396898393352849</v>
      </c>
      <c r="F28" s="3">
        <f t="shared" si="6"/>
        <v>-12.694423954793319</v>
      </c>
      <c r="G28">
        <v>15</v>
      </c>
      <c r="H28" s="5">
        <f>WS!N35*WS!M35</f>
        <v>2912.2147294245824</v>
      </c>
      <c r="I28" s="40">
        <f t="shared" si="0"/>
        <v>4.206318452742047</v>
      </c>
      <c r="J28" s="40">
        <f t="shared" si="1"/>
        <v>-0.96688988619070526</v>
      </c>
      <c r="K28" s="28">
        <f t="shared" si="7"/>
        <v>3.2394285665513416</v>
      </c>
      <c r="L28" s="44">
        <f t="shared" si="8"/>
        <v>409.6427256121645</v>
      </c>
      <c r="M28" s="48">
        <f t="shared" si="9"/>
        <v>-6.6200994977860539</v>
      </c>
      <c r="N28" s="45">
        <f t="shared" si="10"/>
        <v>24.268456078538186</v>
      </c>
      <c r="O28" s="27">
        <f t="shared" si="11"/>
        <v>-30.88855557632424</v>
      </c>
      <c r="P28" s="31">
        <f t="shared" si="12"/>
        <v>-3706.626669158909</v>
      </c>
      <c r="Q28" s="31">
        <f t="shared" si="13"/>
        <v>-794.41193973432655</v>
      </c>
      <c r="R28" s="39" t="str">
        <f t="shared" si="14"/>
        <v>NO</v>
      </c>
      <c r="S28" s="60">
        <f t="shared" si="15"/>
        <v>9.0484376687509265</v>
      </c>
      <c r="T28" s="44">
        <v>0</v>
      </c>
      <c r="U28" s="44">
        <v>300</v>
      </c>
      <c r="V28" s="61">
        <f t="shared" si="23"/>
        <v>9.0484376687509265</v>
      </c>
      <c r="W28" s="45"/>
      <c r="X28" s="67">
        <f t="shared" si="17"/>
        <v>2612.2147294245824</v>
      </c>
      <c r="Y28" s="27">
        <f t="shared" si="18"/>
        <v>-27.706590119151986</v>
      </c>
      <c r="Z28" s="31">
        <f t="shared" si="19"/>
        <v>-3324.7908142982383</v>
      </c>
      <c r="AA28" s="63" t="str">
        <f t="shared" si="20"/>
        <v>N</v>
      </c>
      <c r="AE28" s="48">
        <f t="shared" ref="AE28:AE48" si="24">PMT($B$1,IF(H28&lt;1000,5,10),H28)</f>
        <v>-377.14513074227295</v>
      </c>
      <c r="AF28" s="48">
        <f t="shared" ref="AF28:AF48" si="25">AE28*IF(H28&lt;1000,5,10)</f>
        <v>-3771.4513074227298</v>
      </c>
      <c r="AG28" s="48">
        <f t="shared" ref="AG28:AG48" si="26">AF28+H28</f>
        <v>-859.23657799814737</v>
      </c>
      <c r="AH28" s="48">
        <f t="shared" ref="AH28:AH48" si="27">AF28-P28</f>
        <v>-64.824638263820816</v>
      </c>
      <c r="AM28" s="39" t="s">
        <v>412</v>
      </c>
      <c r="AN28" s="56">
        <v>0</v>
      </c>
    </row>
    <row r="29" spans="1:40" x14ac:dyDescent="0.3">
      <c r="A29" t="s">
        <v>20</v>
      </c>
      <c r="B29" t="s">
        <v>191</v>
      </c>
      <c r="C29" s="57">
        <v>3.8716976133832071</v>
      </c>
      <c r="D29" s="3">
        <v>1077.9949779858412</v>
      </c>
      <c r="E29" s="3">
        <v>0</v>
      </c>
      <c r="F29" s="3">
        <f t="shared" si="6"/>
        <v>0</v>
      </c>
      <c r="G29">
        <v>15</v>
      </c>
      <c r="H29" s="5">
        <f>WS!N41*WS!M41</f>
        <v>2912.6948000000002</v>
      </c>
      <c r="I29" s="40">
        <f t="shared" si="0"/>
        <v>8.0390681205388645</v>
      </c>
      <c r="J29" s="40">
        <f t="shared" si="1"/>
        <v>0</v>
      </c>
      <c r="K29" s="28">
        <f t="shared" si="7"/>
        <v>8.0390681205388645</v>
      </c>
      <c r="L29" s="44">
        <f t="shared" si="8"/>
        <v>1016.5823103132186</v>
      </c>
      <c r="M29" s="48">
        <f t="shared" si="9"/>
        <v>-6.6211908029508564</v>
      </c>
      <c r="N29" s="45">
        <f t="shared" si="10"/>
        <v>24.272456666666667</v>
      </c>
      <c r="O29" s="27">
        <f t="shared" si="11"/>
        <v>-30.893647469617523</v>
      </c>
      <c r="P29" s="31">
        <f t="shared" si="12"/>
        <v>-3707.2376963541028</v>
      </c>
      <c r="Q29" s="31">
        <f t="shared" si="13"/>
        <v>-794.5428963541026</v>
      </c>
      <c r="R29" s="39" t="str">
        <f t="shared" si="14"/>
        <v>NO</v>
      </c>
      <c r="S29" s="60">
        <f t="shared" si="15"/>
        <v>3.6467658926819886</v>
      </c>
      <c r="T29" s="44">
        <v>0</v>
      </c>
      <c r="U29" s="44"/>
      <c r="V29" s="61">
        <f t="shared" si="23"/>
        <v>3.6467658926819886</v>
      </c>
      <c r="W29" s="45"/>
      <c r="X29" s="67">
        <f t="shared" si="17"/>
        <v>2912.6948000000002</v>
      </c>
      <c r="Y29" s="27">
        <f t="shared" si="18"/>
        <v>-30.893647469617523</v>
      </c>
      <c r="Z29" s="31">
        <f t="shared" si="19"/>
        <v>-3707.2376963541028</v>
      </c>
      <c r="AA29" s="63" t="str">
        <f t="shared" si="20"/>
        <v>N</v>
      </c>
      <c r="AE29" s="48">
        <f t="shared" si="24"/>
        <v>-377.20730207809584</v>
      </c>
      <c r="AF29" s="48">
        <f t="shared" si="25"/>
        <v>-3772.0730207809584</v>
      </c>
      <c r="AG29" s="48">
        <f t="shared" si="26"/>
        <v>-859.37822078095815</v>
      </c>
      <c r="AH29" s="48">
        <f t="shared" si="27"/>
        <v>-64.83532442685555</v>
      </c>
      <c r="AM29" s="39" t="s">
        <v>413</v>
      </c>
      <c r="AN29" s="56">
        <v>0</v>
      </c>
    </row>
    <row r="30" spans="1:40" x14ac:dyDescent="0.3">
      <c r="A30" t="s">
        <v>20</v>
      </c>
      <c r="B30" t="s">
        <v>192</v>
      </c>
      <c r="C30" s="57">
        <v>5.222962647463631</v>
      </c>
      <c r="D30" s="3">
        <v>1454.2270772157428</v>
      </c>
      <c r="E30" s="3">
        <v>0</v>
      </c>
      <c r="F30" s="3">
        <f t="shared" si="6"/>
        <v>0</v>
      </c>
      <c r="G30">
        <v>15</v>
      </c>
      <c r="H30" s="5">
        <f>WS!N42*WS!M42</f>
        <v>2912.6948000000002</v>
      </c>
      <c r="I30" s="40">
        <f t="shared" si="0"/>
        <v>10.844791279373695</v>
      </c>
      <c r="J30" s="40">
        <f t="shared" si="1"/>
        <v>0</v>
      </c>
      <c r="K30" s="28">
        <f t="shared" si="7"/>
        <v>10.844791279373695</v>
      </c>
      <c r="L30" s="44">
        <f t="shared" si="8"/>
        <v>1371.380713329665</v>
      </c>
      <c r="M30" s="48">
        <f t="shared" si="9"/>
        <v>-6.6211908029508564</v>
      </c>
      <c r="N30" s="45">
        <f t="shared" si="10"/>
        <v>24.272456666666667</v>
      </c>
      <c r="O30" s="27">
        <f t="shared" si="11"/>
        <v>-30.893647469617523</v>
      </c>
      <c r="P30" s="31">
        <f t="shared" si="12"/>
        <v>-3707.2376963541028</v>
      </c>
      <c r="Q30" s="31">
        <f t="shared" si="13"/>
        <v>-794.5428963541026</v>
      </c>
      <c r="R30" s="39" t="str">
        <f t="shared" si="14"/>
        <v>NO</v>
      </c>
      <c r="S30" s="60">
        <f t="shared" si="15"/>
        <v>2.7032884889806112</v>
      </c>
      <c r="T30" s="44">
        <v>0</v>
      </c>
      <c r="U30" s="44"/>
      <c r="V30" s="61">
        <f t="shared" si="23"/>
        <v>2.7032884889806112</v>
      </c>
      <c r="W30" s="45"/>
      <c r="X30" s="67">
        <f t="shared" si="17"/>
        <v>2912.6948000000002</v>
      </c>
      <c r="Y30" s="27">
        <f t="shared" si="18"/>
        <v>-30.893647469617523</v>
      </c>
      <c r="Z30" s="31">
        <f t="shared" si="19"/>
        <v>-3707.2376963541028</v>
      </c>
      <c r="AA30" s="63" t="str">
        <f t="shared" si="20"/>
        <v>N</v>
      </c>
      <c r="AE30" s="48">
        <f t="shared" si="24"/>
        <v>-377.20730207809584</v>
      </c>
      <c r="AF30" s="48">
        <f t="shared" si="25"/>
        <v>-3772.0730207809584</v>
      </c>
      <c r="AG30" s="48">
        <f t="shared" si="26"/>
        <v>-859.37822078095815</v>
      </c>
      <c r="AH30" s="48">
        <f t="shared" si="27"/>
        <v>-64.83532442685555</v>
      </c>
      <c r="AM30" s="39" t="s">
        <v>182</v>
      </c>
      <c r="AN30" s="56">
        <v>0</v>
      </c>
    </row>
    <row r="31" spans="1:40" x14ac:dyDescent="0.3">
      <c r="A31" t="s">
        <v>21</v>
      </c>
      <c r="B31" t="s">
        <v>195</v>
      </c>
      <c r="C31" s="57">
        <v>1.3888556941450851</v>
      </c>
      <c r="D31" s="3">
        <v>524.14261516523061</v>
      </c>
      <c r="E31" s="3">
        <v>162.28947204201796</v>
      </c>
      <c r="F31" s="3">
        <f t="shared" si="6"/>
        <v>166.18441937102639</v>
      </c>
      <c r="G31">
        <v>15</v>
      </c>
      <c r="H31" s="5">
        <f>WS!N45*WS!M45</f>
        <v>3832.856141972853</v>
      </c>
      <c r="I31" s="40">
        <f t="shared" si="0"/>
        <v>3.9087549332219793</v>
      </c>
      <c r="J31" s="40">
        <f t="shared" si="1"/>
        <v>12.657686154529905</v>
      </c>
      <c r="K31" s="28">
        <f t="shared" si="7"/>
        <v>16.566441087751883</v>
      </c>
      <c r="L31" s="44">
        <f t="shared" si="8"/>
        <v>2094.9133285271587</v>
      </c>
      <c r="M31" s="48">
        <f t="shared" si="9"/>
        <v>-8.7129183037867008</v>
      </c>
      <c r="N31" s="45">
        <f t="shared" si="10"/>
        <v>31.940467849773775</v>
      </c>
      <c r="O31" s="27">
        <f t="shared" si="11"/>
        <v>-40.653386153560476</v>
      </c>
      <c r="P31" s="31">
        <f t="shared" si="12"/>
        <v>-4878.4063384272567</v>
      </c>
      <c r="Q31" s="31">
        <f t="shared" si="13"/>
        <v>-1045.5501964544037</v>
      </c>
      <c r="R31" s="39" t="str">
        <f t="shared" si="14"/>
        <v>NO</v>
      </c>
      <c r="S31" s="60">
        <f t="shared" si="15"/>
        <v>2.3286912503712265</v>
      </c>
      <c r="T31" s="44">
        <f t="shared" ref="T31:T36" si="28">VLOOKUP(B31,$AM$5:$AN$121,2,FALSE)</f>
        <v>200</v>
      </c>
      <c r="U31" s="44">
        <v>200</v>
      </c>
      <c r="V31" s="61">
        <f t="shared" ref="V31:V36" si="29">((ABS(P31)-T31)/L31)</f>
        <v>2.2332219069494577</v>
      </c>
      <c r="W31" s="45"/>
      <c r="X31" s="67">
        <f t="shared" si="17"/>
        <v>3432.856141972853</v>
      </c>
      <c r="Y31" s="27">
        <f t="shared" si="18"/>
        <v>-36.410765543997471</v>
      </c>
      <c r="Z31" s="31">
        <f t="shared" si="19"/>
        <v>-4369.2918652796961</v>
      </c>
      <c r="AA31" s="63" t="str">
        <f t="shared" si="20"/>
        <v>N</v>
      </c>
      <c r="AE31" s="48">
        <f t="shared" si="24"/>
        <v>-496.3724055699343</v>
      </c>
      <c r="AF31" s="48">
        <f t="shared" si="25"/>
        <v>-4963.7240556993429</v>
      </c>
      <c r="AG31" s="48">
        <f t="shared" si="26"/>
        <v>-1130.8679137264899</v>
      </c>
      <c r="AH31" s="48">
        <f t="shared" si="27"/>
        <v>-85.317717272086156</v>
      </c>
      <c r="AM31" s="39" t="s">
        <v>414</v>
      </c>
      <c r="AN31" s="56">
        <v>0</v>
      </c>
    </row>
    <row r="32" spans="1:40" x14ac:dyDescent="0.3">
      <c r="A32" t="s">
        <v>21</v>
      </c>
      <c r="B32" t="s">
        <v>196</v>
      </c>
      <c r="C32" s="57">
        <v>2.1467880375755639</v>
      </c>
      <c r="D32" s="3">
        <v>0</v>
      </c>
      <c r="E32" s="3">
        <v>200.05200638467696</v>
      </c>
      <c r="F32" s="3">
        <f t="shared" si="6"/>
        <v>204.85325453790921</v>
      </c>
      <c r="G32">
        <v>15</v>
      </c>
      <c r="H32" s="5">
        <f>WS!N46*WS!M46</f>
        <v>2855.0000000000005</v>
      </c>
      <c r="I32" s="40">
        <f t="shared" si="0"/>
        <v>0</v>
      </c>
      <c r="J32" s="40">
        <f t="shared" si="1"/>
        <v>15.602956122413469</v>
      </c>
      <c r="K32" s="28">
        <f t="shared" si="7"/>
        <v>15.602956122413469</v>
      </c>
      <c r="L32" s="44">
        <f t="shared" si="8"/>
        <v>1973.0756033916582</v>
      </c>
      <c r="M32" s="48">
        <f t="shared" si="9"/>
        <v>-6.4900379340893117</v>
      </c>
      <c r="N32" s="45">
        <f t="shared" si="10"/>
        <v>23.791666666666671</v>
      </c>
      <c r="O32" s="27">
        <f t="shared" si="11"/>
        <v>-30.281704600755983</v>
      </c>
      <c r="P32" s="31">
        <f t="shared" si="12"/>
        <v>-3633.8045520907181</v>
      </c>
      <c r="Q32" s="31">
        <f t="shared" si="13"/>
        <v>-778.80455209071761</v>
      </c>
      <c r="R32" s="39" t="str">
        <f t="shared" si="14"/>
        <v>NO</v>
      </c>
      <c r="S32" s="60">
        <f t="shared" si="15"/>
        <v>1.8416955467110923</v>
      </c>
      <c r="T32" s="44">
        <f t="shared" si="28"/>
        <v>200</v>
      </c>
      <c r="U32" s="44">
        <v>150</v>
      </c>
      <c r="V32" s="61">
        <f t="shared" si="29"/>
        <v>1.7403309564966036</v>
      </c>
      <c r="W32" s="45"/>
      <c r="X32" s="67">
        <f t="shared" si="17"/>
        <v>2505.0000000000005</v>
      </c>
      <c r="Y32" s="27">
        <f t="shared" si="18"/>
        <v>-26.56941156738835</v>
      </c>
      <c r="Z32" s="31">
        <f t="shared" si="19"/>
        <v>-3188.3293880866022</v>
      </c>
      <c r="AA32" s="63" t="str">
        <f t="shared" si="20"/>
        <v>N</v>
      </c>
      <c r="AE32" s="48">
        <f t="shared" si="24"/>
        <v>-369.73556152637883</v>
      </c>
      <c r="AF32" s="48">
        <f t="shared" si="25"/>
        <v>-3697.3556152637884</v>
      </c>
      <c r="AG32" s="48">
        <f t="shared" si="26"/>
        <v>-842.35561526378797</v>
      </c>
      <c r="AH32" s="48">
        <f t="shared" si="27"/>
        <v>-63.551063173070361</v>
      </c>
      <c r="AM32" s="39" t="s">
        <v>415</v>
      </c>
      <c r="AN32" s="56">
        <v>0</v>
      </c>
    </row>
    <row r="33" spans="1:40" x14ac:dyDescent="0.3">
      <c r="A33" t="s">
        <v>9</v>
      </c>
      <c r="B33" t="s">
        <v>197</v>
      </c>
      <c r="C33" s="57">
        <v>32.20302104187558</v>
      </c>
      <c r="D33" s="3">
        <v>633.31802393281225</v>
      </c>
      <c r="E33" s="3">
        <v>95.246244029480351</v>
      </c>
      <c r="F33" s="3">
        <f t="shared" si="6"/>
        <v>97.532153886187885</v>
      </c>
      <c r="G33">
        <v>13.000000000000002</v>
      </c>
      <c r="H33" s="5">
        <f>WS!N47*WS!M47</f>
        <v>360</v>
      </c>
      <c r="I33" s="40">
        <f t="shared" si="0"/>
        <v>4.7229224999486146</v>
      </c>
      <c r="J33" s="40">
        <f t="shared" si="1"/>
        <v>7.4286831373189264</v>
      </c>
      <c r="K33" s="28">
        <f t="shared" si="7"/>
        <v>12.15160563726754</v>
      </c>
      <c r="L33" s="44">
        <f t="shared" si="8"/>
        <v>1391.8413156119473</v>
      </c>
      <c r="M33" s="48">
        <f t="shared" si="9"/>
        <v>-0.79364411184393635</v>
      </c>
      <c r="N33" s="45">
        <f t="shared" si="10"/>
        <v>6</v>
      </c>
      <c r="O33" s="27">
        <f t="shared" si="11"/>
        <v>-6.7936441118439364</v>
      </c>
      <c r="P33" s="31">
        <f t="shared" si="12"/>
        <v>-407.6186467106362</v>
      </c>
      <c r="Q33" s="31">
        <f t="shared" si="13"/>
        <v>-47.618646710636199</v>
      </c>
      <c r="R33" s="39" t="str">
        <f t="shared" si="14"/>
        <v>YES</v>
      </c>
      <c r="S33" s="60">
        <f t="shared" si="15"/>
        <v>0.2928628731871058</v>
      </c>
      <c r="T33" s="44">
        <f t="shared" si="28"/>
        <v>370</v>
      </c>
      <c r="U33" s="44">
        <f t="shared" ref="U33:U35" si="30">IF((0.1*H33)&lt;=500,(0.1*H33),500)</f>
        <v>36</v>
      </c>
      <c r="V33" s="61">
        <f t="shared" si="29"/>
        <v>2.7027970996892348E-2</v>
      </c>
      <c r="W33" s="45"/>
      <c r="X33" s="67">
        <f t="shared" si="17"/>
        <v>-46</v>
      </c>
      <c r="Y33" s="27">
        <f t="shared" si="18"/>
        <v>0.86807674762450304</v>
      </c>
      <c r="Z33" s="31">
        <f t="shared" si="19"/>
        <v>52.084604857470183</v>
      </c>
      <c r="AA33" s="63" t="str">
        <f t="shared" si="20"/>
        <v>Y</v>
      </c>
      <c r="AE33" s="48">
        <f t="shared" si="24"/>
        <v>-83.150927326176529</v>
      </c>
      <c r="AF33" s="48">
        <f t="shared" si="25"/>
        <v>-415.75463663088266</v>
      </c>
      <c r="AG33" s="48">
        <f t="shared" si="26"/>
        <v>-55.754636630882658</v>
      </c>
      <c r="AH33" s="48">
        <f t="shared" si="27"/>
        <v>-8.135989920246459</v>
      </c>
      <c r="AM33" s="39" t="s">
        <v>416</v>
      </c>
      <c r="AN33" s="56">
        <v>0</v>
      </c>
    </row>
    <row r="34" spans="1:40" x14ac:dyDescent="0.3">
      <c r="A34" t="s">
        <v>9</v>
      </c>
      <c r="B34" t="s">
        <v>198</v>
      </c>
      <c r="C34" s="57">
        <v>1.5893736332099688</v>
      </c>
      <c r="D34" s="3">
        <v>922.17261309230514</v>
      </c>
      <c r="E34" s="3">
        <v>135.91917725466772</v>
      </c>
      <c r="F34" s="3">
        <f t="shared" si="6"/>
        <v>139.18123750877973</v>
      </c>
      <c r="G34">
        <v>13.000000000000002</v>
      </c>
      <c r="H34" s="5">
        <f>WS!N48*WS!M48</f>
        <v>2630.851635810297</v>
      </c>
      <c r="I34" s="40">
        <f t="shared" si="0"/>
        <v>6.8770343154991407</v>
      </c>
      <c r="J34" s="40">
        <f t="shared" si="1"/>
        <v>10.600948209542965</v>
      </c>
      <c r="K34" s="28">
        <f t="shared" si="7"/>
        <v>17.477982525042105</v>
      </c>
      <c r="L34" s="44">
        <f t="shared" si="8"/>
        <v>2001.9229489550321</v>
      </c>
      <c r="M34" s="48">
        <f t="shared" si="9"/>
        <v>-5.9804997952258283</v>
      </c>
      <c r="N34" s="45">
        <f t="shared" si="10"/>
        <v>21.923763631752475</v>
      </c>
      <c r="O34" s="27">
        <f t="shared" si="11"/>
        <v>-27.904263426978304</v>
      </c>
      <c r="P34" s="31">
        <f t="shared" si="12"/>
        <v>-3348.5116112373962</v>
      </c>
      <c r="Q34" s="31">
        <f t="shared" si="13"/>
        <v>-717.6599754270992</v>
      </c>
      <c r="R34" s="39" t="str">
        <f t="shared" si="14"/>
        <v>NO</v>
      </c>
      <c r="S34" s="60">
        <f t="shared" si="15"/>
        <v>1.6726475976436852</v>
      </c>
      <c r="T34" s="44">
        <f t="shared" si="28"/>
        <v>430</v>
      </c>
      <c r="U34" s="44">
        <f t="shared" si="30"/>
        <v>263.08516358102969</v>
      </c>
      <c r="V34" s="61">
        <f t="shared" si="29"/>
        <v>1.4578541160941318</v>
      </c>
      <c r="W34" s="45"/>
      <c r="X34" s="67">
        <f t="shared" si="17"/>
        <v>1937.7664722292673</v>
      </c>
      <c r="Y34" s="27">
        <f t="shared" si="18"/>
        <v>-20.553019929000239</v>
      </c>
      <c r="Z34" s="31">
        <f t="shared" si="19"/>
        <v>-2466.3623914800287</v>
      </c>
      <c r="AA34" s="63" t="str">
        <f t="shared" si="20"/>
        <v>N</v>
      </c>
      <c r="AE34" s="48">
        <f t="shared" si="24"/>
        <v>-340.70732289278891</v>
      </c>
      <c r="AF34" s="48">
        <f t="shared" si="25"/>
        <v>-3407.073228927889</v>
      </c>
      <c r="AG34" s="48">
        <f t="shared" si="26"/>
        <v>-776.22159311759196</v>
      </c>
      <c r="AH34" s="48">
        <f t="shared" si="27"/>
        <v>-58.561617690492767</v>
      </c>
      <c r="AM34" s="39" t="s">
        <v>417</v>
      </c>
      <c r="AN34" s="56">
        <v>0</v>
      </c>
    </row>
    <row r="35" spans="1:40" x14ac:dyDescent="0.3">
      <c r="A35" t="s">
        <v>9</v>
      </c>
      <c r="B35" t="s">
        <v>199</v>
      </c>
      <c r="C35" s="57">
        <v>53.747472243185598</v>
      </c>
      <c r="D35" s="3">
        <v>1057.1122649762631</v>
      </c>
      <c r="E35" s="3">
        <v>158.95049376189533</v>
      </c>
      <c r="F35" s="3">
        <f t="shared" si="6"/>
        <v>162.76530561218081</v>
      </c>
      <c r="G35">
        <v>13.000000000000002</v>
      </c>
      <c r="H35" s="5">
        <f>WS!N49*WS!M49</f>
        <v>360</v>
      </c>
      <c r="I35" s="40">
        <f t="shared" si="0"/>
        <v>7.8833368269299378</v>
      </c>
      <c r="J35" s="40">
        <f t="shared" si="1"/>
        <v>12.397264214555621</v>
      </c>
      <c r="K35" s="28">
        <f t="shared" si="7"/>
        <v>20.280601041485561</v>
      </c>
      <c r="L35" s="44">
        <f t="shared" si="8"/>
        <v>2322.9340448979228</v>
      </c>
      <c r="M35" s="48">
        <f t="shared" si="9"/>
        <v>-0.79364411184393635</v>
      </c>
      <c r="N35" s="45">
        <f t="shared" si="10"/>
        <v>6</v>
      </c>
      <c r="O35" s="27">
        <f t="shared" si="11"/>
        <v>-6.7936441118439364</v>
      </c>
      <c r="P35" s="31">
        <f t="shared" si="12"/>
        <v>-407.6186467106362</v>
      </c>
      <c r="Q35" s="31">
        <f t="shared" si="13"/>
        <v>-47.618646710636199</v>
      </c>
      <c r="R35" s="39" t="str">
        <f t="shared" si="14"/>
        <v>YES</v>
      </c>
      <c r="S35" s="60">
        <f t="shared" si="15"/>
        <v>0.17547577280806881</v>
      </c>
      <c r="T35" s="44">
        <f t="shared" si="28"/>
        <v>370</v>
      </c>
      <c r="U35" s="44">
        <f t="shared" si="30"/>
        <v>36</v>
      </c>
      <c r="V35" s="61">
        <f t="shared" si="29"/>
        <v>1.6194453214572125E-2</v>
      </c>
      <c r="W35" s="45"/>
      <c r="X35" s="67">
        <f t="shared" si="17"/>
        <v>-46</v>
      </c>
      <c r="Y35" s="27">
        <f t="shared" si="18"/>
        <v>0.86807674762450304</v>
      </c>
      <c r="Z35" s="31">
        <f t="shared" si="19"/>
        <v>52.084604857470183</v>
      </c>
      <c r="AA35" s="63" t="str">
        <f t="shared" si="20"/>
        <v>Y</v>
      </c>
      <c r="AE35" s="48">
        <f t="shared" si="24"/>
        <v>-83.150927326176529</v>
      </c>
      <c r="AF35" s="48">
        <f t="shared" si="25"/>
        <v>-415.75463663088266</v>
      </c>
      <c r="AG35" s="48">
        <f t="shared" si="26"/>
        <v>-55.754636630882658</v>
      </c>
      <c r="AH35" s="48">
        <f t="shared" si="27"/>
        <v>-8.135989920246459</v>
      </c>
      <c r="AM35" s="39" t="s">
        <v>418</v>
      </c>
      <c r="AN35" s="56">
        <v>0</v>
      </c>
    </row>
    <row r="36" spans="1:40" x14ac:dyDescent="0.3">
      <c r="A36" t="s">
        <v>9</v>
      </c>
      <c r="B36" t="s">
        <v>200</v>
      </c>
      <c r="C36" s="57">
        <v>2.3303210366826033</v>
      </c>
      <c r="D36" s="3">
        <v>1347.6276323398042</v>
      </c>
      <c r="E36" s="3">
        <v>200.12175445440212</v>
      </c>
      <c r="F36" s="3">
        <f t="shared" si="6"/>
        <v>204.92467656130779</v>
      </c>
      <c r="G36">
        <v>13.000000000000002</v>
      </c>
      <c r="H36" s="5">
        <f>WS!N50*WS!M50</f>
        <v>2630.851635810297</v>
      </c>
      <c r="I36" s="40">
        <f t="shared" si="0"/>
        <v>10.04983377356929</v>
      </c>
      <c r="J36" s="40">
        <f t="shared" si="1"/>
        <v>15.608396088206426</v>
      </c>
      <c r="K36" s="28">
        <f t="shared" si="7"/>
        <v>25.658229861775716</v>
      </c>
      <c r="L36" s="44">
        <f t="shared" si="8"/>
        <v>2938.8860594325583</v>
      </c>
      <c r="M36" s="48">
        <f t="shared" si="9"/>
        <v>-5.9804997952258283</v>
      </c>
      <c r="N36" s="45">
        <f t="shared" si="10"/>
        <v>21.923763631752475</v>
      </c>
      <c r="O36" s="27">
        <f t="shared" si="11"/>
        <v>-27.904263426978304</v>
      </c>
      <c r="P36" s="31">
        <f t="shared" si="12"/>
        <v>-3348.5116112373962</v>
      </c>
      <c r="Q36" s="31">
        <f t="shared" si="13"/>
        <v>-717.6599754270992</v>
      </c>
      <c r="R36" s="39" t="str">
        <f t="shared" si="14"/>
        <v>NO</v>
      </c>
      <c r="S36" s="60">
        <f t="shared" si="15"/>
        <v>1.1393812293233065</v>
      </c>
      <c r="T36" s="44">
        <f t="shared" si="28"/>
        <v>430</v>
      </c>
      <c r="U36" s="44">
        <f>IF((0.1*H36)&lt;=500,(0.1*H36),500)</f>
        <v>263.08516358102969</v>
      </c>
      <c r="V36" s="61">
        <f t="shared" si="29"/>
        <v>0.99306728883558826</v>
      </c>
      <c r="W36" s="45"/>
      <c r="X36" s="67">
        <f t="shared" si="17"/>
        <v>1937.7664722292673</v>
      </c>
      <c r="Y36" s="27">
        <f t="shared" si="18"/>
        <v>-20.553019929000239</v>
      </c>
      <c r="Z36" s="31">
        <f t="shared" si="19"/>
        <v>-2466.3623914800287</v>
      </c>
      <c r="AA36" s="63" t="str">
        <f t="shared" si="20"/>
        <v>Y</v>
      </c>
      <c r="AE36" s="48">
        <f t="shared" si="24"/>
        <v>-340.70732289278891</v>
      </c>
      <c r="AF36" s="48">
        <f t="shared" si="25"/>
        <v>-3407.073228927889</v>
      </c>
      <c r="AG36" s="48">
        <f t="shared" si="26"/>
        <v>-776.22159311759196</v>
      </c>
      <c r="AH36" s="48">
        <f t="shared" si="27"/>
        <v>-58.561617690492767</v>
      </c>
      <c r="AM36" s="39" t="s">
        <v>419</v>
      </c>
      <c r="AN36" s="56">
        <v>0</v>
      </c>
    </row>
    <row r="37" spans="1:40" x14ac:dyDescent="0.3">
      <c r="A37" t="s">
        <v>22</v>
      </c>
      <c r="B37" t="s">
        <v>201</v>
      </c>
      <c r="C37" s="57">
        <v>18.218318192640311</v>
      </c>
      <c r="D37" s="3">
        <v>137.00416258839428</v>
      </c>
      <c r="E37" s="3">
        <v>25.115034599325497</v>
      </c>
      <c r="F37" s="3">
        <f t="shared" si="6"/>
        <v>25.717795429709309</v>
      </c>
      <c r="G37">
        <v>15.000000000000002</v>
      </c>
      <c r="H37" s="5">
        <f>WS!N51*WS!M51</f>
        <v>85.65000000000002</v>
      </c>
      <c r="I37" s="40">
        <f t="shared" ref="I37:I69" si="31">(D37*$H$2)/12</f>
        <v>1.021698447893836</v>
      </c>
      <c r="J37" s="40">
        <f t="shared" ref="J37:J69" si="32">($H$3*F37)/12</f>
        <v>1.9588345548139785</v>
      </c>
      <c r="K37" s="28">
        <f t="shared" si="7"/>
        <v>2.9805330027078147</v>
      </c>
      <c r="L37" s="44">
        <f t="shared" si="8"/>
        <v>376.9040242508097</v>
      </c>
      <c r="M37" s="48">
        <f t="shared" si="9"/>
        <v>-0.18882116160953655</v>
      </c>
      <c r="N37" s="45">
        <f t="shared" si="10"/>
        <v>1.4275000000000004</v>
      </c>
      <c r="O37" s="27">
        <f t="shared" si="11"/>
        <v>-1.616321161609537</v>
      </c>
      <c r="P37" s="31">
        <f t="shared" si="12"/>
        <v>-96.979269696572217</v>
      </c>
      <c r="Q37" s="31">
        <f t="shared" si="13"/>
        <v>-11.329269696572197</v>
      </c>
      <c r="R37" s="39" t="str">
        <f t="shared" si="14"/>
        <v>YES</v>
      </c>
      <c r="S37" s="60">
        <f t="shared" si="15"/>
        <v>0.25730494623755368</v>
      </c>
      <c r="T37" s="44">
        <v>0</v>
      </c>
      <c r="U37" s="44"/>
      <c r="V37" s="61">
        <f t="shared" ref="V37:V41" si="33">S37</f>
        <v>0.25730494623755368</v>
      </c>
      <c r="W37" s="45"/>
      <c r="X37" s="67">
        <f t="shared" si="17"/>
        <v>85.65000000000002</v>
      </c>
      <c r="Y37" s="27">
        <f t="shared" si="18"/>
        <v>-1.616321161609537</v>
      </c>
      <c r="Z37" s="31">
        <f t="shared" si="19"/>
        <v>-96.979269696572217</v>
      </c>
      <c r="AA37" s="63" t="str">
        <f t="shared" si="20"/>
        <v>Y</v>
      </c>
      <c r="AE37" s="48">
        <f t="shared" si="24"/>
        <v>-19.782991459686169</v>
      </c>
      <c r="AF37" s="48">
        <f t="shared" si="25"/>
        <v>-98.914957298430849</v>
      </c>
      <c r="AG37" s="48">
        <f t="shared" si="26"/>
        <v>-13.264957298430829</v>
      </c>
      <c r="AH37" s="48">
        <f t="shared" si="27"/>
        <v>-1.935687601858632</v>
      </c>
      <c r="AM37" s="39" t="s">
        <v>420</v>
      </c>
      <c r="AN37" s="56">
        <v>0</v>
      </c>
    </row>
    <row r="38" spans="1:40" x14ac:dyDescent="0.3">
      <c r="A38" t="s">
        <v>23</v>
      </c>
      <c r="B38" t="s">
        <v>202</v>
      </c>
      <c r="C38" s="57">
        <v>1.8101505209101041</v>
      </c>
      <c r="D38" s="3">
        <v>116.14248445240852</v>
      </c>
      <c r="E38" s="3">
        <v>0</v>
      </c>
      <c r="F38" s="3">
        <f t="shared" si="6"/>
        <v>0</v>
      </c>
      <c r="G38">
        <v>15</v>
      </c>
      <c r="H38" s="5">
        <f>WS!N52*WS!M52</f>
        <v>780.02439554036664</v>
      </c>
      <c r="I38" s="40">
        <f t="shared" si="31"/>
        <v>0.86612402030485292</v>
      </c>
      <c r="J38" s="40">
        <f t="shared" si="32"/>
        <v>0</v>
      </c>
      <c r="K38" s="28">
        <f t="shared" si="7"/>
        <v>0.86612402030485292</v>
      </c>
      <c r="L38" s="44">
        <f t="shared" si="8"/>
        <v>109.52592320119074</v>
      </c>
      <c r="M38" s="48">
        <f t="shared" si="9"/>
        <v>-1.7196160239312164</v>
      </c>
      <c r="N38" s="45">
        <f t="shared" si="10"/>
        <v>13.000406592339443</v>
      </c>
      <c r="O38" s="27">
        <f t="shared" si="11"/>
        <v>-14.72002261627066</v>
      </c>
      <c r="P38" s="31">
        <f t="shared" si="12"/>
        <v>-883.20135697623959</v>
      </c>
      <c r="Q38" s="31">
        <f t="shared" si="13"/>
        <v>-103.17696143587295</v>
      </c>
      <c r="R38" s="39" t="str">
        <f t="shared" si="14"/>
        <v>NO</v>
      </c>
      <c r="S38" s="60">
        <f t="shared" si="15"/>
        <v>8.0638567670766523</v>
      </c>
      <c r="T38" s="44">
        <v>0</v>
      </c>
      <c r="U38" s="44"/>
      <c r="V38" s="61">
        <f t="shared" si="33"/>
        <v>8.0638567670766523</v>
      </c>
      <c r="W38" s="45"/>
      <c r="X38" s="67">
        <f t="shared" si="17"/>
        <v>780.02439554036664</v>
      </c>
      <c r="Y38" s="27">
        <f t="shared" si="18"/>
        <v>-14.72002261627066</v>
      </c>
      <c r="Z38" s="31">
        <f t="shared" si="19"/>
        <v>-883.20135697623959</v>
      </c>
      <c r="AA38" s="63" t="str">
        <f t="shared" si="20"/>
        <v>N</v>
      </c>
      <c r="AE38" s="48">
        <f t="shared" si="24"/>
        <v>-180.16597729506054</v>
      </c>
      <c r="AF38" s="48">
        <f t="shared" si="25"/>
        <v>-900.82988647530271</v>
      </c>
      <c r="AG38" s="48">
        <f t="shared" si="26"/>
        <v>-120.80549093493607</v>
      </c>
      <c r="AH38" s="48">
        <f t="shared" si="27"/>
        <v>-17.62852949906312</v>
      </c>
      <c r="AM38" s="39" t="s">
        <v>421</v>
      </c>
      <c r="AN38" s="56">
        <v>0</v>
      </c>
    </row>
    <row r="39" spans="1:40" x14ac:dyDescent="0.3">
      <c r="A39" t="s">
        <v>24</v>
      </c>
      <c r="B39" t="s">
        <v>203</v>
      </c>
      <c r="C39" s="57">
        <v>2.5552100521577445</v>
      </c>
      <c r="D39" s="3">
        <v>178.8510657184861</v>
      </c>
      <c r="E39" s="3">
        <v>0</v>
      </c>
      <c r="F39" s="3">
        <f t="shared" si="6"/>
        <v>0</v>
      </c>
      <c r="G39">
        <v>15</v>
      </c>
      <c r="H39" s="5">
        <f>WS!N53*WS!M53</f>
        <v>845.72661331676386</v>
      </c>
      <c r="I39" s="40">
        <f t="shared" si="31"/>
        <v>1.3337686446631736</v>
      </c>
      <c r="J39" s="40">
        <f t="shared" si="32"/>
        <v>0</v>
      </c>
      <c r="K39" s="28">
        <f t="shared" si="7"/>
        <v>1.3337686446631736</v>
      </c>
      <c r="L39" s="44">
        <f t="shared" si="8"/>
        <v>168.66203767460217</v>
      </c>
      <c r="M39" s="48">
        <f t="shared" si="9"/>
        <v>-1.8644609635793437</v>
      </c>
      <c r="N39" s="45">
        <f t="shared" si="10"/>
        <v>14.095443555279397</v>
      </c>
      <c r="O39" s="27">
        <f t="shared" si="11"/>
        <v>-15.959904518858741</v>
      </c>
      <c r="P39" s="31">
        <f t="shared" si="12"/>
        <v>-957.59427113152447</v>
      </c>
      <c r="Q39" s="31">
        <f t="shared" si="13"/>
        <v>-111.86765781476061</v>
      </c>
      <c r="R39" s="39" t="str">
        <f t="shared" si="14"/>
        <v>NO</v>
      </c>
      <c r="S39" s="60">
        <f t="shared" si="15"/>
        <v>5.6775922094514275</v>
      </c>
      <c r="T39" s="44">
        <v>0</v>
      </c>
      <c r="U39" s="44"/>
      <c r="V39" s="61">
        <f t="shared" si="33"/>
        <v>5.6775922094514275</v>
      </c>
      <c r="W39" s="45"/>
      <c r="X39" s="67">
        <f t="shared" si="17"/>
        <v>845.72661331676386</v>
      </c>
      <c r="Y39" s="27">
        <f t="shared" si="18"/>
        <v>-15.959904518858741</v>
      </c>
      <c r="Z39" s="31">
        <f t="shared" si="19"/>
        <v>-957.59427113152447</v>
      </c>
      <c r="AA39" s="63" t="str">
        <f t="shared" si="20"/>
        <v>N</v>
      </c>
      <c r="AE39" s="48">
        <f t="shared" si="24"/>
        <v>-195.34153378254339</v>
      </c>
      <c r="AF39" s="48">
        <f t="shared" si="25"/>
        <v>-976.70766891271694</v>
      </c>
      <c r="AG39" s="48">
        <f t="shared" si="26"/>
        <v>-130.98105559595308</v>
      </c>
      <c r="AH39" s="48">
        <f t="shared" si="27"/>
        <v>-19.113397781192475</v>
      </c>
      <c r="AM39" s="39" t="s">
        <v>422</v>
      </c>
      <c r="AN39" s="56">
        <v>600</v>
      </c>
    </row>
    <row r="40" spans="1:40" x14ac:dyDescent="0.3">
      <c r="A40" t="s">
        <v>25</v>
      </c>
      <c r="B40" t="s">
        <v>204</v>
      </c>
      <c r="C40" s="57">
        <v>2.7691621055551314</v>
      </c>
      <c r="D40" s="3">
        <v>221.73141901783725</v>
      </c>
      <c r="E40" s="3">
        <v>0</v>
      </c>
      <c r="F40" s="3">
        <f t="shared" si="6"/>
        <v>0</v>
      </c>
      <c r="G40">
        <v>15</v>
      </c>
      <c r="H40" s="5">
        <f>WS!N54*WS!M54</f>
        <v>1151.3777494187368</v>
      </c>
      <c r="I40" s="40">
        <f t="shared" si="31"/>
        <v>1.6535457199240797</v>
      </c>
      <c r="J40" s="40">
        <f t="shared" si="32"/>
        <v>0</v>
      </c>
      <c r="K40" s="28">
        <f t="shared" si="7"/>
        <v>1.6535457199240797</v>
      </c>
      <c r="L40" s="44">
        <f t="shared" si="8"/>
        <v>209.09952533855119</v>
      </c>
      <c r="M40" s="48">
        <f t="shared" si="9"/>
        <v>-2.6173328442010444</v>
      </c>
      <c r="N40" s="45">
        <f t="shared" si="10"/>
        <v>9.5948145784894727</v>
      </c>
      <c r="O40" s="27">
        <f t="shared" si="11"/>
        <v>-12.212147422690517</v>
      </c>
      <c r="P40" s="31">
        <f t="shared" si="12"/>
        <v>-1465.457690722862</v>
      </c>
      <c r="Q40" s="31">
        <f t="shared" si="13"/>
        <v>-314.07994130412521</v>
      </c>
      <c r="R40" s="39" t="str">
        <f t="shared" si="14"/>
        <v>NO</v>
      </c>
      <c r="S40" s="60">
        <f t="shared" si="15"/>
        <v>7.0084218907247751</v>
      </c>
      <c r="T40" s="44">
        <v>0</v>
      </c>
      <c r="U40" s="44"/>
      <c r="V40" s="61">
        <f t="shared" si="33"/>
        <v>7.0084218907247751</v>
      </c>
      <c r="W40" s="45"/>
      <c r="X40" s="67">
        <f t="shared" si="17"/>
        <v>1151.3777494187368</v>
      </c>
      <c r="Y40" s="27">
        <f t="shared" si="18"/>
        <v>-12.212147422690517</v>
      </c>
      <c r="Z40" s="31">
        <f t="shared" si="19"/>
        <v>-1465.457690722862</v>
      </c>
      <c r="AA40" s="63" t="str">
        <f t="shared" si="20"/>
        <v>N</v>
      </c>
      <c r="AE40" s="48">
        <f t="shared" si="24"/>
        <v>-149.10868606315759</v>
      </c>
      <c r="AF40" s="48">
        <f t="shared" si="25"/>
        <v>-1491.086860631576</v>
      </c>
      <c r="AG40" s="48">
        <f t="shared" si="26"/>
        <v>-339.70911121283916</v>
      </c>
      <c r="AH40" s="48">
        <f t="shared" si="27"/>
        <v>-25.629169908713948</v>
      </c>
      <c r="AM40" s="39" t="s">
        <v>195</v>
      </c>
      <c r="AN40" s="56">
        <v>200</v>
      </c>
    </row>
    <row r="41" spans="1:40" x14ac:dyDescent="0.3">
      <c r="A41" t="s">
        <v>26</v>
      </c>
      <c r="B41" t="s">
        <v>205</v>
      </c>
      <c r="C41" s="57">
        <v>3.3848031602723427</v>
      </c>
      <c r="D41" s="3">
        <v>295.66570450633259</v>
      </c>
      <c r="E41" s="3">
        <v>0</v>
      </c>
      <c r="F41" s="3">
        <f t="shared" si="6"/>
        <v>0</v>
      </c>
      <c r="G41">
        <v>15</v>
      </c>
      <c r="H41" s="5">
        <f>WS!N55*WS!M55</f>
        <v>1168.2081920931673</v>
      </c>
      <c r="I41" s="40">
        <f t="shared" si="31"/>
        <v>2.2049052063995247</v>
      </c>
      <c r="J41" s="40">
        <f t="shared" si="32"/>
        <v>0</v>
      </c>
      <c r="K41" s="28">
        <f t="shared" si="7"/>
        <v>2.2049052063995247</v>
      </c>
      <c r="L41" s="44">
        <f t="shared" si="8"/>
        <v>278.82182301908716</v>
      </c>
      <c r="M41" s="48">
        <f t="shared" si="9"/>
        <v>-2.6555921126439763</v>
      </c>
      <c r="N41" s="45">
        <f t="shared" si="10"/>
        <v>9.7350682674430615</v>
      </c>
      <c r="O41" s="27">
        <f t="shared" si="11"/>
        <v>-12.390660380087038</v>
      </c>
      <c r="P41" s="31">
        <f t="shared" si="12"/>
        <v>-1486.8792456104445</v>
      </c>
      <c r="Q41" s="31">
        <f t="shared" si="13"/>
        <v>-318.67105351727719</v>
      </c>
      <c r="R41" s="39" t="str">
        <f t="shared" si="14"/>
        <v>NO</v>
      </c>
      <c r="S41" s="60">
        <f t="shared" si="15"/>
        <v>5.3327219136238773</v>
      </c>
      <c r="T41" s="44">
        <v>0</v>
      </c>
      <c r="U41" s="44"/>
      <c r="V41" s="61">
        <f t="shared" si="33"/>
        <v>5.3327219136238773</v>
      </c>
      <c r="W41" s="45"/>
      <c r="X41" s="67">
        <f t="shared" si="17"/>
        <v>1168.2081920931673</v>
      </c>
      <c r="Y41" s="27">
        <f t="shared" si="18"/>
        <v>-12.390660380087038</v>
      </c>
      <c r="Z41" s="31">
        <f t="shared" si="19"/>
        <v>-1486.8792456104445</v>
      </c>
      <c r="AA41" s="63" t="str">
        <f t="shared" si="20"/>
        <v>N</v>
      </c>
      <c r="AE41" s="48">
        <f t="shared" si="24"/>
        <v>-151.2883053881902</v>
      </c>
      <c r="AF41" s="48">
        <f t="shared" si="25"/>
        <v>-1512.883053881902</v>
      </c>
      <c r="AG41" s="48">
        <f t="shared" si="26"/>
        <v>-344.67486178873469</v>
      </c>
      <c r="AH41" s="48">
        <f t="shared" si="27"/>
        <v>-26.003808271457501</v>
      </c>
      <c r="AM41" s="39" t="s">
        <v>196</v>
      </c>
      <c r="AN41" s="56">
        <v>200</v>
      </c>
    </row>
    <row r="42" spans="1:40" x14ac:dyDescent="0.3">
      <c r="A42" t="s">
        <v>27</v>
      </c>
      <c r="B42" t="s">
        <v>206</v>
      </c>
      <c r="C42" s="57">
        <v>4.1478403630010714</v>
      </c>
      <c r="D42" s="3">
        <v>169.18441837211603</v>
      </c>
      <c r="E42" s="3">
        <v>0</v>
      </c>
      <c r="F42" s="3">
        <f t="shared" si="6"/>
        <v>0</v>
      </c>
      <c r="G42">
        <v>10.000000000000002</v>
      </c>
      <c r="H42" s="5">
        <f>WS!N56*WS!M56</f>
        <v>139</v>
      </c>
      <c r="I42" s="40">
        <f t="shared" si="31"/>
        <v>1.2616803343262435</v>
      </c>
      <c r="J42" s="40">
        <f t="shared" si="32"/>
        <v>0</v>
      </c>
      <c r="K42" s="28">
        <f t="shared" si="7"/>
        <v>1.2616803343262435</v>
      </c>
      <c r="L42" s="44">
        <f t="shared" si="8"/>
        <v>118.95292560285691</v>
      </c>
      <c r="M42" s="48">
        <f t="shared" si="9"/>
        <v>-0.30643480985085292</v>
      </c>
      <c r="N42" s="45">
        <f t="shared" si="10"/>
        <v>2.3166666666666669</v>
      </c>
      <c r="O42" s="27">
        <f t="shared" si="11"/>
        <v>-2.6231014765175198</v>
      </c>
      <c r="P42" s="31">
        <f t="shared" si="12"/>
        <v>-157.38608859105119</v>
      </c>
      <c r="Q42" s="31">
        <f t="shared" si="13"/>
        <v>-18.386088591051191</v>
      </c>
      <c r="R42" s="39" t="str">
        <f t="shared" si="14"/>
        <v>NO</v>
      </c>
      <c r="S42" s="60">
        <f t="shared" si="15"/>
        <v>1.3230955673718312</v>
      </c>
      <c r="T42" s="44">
        <f t="shared" ref="T42:T48" si="34">VLOOKUP(B42,$AM$5:$AN$121,2,FALSE)</f>
        <v>0</v>
      </c>
      <c r="U42" s="44"/>
      <c r="V42" s="61">
        <f t="shared" ref="V42:V56" si="35">((ABS(P42)-T42)/L42)</f>
        <v>1.3230955673718312</v>
      </c>
      <c r="W42" s="45"/>
      <c r="X42" s="67">
        <f t="shared" si="17"/>
        <v>139</v>
      </c>
      <c r="Y42" s="27">
        <f t="shared" si="18"/>
        <v>-2.6231014765175198</v>
      </c>
      <c r="Z42" s="31">
        <f t="shared" si="19"/>
        <v>-157.38608859105119</v>
      </c>
      <c r="AA42" s="63" t="str">
        <f t="shared" si="20"/>
        <v>N</v>
      </c>
      <c r="AE42" s="48">
        <f t="shared" si="24"/>
        <v>-32.105496939829266</v>
      </c>
      <c r="AF42" s="48">
        <f t="shared" si="25"/>
        <v>-160.52748469914633</v>
      </c>
      <c r="AG42" s="48">
        <f t="shared" si="26"/>
        <v>-21.527484699146328</v>
      </c>
      <c r="AH42" s="48">
        <f t="shared" si="27"/>
        <v>-3.1413961080951367</v>
      </c>
      <c r="AM42" s="39" t="s">
        <v>197</v>
      </c>
      <c r="AN42" s="56">
        <v>370</v>
      </c>
    </row>
    <row r="43" spans="1:40" x14ac:dyDescent="0.3">
      <c r="A43" t="s">
        <v>28</v>
      </c>
      <c r="B43" t="s">
        <v>207</v>
      </c>
      <c r="C43" s="57">
        <v>4.15496383256749</v>
      </c>
      <c r="D43" s="3">
        <v>256.34670802552819</v>
      </c>
      <c r="E43" s="3">
        <v>0</v>
      </c>
      <c r="F43" s="3">
        <f t="shared" si="6"/>
        <v>0</v>
      </c>
      <c r="G43">
        <v>10.000000000000002</v>
      </c>
      <c r="H43" s="5">
        <f>WS!N57*WS!M57</f>
        <v>438.8064</v>
      </c>
      <c r="I43" s="40">
        <f t="shared" si="31"/>
        <v>1.9116866872084586</v>
      </c>
      <c r="J43" s="40">
        <f t="shared" si="32"/>
        <v>0</v>
      </c>
      <c r="K43" s="28">
        <f t="shared" si="7"/>
        <v>1.9116866872084586</v>
      </c>
      <c r="L43" s="44">
        <f t="shared" si="8"/>
        <v>180.23640227452321</v>
      </c>
      <c r="M43" s="48">
        <f t="shared" si="9"/>
        <v>-0.96737809888731974</v>
      </c>
      <c r="N43" s="45">
        <f t="shared" si="10"/>
        <v>7.3134399999999999</v>
      </c>
      <c r="O43" s="27">
        <f t="shared" si="11"/>
        <v>-8.2808180988873197</v>
      </c>
      <c r="P43" s="31">
        <f t="shared" si="12"/>
        <v>-496.84908593323917</v>
      </c>
      <c r="Q43" s="31">
        <f t="shared" si="13"/>
        <v>-58.04268593323917</v>
      </c>
      <c r="R43" s="39" t="str">
        <f t="shared" si="14"/>
        <v>NO</v>
      </c>
      <c r="S43" s="60">
        <f t="shared" si="15"/>
        <v>2.7566522614919604</v>
      </c>
      <c r="T43" s="44">
        <f t="shared" si="34"/>
        <v>0</v>
      </c>
      <c r="U43" s="44"/>
      <c r="V43" s="61">
        <f t="shared" si="35"/>
        <v>2.7566522614919604</v>
      </c>
      <c r="W43" s="45"/>
      <c r="X43" s="67">
        <f t="shared" si="17"/>
        <v>438.8064</v>
      </c>
      <c r="Y43" s="27">
        <f t="shared" si="18"/>
        <v>-8.2808180988873197</v>
      </c>
      <c r="Z43" s="31">
        <f t="shared" si="19"/>
        <v>-496.84908593323917</v>
      </c>
      <c r="AA43" s="63" t="str">
        <f t="shared" si="20"/>
        <v>N</v>
      </c>
      <c r="AE43" s="48">
        <f t="shared" si="24"/>
        <v>-101.35321965739206</v>
      </c>
      <c r="AF43" s="48">
        <f t="shared" si="25"/>
        <v>-506.7660982869603</v>
      </c>
      <c r="AG43" s="48">
        <f t="shared" si="26"/>
        <v>-67.959698286960304</v>
      </c>
      <c r="AH43" s="48">
        <f t="shared" si="27"/>
        <v>-9.9170123537211339</v>
      </c>
      <c r="AM43" s="39" t="s">
        <v>198</v>
      </c>
      <c r="AN43" s="56">
        <v>430</v>
      </c>
    </row>
    <row r="44" spans="1:40" x14ac:dyDescent="0.3">
      <c r="A44" t="s">
        <v>29</v>
      </c>
      <c r="B44" t="s">
        <v>208</v>
      </c>
      <c r="C44" s="57">
        <v>3.5871080880984811</v>
      </c>
      <c r="D44" s="3">
        <v>84.826029665686434</v>
      </c>
      <c r="E44" s="3">
        <v>0</v>
      </c>
      <c r="F44" s="3">
        <f t="shared" si="6"/>
        <v>0</v>
      </c>
      <c r="G44">
        <v>10.000000000000002</v>
      </c>
      <c r="H44" s="5">
        <f>WS!N58*WS!M58</f>
        <v>115.07500000000002</v>
      </c>
      <c r="I44" s="40">
        <f t="shared" si="31"/>
        <v>0.63258386616181472</v>
      </c>
      <c r="J44" s="40">
        <f t="shared" si="32"/>
        <v>0</v>
      </c>
      <c r="K44" s="28">
        <f t="shared" si="7"/>
        <v>0.63258386616181472</v>
      </c>
      <c r="L44" s="44">
        <f t="shared" si="8"/>
        <v>59.64086109759122</v>
      </c>
      <c r="M44" s="48">
        <f t="shared" si="9"/>
        <v>-0.25369054491789167</v>
      </c>
      <c r="N44" s="45">
        <f t="shared" si="10"/>
        <v>1.9179166666666669</v>
      </c>
      <c r="O44" s="27">
        <f t="shared" si="11"/>
        <v>-2.1716072115845586</v>
      </c>
      <c r="P44" s="31">
        <f t="shared" si="12"/>
        <v>-130.29643269507352</v>
      </c>
      <c r="Q44" s="31">
        <f t="shared" si="13"/>
        <v>-15.221432695073503</v>
      </c>
      <c r="R44" s="39" t="str">
        <f t="shared" si="14"/>
        <v>NO</v>
      </c>
      <c r="S44" s="60">
        <f t="shared" si="15"/>
        <v>2.1846839615857916</v>
      </c>
      <c r="T44" s="44">
        <f t="shared" si="34"/>
        <v>0</v>
      </c>
      <c r="U44" s="44"/>
      <c r="V44" s="61">
        <f t="shared" si="35"/>
        <v>2.1846839615857916</v>
      </c>
      <c r="W44" s="45"/>
      <c r="X44" s="67">
        <f t="shared" si="17"/>
        <v>115.07500000000002</v>
      </c>
      <c r="Y44" s="27">
        <f t="shared" si="18"/>
        <v>-2.1716072115845586</v>
      </c>
      <c r="Z44" s="31">
        <f t="shared" si="19"/>
        <v>-130.29643269507352</v>
      </c>
      <c r="AA44" s="63" t="str">
        <f t="shared" si="20"/>
        <v>N</v>
      </c>
      <c r="AE44" s="48">
        <f t="shared" si="24"/>
        <v>-26.579424894610458</v>
      </c>
      <c r="AF44" s="48">
        <f t="shared" si="25"/>
        <v>-132.89712447305229</v>
      </c>
      <c r="AG44" s="48">
        <f t="shared" si="26"/>
        <v>-17.82212447305227</v>
      </c>
      <c r="AH44" s="48">
        <f t="shared" si="27"/>
        <v>-2.600691777978767</v>
      </c>
      <c r="AM44" s="39" t="s">
        <v>199</v>
      </c>
      <c r="AN44" s="56">
        <v>370</v>
      </c>
    </row>
    <row r="45" spans="1:40" x14ac:dyDescent="0.3">
      <c r="A45" t="s">
        <v>30</v>
      </c>
      <c r="B45" t="s">
        <v>209</v>
      </c>
      <c r="C45" s="57">
        <v>1.1629624199704864</v>
      </c>
      <c r="D45" s="3">
        <v>457.54573851743618</v>
      </c>
      <c r="E45" s="3">
        <v>63.661058582474496</v>
      </c>
      <c r="F45" s="3">
        <f t="shared" si="6"/>
        <v>65.18892398845388</v>
      </c>
      <c r="G45">
        <v>20.000000000000004</v>
      </c>
      <c r="H45" s="5">
        <f>WS!N59*WS!M59</f>
        <v>2270.851635810297</v>
      </c>
      <c r="I45" s="40">
        <f t="shared" si="31"/>
        <v>3.4121136325481505</v>
      </c>
      <c r="J45" s="40">
        <f t="shared" si="32"/>
        <v>4.9652124051119992</v>
      </c>
      <c r="K45" s="28">
        <f t="shared" si="7"/>
        <v>8.3773260376601506</v>
      </c>
      <c r="L45" s="44">
        <f t="shared" si="8"/>
        <v>1269.3769505821263</v>
      </c>
      <c r="M45" s="48">
        <f t="shared" si="9"/>
        <v>-5.1621412466191217</v>
      </c>
      <c r="N45" s="45">
        <f t="shared" si="10"/>
        <v>18.923763631752475</v>
      </c>
      <c r="O45" s="27">
        <f t="shared" si="11"/>
        <v>-24.085904878371597</v>
      </c>
      <c r="P45" s="31">
        <f t="shared" si="12"/>
        <v>-2890.3085854045917</v>
      </c>
      <c r="Q45" s="31">
        <f t="shared" si="13"/>
        <v>-619.45694959429466</v>
      </c>
      <c r="R45" s="39" t="str">
        <f t="shared" si="14"/>
        <v>NO</v>
      </c>
      <c r="S45" s="60">
        <f t="shared" si="15"/>
        <v>2.2769505812116084</v>
      </c>
      <c r="T45" s="44">
        <f t="shared" si="34"/>
        <v>580</v>
      </c>
      <c r="U45" s="44">
        <f>0.3*H45</f>
        <v>681.25549074308913</v>
      </c>
      <c r="V45" s="61">
        <f t="shared" si="35"/>
        <v>1.8200335088368371</v>
      </c>
      <c r="W45" s="45"/>
      <c r="X45" s="67">
        <f t="shared" si="17"/>
        <v>1009.5961450672079</v>
      </c>
      <c r="Y45" s="27">
        <f t="shared" si="18"/>
        <v>-10.708333530993754</v>
      </c>
      <c r="Z45" s="31">
        <f t="shared" si="19"/>
        <v>-1285.0000237192505</v>
      </c>
      <c r="AA45" s="63" t="str">
        <f t="shared" si="20"/>
        <v>N</v>
      </c>
      <c r="AE45" s="48">
        <f t="shared" si="24"/>
        <v>-294.08567590522449</v>
      </c>
      <c r="AF45" s="48">
        <f t="shared" si="25"/>
        <v>-2940.8567590522448</v>
      </c>
      <c r="AG45" s="48">
        <f t="shared" si="26"/>
        <v>-670.00512324194779</v>
      </c>
      <c r="AH45" s="48">
        <f t="shared" si="27"/>
        <v>-50.54817364765313</v>
      </c>
      <c r="AM45" s="39" t="s">
        <v>200</v>
      </c>
      <c r="AN45" s="56">
        <v>430</v>
      </c>
    </row>
    <row r="46" spans="1:40" x14ac:dyDescent="0.3">
      <c r="A46" t="s">
        <v>31</v>
      </c>
      <c r="B46" t="s">
        <v>150</v>
      </c>
      <c r="C46" s="57">
        <v>62.795129964293885</v>
      </c>
      <c r="D46" s="3">
        <v>944.70228424189679</v>
      </c>
      <c r="E46" s="3">
        <v>143.95582262847711</v>
      </c>
      <c r="F46" s="3">
        <f t="shared" si="6"/>
        <v>147.41076237156057</v>
      </c>
      <c r="G46">
        <v>9</v>
      </c>
      <c r="H46" s="5">
        <f>WS!N60*WS!M60</f>
        <v>100.13272556983297</v>
      </c>
      <c r="I46" s="40">
        <f t="shared" si="31"/>
        <v>7.0450476780876308</v>
      </c>
      <c r="J46" s="40">
        <f t="shared" si="32"/>
        <v>11.22776234355282</v>
      </c>
      <c r="K46" s="28">
        <f t="shared" si="7"/>
        <v>18.272810021640453</v>
      </c>
      <c r="L46" s="44">
        <f t="shared" si="8"/>
        <v>1586.5569700848746</v>
      </c>
      <c r="M46" s="48">
        <f t="shared" si="9"/>
        <v>-0.22074930014272987</v>
      </c>
      <c r="N46" s="45">
        <f t="shared" si="10"/>
        <v>1.6688787594972161</v>
      </c>
      <c r="O46" s="27">
        <f t="shared" si="11"/>
        <v>-1.889628059639946</v>
      </c>
      <c r="P46" s="31">
        <f t="shared" si="12"/>
        <v>-113.37768357839676</v>
      </c>
      <c r="Q46" s="31">
        <f t="shared" si="13"/>
        <v>-13.244958008563785</v>
      </c>
      <c r="R46" s="39" t="str">
        <f t="shared" si="14"/>
        <v>YES</v>
      </c>
      <c r="S46" s="60">
        <f t="shared" si="15"/>
        <v>7.1461463859272253E-2</v>
      </c>
      <c r="T46" s="44">
        <f t="shared" si="34"/>
        <v>25</v>
      </c>
      <c r="U46" s="44"/>
      <c r="V46" s="61">
        <f t="shared" si="35"/>
        <v>5.570407192731875E-2</v>
      </c>
      <c r="W46" s="45"/>
      <c r="X46" s="67">
        <f t="shared" si="17"/>
        <v>75.132725569832971</v>
      </c>
      <c r="Y46" s="27">
        <f t="shared" si="18"/>
        <v>-1.4178472185396727</v>
      </c>
      <c r="Z46" s="31">
        <f t="shared" si="19"/>
        <v>-85.070833112380356</v>
      </c>
      <c r="AA46" s="63" t="str">
        <f t="shared" si="20"/>
        <v>Y</v>
      </c>
      <c r="AE46" s="48">
        <f t="shared" si="24"/>
        <v>-23.128136074525443</v>
      </c>
      <c r="AF46" s="48">
        <f t="shared" si="25"/>
        <v>-115.64068037262722</v>
      </c>
      <c r="AG46" s="48">
        <f t="shared" si="26"/>
        <v>-15.507954802794245</v>
      </c>
      <c r="AH46" s="48">
        <f t="shared" si="27"/>
        <v>-2.2629967942304603</v>
      </c>
      <c r="AM46" s="39" t="s">
        <v>206</v>
      </c>
      <c r="AN46" s="56">
        <v>0</v>
      </c>
    </row>
    <row r="47" spans="1:40" x14ac:dyDescent="0.3">
      <c r="A47" t="s">
        <v>31</v>
      </c>
      <c r="B47" t="s">
        <v>151</v>
      </c>
      <c r="C47" s="57">
        <v>36.483285429162031</v>
      </c>
      <c r="D47" s="3">
        <v>581.5267807331013</v>
      </c>
      <c r="E47" s="3">
        <v>77.504170581392486</v>
      </c>
      <c r="F47" s="3">
        <f t="shared" si="6"/>
        <v>79.364270675345907</v>
      </c>
      <c r="G47">
        <v>9</v>
      </c>
      <c r="H47" s="5">
        <f>WS!N61*WS!M61</f>
        <v>100.13272556983297</v>
      </c>
      <c r="I47" s="40">
        <f t="shared" si="31"/>
        <v>4.3366931198194054</v>
      </c>
      <c r="J47" s="40">
        <f t="shared" si="32"/>
        <v>6.0448989977145366</v>
      </c>
      <c r="K47" s="28">
        <f t="shared" si="7"/>
        <v>10.381592117533941</v>
      </c>
      <c r="L47" s="44">
        <f t="shared" si="8"/>
        <v>901.39323481966414</v>
      </c>
      <c r="M47" s="48">
        <f t="shared" si="9"/>
        <v>-0.22074930014272987</v>
      </c>
      <c r="N47" s="45">
        <f t="shared" si="10"/>
        <v>1.6688787594972161</v>
      </c>
      <c r="O47" s="27">
        <f t="shared" si="11"/>
        <v>-1.889628059639946</v>
      </c>
      <c r="P47" s="31">
        <f t="shared" si="12"/>
        <v>-113.37768357839676</v>
      </c>
      <c r="Q47" s="31">
        <f t="shared" si="13"/>
        <v>-13.244958008563785</v>
      </c>
      <c r="R47" s="39" t="str">
        <f t="shared" si="14"/>
        <v>YES</v>
      </c>
      <c r="S47" s="60">
        <f t="shared" si="15"/>
        <v>0.1257804909098075</v>
      </c>
      <c r="T47" s="44">
        <f t="shared" si="34"/>
        <v>25</v>
      </c>
      <c r="U47" s="44"/>
      <c r="V47" s="61">
        <f t="shared" si="35"/>
        <v>9.8045647742272993E-2</v>
      </c>
      <c r="W47" s="45"/>
      <c r="X47" s="67">
        <f t="shared" si="17"/>
        <v>75.132725569832971</v>
      </c>
      <c r="Y47" s="27">
        <f t="shared" si="18"/>
        <v>-1.4178472185396727</v>
      </c>
      <c r="Z47" s="31">
        <f t="shared" si="19"/>
        <v>-85.070833112380356</v>
      </c>
      <c r="AA47" s="63" t="str">
        <f t="shared" si="20"/>
        <v>Y</v>
      </c>
      <c r="AE47" s="48">
        <f t="shared" si="24"/>
        <v>-23.128136074525443</v>
      </c>
      <c r="AF47" s="48">
        <f t="shared" si="25"/>
        <v>-115.64068037262722</v>
      </c>
      <c r="AG47" s="48">
        <f t="shared" si="26"/>
        <v>-15.507954802794245</v>
      </c>
      <c r="AH47" s="48">
        <f t="shared" si="27"/>
        <v>-2.2629967942304603</v>
      </c>
      <c r="AM47" s="39" t="s">
        <v>207</v>
      </c>
      <c r="AN47" s="56">
        <v>0</v>
      </c>
    </row>
    <row r="48" spans="1:40" x14ac:dyDescent="0.3">
      <c r="A48" t="s">
        <v>9</v>
      </c>
      <c r="B48" t="s">
        <v>210</v>
      </c>
      <c r="C48" s="57">
        <v>5.6810392561582272</v>
      </c>
      <c r="D48" s="3">
        <v>449.92260387066716</v>
      </c>
      <c r="E48" s="3">
        <v>66.264609650037428</v>
      </c>
      <c r="F48" s="3">
        <f t="shared" si="6"/>
        <v>67.854960281638327</v>
      </c>
      <c r="G48">
        <v>20.000000000000004</v>
      </c>
      <c r="H48" s="5">
        <f>WS!N62*WS!M62</f>
        <v>3041.1111111110945</v>
      </c>
      <c r="I48" s="40">
        <f t="shared" si="31"/>
        <v>3.3552646676003555</v>
      </c>
      <c r="J48" s="40">
        <f t="shared" si="32"/>
        <v>5.1682750676855189</v>
      </c>
      <c r="K48" s="28">
        <f t="shared" si="7"/>
        <v>8.5235397352858744</v>
      </c>
      <c r="L48" s="44">
        <f t="shared" si="8"/>
        <v>1291.5320268906185</v>
      </c>
      <c r="M48" s="48">
        <f t="shared" si="9"/>
        <v>-6.913109097335024</v>
      </c>
      <c r="N48" s="45">
        <f t="shared" si="10"/>
        <v>25.342592592592453</v>
      </c>
      <c r="O48" s="27">
        <f t="shared" si="11"/>
        <v>-32.255701689927477</v>
      </c>
      <c r="P48" s="31">
        <f t="shared" si="12"/>
        <v>-3870.6842027912971</v>
      </c>
      <c r="Q48" s="31">
        <f t="shared" si="13"/>
        <v>-829.57309168020265</v>
      </c>
      <c r="R48" s="39" t="str">
        <f t="shared" si="14"/>
        <v>NO</v>
      </c>
      <c r="S48" s="60">
        <f t="shared" si="15"/>
        <v>2.9969711336621083</v>
      </c>
      <c r="T48" s="44">
        <f t="shared" si="34"/>
        <v>660</v>
      </c>
      <c r="U48" s="44">
        <f>0.3*H48</f>
        <v>912.33333333332837</v>
      </c>
      <c r="V48" s="61">
        <f t="shared" si="35"/>
        <v>2.4859501243039746</v>
      </c>
      <c r="W48" s="45"/>
      <c r="X48" s="67">
        <f t="shared" si="17"/>
        <v>1468.777777777766</v>
      </c>
      <c r="Y48" s="27">
        <f t="shared" si="18"/>
        <v>-15.578667177170271</v>
      </c>
      <c r="Z48" s="31">
        <f t="shared" si="19"/>
        <v>-1869.4400612604325</v>
      </c>
      <c r="AA48" s="63" t="str">
        <f t="shared" si="20"/>
        <v>N</v>
      </c>
      <c r="AE48" s="48">
        <f t="shared" si="24"/>
        <v>-393.83780186716996</v>
      </c>
      <c r="AF48" s="48">
        <f t="shared" si="25"/>
        <v>-3938.3780186716995</v>
      </c>
      <c r="AG48" s="48">
        <f t="shared" si="26"/>
        <v>-897.26690756060498</v>
      </c>
      <c r="AH48" s="48">
        <f t="shared" si="27"/>
        <v>-67.693815880402326</v>
      </c>
      <c r="AM48" s="39" t="s">
        <v>208</v>
      </c>
      <c r="AN48" s="56">
        <v>0</v>
      </c>
    </row>
    <row r="49" spans="1:40" x14ac:dyDescent="0.3">
      <c r="A49" t="s">
        <v>34</v>
      </c>
      <c r="B49" t="s">
        <v>215</v>
      </c>
      <c r="C49" s="57">
        <v>8.438895871352651</v>
      </c>
      <c r="D49" s="3">
        <v>46.318500000000007</v>
      </c>
      <c r="E49" s="3">
        <v>0</v>
      </c>
      <c r="F49" s="3">
        <f t="shared" ref="F49:F81" si="36">E49*1.024</f>
        <v>0</v>
      </c>
      <c r="G49">
        <v>9</v>
      </c>
      <c r="H49" s="44">
        <f>(NWS!M5+NWS!O5+NWS!T5)*NWS!R5</f>
        <v>3</v>
      </c>
      <c r="I49" s="40">
        <f t="shared" si="31"/>
        <v>0.34541680095477229</v>
      </c>
      <c r="J49" s="40">
        <f t="shared" si="32"/>
        <v>0</v>
      </c>
      <c r="K49" s="28">
        <f t="shared" ref="K49:K81" si="37">J49+I49</f>
        <v>0.34541680095477229</v>
      </c>
      <c r="L49" s="44">
        <f t="shared" ref="L49:L81" si="38">ABS(PV($B$1/12,G49*12,K49))</f>
        <v>29.99119634529066</v>
      </c>
      <c r="M49" s="48">
        <f t="shared" ref="M49:M81" si="39">O49+N49</f>
        <v>-6.6137009320327983E-3</v>
      </c>
      <c r="N49" s="45">
        <f t="shared" ref="N49:N81" si="40">H49/IF(H49&lt;1000,5*$B$3,$B$2*$B$3)</f>
        <v>0.05</v>
      </c>
      <c r="O49" s="27">
        <f t="shared" ref="O49:O81" si="41">PMT($B$1/12,IF(H49&lt;1000,5*$B$3,$B$2*$B$3),H49)</f>
        <v>-5.6613700932032801E-2</v>
      </c>
      <c r="P49" s="31">
        <f t="shared" ref="P49:P81" si="42">O49*IF(H49&lt;1000,5*$B$3,$B$2*$B$3)</f>
        <v>-3.3968220559219682</v>
      </c>
      <c r="Q49" s="31">
        <f t="shared" ref="Q49:Q81" si="43">P49+H49</f>
        <v>-0.39682205592196818</v>
      </c>
      <c r="R49" s="39" t="str">
        <f t="shared" ref="R49:R81" si="44">IF(L49&gt;=ABS(P49),"YES","NO")</f>
        <v>YES</v>
      </c>
      <c r="S49" s="60">
        <f t="shared" si="15"/>
        <v>0.11326063878259898</v>
      </c>
      <c r="T49" s="44">
        <v>2</v>
      </c>
      <c r="U49" s="44"/>
      <c r="V49" s="61">
        <f t="shared" si="35"/>
        <v>4.6574402696053264E-2</v>
      </c>
      <c r="W49" s="45"/>
      <c r="X49" s="67">
        <f t="shared" si="17"/>
        <v>1</v>
      </c>
      <c r="Y49" s="27">
        <f t="shared" si="18"/>
        <v>-1.8871233644010936E-2</v>
      </c>
      <c r="Z49" s="31">
        <f t="shared" si="19"/>
        <v>-1.1322740186406561</v>
      </c>
      <c r="AA49" s="63" t="str">
        <f t="shared" si="20"/>
        <v>Y</v>
      </c>
      <c r="AE49" s="48">
        <f t="shared" ref="AE49:AE69" si="45">PMT($B$1,IF(H49&lt;1000,5,10),H49)</f>
        <v>-0.69292439438480435</v>
      </c>
      <c r="AF49" s="48">
        <f t="shared" ref="AF49:AF69" si="46">AE49*IF(H49&lt;1000,5,10)</f>
        <v>-3.4646219719240219</v>
      </c>
      <c r="AG49" s="48">
        <f t="shared" ref="AG49:AG69" si="47">AF49+H49</f>
        <v>-0.46462197192402188</v>
      </c>
      <c r="AH49" s="48">
        <f t="shared" ref="AH49:AH69" si="48">AF49-P49</f>
        <v>-6.7799916002053706E-2</v>
      </c>
      <c r="AM49" s="39" t="s">
        <v>209</v>
      </c>
      <c r="AN49" s="56">
        <v>580</v>
      </c>
    </row>
    <row r="50" spans="1:40" x14ac:dyDescent="0.3">
      <c r="A50" t="s">
        <v>36</v>
      </c>
      <c r="B50" t="s">
        <v>216</v>
      </c>
      <c r="C50" s="57">
        <v>17.23689369467775</v>
      </c>
      <c r="D50" s="3">
        <v>31.536000000000005</v>
      </c>
      <c r="E50" s="3">
        <v>0</v>
      </c>
      <c r="F50" s="3">
        <f t="shared" si="36"/>
        <v>0</v>
      </c>
      <c r="G50">
        <v>9</v>
      </c>
      <c r="H50" s="44">
        <f>(NWS!M6+NWS!O6+NWS!T6)*NWS!R6</f>
        <v>1</v>
      </c>
      <c r="I50" s="40">
        <f t="shared" si="31"/>
        <v>0.23517739639473859</v>
      </c>
      <c r="J50" s="40">
        <f t="shared" si="32"/>
        <v>0</v>
      </c>
      <c r="K50" s="28">
        <f t="shared" si="37"/>
        <v>0.23517739639473859</v>
      </c>
      <c r="L50" s="44">
        <f t="shared" si="38"/>
        <v>20.419537937219172</v>
      </c>
      <c r="M50" s="48">
        <f t="shared" si="39"/>
        <v>-2.2045669773442696E-3</v>
      </c>
      <c r="N50" s="45">
        <f t="shared" si="40"/>
        <v>1.6666666666666666E-2</v>
      </c>
      <c r="O50" s="27">
        <f t="shared" si="41"/>
        <v>-1.8871233644010936E-2</v>
      </c>
      <c r="P50" s="31">
        <f t="shared" si="42"/>
        <v>-1.1322740186406561</v>
      </c>
      <c r="Q50" s="31">
        <f t="shared" si="43"/>
        <v>-0.13227401864065613</v>
      </c>
      <c r="R50" s="39" t="str">
        <f t="shared" si="44"/>
        <v>YES</v>
      </c>
      <c r="S50" s="60">
        <f t="shared" si="15"/>
        <v>5.5450521070647428E-2</v>
      </c>
      <c r="T50" s="44">
        <v>2</v>
      </c>
      <c r="U50" s="44"/>
      <c r="V50" s="61">
        <f t="shared" si="35"/>
        <v>-4.24948881814666E-2</v>
      </c>
      <c r="W50" s="45"/>
      <c r="X50" s="67">
        <f t="shared" si="17"/>
        <v>-1</v>
      </c>
      <c r="Y50" s="27">
        <f t="shared" si="18"/>
        <v>1.8871233644010936E-2</v>
      </c>
      <c r="Z50" s="31">
        <f t="shared" si="19"/>
        <v>1.1322740186406561</v>
      </c>
      <c r="AA50" s="63" t="str">
        <f t="shared" si="20"/>
        <v>Y</v>
      </c>
      <c r="AE50" s="48">
        <f t="shared" si="45"/>
        <v>-0.23097479812826813</v>
      </c>
      <c r="AF50" s="48">
        <f t="shared" si="46"/>
        <v>-1.1548739906413406</v>
      </c>
      <c r="AG50" s="48">
        <f t="shared" si="47"/>
        <v>-0.15487399064134055</v>
      </c>
      <c r="AH50" s="48">
        <f t="shared" si="48"/>
        <v>-2.2599972000684421E-2</v>
      </c>
      <c r="AM50" s="39" t="s">
        <v>150</v>
      </c>
      <c r="AN50" s="56">
        <v>25</v>
      </c>
    </row>
    <row r="51" spans="1:40" x14ac:dyDescent="0.3">
      <c r="A51" t="s">
        <v>37</v>
      </c>
      <c r="B51" t="s">
        <v>217</v>
      </c>
      <c r="C51" s="57">
        <v>10.234405631214925</v>
      </c>
      <c r="D51" s="3">
        <v>56.173500000000004</v>
      </c>
      <c r="E51" s="3">
        <v>0</v>
      </c>
      <c r="F51" s="3">
        <f t="shared" si="36"/>
        <v>0</v>
      </c>
      <c r="G51">
        <v>9</v>
      </c>
      <c r="H51" s="44">
        <f>(NWS!M7+NWS!O7+NWS!T7)*NWS!R7</f>
        <v>3</v>
      </c>
      <c r="I51" s="40">
        <f t="shared" si="31"/>
        <v>0.41890973732812808</v>
      </c>
      <c r="J51" s="40">
        <f t="shared" si="32"/>
        <v>0</v>
      </c>
      <c r="K51" s="28">
        <f t="shared" si="37"/>
        <v>0.41890973732812808</v>
      </c>
      <c r="L51" s="44">
        <f t="shared" si="38"/>
        <v>36.372301950671648</v>
      </c>
      <c r="M51" s="48">
        <f t="shared" si="39"/>
        <v>-6.6137009320327983E-3</v>
      </c>
      <c r="N51" s="45">
        <f t="shared" si="40"/>
        <v>0.05</v>
      </c>
      <c r="O51" s="27">
        <f t="shared" si="41"/>
        <v>-5.6613700932032801E-2</v>
      </c>
      <c r="P51" s="31">
        <f t="shared" si="42"/>
        <v>-3.3968220559219682</v>
      </c>
      <c r="Q51" s="31">
        <f t="shared" si="43"/>
        <v>-0.39682205592196818</v>
      </c>
      <c r="R51" s="39" t="str">
        <f t="shared" si="44"/>
        <v>YES</v>
      </c>
      <c r="S51" s="60">
        <f t="shared" si="15"/>
        <v>9.3390351276879877E-2</v>
      </c>
      <c r="T51" s="44">
        <v>2</v>
      </c>
      <c r="U51" s="44"/>
      <c r="V51" s="61">
        <f t="shared" si="35"/>
        <v>3.8403454854640418E-2</v>
      </c>
      <c r="W51" s="45"/>
      <c r="X51" s="67">
        <f t="shared" si="17"/>
        <v>1</v>
      </c>
      <c r="Y51" s="27">
        <f t="shared" si="18"/>
        <v>-1.8871233644010936E-2</v>
      </c>
      <c r="Z51" s="31">
        <f t="shared" si="19"/>
        <v>-1.1322740186406561</v>
      </c>
      <c r="AA51" s="63" t="str">
        <f t="shared" si="20"/>
        <v>Y</v>
      </c>
      <c r="AE51" s="48">
        <f t="shared" si="45"/>
        <v>-0.69292439438480435</v>
      </c>
      <c r="AF51" s="48">
        <f t="shared" si="46"/>
        <v>-3.4646219719240219</v>
      </c>
      <c r="AG51" s="48">
        <f t="shared" si="47"/>
        <v>-0.46462197192402188</v>
      </c>
      <c r="AH51" s="48">
        <f t="shared" si="48"/>
        <v>-6.7799916002053706E-2</v>
      </c>
      <c r="AM51" s="39" t="s">
        <v>151</v>
      </c>
      <c r="AN51" s="56">
        <v>25</v>
      </c>
    </row>
    <row r="52" spans="1:40" x14ac:dyDescent="0.3">
      <c r="A52" t="s">
        <v>39</v>
      </c>
      <c r="B52" t="s">
        <v>218</v>
      </c>
      <c r="C52" s="57">
        <v>20.468811262429831</v>
      </c>
      <c r="D52" s="3">
        <v>37.449000000000012</v>
      </c>
      <c r="E52" s="3">
        <v>0</v>
      </c>
      <c r="F52" s="3">
        <f t="shared" si="36"/>
        <v>0</v>
      </c>
      <c r="G52">
        <v>9</v>
      </c>
      <c r="H52" s="44">
        <f>(NWS!M8+NWS!O8+NWS!T8)*NWS!R8</f>
        <v>1</v>
      </c>
      <c r="I52" s="40">
        <f t="shared" si="31"/>
        <v>0.27927315821875215</v>
      </c>
      <c r="J52" s="40">
        <f t="shared" si="32"/>
        <v>0</v>
      </c>
      <c r="K52" s="28">
        <f t="shared" si="37"/>
        <v>0.27927315821875215</v>
      </c>
      <c r="L52" s="44">
        <f t="shared" si="38"/>
        <v>24.248201300447775</v>
      </c>
      <c r="M52" s="48">
        <f t="shared" si="39"/>
        <v>-2.2045669773442696E-3</v>
      </c>
      <c r="N52" s="45">
        <f t="shared" si="40"/>
        <v>1.6666666666666666E-2</v>
      </c>
      <c r="O52" s="27">
        <f t="shared" si="41"/>
        <v>-1.8871233644010936E-2</v>
      </c>
      <c r="P52" s="31">
        <f t="shared" si="42"/>
        <v>-1.1322740186406561</v>
      </c>
      <c r="Q52" s="31">
        <f t="shared" si="43"/>
        <v>-0.13227401864065613</v>
      </c>
      <c r="R52" s="39" t="str">
        <f t="shared" si="44"/>
        <v>YES</v>
      </c>
      <c r="S52" s="60">
        <f t="shared" si="15"/>
        <v>4.6695175638439917E-2</v>
      </c>
      <c r="T52" s="44">
        <v>2</v>
      </c>
      <c r="U52" s="44"/>
      <c r="V52" s="61">
        <f t="shared" si="35"/>
        <v>-3.5785168994919229E-2</v>
      </c>
      <c r="W52" s="45"/>
      <c r="X52" s="67">
        <f t="shared" si="17"/>
        <v>-1</v>
      </c>
      <c r="Y52" s="27">
        <f t="shared" si="18"/>
        <v>1.8871233644010936E-2</v>
      </c>
      <c r="Z52" s="31">
        <f t="shared" si="19"/>
        <v>1.1322740186406561</v>
      </c>
      <c r="AA52" s="63" t="str">
        <f t="shared" si="20"/>
        <v>Y</v>
      </c>
      <c r="AE52" s="48">
        <f t="shared" si="45"/>
        <v>-0.23097479812826813</v>
      </c>
      <c r="AF52" s="48">
        <f t="shared" si="46"/>
        <v>-1.1548739906413406</v>
      </c>
      <c r="AG52" s="48">
        <f t="shared" si="47"/>
        <v>-0.15487399064134055</v>
      </c>
      <c r="AH52" s="48">
        <f t="shared" si="48"/>
        <v>-2.2599972000684421E-2</v>
      </c>
      <c r="AM52" s="39" t="s">
        <v>210</v>
      </c>
      <c r="AN52" s="56">
        <v>660</v>
      </c>
    </row>
    <row r="53" spans="1:40" x14ac:dyDescent="0.3">
      <c r="A53" t="s">
        <v>40</v>
      </c>
      <c r="B53" t="s">
        <v>219</v>
      </c>
      <c r="C53" s="57">
        <v>13.825425150939452</v>
      </c>
      <c r="D53" s="3">
        <v>75.883500000000026</v>
      </c>
      <c r="E53" s="3">
        <v>0</v>
      </c>
      <c r="F53" s="3">
        <f t="shared" si="36"/>
        <v>0</v>
      </c>
      <c r="G53">
        <v>9</v>
      </c>
      <c r="H53" s="44">
        <f>(NWS!M9+NWS!O9+NWS!T9)*NWS!R9</f>
        <v>3</v>
      </c>
      <c r="I53" s="40">
        <f t="shared" si="31"/>
        <v>0.56589561007483979</v>
      </c>
      <c r="J53" s="40">
        <f t="shared" si="32"/>
        <v>0</v>
      </c>
      <c r="K53" s="28">
        <f t="shared" si="37"/>
        <v>0.56589561007483979</v>
      </c>
      <c r="L53" s="44">
        <f t="shared" si="38"/>
        <v>49.134513161433645</v>
      </c>
      <c r="M53" s="48">
        <f t="shared" si="39"/>
        <v>-6.6137009320327983E-3</v>
      </c>
      <c r="N53" s="45">
        <f t="shared" si="40"/>
        <v>0.05</v>
      </c>
      <c r="O53" s="27">
        <f t="shared" si="41"/>
        <v>-5.6613700932032801E-2</v>
      </c>
      <c r="P53" s="31">
        <f t="shared" si="42"/>
        <v>-3.3968220559219682</v>
      </c>
      <c r="Q53" s="31">
        <f t="shared" si="43"/>
        <v>-0.39682205592196818</v>
      </c>
      <c r="R53" s="39" t="str">
        <f t="shared" si="44"/>
        <v>YES</v>
      </c>
      <c r="S53" s="60">
        <f t="shared" si="15"/>
        <v>6.913311717898897E-2</v>
      </c>
      <c r="T53" s="44">
        <v>2</v>
      </c>
      <c r="U53" s="44"/>
      <c r="V53" s="61">
        <f t="shared" si="35"/>
        <v>2.8428531515772768E-2</v>
      </c>
      <c r="W53" s="45"/>
      <c r="X53" s="67">
        <f t="shared" si="17"/>
        <v>1</v>
      </c>
      <c r="Y53" s="27">
        <f t="shared" si="18"/>
        <v>-1.8871233644010936E-2</v>
      </c>
      <c r="Z53" s="31">
        <f t="shared" si="19"/>
        <v>-1.1322740186406561</v>
      </c>
      <c r="AA53" s="63" t="str">
        <f t="shared" si="20"/>
        <v>Y</v>
      </c>
      <c r="AE53" s="48">
        <f t="shared" si="45"/>
        <v>-0.69292439438480435</v>
      </c>
      <c r="AF53" s="48">
        <f t="shared" si="46"/>
        <v>-3.4646219719240219</v>
      </c>
      <c r="AG53" s="48">
        <f t="shared" si="47"/>
        <v>-0.46462197192402188</v>
      </c>
      <c r="AH53" s="48">
        <f t="shared" si="48"/>
        <v>-6.7799916002053706E-2</v>
      </c>
      <c r="AM53" s="39" t="s">
        <v>211</v>
      </c>
      <c r="AN53" s="56">
        <v>0</v>
      </c>
    </row>
    <row r="54" spans="1:40" x14ac:dyDescent="0.3">
      <c r="A54" t="s">
        <v>42</v>
      </c>
      <c r="B54" t="s">
        <v>220</v>
      </c>
      <c r="C54" s="57">
        <v>28.009952253851356</v>
      </c>
      <c r="D54" s="3">
        <v>51.246000000000002</v>
      </c>
      <c r="E54" s="3">
        <v>0</v>
      </c>
      <c r="F54" s="3">
        <f t="shared" si="36"/>
        <v>0</v>
      </c>
      <c r="G54">
        <v>9</v>
      </c>
      <c r="H54" s="44">
        <f>(NWS!M10+NWS!O10+NWS!T10)*NWS!R10</f>
        <v>1</v>
      </c>
      <c r="I54" s="40">
        <f t="shared" si="31"/>
        <v>0.3821632691414501</v>
      </c>
      <c r="J54" s="40">
        <f t="shared" si="32"/>
        <v>0</v>
      </c>
      <c r="K54" s="28">
        <f t="shared" si="37"/>
        <v>0.3821632691414501</v>
      </c>
      <c r="L54" s="44">
        <f t="shared" si="38"/>
        <v>33.181749147981144</v>
      </c>
      <c r="M54" s="48">
        <f t="shared" si="39"/>
        <v>-2.2045669773442696E-3</v>
      </c>
      <c r="N54" s="45">
        <f t="shared" si="40"/>
        <v>1.6666666666666666E-2</v>
      </c>
      <c r="O54" s="27">
        <f t="shared" si="41"/>
        <v>-1.8871233644010936E-2</v>
      </c>
      <c r="P54" s="31">
        <f t="shared" si="42"/>
        <v>-1.1322740186406561</v>
      </c>
      <c r="Q54" s="31">
        <f t="shared" si="43"/>
        <v>-0.13227401864065613</v>
      </c>
      <c r="R54" s="39" t="str">
        <f t="shared" si="44"/>
        <v>YES</v>
      </c>
      <c r="S54" s="60">
        <f t="shared" si="15"/>
        <v>3.4123397581936887E-2</v>
      </c>
      <c r="T54" s="44">
        <v>2</v>
      </c>
      <c r="U54" s="44"/>
      <c r="V54" s="61">
        <f t="shared" si="35"/>
        <v>-2.615070041936407E-2</v>
      </c>
      <c r="W54" s="45"/>
      <c r="X54" s="67">
        <f t="shared" si="17"/>
        <v>-1</v>
      </c>
      <c r="Y54" s="27">
        <f t="shared" si="18"/>
        <v>1.8871233644010936E-2</v>
      </c>
      <c r="Z54" s="31">
        <f t="shared" si="19"/>
        <v>1.1322740186406561</v>
      </c>
      <c r="AA54" s="63" t="str">
        <f t="shared" si="20"/>
        <v>Y</v>
      </c>
      <c r="AE54" s="48">
        <f t="shared" si="45"/>
        <v>-0.23097479812826813</v>
      </c>
      <c r="AF54" s="48">
        <f t="shared" si="46"/>
        <v>-1.1548739906413406</v>
      </c>
      <c r="AG54" s="48">
        <f t="shared" si="47"/>
        <v>-0.15487399064134055</v>
      </c>
      <c r="AH54" s="48">
        <f t="shared" si="48"/>
        <v>-2.2599972000684421E-2</v>
      </c>
      <c r="AM54" s="39" t="s">
        <v>213</v>
      </c>
      <c r="AN54" s="56">
        <v>0</v>
      </c>
    </row>
    <row r="55" spans="1:40" x14ac:dyDescent="0.3">
      <c r="A55" t="s">
        <v>32</v>
      </c>
      <c r="B55" t="s">
        <v>221</v>
      </c>
      <c r="C55" s="57">
        <v>2.4104103625548241</v>
      </c>
      <c r="D55" s="3">
        <v>44.1</v>
      </c>
      <c r="E55" s="3">
        <v>0</v>
      </c>
      <c r="F55" s="3">
        <f t="shared" si="36"/>
        <v>0</v>
      </c>
      <c r="G55">
        <v>9</v>
      </c>
      <c r="H55" s="44">
        <f>(NWS!M11+NWS!O11+NWS!T11)*NWS!R11</f>
        <v>10</v>
      </c>
      <c r="I55" s="40">
        <f t="shared" si="31"/>
        <v>0.32887250066615836</v>
      </c>
      <c r="J55" s="40">
        <f t="shared" si="32"/>
        <v>0</v>
      </c>
      <c r="K55" s="28">
        <f t="shared" si="37"/>
        <v>0.32887250066615836</v>
      </c>
      <c r="L55" s="44">
        <f t="shared" si="38"/>
        <v>28.554719147366988</v>
      </c>
      <c r="M55" s="48">
        <f t="shared" si="39"/>
        <v>-2.2045669773442689E-2</v>
      </c>
      <c r="N55" s="45">
        <f t="shared" si="40"/>
        <v>0.16666666666666666</v>
      </c>
      <c r="O55" s="27">
        <f t="shared" si="41"/>
        <v>-0.18871233644010935</v>
      </c>
      <c r="P55" s="31">
        <f t="shared" si="42"/>
        <v>-11.322740186406561</v>
      </c>
      <c r="Q55" s="31">
        <f t="shared" si="43"/>
        <v>-1.3227401864065609</v>
      </c>
      <c r="R55" s="39" t="str">
        <f t="shared" si="44"/>
        <v>YES</v>
      </c>
      <c r="S55" s="60">
        <f t="shared" si="15"/>
        <v>0.39652780781948693</v>
      </c>
      <c r="T55" s="44">
        <v>5</v>
      </c>
      <c r="U55" s="44"/>
      <c r="V55" s="61">
        <f t="shared" si="35"/>
        <v>0.22142540270754429</v>
      </c>
      <c r="W55" s="45"/>
      <c r="X55" s="67">
        <f t="shared" si="17"/>
        <v>5</v>
      </c>
      <c r="Y55" s="27">
        <f t="shared" si="18"/>
        <v>-9.4356168220054673E-2</v>
      </c>
      <c r="Z55" s="31">
        <f t="shared" si="19"/>
        <v>-5.6613700932032804</v>
      </c>
      <c r="AA55" s="63" t="str">
        <f t="shared" si="20"/>
        <v>Y</v>
      </c>
      <c r="AE55" s="48">
        <f t="shared" si="45"/>
        <v>-2.3097479812826811</v>
      </c>
      <c r="AF55" s="48">
        <f t="shared" si="46"/>
        <v>-11.548739906413406</v>
      </c>
      <c r="AG55" s="48">
        <f t="shared" si="47"/>
        <v>-1.548739906413406</v>
      </c>
      <c r="AH55" s="48">
        <f t="shared" si="48"/>
        <v>-0.2259997200068451</v>
      </c>
      <c r="AM55" s="59">
        <f>[1]RES_NWS!AJ2</f>
        <v>0</v>
      </c>
      <c r="AN55" s="55">
        <v>2</v>
      </c>
    </row>
    <row r="56" spans="1:40" x14ac:dyDescent="0.3">
      <c r="A56" t="s">
        <v>32</v>
      </c>
      <c r="B56" t="s">
        <v>222</v>
      </c>
      <c r="C56" s="57">
        <v>4.1175566284005312</v>
      </c>
      <c r="D56" s="3">
        <v>113</v>
      </c>
      <c r="E56" s="3">
        <v>0</v>
      </c>
      <c r="F56" s="3">
        <f t="shared" si="36"/>
        <v>0</v>
      </c>
      <c r="G56">
        <v>9</v>
      </c>
      <c r="H56" s="44">
        <f>(NWS!M12+NWS!O12+NWS!T12)*NWS!R12</f>
        <v>15</v>
      </c>
      <c r="I56" s="40">
        <f t="shared" si="31"/>
        <v>0.84268917404253729</v>
      </c>
      <c r="J56" s="40">
        <f t="shared" si="32"/>
        <v>0</v>
      </c>
      <c r="K56" s="28">
        <f t="shared" si="37"/>
        <v>0.84268917404253729</v>
      </c>
      <c r="L56" s="44">
        <f t="shared" si="38"/>
        <v>73.167420944500449</v>
      </c>
      <c r="M56" s="48">
        <f t="shared" si="39"/>
        <v>-3.3068504660163978E-2</v>
      </c>
      <c r="N56" s="45">
        <f t="shared" si="40"/>
        <v>0.25</v>
      </c>
      <c r="O56" s="27">
        <f t="shared" si="41"/>
        <v>-0.28306850466016398</v>
      </c>
      <c r="P56" s="31">
        <f t="shared" si="42"/>
        <v>-16.984110279609837</v>
      </c>
      <c r="Q56" s="31">
        <f t="shared" si="43"/>
        <v>-1.9841102796098369</v>
      </c>
      <c r="R56" s="39" t="str">
        <f t="shared" si="44"/>
        <v>YES</v>
      </c>
      <c r="S56" s="60">
        <f t="shared" si="15"/>
        <v>0.23212667687839869</v>
      </c>
      <c r="T56" s="44">
        <v>3</v>
      </c>
      <c r="U56" s="44"/>
      <c r="V56" s="61">
        <f t="shared" si="35"/>
        <v>0.19112482166369071</v>
      </c>
      <c r="W56" s="45"/>
      <c r="X56" s="67">
        <f t="shared" si="17"/>
        <v>12</v>
      </c>
      <c r="Y56" s="27">
        <f t="shared" si="18"/>
        <v>-0.2264548037281312</v>
      </c>
      <c r="Z56" s="31">
        <f t="shared" si="19"/>
        <v>-13.587288223687873</v>
      </c>
      <c r="AA56" s="63" t="str">
        <f t="shared" si="20"/>
        <v>Y</v>
      </c>
      <c r="AE56" s="48">
        <f t="shared" si="45"/>
        <v>-3.4646219719240214</v>
      </c>
      <c r="AF56" s="48">
        <f t="shared" si="46"/>
        <v>-17.323109859620107</v>
      </c>
      <c r="AG56" s="48">
        <f t="shared" si="47"/>
        <v>-2.3231098596201072</v>
      </c>
      <c r="AH56" s="48">
        <f t="shared" si="48"/>
        <v>-0.33899958001027031</v>
      </c>
      <c r="AM56" s="59">
        <f>[1]RES_NWS!AJ3</f>
        <v>0</v>
      </c>
      <c r="AN56" s="55">
        <v>2</v>
      </c>
    </row>
    <row r="57" spans="1:40" x14ac:dyDescent="0.3">
      <c r="A57" t="s">
        <v>43</v>
      </c>
      <c r="B57" t="s">
        <v>223</v>
      </c>
      <c r="C57" s="57">
        <v>1.8541618173498644</v>
      </c>
      <c r="D57" s="3">
        <v>44.1</v>
      </c>
      <c r="E57" s="3">
        <v>0</v>
      </c>
      <c r="F57" s="3">
        <f t="shared" si="36"/>
        <v>0</v>
      </c>
      <c r="G57">
        <v>9</v>
      </c>
      <c r="H57" s="44">
        <f>(NWS!M13+NWS!O13+NWS!T13)*NWS!R13</f>
        <v>13</v>
      </c>
      <c r="I57" s="40">
        <f t="shared" si="31"/>
        <v>0.32887250066615836</v>
      </c>
      <c r="J57" s="40">
        <f t="shared" si="32"/>
        <v>0</v>
      </c>
      <c r="K57" s="28">
        <f t="shared" si="37"/>
        <v>0.32887250066615836</v>
      </c>
      <c r="L57" s="44">
        <f t="shared" si="38"/>
        <v>28.554719147366988</v>
      </c>
      <c r="M57" s="48">
        <f t="shared" si="39"/>
        <v>-2.8659370705475473E-2</v>
      </c>
      <c r="N57" s="45">
        <f t="shared" si="40"/>
        <v>0.21666666666666667</v>
      </c>
      <c r="O57" s="27">
        <f t="shared" si="41"/>
        <v>-0.24532603737214215</v>
      </c>
      <c r="P57" s="31">
        <f t="shared" si="42"/>
        <v>-14.719562242328529</v>
      </c>
      <c r="Q57" s="31">
        <f t="shared" si="43"/>
        <v>-1.7195622423285286</v>
      </c>
      <c r="R57" s="39" t="str">
        <f t="shared" si="44"/>
        <v>YES</v>
      </c>
      <c r="S57" s="60">
        <f t="shared" si="15"/>
        <v>0.51548615016533295</v>
      </c>
      <c r="T57" s="44">
        <v>0</v>
      </c>
      <c r="U57" s="44"/>
      <c r="V57" s="61">
        <f t="shared" ref="V57:V80" si="49">S57</f>
        <v>0.51548615016533295</v>
      </c>
      <c r="W57" s="45"/>
      <c r="X57" s="67">
        <f t="shared" si="17"/>
        <v>13</v>
      </c>
      <c r="Y57" s="27">
        <f t="shared" si="18"/>
        <v>-0.24532603737214215</v>
      </c>
      <c r="Z57" s="31">
        <f t="shared" si="19"/>
        <v>-14.719562242328529</v>
      </c>
      <c r="AA57" s="63" t="str">
        <f t="shared" si="20"/>
        <v>Y</v>
      </c>
      <c r="AE57" s="48">
        <f t="shared" si="45"/>
        <v>-3.0026723756674856</v>
      </c>
      <c r="AF57" s="48">
        <f t="shared" si="46"/>
        <v>-15.013361878337427</v>
      </c>
      <c r="AG57" s="48">
        <f t="shared" si="47"/>
        <v>-2.0133618783374274</v>
      </c>
      <c r="AH57" s="48">
        <f t="shared" si="48"/>
        <v>-0.2937996360088988</v>
      </c>
      <c r="AM57" s="59">
        <f>[1]RES_NWS!AJ4</f>
        <v>0</v>
      </c>
      <c r="AN57" s="55">
        <v>2</v>
      </c>
    </row>
    <row r="58" spans="1:40" x14ac:dyDescent="0.3">
      <c r="A58" t="s">
        <v>47</v>
      </c>
      <c r="B58" t="s">
        <v>226</v>
      </c>
      <c r="C58" s="57">
        <v>1.268522267041589</v>
      </c>
      <c r="D58" s="3">
        <v>78</v>
      </c>
      <c r="E58" s="3">
        <v>0</v>
      </c>
      <c r="F58" s="3">
        <f t="shared" si="36"/>
        <v>0</v>
      </c>
      <c r="G58">
        <v>12</v>
      </c>
      <c r="H58" s="44">
        <f>(NWS!M16+NWS!O16+NWS!T16)*NWS!R16</f>
        <v>80</v>
      </c>
      <c r="I58" s="40">
        <f t="shared" si="31"/>
        <v>0.58167925287891953</v>
      </c>
      <c r="J58" s="40">
        <f t="shared" si="32"/>
        <v>0</v>
      </c>
      <c r="K58" s="28">
        <f t="shared" si="37"/>
        <v>0.58167925287891953</v>
      </c>
      <c r="L58" s="44">
        <f t="shared" si="38"/>
        <v>62.891694447754148</v>
      </c>
      <c r="M58" s="48">
        <f t="shared" si="39"/>
        <v>-0.17636535818754151</v>
      </c>
      <c r="N58" s="45">
        <f t="shared" si="40"/>
        <v>1.3333333333333333</v>
      </c>
      <c r="O58" s="27">
        <f t="shared" si="41"/>
        <v>-1.5096986915208748</v>
      </c>
      <c r="P58" s="31">
        <f t="shared" si="42"/>
        <v>-90.581921491252487</v>
      </c>
      <c r="Q58" s="31">
        <f t="shared" si="43"/>
        <v>-10.581921491252487</v>
      </c>
      <c r="R58" s="39" t="str">
        <f t="shared" si="44"/>
        <v>NO</v>
      </c>
      <c r="S58" s="60">
        <f t="shared" si="15"/>
        <v>1.440284321906788</v>
      </c>
      <c r="T58" s="44">
        <v>0</v>
      </c>
      <c r="U58" s="44"/>
      <c r="V58" s="61">
        <f t="shared" si="49"/>
        <v>1.440284321906788</v>
      </c>
      <c r="W58" s="45"/>
      <c r="X58" s="67">
        <f t="shared" si="17"/>
        <v>80</v>
      </c>
      <c r="Y58" s="27">
        <f t="shared" si="18"/>
        <v>-1.5096986915208748</v>
      </c>
      <c r="Z58" s="31">
        <f t="shared" si="19"/>
        <v>-90.581921491252487</v>
      </c>
      <c r="AA58" s="63" t="str">
        <f t="shared" si="20"/>
        <v>N</v>
      </c>
      <c r="AE58" s="48">
        <f t="shared" si="45"/>
        <v>-18.477983850261449</v>
      </c>
      <c r="AF58" s="48">
        <f t="shared" si="46"/>
        <v>-92.389919251307248</v>
      </c>
      <c r="AG58" s="48">
        <f t="shared" si="47"/>
        <v>-12.389919251307248</v>
      </c>
      <c r="AH58" s="48">
        <f t="shared" si="48"/>
        <v>-1.8079977600547608</v>
      </c>
      <c r="AM58" s="59">
        <f>[1]RES_NWS!AJ5</f>
        <v>0</v>
      </c>
      <c r="AN58" s="55"/>
    </row>
    <row r="59" spans="1:40" x14ac:dyDescent="0.3">
      <c r="A59" t="s">
        <v>49</v>
      </c>
      <c r="B59" t="s">
        <v>227</v>
      </c>
      <c r="C59" s="57">
        <v>3.2200949855671128</v>
      </c>
      <c r="D59" s="3">
        <v>22</v>
      </c>
      <c r="E59" s="3">
        <v>0</v>
      </c>
      <c r="F59" s="3">
        <f t="shared" si="36"/>
        <v>0</v>
      </c>
      <c r="G59">
        <v>12</v>
      </c>
      <c r="H59" s="44">
        <f>(NWS!M17+NWS!O17+NWS!T17)*NWS!R17</f>
        <v>5</v>
      </c>
      <c r="I59" s="40">
        <f t="shared" si="31"/>
        <v>0.16406337901713117</v>
      </c>
      <c r="J59" s="40">
        <f t="shared" si="32"/>
        <v>0</v>
      </c>
      <c r="K59" s="28">
        <f t="shared" si="37"/>
        <v>0.16406337901713117</v>
      </c>
      <c r="L59" s="44">
        <f t="shared" si="38"/>
        <v>17.738683049366557</v>
      </c>
      <c r="M59" s="48">
        <f t="shared" si="39"/>
        <v>-1.1022834886721344E-2</v>
      </c>
      <c r="N59" s="45">
        <f t="shared" si="40"/>
        <v>8.3333333333333329E-2</v>
      </c>
      <c r="O59" s="27">
        <f t="shared" si="41"/>
        <v>-9.4356168220054673E-2</v>
      </c>
      <c r="P59" s="31">
        <f t="shared" si="42"/>
        <v>-5.6613700932032804</v>
      </c>
      <c r="Q59" s="31">
        <f t="shared" si="43"/>
        <v>-0.66137009320328044</v>
      </c>
      <c r="R59" s="39" t="str">
        <f t="shared" si="44"/>
        <v>YES</v>
      </c>
      <c r="S59" s="60">
        <f t="shared" si="15"/>
        <v>0.31915391224070866</v>
      </c>
      <c r="T59" s="44">
        <v>0</v>
      </c>
      <c r="U59" s="44"/>
      <c r="V59" s="61">
        <f t="shared" si="49"/>
        <v>0.31915391224070866</v>
      </c>
      <c r="W59" s="45"/>
      <c r="X59" s="67">
        <f t="shared" si="17"/>
        <v>5</v>
      </c>
      <c r="Y59" s="27">
        <f t="shared" si="18"/>
        <v>-9.4356168220054673E-2</v>
      </c>
      <c r="Z59" s="31">
        <f t="shared" si="19"/>
        <v>-5.6613700932032804</v>
      </c>
      <c r="AA59" s="63" t="str">
        <f t="shared" si="20"/>
        <v>Y</v>
      </c>
      <c r="AE59" s="48">
        <f t="shared" si="45"/>
        <v>-1.1548739906413406</v>
      </c>
      <c r="AF59" s="48">
        <f t="shared" si="46"/>
        <v>-5.774369953206703</v>
      </c>
      <c r="AG59" s="48">
        <f t="shared" si="47"/>
        <v>-0.77436995320670299</v>
      </c>
      <c r="AH59" s="48">
        <f t="shared" si="48"/>
        <v>-0.11299986000342255</v>
      </c>
      <c r="AM59" s="59">
        <f>[1]RES_NWS!AJ6</f>
        <v>0</v>
      </c>
      <c r="AN59" s="55"/>
    </row>
    <row r="60" spans="1:40" x14ac:dyDescent="0.3">
      <c r="A60" t="s">
        <v>51</v>
      </c>
      <c r="B60" t="s">
        <v>228</v>
      </c>
      <c r="C60" s="57">
        <v>1.1416700403374309</v>
      </c>
      <c r="D60" s="3">
        <v>39</v>
      </c>
      <c r="E60" s="3">
        <v>0</v>
      </c>
      <c r="F60" s="3">
        <f t="shared" si="36"/>
        <v>0</v>
      </c>
      <c r="G60">
        <v>12</v>
      </c>
      <c r="H60" s="44">
        <f>(NWS!M18+NWS!O18+NWS!T18)*NWS!R18</f>
        <v>25</v>
      </c>
      <c r="I60" s="40">
        <f t="shared" si="31"/>
        <v>0.29083962643945976</v>
      </c>
      <c r="J60" s="40">
        <f t="shared" si="32"/>
        <v>0</v>
      </c>
      <c r="K60" s="28">
        <f t="shared" si="37"/>
        <v>0.29083962643945976</v>
      </c>
      <c r="L60" s="44">
        <f t="shared" si="38"/>
        <v>31.445847223877074</v>
      </c>
      <c r="M60" s="48">
        <f t="shared" si="39"/>
        <v>-5.5114174433606666E-2</v>
      </c>
      <c r="N60" s="45">
        <f t="shared" si="40"/>
        <v>0.41666666666666669</v>
      </c>
      <c r="O60" s="27">
        <f t="shared" si="41"/>
        <v>-0.47178084110027335</v>
      </c>
      <c r="P60" s="31">
        <f t="shared" si="42"/>
        <v>-28.3068504660164</v>
      </c>
      <c r="Q60" s="31">
        <f t="shared" si="43"/>
        <v>-3.3068504660163995</v>
      </c>
      <c r="R60" s="39" t="str">
        <f t="shared" si="44"/>
        <v>YES</v>
      </c>
      <c r="S60" s="60">
        <f t="shared" si="15"/>
        <v>0.90017770119174245</v>
      </c>
      <c r="T60" s="44">
        <v>0</v>
      </c>
      <c r="U60" s="44"/>
      <c r="V60" s="61">
        <f t="shared" si="49"/>
        <v>0.90017770119174245</v>
      </c>
      <c r="W60" s="45"/>
      <c r="X60" s="67">
        <f t="shared" si="17"/>
        <v>25</v>
      </c>
      <c r="Y60" s="27">
        <f t="shared" si="18"/>
        <v>-0.47178084110027335</v>
      </c>
      <c r="Z60" s="31">
        <f t="shared" si="19"/>
        <v>-28.3068504660164</v>
      </c>
      <c r="AA60" s="63" t="str">
        <f t="shared" si="20"/>
        <v>Y</v>
      </c>
      <c r="AE60" s="48">
        <f t="shared" si="45"/>
        <v>-5.774369953206703</v>
      </c>
      <c r="AF60" s="48">
        <f t="shared" si="46"/>
        <v>-28.871849766033513</v>
      </c>
      <c r="AG60" s="48">
        <f t="shared" si="47"/>
        <v>-3.8718497660335132</v>
      </c>
      <c r="AH60" s="48">
        <f t="shared" si="48"/>
        <v>-0.56499930001711363</v>
      </c>
      <c r="AM60" s="59">
        <f>[1]RES_NWS!AJ7</f>
        <v>0</v>
      </c>
      <c r="AN60" s="55"/>
    </row>
    <row r="61" spans="1:40" x14ac:dyDescent="0.3">
      <c r="A61" t="s">
        <v>53</v>
      </c>
      <c r="B61" t="s">
        <v>229</v>
      </c>
      <c r="C61" s="57">
        <v>2.4004344437863923</v>
      </c>
      <c r="D61" s="3">
        <v>164</v>
      </c>
      <c r="E61" s="3">
        <v>0</v>
      </c>
      <c r="F61" s="3">
        <f t="shared" si="36"/>
        <v>0</v>
      </c>
      <c r="G61">
        <v>12</v>
      </c>
      <c r="H61" s="44">
        <f>(NWS!M19+NWS!O19+NWS!T19)*NWS!R19</f>
        <v>50</v>
      </c>
      <c r="I61" s="40">
        <f t="shared" si="31"/>
        <v>1.2230179163095232</v>
      </c>
      <c r="J61" s="40">
        <f t="shared" si="32"/>
        <v>0</v>
      </c>
      <c r="K61" s="28">
        <f t="shared" si="37"/>
        <v>1.2230179163095232</v>
      </c>
      <c r="L61" s="44">
        <f t="shared" si="38"/>
        <v>132.23381909527797</v>
      </c>
      <c r="M61" s="48">
        <f t="shared" si="39"/>
        <v>-0.11022834886721333</v>
      </c>
      <c r="N61" s="45">
        <f t="shared" si="40"/>
        <v>0.83333333333333337</v>
      </c>
      <c r="O61" s="27">
        <f t="shared" si="41"/>
        <v>-0.9435616822005467</v>
      </c>
      <c r="P61" s="31">
        <f t="shared" si="42"/>
        <v>-56.613700932032799</v>
      </c>
      <c r="Q61" s="31">
        <f t="shared" si="43"/>
        <v>-6.6137009320327991</v>
      </c>
      <c r="R61" s="39" t="str">
        <f t="shared" si="44"/>
        <v>YES</v>
      </c>
      <c r="S61" s="60">
        <f t="shared" si="15"/>
        <v>0.42813329690826768</v>
      </c>
      <c r="T61" s="44">
        <v>0</v>
      </c>
      <c r="U61" s="44"/>
      <c r="V61" s="61">
        <f t="shared" si="49"/>
        <v>0.42813329690826768</v>
      </c>
      <c r="W61" s="45"/>
      <c r="X61" s="67">
        <f t="shared" si="17"/>
        <v>50</v>
      </c>
      <c r="Y61" s="27">
        <f t="shared" si="18"/>
        <v>-0.9435616822005467</v>
      </c>
      <c r="Z61" s="31">
        <f t="shared" si="19"/>
        <v>-56.613700932032799</v>
      </c>
      <c r="AA61" s="63" t="str">
        <f t="shared" si="20"/>
        <v>Y</v>
      </c>
      <c r="AE61" s="48">
        <f t="shared" si="45"/>
        <v>-11.548739906413406</v>
      </c>
      <c r="AF61" s="48">
        <f t="shared" si="46"/>
        <v>-57.743699532067026</v>
      </c>
      <c r="AG61" s="48">
        <f t="shared" si="47"/>
        <v>-7.7436995320670263</v>
      </c>
      <c r="AH61" s="48">
        <f t="shared" si="48"/>
        <v>-1.1299986000342273</v>
      </c>
      <c r="AM61" s="59">
        <f>[1]RES_NWS!AJ8</f>
        <v>0</v>
      </c>
      <c r="AN61" s="55"/>
    </row>
    <row r="62" spans="1:40" x14ac:dyDescent="0.3">
      <c r="A62" t="s">
        <v>61</v>
      </c>
      <c r="B62" t="s">
        <v>238</v>
      </c>
      <c r="C62" s="57">
        <v>1.5369532905948022</v>
      </c>
      <c r="D62" s="3">
        <v>189.8</v>
      </c>
      <c r="E62" s="3">
        <v>0</v>
      </c>
      <c r="F62" s="3">
        <f t="shared" si="36"/>
        <v>0</v>
      </c>
      <c r="G62">
        <v>15</v>
      </c>
      <c r="H62" s="44">
        <v>112</v>
      </c>
      <c r="I62" s="40">
        <f t="shared" si="31"/>
        <v>1.4154195153387044</v>
      </c>
      <c r="J62" s="40">
        <f t="shared" si="32"/>
        <v>0</v>
      </c>
      <c r="K62" s="28">
        <f t="shared" si="37"/>
        <v>1.4154195153387044</v>
      </c>
      <c r="L62" s="44">
        <f t="shared" si="38"/>
        <v>178.98721834303683</v>
      </c>
      <c r="M62" s="48">
        <f t="shared" si="39"/>
        <v>-0.24691150146255803</v>
      </c>
      <c r="N62" s="45">
        <f t="shared" si="40"/>
        <v>1.8666666666666667</v>
      </c>
      <c r="O62" s="27">
        <f t="shared" si="41"/>
        <v>-2.1135781681292247</v>
      </c>
      <c r="P62" s="31">
        <f t="shared" si="42"/>
        <v>-126.81469008775349</v>
      </c>
      <c r="Q62" s="31">
        <f t="shared" si="43"/>
        <v>-14.81469008775349</v>
      </c>
      <c r="R62" s="39" t="str">
        <f t="shared" si="44"/>
        <v>YES</v>
      </c>
      <c r="S62" s="60">
        <f t="shared" si="15"/>
        <v>0.70851254777705741</v>
      </c>
      <c r="T62" s="44">
        <v>0</v>
      </c>
      <c r="U62" s="44"/>
      <c r="V62" s="61">
        <f t="shared" si="49"/>
        <v>0.70851254777705741</v>
      </c>
      <c r="W62" s="45"/>
      <c r="X62" s="67">
        <f t="shared" si="17"/>
        <v>112</v>
      </c>
      <c r="Y62" s="27">
        <f t="shared" si="18"/>
        <v>-2.1135781681292247</v>
      </c>
      <c r="Z62" s="31">
        <f t="shared" si="19"/>
        <v>-126.81469008775349</v>
      </c>
      <c r="AA62" s="63" t="str">
        <f t="shared" si="20"/>
        <v>Y</v>
      </c>
      <c r="AE62" s="48">
        <f t="shared" si="45"/>
        <v>-25.869177390366033</v>
      </c>
      <c r="AF62" s="48">
        <f t="shared" si="46"/>
        <v>-129.34588695183015</v>
      </c>
      <c r="AG62" s="48">
        <f t="shared" si="47"/>
        <v>-17.345886951830153</v>
      </c>
      <c r="AH62" s="48">
        <f t="shared" si="48"/>
        <v>-2.5311968640766622</v>
      </c>
      <c r="AM62" s="59">
        <f>[1]RES_NWS!AJ9</f>
        <v>0</v>
      </c>
      <c r="AN62" s="55"/>
    </row>
    <row r="63" spans="1:40" x14ac:dyDescent="0.3">
      <c r="A63" t="s">
        <v>63</v>
      </c>
      <c r="B63" t="s">
        <v>239</v>
      </c>
      <c r="C63" s="57">
        <v>3.0623943088320726</v>
      </c>
      <c r="D63" s="3">
        <v>157</v>
      </c>
      <c r="E63" s="3">
        <v>0</v>
      </c>
      <c r="F63" s="3">
        <f t="shared" si="36"/>
        <v>0</v>
      </c>
      <c r="G63">
        <v>15</v>
      </c>
      <c r="H63" s="44">
        <f>(NWS!M29+NWS!O29+NWS!T29)*NWS!R29</f>
        <v>229</v>
      </c>
      <c r="I63" s="40">
        <f t="shared" si="31"/>
        <v>1.1708159320767997</v>
      </c>
      <c r="J63" s="40">
        <f t="shared" si="32"/>
        <v>0</v>
      </c>
      <c r="K63" s="28">
        <f t="shared" si="37"/>
        <v>1.1708159320767997</v>
      </c>
      <c r="L63" s="44">
        <f t="shared" si="38"/>
        <v>148.05581285488293</v>
      </c>
      <c r="M63" s="48">
        <f t="shared" si="39"/>
        <v>-0.50484583781183767</v>
      </c>
      <c r="N63" s="45">
        <f t="shared" si="40"/>
        <v>3.8166666666666669</v>
      </c>
      <c r="O63" s="27">
        <f t="shared" si="41"/>
        <v>-4.3215125044785045</v>
      </c>
      <c r="P63" s="31">
        <f t="shared" si="42"/>
        <v>-259.29075026871027</v>
      </c>
      <c r="Q63" s="31">
        <f t="shared" si="43"/>
        <v>-30.290750268710269</v>
      </c>
      <c r="R63" s="39" t="str">
        <f t="shared" si="44"/>
        <v>NO</v>
      </c>
      <c r="S63" s="60">
        <f t="shared" si="15"/>
        <v>1.7513040877554358</v>
      </c>
      <c r="T63" s="44">
        <v>0</v>
      </c>
      <c r="U63" s="44">
        <f>IF(0.3*H63&lt;=300,0.3*H63,300)</f>
        <v>68.7</v>
      </c>
      <c r="V63" s="61">
        <f t="shared" si="49"/>
        <v>1.7513040877554358</v>
      </c>
      <c r="W63" s="45"/>
      <c r="X63" s="67">
        <f t="shared" si="17"/>
        <v>160.30000000000001</v>
      </c>
      <c r="Y63" s="27">
        <f t="shared" si="18"/>
        <v>-3.0250587531349531</v>
      </c>
      <c r="Z63" s="31">
        <f t="shared" si="19"/>
        <v>-181.50352518809717</v>
      </c>
      <c r="AA63" s="63" t="str">
        <f t="shared" si="20"/>
        <v>N</v>
      </c>
      <c r="AE63" s="48">
        <f t="shared" si="45"/>
        <v>-52.893228771373401</v>
      </c>
      <c r="AF63" s="48">
        <f t="shared" si="46"/>
        <v>-264.46614385686701</v>
      </c>
      <c r="AG63" s="48">
        <f t="shared" si="47"/>
        <v>-35.466143856867006</v>
      </c>
      <c r="AH63" s="48">
        <f t="shared" si="48"/>
        <v>-5.1753935881567372</v>
      </c>
      <c r="AM63" s="59">
        <f>[1]RES_NWS!AJ10</f>
        <v>0</v>
      </c>
      <c r="AN63" s="55"/>
    </row>
    <row r="64" spans="1:40" x14ac:dyDescent="0.3">
      <c r="A64" t="s">
        <v>63</v>
      </c>
      <c r="B64" t="s">
        <v>240</v>
      </c>
      <c r="C64" s="57">
        <v>3.9391753545773018</v>
      </c>
      <c r="D64" s="3">
        <v>2885</v>
      </c>
      <c r="E64" s="3">
        <v>0</v>
      </c>
      <c r="F64" s="3">
        <f t="shared" si="36"/>
        <v>0</v>
      </c>
      <c r="G64">
        <v>15</v>
      </c>
      <c r="H64" s="44">
        <f>(NWS!M30+NWS!O30+NWS!T30)*NWS!R30</f>
        <v>820</v>
      </c>
      <c r="I64" s="40">
        <f t="shared" si="31"/>
        <v>21.514674930201064</v>
      </c>
      <c r="J64" s="40">
        <f t="shared" si="32"/>
        <v>0</v>
      </c>
      <c r="K64" s="28">
        <f t="shared" si="37"/>
        <v>21.514674930201064</v>
      </c>
      <c r="L64" s="44">
        <f t="shared" si="38"/>
        <v>2720.6434400403646</v>
      </c>
      <c r="M64" s="48">
        <f t="shared" si="39"/>
        <v>-1.8077449214223016</v>
      </c>
      <c r="N64" s="45">
        <f t="shared" si="40"/>
        <v>13.666666666666666</v>
      </c>
      <c r="O64" s="27">
        <f t="shared" si="41"/>
        <v>-15.474411588088968</v>
      </c>
      <c r="P64" s="31">
        <f t="shared" si="42"/>
        <v>-928.46469528533805</v>
      </c>
      <c r="Q64" s="31">
        <f t="shared" si="43"/>
        <v>-108.46469528533805</v>
      </c>
      <c r="R64" s="39" t="str">
        <f t="shared" si="44"/>
        <v>YES</v>
      </c>
      <c r="S64" s="60">
        <f t="shared" si="15"/>
        <v>0.3412665848162606</v>
      </c>
      <c r="T64" s="44">
        <v>0</v>
      </c>
      <c r="U64" s="44">
        <f>IF(0.3*H64&lt;=300,0.3*H64,300)</f>
        <v>246</v>
      </c>
      <c r="V64" s="61">
        <f t="shared" si="49"/>
        <v>0.3412665848162606</v>
      </c>
      <c r="W64" s="45"/>
      <c r="X64" s="67">
        <f t="shared" si="17"/>
        <v>574</v>
      </c>
      <c r="Y64" s="27">
        <f t="shared" si="18"/>
        <v>-10.832088111662276</v>
      </c>
      <c r="Z64" s="31">
        <f t="shared" si="19"/>
        <v>-649.9252866997366</v>
      </c>
      <c r="AA64" s="63" t="str">
        <f t="shared" si="20"/>
        <v>Y</v>
      </c>
      <c r="AE64" s="48">
        <f t="shared" si="45"/>
        <v>-189.39933446517986</v>
      </c>
      <c r="AF64" s="48">
        <f t="shared" si="46"/>
        <v>-946.99667232589934</v>
      </c>
      <c r="AG64" s="48">
        <f t="shared" si="47"/>
        <v>-126.99667232589934</v>
      </c>
      <c r="AH64" s="48">
        <f t="shared" si="48"/>
        <v>-18.531977040561287</v>
      </c>
      <c r="AM64" s="59">
        <f>[1]RES_NWS!AJ11</f>
        <v>0</v>
      </c>
      <c r="AN64" s="55"/>
    </row>
    <row r="65" spans="1:40" x14ac:dyDescent="0.3">
      <c r="A65" t="s">
        <v>66</v>
      </c>
      <c r="B65" t="s">
        <v>241</v>
      </c>
      <c r="C65" s="57">
        <v>1.4786531253475823</v>
      </c>
      <c r="D65" s="3">
        <v>0</v>
      </c>
      <c r="E65" s="3">
        <v>9.765625</v>
      </c>
      <c r="F65" s="3">
        <f t="shared" si="36"/>
        <v>10</v>
      </c>
      <c r="G65">
        <v>15</v>
      </c>
      <c r="H65" s="44">
        <f>(NWS!M31+NWS!O31+NWS!T31)*NWS!R31</f>
        <v>231</v>
      </c>
      <c r="I65" s="40">
        <f t="shared" si="31"/>
        <v>0</v>
      </c>
      <c r="J65" s="40">
        <f t="shared" si="32"/>
        <v>0.76166503469077451</v>
      </c>
      <c r="K65" s="28">
        <f t="shared" si="37"/>
        <v>0.76166503469077451</v>
      </c>
      <c r="L65" s="44">
        <f t="shared" si="38"/>
        <v>96.316536822534573</v>
      </c>
      <c r="M65" s="48">
        <f t="shared" si="39"/>
        <v>-0.50925497176652668</v>
      </c>
      <c r="N65" s="45">
        <f t="shared" si="40"/>
        <v>3.85</v>
      </c>
      <c r="O65" s="27">
        <f t="shared" si="41"/>
        <v>-4.3592549717665268</v>
      </c>
      <c r="P65" s="31">
        <f t="shared" si="42"/>
        <v>-261.55529830599158</v>
      </c>
      <c r="Q65" s="31">
        <f t="shared" si="43"/>
        <v>-30.555298305991585</v>
      </c>
      <c r="R65" s="39" t="str">
        <f t="shared" si="44"/>
        <v>NO</v>
      </c>
      <c r="S65" s="60">
        <f t="shared" si="15"/>
        <v>2.7155803866568959</v>
      </c>
      <c r="T65" s="44">
        <v>0</v>
      </c>
      <c r="U65" s="44">
        <f t="shared" ref="U65:U67" si="50">IF(0.3*H65&lt;=300,0.3*H65,300)</f>
        <v>69.3</v>
      </c>
      <c r="V65" s="61">
        <f t="shared" si="49"/>
        <v>2.7155803866568959</v>
      </c>
      <c r="W65" s="45"/>
      <c r="X65" s="67">
        <f t="shared" si="17"/>
        <v>161.69999999999999</v>
      </c>
      <c r="Y65" s="27">
        <f t="shared" si="18"/>
        <v>-3.0514784802365682</v>
      </c>
      <c r="Z65" s="31">
        <f t="shared" si="19"/>
        <v>-183.08870881419409</v>
      </c>
      <c r="AA65" s="63" t="str">
        <f t="shared" si="20"/>
        <v>N</v>
      </c>
      <c r="AE65" s="48">
        <f t="shared" si="45"/>
        <v>-53.355178367629939</v>
      </c>
      <c r="AF65" s="48">
        <f t="shared" si="46"/>
        <v>-266.77589183814968</v>
      </c>
      <c r="AG65" s="48">
        <f t="shared" si="47"/>
        <v>-35.775891838149676</v>
      </c>
      <c r="AH65" s="48">
        <f t="shared" si="48"/>
        <v>-5.220593532158091</v>
      </c>
      <c r="AM65" s="59">
        <f>[1]RES_NWS!AJ12</f>
        <v>0</v>
      </c>
      <c r="AN65" s="55"/>
    </row>
    <row r="66" spans="1:40" x14ac:dyDescent="0.3">
      <c r="A66" t="s">
        <v>66</v>
      </c>
      <c r="B66" t="s">
        <v>242</v>
      </c>
      <c r="C66" s="57">
        <v>1.5176643992929222</v>
      </c>
      <c r="D66" s="3">
        <v>0</v>
      </c>
      <c r="E66" s="3">
        <v>35.15625</v>
      </c>
      <c r="F66" s="3">
        <f t="shared" si="36"/>
        <v>36</v>
      </c>
      <c r="G66">
        <v>15</v>
      </c>
      <c r="H66" s="44">
        <f>(NWS!M32+NWS!O32+NWS!T32)*NWS!R32</f>
        <v>399</v>
      </c>
      <c r="I66" s="40">
        <f t="shared" si="31"/>
        <v>0</v>
      </c>
      <c r="J66" s="40">
        <f t="shared" si="32"/>
        <v>2.7419941248867885</v>
      </c>
      <c r="K66" s="28">
        <f t="shared" si="37"/>
        <v>2.7419941248867885</v>
      </c>
      <c r="L66" s="44">
        <f t="shared" si="38"/>
        <v>346.73953256112452</v>
      </c>
      <c r="M66" s="48">
        <f t="shared" si="39"/>
        <v>-0.8796222239603626</v>
      </c>
      <c r="N66" s="45">
        <f t="shared" si="40"/>
        <v>6.65</v>
      </c>
      <c r="O66" s="27">
        <f t="shared" si="41"/>
        <v>-7.529622223960363</v>
      </c>
      <c r="P66" s="31">
        <f t="shared" si="42"/>
        <v>-451.77733343762179</v>
      </c>
      <c r="Q66" s="31">
        <f t="shared" si="43"/>
        <v>-52.777333437621792</v>
      </c>
      <c r="R66" s="39" t="str">
        <f t="shared" si="44"/>
        <v>NO</v>
      </c>
      <c r="S66" s="60">
        <f t="shared" si="15"/>
        <v>1.3029299834969952</v>
      </c>
      <c r="T66" s="44">
        <v>0</v>
      </c>
      <c r="U66" s="44">
        <f t="shared" si="50"/>
        <v>119.69999999999999</v>
      </c>
      <c r="V66" s="61">
        <f t="shared" si="49"/>
        <v>1.3029299834969952</v>
      </c>
      <c r="W66" s="45"/>
      <c r="X66" s="67">
        <f t="shared" si="17"/>
        <v>279.3</v>
      </c>
      <c r="Y66" s="27">
        <f t="shared" si="18"/>
        <v>-5.2707355567722542</v>
      </c>
      <c r="Z66" s="31">
        <f t="shared" si="19"/>
        <v>-316.24413340633527</v>
      </c>
      <c r="AA66" s="63" t="str">
        <f t="shared" si="20"/>
        <v>Y</v>
      </c>
      <c r="AE66" s="48">
        <f t="shared" si="45"/>
        <v>-92.158944453178975</v>
      </c>
      <c r="AF66" s="48">
        <f t="shared" si="46"/>
        <v>-460.79472226589485</v>
      </c>
      <c r="AG66" s="48">
        <f t="shared" si="47"/>
        <v>-61.794722265894848</v>
      </c>
      <c r="AH66" s="48">
        <f t="shared" si="48"/>
        <v>-9.0173888282730559</v>
      </c>
      <c r="AM66" s="59">
        <f>[1]RES_NWS!AJ13</f>
        <v>0</v>
      </c>
      <c r="AN66" s="54"/>
    </row>
    <row r="67" spans="1:40" x14ac:dyDescent="0.3">
      <c r="A67" t="s">
        <v>66</v>
      </c>
      <c r="B67" t="s">
        <v>243</v>
      </c>
      <c r="C67" s="57">
        <v>1.5294179446279477</v>
      </c>
      <c r="D67" s="3">
        <v>0</v>
      </c>
      <c r="E67" s="3">
        <v>65.4296875</v>
      </c>
      <c r="F67" s="3">
        <f t="shared" si="36"/>
        <v>67</v>
      </c>
      <c r="G67">
        <v>15</v>
      </c>
      <c r="H67" s="44">
        <f>(NWS!M33+NWS!O33+NWS!T33)*NWS!R33</f>
        <v>598</v>
      </c>
      <c r="I67" s="40">
        <f t="shared" si="31"/>
        <v>0</v>
      </c>
      <c r="J67" s="40">
        <f t="shared" si="32"/>
        <v>5.1031557324281893</v>
      </c>
      <c r="K67" s="28">
        <f t="shared" si="37"/>
        <v>5.1031557324281893</v>
      </c>
      <c r="L67" s="44">
        <f t="shared" si="38"/>
        <v>645.32079671098177</v>
      </c>
      <c r="M67" s="48">
        <f t="shared" si="39"/>
        <v>-1.3183310524518728</v>
      </c>
      <c r="N67" s="45">
        <f t="shared" si="40"/>
        <v>9.9666666666666668</v>
      </c>
      <c r="O67" s="27">
        <f t="shared" si="41"/>
        <v>-11.28499771911854</v>
      </c>
      <c r="P67" s="31">
        <f t="shared" si="42"/>
        <v>-677.09986314711239</v>
      </c>
      <c r="Q67" s="31">
        <f t="shared" si="43"/>
        <v>-79.099863147112387</v>
      </c>
      <c r="R67" s="39" t="str">
        <f t="shared" si="44"/>
        <v>NO</v>
      </c>
      <c r="S67" s="60">
        <f t="shared" si="15"/>
        <v>1.0492453777998472</v>
      </c>
      <c r="T67" s="44">
        <v>0</v>
      </c>
      <c r="U67" s="44">
        <f t="shared" si="50"/>
        <v>179.4</v>
      </c>
      <c r="V67" s="61">
        <f t="shared" si="49"/>
        <v>1.0492453777998472</v>
      </c>
      <c r="W67" s="45"/>
      <c r="X67" s="67">
        <f t="shared" si="17"/>
        <v>418.6</v>
      </c>
      <c r="Y67" s="27">
        <f t="shared" si="18"/>
        <v>-7.899498403382978</v>
      </c>
      <c r="Z67" s="31">
        <f t="shared" si="19"/>
        <v>-473.96990420297868</v>
      </c>
      <c r="AA67" s="63" t="str">
        <f t="shared" si="20"/>
        <v>Y</v>
      </c>
      <c r="AE67" s="48">
        <f t="shared" si="45"/>
        <v>-138.12292928070434</v>
      </c>
      <c r="AF67" s="48">
        <f t="shared" si="46"/>
        <v>-690.61464640352165</v>
      </c>
      <c r="AG67" s="48">
        <f t="shared" si="47"/>
        <v>-92.614646403521647</v>
      </c>
      <c r="AH67" s="48">
        <f t="shared" si="48"/>
        <v>-13.51478325640926</v>
      </c>
      <c r="AM67" s="59">
        <f>[1]RES_NWS!AJ14</f>
        <v>0</v>
      </c>
      <c r="AN67" s="54"/>
    </row>
    <row r="68" spans="1:40" x14ac:dyDescent="0.3">
      <c r="A68" t="s">
        <v>70</v>
      </c>
      <c r="B68" t="s">
        <v>244</v>
      </c>
      <c r="C68" s="57">
        <v>11.024480369006032</v>
      </c>
      <c r="D68" s="3">
        <v>0</v>
      </c>
      <c r="E68" s="3">
        <v>10.7421875</v>
      </c>
      <c r="F68" s="3">
        <f t="shared" si="36"/>
        <v>11</v>
      </c>
      <c r="G68">
        <v>6</v>
      </c>
      <c r="H68" s="44">
        <f>(NWS!M34+NWS!O34+NWS!T34)*NWS!R34</f>
        <v>76</v>
      </c>
      <c r="I68" s="40">
        <f t="shared" si="31"/>
        <v>0</v>
      </c>
      <c r="J68" s="40">
        <f t="shared" si="32"/>
        <v>0.83783153815985212</v>
      </c>
      <c r="K68" s="28">
        <f t="shared" si="37"/>
        <v>0.83783153815985212</v>
      </c>
      <c r="L68" s="44">
        <f t="shared" si="38"/>
        <v>52.023287260635634</v>
      </c>
      <c r="M68" s="48">
        <f t="shared" si="39"/>
        <v>-0.16754709027816461</v>
      </c>
      <c r="N68" s="45">
        <f t="shared" si="40"/>
        <v>1.2666666666666666</v>
      </c>
      <c r="O68" s="27">
        <f t="shared" si="41"/>
        <v>-1.4342137569448312</v>
      </c>
      <c r="P68" s="31">
        <f t="shared" si="42"/>
        <v>-86.052825416689871</v>
      </c>
      <c r="Q68" s="31">
        <f t="shared" si="43"/>
        <v>-10.052825416689871</v>
      </c>
      <c r="R68" s="39" t="str">
        <f t="shared" si="44"/>
        <v>NO</v>
      </c>
      <c r="S68" s="60">
        <f t="shared" si="15"/>
        <v>1.6541212589194321</v>
      </c>
      <c r="T68" s="44">
        <v>0</v>
      </c>
      <c r="U68" s="44"/>
      <c r="V68" s="61">
        <f t="shared" si="49"/>
        <v>1.6541212589194321</v>
      </c>
      <c r="W68" s="45"/>
      <c r="X68" s="67">
        <f t="shared" si="17"/>
        <v>76</v>
      </c>
      <c r="Y68" s="27">
        <f t="shared" si="18"/>
        <v>-1.4342137569448312</v>
      </c>
      <c r="Z68" s="31">
        <f t="shared" si="19"/>
        <v>-86.052825416689871</v>
      </c>
      <c r="AA68" s="63" t="str">
        <f t="shared" si="20"/>
        <v>N</v>
      </c>
      <c r="AE68" s="48">
        <f t="shared" si="45"/>
        <v>-17.554084657748376</v>
      </c>
      <c r="AF68" s="48">
        <f t="shared" si="46"/>
        <v>-87.770423288741881</v>
      </c>
      <c r="AG68" s="48">
        <f t="shared" si="47"/>
        <v>-11.770423288741881</v>
      </c>
      <c r="AH68" s="48">
        <f t="shared" si="48"/>
        <v>-1.7175978720520106</v>
      </c>
      <c r="AM68" s="59">
        <f>[1]RES_NWS!AJ15</f>
        <v>0</v>
      </c>
      <c r="AN68" s="54"/>
    </row>
    <row r="69" spans="1:40" x14ac:dyDescent="0.3">
      <c r="A69" t="s">
        <v>70</v>
      </c>
      <c r="B69" t="s">
        <v>245</v>
      </c>
      <c r="C69" s="57">
        <v>24.425305254805508</v>
      </c>
      <c r="D69" s="3">
        <v>257</v>
      </c>
      <c r="E69" s="3">
        <v>0</v>
      </c>
      <c r="F69" s="3">
        <f t="shared" si="36"/>
        <v>0</v>
      </c>
      <c r="G69">
        <v>6</v>
      </c>
      <c r="H69" s="44">
        <f>(NWS!M35+NWS!O35+NWS!T35)*NWS!R35</f>
        <v>76</v>
      </c>
      <c r="I69" s="40">
        <f t="shared" si="31"/>
        <v>1.9165585639728502</v>
      </c>
      <c r="J69" s="40">
        <f t="shared" si="32"/>
        <v>0</v>
      </c>
      <c r="K69" s="28">
        <f t="shared" si="37"/>
        <v>1.9165585639728502</v>
      </c>
      <c r="L69" s="44">
        <f t="shared" si="38"/>
        <v>119.00444443088963</v>
      </c>
      <c r="M69" s="48">
        <f t="shared" si="39"/>
        <v>-0.16754709027816461</v>
      </c>
      <c r="N69" s="45">
        <f t="shared" si="40"/>
        <v>1.2666666666666666</v>
      </c>
      <c r="O69" s="27">
        <f t="shared" si="41"/>
        <v>-1.4342137569448312</v>
      </c>
      <c r="P69" s="31">
        <f t="shared" si="42"/>
        <v>-86.052825416689871</v>
      </c>
      <c r="Q69" s="31">
        <f t="shared" si="43"/>
        <v>-10.052825416689871</v>
      </c>
      <c r="R69" s="39" t="str">
        <f t="shared" si="44"/>
        <v>YES</v>
      </c>
      <c r="S69" s="60">
        <f t="shared" si="15"/>
        <v>0.7231059800179479</v>
      </c>
      <c r="T69" s="44">
        <v>0</v>
      </c>
      <c r="U69" s="44"/>
      <c r="V69" s="61">
        <f t="shared" si="49"/>
        <v>0.7231059800179479</v>
      </c>
      <c r="W69" s="45"/>
      <c r="X69" s="67">
        <f t="shared" si="17"/>
        <v>76</v>
      </c>
      <c r="Y69" s="27">
        <f t="shared" si="18"/>
        <v>-1.4342137569448312</v>
      </c>
      <c r="Z69" s="31">
        <f t="shared" si="19"/>
        <v>-86.052825416689871</v>
      </c>
      <c r="AA69" s="63" t="str">
        <f t="shared" si="20"/>
        <v>Y</v>
      </c>
      <c r="AE69" s="48">
        <f t="shared" si="45"/>
        <v>-17.554084657748376</v>
      </c>
      <c r="AF69" s="48">
        <f t="shared" si="46"/>
        <v>-87.770423288741881</v>
      </c>
      <c r="AG69" s="48">
        <f t="shared" si="47"/>
        <v>-11.770423288741881</v>
      </c>
      <c r="AH69" s="48">
        <f t="shared" si="48"/>
        <v>-1.7175978720520106</v>
      </c>
      <c r="AM69" s="59">
        <f>[1]RES_NWS!AJ16</f>
        <v>0</v>
      </c>
      <c r="AN69" s="54"/>
    </row>
    <row r="70" spans="1:40" x14ac:dyDescent="0.3">
      <c r="A70" t="s">
        <v>72</v>
      </c>
      <c r="B70" t="s">
        <v>246</v>
      </c>
      <c r="C70" s="57">
        <v>11.874780165571043</v>
      </c>
      <c r="D70" s="3">
        <v>0</v>
      </c>
      <c r="E70" s="3">
        <v>21.484375</v>
      </c>
      <c r="F70" s="3">
        <f t="shared" si="36"/>
        <v>22</v>
      </c>
      <c r="G70">
        <v>12</v>
      </c>
      <c r="H70" s="44">
        <f>(NWS!M36+NWS!O36+NWS!T36)*NWS!R36</f>
        <v>31.6</v>
      </c>
      <c r="I70" s="40">
        <f t="shared" ref="I70:I80" si="51">(D70*$H$2)/12</f>
        <v>0</v>
      </c>
      <c r="J70" s="40">
        <f t="shared" ref="J70:J80" si="52">($H$3*F70)/12</f>
        <v>1.6756630763197042</v>
      </c>
      <c r="K70" s="28">
        <f t="shared" si="37"/>
        <v>1.6756630763197042</v>
      </c>
      <c r="L70" s="44">
        <f t="shared" si="38"/>
        <v>181.17422904753184</v>
      </c>
      <c r="M70" s="48">
        <f t="shared" si="39"/>
        <v>-6.9664316484078781E-2</v>
      </c>
      <c r="N70" s="45">
        <f t="shared" si="40"/>
        <v>0.52666666666666673</v>
      </c>
      <c r="O70" s="27">
        <f t="shared" si="41"/>
        <v>-0.59633098315074551</v>
      </c>
      <c r="P70" s="31">
        <f t="shared" si="42"/>
        <v>-35.779858989044733</v>
      </c>
      <c r="Q70" s="31">
        <f t="shared" si="43"/>
        <v>-4.1798589890447317</v>
      </c>
      <c r="R70" s="39" t="str">
        <f t="shared" si="44"/>
        <v>YES</v>
      </c>
      <c r="S70" s="60">
        <f t="shared" ref="S70:S97" si="53">ABS(P70)/L70</f>
        <v>0.1974886780374141</v>
      </c>
      <c r="T70" s="44">
        <v>0</v>
      </c>
      <c r="U70" s="44"/>
      <c r="V70" s="61">
        <f t="shared" si="49"/>
        <v>0.1974886780374141</v>
      </c>
      <c r="W70" s="45"/>
      <c r="X70" s="67">
        <f t="shared" ref="X70:X97" si="54">H70-T70-U70</f>
        <v>31.6</v>
      </c>
      <c r="Y70" s="27">
        <f t="shared" ref="Y70:Y97" si="55">PMT($B$1/12,IF(X70&lt;1000,5*$B$3,$B$2*$B$3),X70)</f>
        <v>-0.59633098315074551</v>
      </c>
      <c r="Z70" s="31">
        <f t="shared" ref="Z70:Z97" si="56">Y70*IF(X70&lt;1000,5*$B$3,$B$2*$B$3)</f>
        <v>-35.779858989044733</v>
      </c>
      <c r="AA70" s="63" t="str">
        <f t="shared" ref="AA70:AA97" si="57">IF(ABS(Z70)&gt;L70,"N","Y")</f>
        <v>Y</v>
      </c>
      <c r="AE70" s="48">
        <f t="shared" ref="AE70:AE80" si="58">PMT($B$1,IF(H70&lt;1000,5,10),H70)</f>
        <v>-7.2988036208532723</v>
      </c>
      <c r="AF70" s="48">
        <f t="shared" ref="AF70:AF80" si="59">AE70*IF(H70&lt;1000,5,10)</f>
        <v>-36.49401810426636</v>
      </c>
      <c r="AG70" s="48">
        <f t="shared" ref="AG70:AG80" si="60">AF70+H70</f>
        <v>-4.8940181042663582</v>
      </c>
      <c r="AH70" s="48">
        <f t="shared" ref="AH70:AH80" si="61">AF70-P70</f>
        <v>-0.71415911522162645</v>
      </c>
      <c r="AM70" s="59">
        <f>[1]RES_NWS!AJ17</f>
        <v>0</v>
      </c>
      <c r="AN70" s="54"/>
    </row>
    <row r="71" spans="1:40" x14ac:dyDescent="0.3">
      <c r="A71" t="s">
        <v>72</v>
      </c>
      <c r="B71" t="s">
        <v>247</v>
      </c>
      <c r="C71" s="57">
        <v>21.970066888205533</v>
      </c>
      <c r="D71" s="3">
        <v>424</v>
      </c>
      <c r="E71" s="3">
        <v>0</v>
      </c>
      <c r="F71" s="3">
        <f t="shared" si="36"/>
        <v>0</v>
      </c>
      <c r="G71">
        <v>12</v>
      </c>
      <c r="H71" s="44">
        <f>(NWS!M37+NWS!O37+NWS!T37)*NWS!R37</f>
        <v>31.6</v>
      </c>
      <c r="I71" s="40">
        <f t="shared" si="51"/>
        <v>3.1619487592392552</v>
      </c>
      <c r="J71" s="40">
        <f t="shared" si="52"/>
        <v>0</v>
      </c>
      <c r="K71" s="28">
        <f t="shared" si="37"/>
        <v>3.1619487592392552</v>
      </c>
      <c r="L71" s="44">
        <f t="shared" si="38"/>
        <v>341.8728005877918</v>
      </c>
      <c r="M71" s="48">
        <f t="shared" si="39"/>
        <v>-6.9664316484078781E-2</v>
      </c>
      <c r="N71" s="45">
        <f t="shared" si="40"/>
        <v>0.52666666666666673</v>
      </c>
      <c r="O71" s="27">
        <f t="shared" si="41"/>
        <v>-0.59633098315074551</v>
      </c>
      <c r="P71" s="31">
        <f t="shared" si="42"/>
        <v>-35.779858989044733</v>
      </c>
      <c r="Q71" s="31">
        <f t="shared" si="43"/>
        <v>-4.1798589890447317</v>
      </c>
      <c r="R71" s="39" t="str">
        <f t="shared" si="44"/>
        <v>YES</v>
      </c>
      <c r="S71" s="60">
        <f t="shared" si="53"/>
        <v>0.10465839612723617</v>
      </c>
      <c r="T71" s="44">
        <v>0</v>
      </c>
      <c r="U71" s="44"/>
      <c r="V71" s="61">
        <f t="shared" si="49"/>
        <v>0.10465839612723617</v>
      </c>
      <c r="W71" s="45"/>
      <c r="X71" s="67">
        <f t="shared" si="54"/>
        <v>31.6</v>
      </c>
      <c r="Y71" s="27">
        <f t="shared" si="55"/>
        <v>-0.59633098315074551</v>
      </c>
      <c r="Z71" s="31">
        <f t="shared" si="56"/>
        <v>-35.779858989044733</v>
      </c>
      <c r="AA71" s="63" t="str">
        <f t="shared" si="57"/>
        <v>Y</v>
      </c>
      <c r="AE71" s="48">
        <f t="shared" si="58"/>
        <v>-7.2988036208532723</v>
      </c>
      <c r="AF71" s="48">
        <f t="shared" si="59"/>
        <v>-36.49401810426636</v>
      </c>
      <c r="AG71" s="48">
        <f t="shared" si="60"/>
        <v>-4.8940181042663582</v>
      </c>
      <c r="AH71" s="48">
        <f t="shared" si="61"/>
        <v>-0.71415911522162645</v>
      </c>
      <c r="AM71" s="59">
        <f>[1]RES_NWS!AJ18</f>
        <v>0</v>
      </c>
      <c r="AN71" s="54"/>
    </row>
    <row r="72" spans="1:40" x14ac:dyDescent="0.3">
      <c r="A72" t="s">
        <v>74</v>
      </c>
      <c r="B72" t="s">
        <v>248</v>
      </c>
      <c r="C72" s="57">
        <v>20.106161871250915</v>
      </c>
      <c r="D72" s="3">
        <v>0</v>
      </c>
      <c r="E72" s="3">
        <v>6.8359375</v>
      </c>
      <c r="F72" s="3">
        <f t="shared" si="36"/>
        <v>7</v>
      </c>
      <c r="G72">
        <v>12</v>
      </c>
      <c r="H72" s="44">
        <f>(NWS!M38+NWS!O38+NWS!T38)*NWS!R38</f>
        <v>9.5</v>
      </c>
      <c r="I72" s="40">
        <f t="shared" si="51"/>
        <v>0</v>
      </c>
      <c r="J72" s="40">
        <f t="shared" si="52"/>
        <v>0.53316552428354225</v>
      </c>
      <c r="K72" s="28">
        <f t="shared" si="37"/>
        <v>0.53316552428354225</v>
      </c>
      <c r="L72" s="44">
        <f t="shared" si="38"/>
        <v>57.64634560603286</v>
      </c>
      <c r="M72" s="48">
        <f t="shared" si="39"/>
        <v>-2.0943386284770577E-2</v>
      </c>
      <c r="N72" s="45">
        <f t="shared" si="40"/>
        <v>0.15833333333333333</v>
      </c>
      <c r="O72" s="27">
        <f t="shared" si="41"/>
        <v>-0.1792767196181039</v>
      </c>
      <c r="P72" s="31">
        <f t="shared" si="42"/>
        <v>-10.756603177086234</v>
      </c>
      <c r="Q72" s="31">
        <f t="shared" si="43"/>
        <v>-1.2566031770862338</v>
      </c>
      <c r="R72" s="39" t="str">
        <f t="shared" si="44"/>
        <v>YES</v>
      </c>
      <c r="S72" s="60">
        <f t="shared" si="53"/>
        <v>0.18659644534276468</v>
      </c>
      <c r="T72" s="44">
        <v>0</v>
      </c>
      <c r="U72" s="44"/>
      <c r="V72" s="61">
        <f t="shared" si="49"/>
        <v>0.18659644534276468</v>
      </c>
      <c r="W72" s="45"/>
      <c r="X72" s="67">
        <f t="shared" si="54"/>
        <v>9.5</v>
      </c>
      <c r="Y72" s="27">
        <f t="shared" si="55"/>
        <v>-0.1792767196181039</v>
      </c>
      <c r="Z72" s="31">
        <f t="shared" si="56"/>
        <v>-10.756603177086234</v>
      </c>
      <c r="AA72" s="63" t="str">
        <f t="shared" si="57"/>
        <v>Y</v>
      </c>
      <c r="AE72" s="48">
        <f t="shared" si="58"/>
        <v>-2.194260582218547</v>
      </c>
      <c r="AF72" s="48">
        <f t="shared" si="59"/>
        <v>-10.971302911092735</v>
      </c>
      <c r="AG72" s="48">
        <f t="shared" si="60"/>
        <v>-1.4713029110927351</v>
      </c>
      <c r="AH72" s="48">
        <f t="shared" si="61"/>
        <v>-0.21469973400650133</v>
      </c>
      <c r="AM72" s="59">
        <f>[1]RES_NWS!AJ19</f>
        <v>0</v>
      </c>
      <c r="AN72" s="54"/>
    </row>
    <row r="73" spans="1:40" x14ac:dyDescent="0.3">
      <c r="A73" t="s">
        <v>74</v>
      </c>
      <c r="B73" t="s">
        <v>249</v>
      </c>
      <c r="C73" s="57">
        <v>37.500120908237641</v>
      </c>
      <c r="D73" s="3">
        <v>136</v>
      </c>
      <c r="E73" s="3">
        <v>0</v>
      </c>
      <c r="F73" s="3">
        <f t="shared" si="36"/>
        <v>0</v>
      </c>
      <c r="G73">
        <v>12</v>
      </c>
      <c r="H73" s="44">
        <f>(NWS!M39+NWS!O39+NWS!T39)*NWS!R39</f>
        <v>9.5</v>
      </c>
      <c r="I73" s="40">
        <f t="shared" si="51"/>
        <v>1.014209979378629</v>
      </c>
      <c r="J73" s="40">
        <f t="shared" si="52"/>
        <v>0</v>
      </c>
      <c r="K73" s="28">
        <f t="shared" si="37"/>
        <v>1.014209979378629</v>
      </c>
      <c r="L73" s="44">
        <f t="shared" si="38"/>
        <v>109.65731339608416</v>
      </c>
      <c r="M73" s="48">
        <f t="shared" si="39"/>
        <v>-2.0943386284770577E-2</v>
      </c>
      <c r="N73" s="45">
        <f t="shared" si="40"/>
        <v>0.15833333333333333</v>
      </c>
      <c r="O73" s="27">
        <f t="shared" si="41"/>
        <v>-0.1792767196181039</v>
      </c>
      <c r="P73" s="31">
        <f t="shared" si="42"/>
        <v>-10.756603177086234</v>
      </c>
      <c r="Q73" s="31">
        <f t="shared" si="43"/>
        <v>-1.2566031770862338</v>
      </c>
      <c r="R73" s="39" t="str">
        <f t="shared" si="44"/>
        <v>YES</v>
      </c>
      <c r="S73" s="60">
        <f t="shared" si="53"/>
        <v>9.8092893615159008E-2</v>
      </c>
      <c r="T73" s="44">
        <v>0</v>
      </c>
      <c r="U73" s="44"/>
      <c r="V73" s="61">
        <f t="shared" si="49"/>
        <v>9.8092893615159008E-2</v>
      </c>
      <c r="W73" s="45"/>
      <c r="X73" s="67">
        <f t="shared" si="54"/>
        <v>9.5</v>
      </c>
      <c r="Y73" s="27">
        <f t="shared" si="55"/>
        <v>-0.1792767196181039</v>
      </c>
      <c r="Z73" s="31">
        <f t="shared" si="56"/>
        <v>-10.756603177086234</v>
      </c>
      <c r="AA73" s="63" t="str">
        <f t="shared" si="57"/>
        <v>Y</v>
      </c>
      <c r="AE73" s="48">
        <f t="shared" si="58"/>
        <v>-2.194260582218547</v>
      </c>
      <c r="AF73" s="48">
        <f t="shared" si="59"/>
        <v>-10.971302911092735</v>
      </c>
      <c r="AG73" s="48">
        <f t="shared" si="60"/>
        <v>-1.4713029110927351</v>
      </c>
      <c r="AH73" s="48">
        <f t="shared" si="61"/>
        <v>-0.21469973400650133</v>
      </c>
      <c r="AM73" s="59">
        <f>[1]RES_NWS!AJ20</f>
        <v>0</v>
      </c>
      <c r="AN73" s="54"/>
    </row>
    <row r="74" spans="1:40" x14ac:dyDescent="0.3">
      <c r="A74" t="s">
        <v>76</v>
      </c>
      <c r="B74" t="s">
        <v>250</v>
      </c>
      <c r="C74" s="57">
        <v>1.382550225660101</v>
      </c>
      <c r="D74" s="3">
        <v>0</v>
      </c>
      <c r="E74" s="3">
        <v>27.34375</v>
      </c>
      <c r="F74" s="3">
        <f t="shared" si="36"/>
        <v>28</v>
      </c>
      <c r="G74">
        <v>3</v>
      </c>
      <c r="H74" s="44">
        <f>(NWS!M40+NWS!O40+NWS!T40)*NWS!R40</f>
        <v>56.7</v>
      </c>
      <c r="I74" s="40">
        <f t="shared" si="51"/>
        <v>0</v>
      </c>
      <c r="J74" s="40">
        <f t="shared" si="52"/>
        <v>2.132662097134169</v>
      </c>
      <c r="K74" s="28">
        <f t="shared" si="37"/>
        <v>2.132662097134169</v>
      </c>
      <c r="L74" s="44">
        <f t="shared" si="38"/>
        <v>71.157766472135108</v>
      </c>
      <c r="M74" s="48">
        <f t="shared" si="39"/>
        <v>-0.12499894761542008</v>
      </c>
      <c r="N74" s="45">
        <f t="shared" si="40"/>
        <v>0.94500000000000006</v>
      </c>
      <c r="O74" s="27">
        <f t="shared" si="41"/>
        <v>-1.0699989476154201</v>
      </c>
      <c r="P74" s="31">
        <f t="shared" si="42"/>
        <v>-64.199936856925206</v>
      </c>
      <c r="Q74" s="31">
        <f t="shared" si="43"/>
        <v>-7.4999368569252027</v>
      </c>
      <c r="R74" s="39" t="str">
        <f t="shared" si="44"/>
        <v>YES</v>
      </c>
      <c r="S74" s="60">
        <f t="shared" si="53"/>
        <v>0.9022196738294963</v>
      </c>
      <c r="T74" s="44">
        <v>0</v>
      </c>
      <c r="U74" s="44"/>
      <c r="V74" s="61">
        <f t="shared" si="49"/>
        <v>0.9022196738294963</v>
      </c>
      <c r="W74" s="45"/>
      <c r="X74" s="67">
        <f t="shared" si="54"/>
        <v>56.7</v>
      </c>
      <c r="Y74" s="27">
        <f t="shared" si="55"/>
        <v>-1.0699989476154201</v>
      </c>
      <c r="Z74" s="31">
        <f t="shared" si="56"/>
        <v>-64.199936856925206</v>
      </c>
      <c r="AA74" s="63" t="str">
        <f t="shared" si="57"/>
        <v>Y</v>
      </c>
      <c r="AE74" s="48">
        <f t="shared" si="58"/>
        <v>-13.096271053872805</v>
      </c>
      <c r="AF74" s="48">
        <f t="shared" si="59"/>
        <v>-65.48135526936403</v>
      </c>
      <c r="AG74" s="48">
        <f t="shared" si="60"/>
        <v>-8.7813552693640275</v>
      </c>
      <c r="AH74" s="48">
        <f t="shared" si="61"/>
        <v>-1.2814184124388248</v>
      </c>
      <c r="AM74" s="59">
        <f>[1]RES_NWS!AJ21</f>
        <v>0</v>
      </c>
      <c r="AN74" s="55"/>
    </row>
    <row r="75" spans="1:40" x14ac:dyDescent="0.3">
      <c r="A75" t="s">
        <v>76</v>
      </c>
      <c r="B75" t="s">
        <v>251</v>
      </c>
      <c r="C75" s="57">
        <v>2.471790032781386</v>
      </c>
      <c r="D75" s="3">
        <v>530</v>
      </c>
      <c r="E75" s="3">
        <v>0</v>
      </c>
      <c r="F75" s="3">
        <f t="shared" si="36"/>
        <v>0</v>
      </c>
      <c r="G75">
        <v>3</v>
      </c>
      <c r="H75" s="44">
        <f>(NWS!M41+NWS!O41+NWS!T41)*NWS!R41</f>
        <v>56.7</v>
      </c>
      <c r="I75" s="40">
        <f t="shared" si="51"/>
        <v>3.9524359490490686</v>
      </c>
      <c r="J75" s="40">
        <f t="shared" si="52"/>
        <v>0</v>
      </c>
      <c r="K75" s="28">
        <f t="shared" si="37"/>
        <v>3.9524359490490686</v>
      </c>
      <c r="L75" s="44">
        <f t="shared" si="38"/>
        <v>131.8757972190902</v>
      </c>
      <c r="M75" s="48">
        <f t="shared" si="39"/>
        <v>-0.12499894761542008</v>
      </c>
      <c r="N75" s="45">
        <f t="shared" si="40"/>
        <v>0.94500000000000006</v>
      </c>
      <c r="O75" s="27">
        <f t="shared" si="41"/>
        <v>-1.0699989476154201</v>
      </c>
      <c r="P75" s="31">
        <f t="shared" si="42"/>
        <v>-64.199936856925206</v>
      </c>
      <c r="Q75" s="31">
        <f t="shared" si="43"/>
        <v>-7.4999368569252027</v>
      </c>
      <c r="R75" s="39" t="str">
        <f t="shared" si="44"/>
        <v>YES</v>
      </c>
      <c r="S75" s="60">
        <f t="shared" si="53"/>
        <v>0.48682122277727313</v>
      </c>
      <c r="T75" s="44">
        <v>0</v>
      </c>
      <c r="U75" s="44"/>
      <c r="V75" s="61">
        <f t="shared" si="49"/>
        <v>0.48682122277727313</v>
      </c>
      <c r="W75" s="45"/>
      <c r="X75" s="67">
        <f t="shared" si="54"/>
        <v>56.7</v>
      </c>
      <c r="Y75" s="27">
        <f t="shared" si="55"/>
        <v>-1.0699989476154201</v>
      </c>
      <c r="Z75" s="31">
        <f t="shared" si="56"/>
        <v>-64.199936856925206</v>
      </c>
      <c r="AA75" s="63" t="str">
        <f t="shared" si="57"/>
        <v>Y</v>
      </c>
      <c r="AE75" s="48">
        <f t="shared" si="58"/>
        <v>-13.096271053872805</v>
      </c>
      <c r="AF75" s="48">
        <f t="shared" si="59"/>
        <v>-65.48135526936403</v>
      </c>
      <c r="AG75" s="48">
        <f t="shared" si="60"/>
        <v>-8.7813552693640275</v>
      </c>
      <c r="AH75" s="48">
        <f t="shared" si="61"/>
        <v>-1.2814184124388248</v>
      </c>
      <c r="AM75" s="59">
        <f>[1]RES_NWS!AJ22</f>
        <v>0</v>
      </c>
      <c r="AN75" s="55"/>
    </row>
    <row r="76" spans="1:40" x14ac:dyDescent="0.3">
      <c r="A76" t="s">
        <v>80</v>
      </c>
      <c r="B76" t="s">
        <v>254</v>
      </c>
      <c r="C76" s="57">
        <v>1.8458879009343896</v>
      </c>
      <c r="D76" s="3">
        <v>101</v>
      </c>
      <c r="E76" s="3">
        <v>0</v>
      </c>
      <c r="F76" s="3">
        <f t="shared" si="36"/>
        <v>0</v>
      </c>
      <c r="G76">
        <v>12</v>
      </c>
      <c r="H76" s="53">
        <v>220</v>
      </c>
      <c r="I76" s="40">
        <f t="shared" si="51"/>
        <v>0.75320005821501124</v>
      </c>
      <c r="J76" s="40">
        <f t="shared" si="52"/>
        <v>0</v>
      </c>
      <c r="K76" s="28">
        <f t="shared" si="37"/>
        <v>0.75320005821501124</v>
      </c>
      <c r="L76" s="44">
        <f t="shared" si="38"/>
        <v>81.436681272091917</v>
      </c>
      <c r="M76" s="48">
        <f t="shared" si="39"/>
        <v>-0.48500473501573937</v>
      </c>
      <c r="N76" s="45">
        <f t="shared" si="40"/>
        <v>3.6666666666666665</v>
      </c>
      <c r="O76" s="27">
        <f t="shared" si="41"/>
        <v>-4.1516714016824059</v>
      </c>
      <c r="P76" s="31">
        <f t="shared" si="42"/>
        <v>-249.10028410094435</v>
      </c>
      <c r="Q76" s="31">
        <f t="shared" si="43"/>
        <v>-29.10028410094435</v>
      </c>
      <c r="R76" s="39" t="str">
        <f t="shared" si="44"/>
        <v>NO</v>
      </c>
      <c r="S76" s="60">
        <f t="shared" si="53"/>
        <v>3.0588216539505546</v>
      </c>
      <c r="T76" s="44">
        <v>0</v>
      </c>
      <c r="U76" s="44"/>
      <c r="V76" s="61">
        <f t="shared" si="49"/>
        <v>3.0588216539505546</v>
      </c>
      <c r="W76" s="45"/>
      <c r="X76" s="67">
        <f t="shared" si="54"/>
        <v>220</v>
      </c>
      <c r="Y76" s="27">
        <f t="shared" si="55"/>
        <v>-4.1516714016824059</v>
      </c>
      <c r="Z76" s="31">
        <f t="shared" si="56"/>
        <v>-249.10028410094435</v>
      </c>
      <c r="AA76" s="63" t="str">
        <f t="shared" si="57"/>
        <v>N</v>
      </c>
      <c r="AE76" s="48">
        <f t="shared" si="58"/>
        <v>-50.814455588218983</v>
      </c>
      <c r="AF76" s="48">
        <f t="shared" si="59"/>
        <v>-254.07227794109491</v>
      </c>
      <c r="AG76" s="48">
        <f t="shared" si="60"/>
        <v>-34.07227794109491</v>
      </c>
      <c r="AH76" s="48">
        <f t="shared" si="61"/>
        <v>-4.9719938401505601</v>
      </c>
      <c r="AM76" s="59">
        <f>[1]RES_NWS!AJ23</f>
        <v>0</v>
      </c>
      <c r="AN76" s="58"/>
    </row>
    <row r="77" spans="1:40" x14ac:dyDescent="0.3">
      <c r="A77" t="s">
        <v>82</v>
      </c>
      <c r="B77" t="s">
        <v>255</v>
      </c>
      <c r="C77" s="57">
        <v>5.7734986087441014</v>
      </c>
      <c r="D77" s="3">
        <v>694</v>
      </c>
      <c r="E77" s="3">
        <v>0</v>
      </c>
      <c r="F77" s="3">
        <f t="shared" si="36"/>
        <v>0</v>
      </c>
      <c r="G77">
        <v>10</v>
      </c>
      <c r="H77" s="44">
        <f>(NWS!M45+NWS!O45+NWS!T45)*NWS!R45</f>
        <v>663.17639999999994</v>
      </c>
      <c r="I77" s="40">
        <f t="shared" si="51"/>
        <v>5.175453865358592</v>
      </c>
      <c r="J77" s="40">
        <f t="shared" si="52"/>
        <v>0</v>
      </c>
      <c r="K77" s="28">
        <f t="shared" si="37"/>
        <v>5.175453865358592</v>
      </c>
      <c r="L77" s="44">
        <f t="shared" si="38"/>
        <v>487.9487789874928</v>
      </c>
      <c r="M77" s="48">
        <f t="shared" si="39"/>
        <v>-1.4620167915940527</v>
      </c>
      <c r="N77" s="45">
        <f t="shared" si="40"/>
        <v>11.05294</v>
      </c>
      <c r="O77" s="27">
        <f t="shared" si="41"/>
        <v>-12.514956791594052</v>
      </c>
      <c r="P77" s="31">
        <f t="shared" si="42"/>
        <v>-750.89740749564317</v>
      </c>
      <c r="Q77" s="31">
        <f t="shared" si="43"/>
        <v>-87.721007495643221</v>
      </c>
      <c r="R77" s="39" t="str">
        <f t="shared" si="44"/>
        <v>NO</v>
      </c>
      <c r="S77" s="60">
        <f t="shared" si="53"/>
        <v>1.538885718812077</v>
      </c>
      <c r="T77" s="44">
        <v>0</v>
      </c>
      <c r="U77" s="44"/>
      <c r="V77" s="61">
        <f t="shared" si="49"/>
        <v>1.538885718812077</v>
      </c>
      <c r="W77" s="45"/>
      <c r="X77" s="67">
        <f t="shared" si="54"/>
        <v>663.17639999999994</v>
      </c>
      <c r="Y77" s="27">
        <f t="shared" si="55"/>
        <v>-12.514956791594052</v>
      </c>
      <c r="Z77" s="31">
        <f t="shared" si="56"/>
        <v>-750.89740749564317</v>
      </c>
      <c r="AA77" s="63" t="str">
        <f t="shared" si="57"/>
        <v>N</v>
      </c>
      <c r="AE77" s="48">
        <f t="shared" si="58"/>
        <v>-153.17703511343157</v>
      </c>
      <c r="AF77" s="48">
        <f t="shared" si="59"/>
        <v>-765.88517556715783</v>
      </c>
      <c r="AG77" s="48">
        <f t="shared" si="60"/>
        <v>-102.70877556715789</v>
      </c>
      <c r="AH77" s="48">
        <f t="shared" si="61"/>
        <v>-14.987768071514665</v>
      </c>
      <c r="AM77" s="59">
        <f>[1]RES_NWS!AJ24</f>
        <v>0</v>
      </c>
      <c r="AN77" s="58"/>
    </row>
    <row r="78" spans="1:40" x14ac:dyDescent="0.3">
      <c r="A78" t="s">
        <v>82</v>
      </c>
      <c r="B78" t="s">
        <v>256</v>
      </c>
      <c r="C78" s="57">
        <v>1.3202180039729929</v>
      </c>
      <c r="D78" s="3">
        <v>1081</v>
      </c>
      <c r="E78" s="3">
        <v>0</v>
      </c>
      <c r="F78" s="3">
        <f t="shared" si="36"/>
        <v>0</v>
      </c>
      <c r="G78">
        <v>10</v>
      </c>
      <c r="H78" s="44">
        <f>(NWS!M46+NWS!O46+NWS!T46)*NWS!R46</f>
        <v>1404.1764000000001</v>
      </c>
      <c r="I78" s="40">
        <f t="shared" si="51"/>
        <v>8.0614778507963081</v>
      </c>
      <c r="J78" s="40">
        <f t="shared" si="52"/>
        <v>0</v>
      </c>
      <c r="K78" s="28">
        <f t="shared" si="37"/>
        <v>8.0614778507963081</v>
      </c>
      <c r="L78" s="44">
        <f t="shared" si="38"/>
        <v>760.04701741423582</v>
      </c>
      <c r="M78" s="48">
        <f t="shared" si="39"/>
        <v>-3.191999335254982</v>
      </c>
      <c r="N78" s="45">
        <f t="shared" si="40"/>
        <v>11.70147</v>
      </c>
      <c r="O78" s="27">
        <f t="shared" si="41"/>
        <v>-14.893469335254983</v>
      </c>
      <c r="P78" s="31">
        <f t="shared" si="42"/>
        <v>-1787.2163202305978</v>
      </c>
      <c r="Q78" s="31">
        <f t="shared" si="43"/>
        <v>-383.03992023059777</v>
      </c>
      <c r="R78" s="39" t="str">
        <f t="shared" si="44"/>
        <v>NO</v>
      </c>
      <c r="S78" s="60">
        <f t="shared" si="53"/>
        <v>2.3514549485516119</v>
      </c>
      <c r="T78" s="44">
        <v>0</v>
      </c>
      <c r="U78" s="44"/>
      <c r="V78" s="61">
        <f t="shared" si="49"/>
        <v>2.3514549485516119</v>
      </c>
      <c r="W78" s="45"/>
      <c r="X78" s="67">
        <f t="shared" si="54"/>
        <v>1404.1764000000001</v>
      </c>
      <c r="Y78" s="27">
        <f t="shared" si="55"/>
        <v>-14.893469335254983</v>
      </c>
      <c r="Z78" s="31">
        <f t="shared" si="56"/>
        <v>-1787.2163202305978</v>
      </c>
      <c r="AA78" s="63" t="str">
        <f t="shared" si="57"/>
        <v>N</v>
      </c>
      <c r="AE78" s="48">
        <f t="shared" si="58"/>
        <v>-181.84726785852507</v>
      </c>
      <c r="AF78" s="48">
        <f t="shared" si="59"/>
        <v>-1818.4726785852508</v>
      </c>
      <c r="AG78" s="48">
        <f t="shared" si="60"/>
        <v>-414.29627858525077</v>
      </c>
      <c r="AH78" s="48">
        <f t="shared" si="61"/>
        <v>-31.256358354653003</v>
      </c>
      <c r="AM78" s="59">
        <f>[1]RES_NWS!AJ25</f>
        <v>0</v>
      </c>
      <c r="AN78" s="58"/>
    </row>
    <row r="79" spans="1:40" x14ac:dyDescent="0.3">
      <c r="A79" t="s">
        <v>85</v>
      </c>
      <c r="B79" t="s">
        <v>257</v>
      </c>
      <c r="C79" s="57">
        <v>3.9338042522392414</v>
      </c>
      <c r="D79" s="3">
        <v>1543</v>
      </c>
      <c r="E79" s="3">
        <v>0</v>
      </c>
      <c r="F79" s="3">
        <f t="shared" si="36"/>
        <v>0</v>
      </c>
      <c r="G79">
        <v>15</v>
      </c>
      <c r="H79" s="44">
        <f>(NWS!M47+NWS!O47+NWS!T47)*NWS!R47</f>
        <v>787.5</v>
      </c>
      <c r="I79" s="40">
        <f t="shared" si="51"/>
        <v>11.506808810156061</v>
      </c>
      <c r="J79" s="40">
        <f t="shared" si="52"/>
        <v>0</v>
      </c>
      <c r="K79" s="28">
        <f t="shared" si="37"/>
        <v>11.506808810156061</v>
      </c>
      <c r="L79" s="44">
        <f t="shared" si="38"/>
        <v>1455.0963008604094</v>
      </c>
      <c r="M79" s="48">
        <f t="shared" si="39"/>
        <v>-1.7360964946586108</v>
      </c>
      <c r="N79" s="45">
        <f t="shared" si="40"/>
        <v>13.125</v>
      </c>
      <c r="O79" s="27">
        <f t="shared" si="41"/>
        <v>-14.861096494658611</v>
      </c>
      <c r="P79" s="31">
        <f t="shared" si="42"/>
        <v>-891.66578967951659</v>
      </c>
      <c r="Q79" s="31">
        <f t="shared" si="43"/>
        <v>-104.16578967951659</v>
      </c>
      <c r="R79" s="39" t="str">
        <f t="shared" si="44"/>
        <v>YES</v>
      </c>
      <c r="S79" s="60">
        <f t="shared" si="53"/>
        <v>0.61278816333480324</v>
      </c>
      <c r="T79" s="44">
        <v>0</v>
      </c>
      <c r="U79" s="44"/>
      <c r="V79" s="61">
        <f t="shared" si="49"/>
        <v>0.61278816333480324</v>
      </c>
      <c r="W79" s="45"/>
      <c r="X79" s="67">
        <f t="shared" si="54"/>
        <v>787.5</v>
      </c>
      <c r="Y79" s="27">
        <f t="shared" si="55"/>
        <v>-14.861096494658611</v>
      </c>
      <c r="Z79" s="31">
        <f t="shared" si="56"/>
        <v>-891.66578967951659</v>
      </c>
      <c r="AA79" s="63" t="str">
        <f t="shared" si="57"/>
        <v>Y</v>
      </c>
      <c r="AE79" s="48">
        <f t="shared" si="58"/>
        <v>-181.89265352601115</v>
      </c>
      <c r="AF79" s="48">
        <f t="shared" si="59"/>
        <v>-909.46326763005573</v>
      </c>
      <c r="AG79" s="48">
        <f t="shared" si="60"/>
        <v>-121.96326763005573</v>
      </c>
      <c r="AH79" s="48">
        <f t="shared" si="61"/>
        <v>-17.797477950539133</v>
      </c>
      <c r="AM79" s="59">
        <f>[1]RES_NWS!AJ26</f>
        <v>0</v>
      </c>
      <c r="AN79" s="55"/>
    </row>
    <row r="80" spans="1:40" x14ac:dyDescent="0.3">
      <c r="A80" t="s">
        <v>91</v>
      </c>
      <c r="B80" t="s">
        <v>270</v>
      </c>
      <c r="C80" s="57">
        <v>1.4235014225145222</v>
      </c>
      <c r="D80" s="3">
        <v>184</v>
      </c>
      <c r="E80" s="3">
        <v>0</v>
      </c>
      <c r="F80" s="3">
        <f t="shared" si="36"/>
        <v>0</v>
      </c>
      <c r="G80">
        <v>5</v>
      </c>
      <c r="H80" s="44">
        <f>(NWS!M60+NWS!O60+NWS!T60)*NWS!R60</f>
        <v>40</v>
      </c>
      <c r="I80" s="40">
        <f t="shared" si="51"/>
        <v>1.3721664426887334</v>
      </c>
      <c r="J80" s="40">
        <f t="shared" si="52"/>
        <v>0</v>
      </c>
      <c r="K80" s="28">
        <f t="shared" si="37"/>
        <v>1.3721664426887334</v>
      </c>
      <c r="L80" s="44">
        <f t="shared" si="38"/>
        <v>72.712068992066946</v>
      </c>
      <c r="M80" s="48">
        <f t="shared" si="39"/>
        <v>-8.8182679093770755E-2</v>
      </c>
      <c r="N80" s="45">
        <f t="shared" si="40"/>
        <v>0.66666666666666663</v>
      </c>
      <c r="O80" s="27">
        <f t="shared" si="41"/>
        <v>-0.75484934576043738</v>
      </c>
      <c r="P80" s="31">
        <f t="shared" si="42"/>
        <v>-45.290960745626244</v>
      </c>
      <c r="Q80" s="31">
        <f t="shared" si="43"/>
        <v>-5.2909607456262435</v>
      </c>
      <c r="R80" s="39" t="str">
        <f t="shared" si="44"/>
        <v>YES</v>
      </c>
      <c r="S80" s="60">
        <f t="shared" si="53"/>
        <v>0.62288092435614217</v>
      </c>
      <c r="T80" s="44">
        <v>0</v>
      </c>
      <c r="U80" s="44"/>
      <c r="V80" s="61">
        <f t="shared" si="49"/>
        <v>0.62288092435614217</v>
      </c>
      <c r="W80" s="45"/>
      <c r="X80" s="67">
        <f t="shared" si="54"/>
        <v>40</v>
      </c>
      <c r="Y80" s="27">
        <f t="shared" si="55"/>
        <v>-0.75484934576043738</v>
      </c>
      <c r="Z80" s="31">
        <f t="shared" si="56"/>
        <v>-45.290960745626244</v>
      </c>
      <c r="AA80" s="63" t="str">
        <f t="shared" si="57"/>
        <v>Y</v>
      </c>
      <c r="AE80" s="48">
        <f t="shared" si="58"/>
        <v>-9.2389919251307244</v>
      </c>
      <c r="AF80" s="48">
        <f t="shared" si="59"/>
        <v>-46.194959625653624</v>
      </c>
      <c r="AG80" s="48">
        <f t="shared" si="60"/>
        <v>-6.1949596256536239</v>
      </c>
      <c r="AH80" s="48">
        <f t="shared" si="61"/>
        <v>-0.90399888002738038</v>
      </c>
      <c r="AM80" s="59">
        <f>[1]RES_NWS!AJ27</f>
        <v>0</v>
      </c>
      <c r="AN80" s="55"/>
    </row>
    <row r="81" spans="1:40" x14ac:dyDescent="0.3">
      <c r="A81" t="s">
        <v>97</v>
      </c>
      <c r="B81" t="s">
        <v>278</v>
      </c>
      <c r="C81" s="57">
        <v>9.609279398261485</v>
      </c>
      <c r="D81" s="3">
        <v>1672</v>
      </c>
      <c r="E81" s="3">
        <v>0</v>
      </c>
      <c r="F81" s="3">
        <f t="shared" si="36"/>
        <v>0</v>
      </c>
      <c r="G81">
        <v>8</v>
      </c>
      <c r="H81" s="44">
        <f>(NWS!M68+NWS!O68+NWS!T68)*NWS!R68</f>
        <v>186</v>
      </c>
      <c r="I81" s="40">
        <f t="shared" ref="I81:I94" si="62">(D81*$H$2)/12</f>
        <v>12.468816805301968</v>
      </c>
      <c r="J81" s="40">
        <f t="shared" ref="J81:J94" si="63">($H$3*F81)/12</f>
        <v>0</v>
      </c>
      <c r="K81" s="28">
        <f t="shared" si="37"/>
        <v>12.468816805301968</v>
      </c>
      <c r="L81" s="44">
        <f t="shared" si="38"/>
        <v>984.90486459323745</v>
      </c>
      <c r="M81" s="48">
        <f t="shared" si="39"/>
        <v>-0.41004945778603386</v>
      </c>
      <c r="N81" s="45">
        <f t="shared" si="40"/>
        <v>3.1</v>
      </c>
      <c r="O81" s="27">
        <f t="shared" si="41"/>
        <v>-3.5100494577860339</v>
      </c>
      <c r="P81" s="31">
        <f t="shared" si="42"/>
        <v>-210.60296746716205</v>
      </c>
      <c r="Q81" s="31">
        <f t="shared" si="43"/>
        <v>-24.602967467162046</v>
      </c>
      <c r="R81" s="39" t="str">
        <f t="shared" si="44"/>
        <v>YES</v>
      </c>
      <c r="S81" s="60">
        <f t="shared" si="53"/>
        <v>0.21383077192347952</v>
      </c>
      <c r="T81" s="44">
        <v>35</v>
      </c>
      <c r="U81" s="44"/>
      <c r="V81" s="61">
        <f t="shared" ref="V81:V82" si="64">((ABS(P81)-T81)/L81)</f>
        <v>0.17829434474332251</v>
      </c>
      <c r="W81" s="45"/>
      <c r="X81" s="67">
        <f t="shared" si="54"/>
        <v>151</v>
      </c>
      <c r="Y81" s="27">
        <f t="shared" si="55"/>
        <v>-2.8495562802456513</v>
      </c>
      <c r="Z81" s="31">
        <f t="shared" si="56"/>
        <v>-170.97337681473908</v>
      </c>
      <c r="AA81" s="63" t="str">
        <f t="shared" si="57"/>
        <v>Y</v>
      </c>
      <c r="AE81" s="48">
        <f t="shared" ref="AE81:AE94" si="65">PMT($B$1,IF(H81&lt;1000,5,10),H81)</f>
        <v>-42.961312451857872</v>
      </c>
      <c r="AF81" s="48">
        <f t="shared" ref="AF81:AF94" si="66">AE81*IF(H81&lt;1000,5,10)</f>
        <v>-214.80656225928936</v>
      </c>
      <c r="AG81" s="48">
        <f t="shared" ref="AG81:AG94" si="67">AF81+H81</f>
        <v>-28.806562259289365</v>
      </c>
      <c r="AH81" s="48">
        <f t="shared" ref="AH81:AH94" si="68">AF81-P81</f>
        <v>-4.2035947921273191</v>
      </c>
      <c r="AM81" s="59">
        <f>[1]RES_NWS!AJ28</f>
        <v>0</v>
      </c>
      <c r="AN81" s="55"/>
    </row>
    <row r="82" spans="1:40" x14ac:dyDescent="0.3">
      <c r="A82" t="s">
        <v>99</v>
      </c>
      <c r="B82" t="s">
        <v>279</v>
      </c>
      <c r="C82" s="57">
        <v>9.3032557873023958</v>
      </c>
      <c r="D82" s="3">
        <v>1551</v>
      </c>
      <c r="E82" s="3">
        <v>0</v>
      </c>
      <c r="F82" s="3">
        <f t="shared" ref="F82:F97" si="69">E82*1.024</f>
        <v>0</v>
      </c>
      <c r="G82">
        <v>8</v>
      </c>
      <c r="H82" s="44">
        <f>(NWS!M69+NWS!O69+NWS!T69)*NWS!R69</f>
        <v>186</v>
      </c>
      <c r="I82" s="40">
        <f t="shared" si="62"/>
        <v>11.566468220707746</v>
      </c>
      <c r="J82" s="40">
        <f t="shared" si="63"/>
        <v>0</v>
      </c>
      <c r="K82" s="28">
        <f t="shared" ref="K82:K97" si="70">J82+I82</f>
        <v>11.566468220707746</v>
      </c>
      <c r="L82" s="44">
        <f t="shared" ref="L82:L97" si="71">ABS(PV($B$1/12,G82*12,K82))</f>
        <v>913.62885465556894</v>
      </c>
      <c r="M82" s="48">
        <f t="shared" ref="M82:M97" si="72">O82+N82</f>
        <v>-0.41004945778603386</v>
      </c>
      <c r="N82" s="45">
        <f t="shared" ref="N82:N97" si="73">H82/IF(H82&lt;1000,5*$B$3,$B$2*$B$3)</f>
        <v>3.1</v>
      </c>
      <c r="O82" s="27">
        <f t="shared" ref="O82:O97" si="74">PMT($B$1/12,IF(H82&lt;1000,5*$B$3,$B$2*$B$3),H82)</f>
        <v>-3.5100494577860339</v>
      </c>
      <c r="P82" s="31">
        <f t="shared" ref="P82:P97" si="75">O82*IF(H82&lt;1000,5*$B$3,$B$2*$B$3)</f>
        <v>-210.60296746716205</v>
      </c>
      <c r="Q82" s="31">
        <f t="shared" ref="Q82:Q97" si="76">P82+H82</f>
        <v>-24.602967467162046</v>
      </c>
      <c r="R82" s="39" t="str">
        <f t="shared" ref="R82:R97" si="77">IF(L82&gt;=ABS(P82),"YES","NO")</f>
        <v>YES</v>
      </c>
      <c r="S82" s="60">
        <f t="shared" si="53"/>
        <v>0.2305126051941056</v>
      </c>
      <c r="T82" s="44">
        <v>35</v>
      </c>
      <c r="U82" s="44"/>
      <c r="V82" s="61">
        <f t="shared" si="64"/>
        <v>0.19220383263109944</v>
      </c>
      <c r="W82" s="45"/>
      <c r="X82" s="67">
        <f t="shared" si="54"/>
        <v>151</v>
      </c>
      <c r="Y82" s="27">
        <f t="shared" si="55"/>
        <v>-2.8495562802456513</v>
      </c>
      <c r="Z82" s="31">
        <f t="shared" si="56"/>
        <v>-170.97337681473908</v>
      </c>
      <c r="AA82" s="63" t="str">
        <f t="shared" si="57"/>
        <v>Y</v>
      </c>
      <c r="AE82" s="48">
        <f t="shared" si="65"/>
        <v>-42.961312451857872</v>
      </c>
      <c r="AF82" s="48">
        <f t="shared" si="66"/>
        <v>-214.80656225928936</v>
      </c>
      <c r="AG82" s="48">
        <f t="shared" si="67"/>
        <v>-28.806562259289365</v>
      </c>
      <c r="AH82" s="48">
        <f t="shared" si="68"/>
        <v>-4.2035947921273191</v>
      </c>
      <c r="AM82" s="59">
        <f>[1]RES_NWS!AJ29</f>
        <v>0</v>
      </c>
      <c r="AN82" s="55"/>
    </row>
    <row r="83" spans="1:40" x14ac:dyDescent="0.3">
      <c r="A83" t="s">
        <v>101</v>
      </c>
      <c r="B83" t="s">
        <v>280</v>
      </c>
      <c r="C83" s="57">
        <v>2.421466842433861</v>
      </c>
      <c r="D83" s="3">
        <v>113</v>
      </c>
      <c r="E83" s="3">
        <v>0</v>
      </c>
      <c r="F83" s="3">
        <f t="shared" si="69"/>
        <v>0</v>
      </c>
      <c r="G83">
        <v>8</v>
      </c>
      <c r="H83" s="44">
        <f>(NWS!M70+NWS!O70+NWS!T70)*NWS!R70</f>
        <v>98</v>
      </c>
      <c r="I83" s="40">
        <f t="shared" si="62"/>
        <v>0.84268917404253729</v>
      </c>
      <c r="J83" s="40">
        <f t="shared" si="63"/>
        <v>0</v>
      </c>
      <c r="K83" s="28">
        <f t="shared" si="70"/>
        <v>0.84268917404253729</v>
      </c>
      <c r="L83" s="44">
        <f t="shared" si="71"/>
        <v>66.56354647071521</v>
      </c>
      <c r="M83" s="48">
        <f t="shared" si="72"/>
        <v>-0.21604756377973833</v>
      </c>
      <c r="N83" s="45">
        <f t="shared" si="73"/>
        <v>1.6333333333333333</v>
      </c>
      <c r="O83" s="27">
        <f t="shared" si="74"/>
        <v>-1.8493808971130716</v>
      </c>
      <c r="P83" s="31">
        <f t="shared" si="75"/>
        <v>-110.9628538267843</v>
      </c>
      <c r="Q83" s="31">
        <f t="shared" si="76"/>
        <v>-12.962853826784297</v>
      </c>
      <c r="R83" s="39" t="str">
        <f t="shared" si="77"/>
        <v>NO</v>
      </c>
      <c r="S83" s="60">
        <f t="shared" si="53"/>
        <v>1.6670213609426996</v>
      </c>
      <c r="T83" s="44">
        <v>0</v>
      </c>
      <c r="U83" s="44"/>
      <c r="V83" s="61">
        <f t="shared" ref="V83:V96" si="78">S83</f>
        <v>1.6670213609426996</v>
      </c>
      <c r="W83" s="45"/>
      <c r="X83" s="67">
        <f t="shared" si="54"/>
        <v>98</v>
      </c>
      <c r="Y83" s="27">
        <f t="shared" si="55"/>
        <v>-1.8493808971130716</v>
      </c>
      <c r="Z83" s="31">
        <f t="shared" si="56"/>
        <v>-110.9628538267843</v>
      </c>
      <c r="AA83" s="63" t="str">
        <f t="shared" si="57"/>
        <v>N</v>
      </c>
      <c r="AE83" s="48">
        <f t="shared" si="65"/>
        <v>-22.635530216570274</v>
      </c>
      <c r="AF83" s="48">
        <f t="shared" si="66"/>
        <v>-113.17765108285137</v>
      </c>
      <c r="AG83" s="48">
        <f t="shared" si="67"/>
        <v>-15.177651082851369</v>
      </c>
      <c r="AH83" s="48">
        <f t="shared" si="68"/>
        <v>-2.2147972560670723</v>
      </c>
      <c r="AM83" s="59">
        <f>[1]RES_NWS!AJ30</f>
        <v>0</v>
      </c>
      <c r="AN83" s="55"/>
    </row>
    <row r="84" spans="1:40" x14ac:dyDescent="0.3">
      <c r="A84" t="s">
        <v>101</v>
      </c>
      <c r="B84" t="s">
        <v>281</v>
      </c>
      <c r="C84" s="57">
        <v>1.4216779597593252</v>
      </c>
      <c r="D84" s="3">
        <v>139</v>
      </c>
      <c r="E84" s="3">
        <v>0</v>
      </c>
      <c r="F84" s="3">
        <f t="shared" si="69"/>
        <v>0</v>
      </c>
      <c r="G84">
        <v>8</v>
      </c>
      <c r="H84" s="44">
        <f>(NWS!M71+NWS!O71+NWS!T71)*NWS!R71</f>
        <v>98</v>
      </c>
      <c r="I84" s="40">
        <f t="shared" si="62"/>
        <v>1.0365822583355104</v>
      </c>
      <c r="J84" s="40">
        <f t="shared" si="63"/>
        <v>0</v>
      </c>
      <c r="K84" s="28">
        <f t="shared" si="70"/>
        <v>1.0365822583355104</v>
      </c>
      <c r="L84" s="44">
        <f t="shared" si="71"/>
        <v>81.879052738313405</v>
      </c>
      <c r="M84" s="48">
        <f t="shared" si="72"/>
        <v>-0.21604756377973833</v>
      </c>
      <c r="N84" s="45">
        <f t="shared" si="73"/>
        <v>1.6333333333333333</v>
      </c>
      <c r="O84" s="27">
        <f t="shared" si="74"/>
        <v>-1.8493808971130716</v>
      </c>
      <c r="P84" s="31">
        <f t="shared" si="75"/>
        <v>-110.9628538267843</v>
      </c>
      <c r="Q84" s="31">
        <f t="shared" si="76"/>
        <v>-12.962853826784297</v>
      </c>
      <c r="R84" s="39" t="str">
        <f t="shared" si="77"/>
        <v>NO</v>
      </c>
      <c r="S84" s="60">
        <f t="shared" si="53"/>
        <v>1.355204415730396</v>
      </c>
      <c r="T84" s="44">
        <v>0</v>
      </c>
      <c r="U84" s="44"/>
      <c r="V84" s="61">
        <f t="shared" si="78"/>
        <v>1.355204415730396</v>
      </c>
      <c r="W84" s="45"/>
      <c r="X84" s="67">
        <f t="shared" si="54"/>
        <v>98</v>
      </c>
      <c r="Y84" s="27">
        <f t="shared" si="55"/>
        <v>-1.8493808971130716</v>
      </c>
      <c r="Z84" s="31">
        <f t="shared" si="56"/>
        <v>-110.9628538267843</v>
      </c>
      <c r="AA84" s="63" t="str">
        <f t="shared" si="57"/>
        <v>N</v>
      </c>
      <c r="AE84" s="48">
        <f t="shared" si="65"/>
        <v>-22.635530216570274</v>
      </c>
      <c r="AF84" s="48">
        <f t="shared" si="66"/>
        <v>-113.17765108285137</v>
      </c>
      <c r="AG84" s="48">
        <f t="shared" si="67"/>
        <v>-15.177651082851369</v>
      </c>
      <c r="AH84" s="48">
        <f t="shared" si="68"/>
        <v>-2.2147972560670723</v>
      </c>
      <c r="AM84" s="59">
        <f>[1]RES_NWS!AJ31</f>
        <v>0</v>
      </c>
      <c r="AN84" s="55"/>
    </row>
    <row r="85" spans="1:40" x14ac:dyDescent="0.3">
      <c r="A85" t="s">
        <v>110</v>
      </c>
      <c r="B85" t="s">
        <v>287</v>
      </c>
      <c r="C85" s="57">
        <v>1.0170123831935678</v>
      </c>
      <c r="D85" s="3">
        <v>144</v>
      </c>
      <c r="E85" s="3">
        <v>0</v>
      </c>
      <c r="F85" s="3">
        <f t="shared" si="69"/>
        <v>0</v>
      </c>
      <c r="G85">
        <v>14</v>
      </c>
      <c r="H85" s="44">
        <f>(NWS!M78+NWS!O78+NWS!T78)*NWS!R78</f>
        <v>266</v>
      </c>
      <c r="I85" s="40">
        <f t="shared" si="62"/>
        <v>1.0738693899303129</v>
      </c>
      <c r="J85" s="40">
        <f t="shared" si="63"/>
        <v>0</v>
      </c>
      <c r="K85" s="28">
        <f t="shared" si="70"/>
        <v>1.0738693899303129</v>
      </c>
      <c r="L85" s="44">
        <f t="shared" si="71"/>
        <v>129.55812956549079</v>
      </c>
      <c r="M85" s="48">
        <f t="shared" si="72"/>
        <v>-0.58641481597357537</v>
      </c>
      <c r="N85" s="45">
        <f t="shared" si="73"/>
        <v>4.4333333333333336</v>
      </c>
      <c r="O85" s="27">
        <f t="shared" si="74"/>
        <v>-5.0197481493069089</v>
      </c>
      <c r="P85" s="31">
        <f t="shared" si="75"/>
        <v>-301.18488895841455</v>
      </c>
      <c r="Q85" s="31">
        <f t="shared" si="76"/>
        <v>-35.184888958414547</v>
      </c>
      <c r="R85" s="39" t="str">
        <f t="shared" si="77"/>
        <v>NO</v>
      </c>
      <c r="S85" s="60">
        <f t="shared" si="53"/>
        <v>2.3247085302058759</v>
      </c>
      <c r="T85" s="44">
        <v>0</v>
      </c>
      <c r="U85" s="44"/>
      <c r="V85" s="61">
        <f t="shared" si="78"/>
        <v>2.3247085302058759</v>
      </c>
      <c r="W85" s="45"/>
      <c r="X85" s="67">
        <f t="shared" si="54"/>
        <v>266</v>
      </c>
      <c r="Y85" s="27">
        <f t="shared" si="55"/>
        <v>-5.0197481493069089</v>
      </c>
      <c r="Z85" s="31">
        <f t="shared" si="56"/>
        <v>-301.18488895841455</v>
      </c>
      <c r="AA85" s="63" t="str">
        <f t="shared" si="57"/>
        <v>N</v>
      </c>
      <c r="AE85" s="48">
        <f t="shared" si="65"/>
        <v>-61.439296302119317</v>
      </c>
      <c r="AF85" s="48">
        <f t="shared" si="66"/>
        <v>-307.19648151059658</v>
      </c>
      <c r="AG85" s="48">
        <f t="shared" si="67"/>
        <v>-41.196481510596584</v>
      </c>
      <c r="AH85" s="48">
        <f t="shared" si="68"/>
        <v>-6.0115925521820373</v>
      </c>
      <c r="AM85" s="59">
        <f>[1]RES_NWS!AJ32</f>
        <v>0</v>
      </c>
      <c r="AN85" s="55"/>
    </row>
    <row r="86" spans="1:40" x14ac:dyDescent="0.3">
      <c r="A86" t="s">
        <v>47</v>
      </c>
      <c r="B86" t="s">
        <v>291</v>
      </c>
      <c r="C86" s="57">
        <v>1.1336852512290427</v>
      </c>
      <c r="D86" s="3">
        <v>175</v>
      </c>
      <c r="E86" s="3">
        <v>0</v>
      </c>
      <c r="F86" s="3">
        <f t="shared" si="69"/>
        <v>0</v>
      </c>
      <c r="G86">
        <v>15</v>
      </c>
      <c r="H86" s="44">
        <f>(NWS!M82+NWS!O82+NWS!T82)*NWS!R82</f>
        <v>140</v>
      </c>
      <c r="I86" s="40">
        <f t="shared" si="62"/>
        <v>1.3050496058180887</v>
      </c>
      <c r="J86" s="40">
        <f t="shared" si="63"/>
        <v>0</v>
      </c>
      <c r="K86" s="28">
        <f t="shared" si="70"/>
        <v>1.3050496058180887</v>
      </c>
      <c r="L86" s="44">
        <f t="shared" si="71"/>
        <v>165.03036464716246</v>
      </c>
      <c r="M86" s="48">
        <f t="shared" si="72"/>
        <v>-0.30863937682819742</v>
      </c>
      <c r="N86" s="45">
        <f t="shared" si="73"/>
        <v>2.3333333333333335</v>
      </c>
      <c r="O86" s="27">
        <f t="shared" si="74"/>
        <v>-2.6419727101615309</v>
      </c>
      <c r="P86" s="31">
        <f t="shared" si="75"/>
        <v>-158.51836260969185</v>
      </c>
      <c r="Q86" s="31">
        <f t="shared" si="76"/>
        <v>-18.518362609691849</v>
      </c>
      <c r="R86" s="39" t="str">
        <f t="shared" si="77"/>
        <v>YES</v>
      </c>
      <c r="S86" s="60">
        <f t="shared" si="53"/>
        <v>0.9605405826291824</v>
      </c>
      <c r="T86" s="44">
        <v>0</v>
      </c>
      <c r="U86" s="44"/>
      <c r="V86" s="61">
        <f t="shared" si="78"/>
        <v>0.9605405826291824</v>
      </c>
      <c r="W86" s="45"/>
      <c r="X86" s="67">
        <f t="shared" si="54"/>
        <v>140</v>
      </c>
      <c r="Y86" s="27">
        <f t="shared" si="55"/>
        <v>-2.6419727101615309</v>
      </c>
      <c r="Z86" s="31">
        <f t="shared" si="56"/>
        <v>-158.51836260969185</v>
      </c>
      <c r="AA86" s="63" t="str">
        <f t="shared" si="57"/>
        <v>Y</v>
      </c>
      <c r="AE86" s="48">
        <f t="shared" si="65"/>
        <v>-32.336471737957531</v>
      </c>
      <c r="AF86" s="48">
        <f t="shared" si="66"/>
        <v>-161.68235868978766</v>
      </c>
      <c r="AG86" s="48">
        <f t="shared" si="67"/>
        <v>-21.682358689787662</v>
      </c>
      <c r="AH86" s="48">
        <f t="shared" si="68"/>
        <v>-3.1639960800958136</v>
      </c>
      <c r="AM86" s="59">
        <f>[1]RES_NWS!AJ33</f>
        <v>0</v>
      </c>
      <c r="AN86" s="55"/>
    </row>
    <row r="87" spans="1:40" x14ac:dyDescent="0.3">
      <c r="A87" t="s">
        <v>119</v>
      </c>
      <c r="B87" t="s">
        <v>120</v>
      </c>
      <c r="C87" s="57">
        <v>2.9619983980274824</v>
      </c>
      <c r="D87" s="3">
        <v>171</v>
      </c>
      <c r="E87" s="3">
        <v>13.671875</v>
      </c>
      <c r="F87" s="3">
        <f t="shared" si="69"/>
        <v>14</v>
      </c>
      <c r="G87">
        <v>30</v>
      </c>
      <c r="H87" s="44">
        <f>(NWS!M84+NWS!O84+NWS!T84)*NWS!R84</f>
        <v>436</v>
      </c>
      <c r="I87" s="40">
        <f t="shared" si="62"/>
        <v>1.2752199005422467</v>
      </c>
      <c r="J87" s="40">
        <f t="shared" si="63"/>
        <v>1.0663310485670845</v>
      </c>
      <c r="K87" s="28">
        <f t="shared" si="70"/>
        <v>2.3415509491093314</v>
      </c>
      <c r="L87" s="44">
        <f t="shared" si="71"/>
        <v>436.18789719585982</v>
      </c>
      <c r="M87" s="48">
        <f t="shared" si="72"/>
        <v>-0.96119120212210074</v>
      </c>
      <c r="N87" s="45">
        <f t="shared" si="73"/>
        <v>7.2666666666666666</v>
      </c>
      <c r="O87" s="27">
        <f t="shared" si="74"/>
        <v>-8.2278578687887673</v>
      </c>
      <c r="P87" s="31">
        <f t="shared" si="75"/>
        <v>-493.67147212732607</v>
      </c>
      <c r="Q87" s="31">
        <f t="shared" si="76"/>
        <v>-57.671472127326069</v>
      </c>
      <c r="R87" s="39" t="str">
        <f t="shared" si="77"/>
        <v>NO</v>
      </c>
      <c r="S87" s="60">
        <f t="shared" si="53"/>
        <v>1.1317862675718731</v>
      </c>
      <c r="T87" s="44">
        <v>0</v>
      </c>
      <c r="U87" s="44"/>
      <c r="V87" s="61">
        <f t="shared" si="78"/>
        <v>1.1317862675718731</v>
      </c>
      <c r="W87" s="45"/>
      <c r="X87" s="67">
        <f t="shared" si="54"/>
        <v>436</v>
      </c>
      <c r="Y87" s="27">
        <f t="shared" si="55"/>
        <v>-8.2278578687887673</v>
      </c>
      <c r="Z87" s="31">
        <f t="shared" si="56"/>
        <v>-493.67147212732607</v>
      </c>
      <c r="AA87" s="63" t="str">
        <f t="shared" si="57"/>
        <v>N</v>
      </c>
      <c r="AE87" s="48">
        <f t="shared" si="65"/>
        <v>-100.7050119839249</v>
      </c>
      <c r="AF87" s="48">
        <f t="shared" si="66"/>
        <v>-503.52505991962454</v>
      </c>
      <c r="AG87" s="48">
        <f t="shared" si="67"/>
        <v>-67.525059919624539</v>
      </c>
      <c r="AH87" s="48">
        <f t="shared" si="68"/>
        <v>-9.8535877922984696</v>
      </c>
      <c r="AM87" s="59">
        <f>[1]RES_NWS!AJ34</f>
        <v>0</v>
      </c>
      <c r="AN87" s="55"/>
    </row>
    <row r="88" spans="1:40" x14ac:dyDescent="0.3">
      <c r="A88" t="s">
        <v>121</v>
      </c>
      <c r="B88" t="s">
        <v>292</v>
      </c>
      <c r="C88" s="57">
        <v>4.1435757986788166</v>
      </c>
      <c r="D88" s="3">
        <v>1540</v>
      </c>
      <c r="E88" s="3">
        <v>0</v>
      </c>
      <c r="F88" s="3">
        <f t="shared" si="69"/>
        <v>0</v>
      </c>
      <c r="G88">
        <v>10</v>
      </c>
      <c r="H88" s="44">
        <f>(NWS!M85+NWS!O85+NWS!T85)*NWS!R85</f>
        <v>239</v>
      </c>
      <c r="I88" s="40">
        <f t="shared" si="62"/>
        <v>11.484436531199181</v>
      </c>
      <c r="J88" s="40">
        <f t="shared" si="63"/>
        <v>0</v>
      </c>
      <c r="K88" s="28">
        <f t="shared" si="70"/>
        <v>11.484436531199181</v>
      </c>
      <c r="L88" s="44">
        <f t="shared" si="71"/>
        <v>1082.7681839203731</v>
      </c>
      <c r="M88" s="48">
        <f t="shared" si="72"/>
        <v>-0.52689150758527958</v>
      </c>
      <c r="N88" s="45">
        <f t="shared" si="73"/>
        <v>3.9833333333333334</v>
      </c>
      <c r="O88" s="27">
        <f t="shared" si="74"/>
        <v>-4.510224840918613</v>
      </c>
      <c r="P88" s="31">
        <f t="shared" si="75"/>
        <v>-270.61349045511679</v>
      </c>
      <c r="Q88" s="31">
        <f t="shared" si="76"/>
        <v>-31.613490455116789</v>
      </c>
      <c r="R88" s="39" t="str">
        <f t="shared" si="77"/>
        <v>YES</v>
      </c>
      <c r="S88" s="60">
        <f t="shared" si="53"/>
        <v>0.24992744935975855</v>
      </c>
      <c r="T88" s="44">
        <v>0</v>
      </c>
      <c r="U88" s="44"/>
      <c r="V88" s="61">
        <f t="shared" si="78"/>
        <v>0.24992744935975855</v>
      </c>
      <c r="W88" s="45"/>
      <c r="X88" s="67">
        <f t="shared" si="54"/>
        <v>239</v>
      </c>
      <c r="Y88" s="27">
        <f t="shared" si="55"/>
        <v>-4.510224840918613</v>
      </c>
      <c r="Z88" s="31">
        <f t="shared" si="56"/>
        <v>-270.61349045511679</v>
      </c>
      <c r="AA88" s="63" t="str">
        <f t="shared" si="57"/>
        <v>Y</v>
      </c>
      <c r="AE88" s="48">
        <f t="shared" si="65"/>
        <v>-55.202976752656085</v>
      </c>
      <c r="AF88" s="48">
        <f t="shared" si="66"/>
        <v>-276.01488376328041</v>
      </c>
      <c r="AG88" s="48">
        <f t="shared" si="67"/>
        <v>-37.014883763280409</v>
      </c>
      <c r="AH88" s="48">
        <f t="shared" si="68"/>
        <v>-5.4013933081636196</v>
      </c>
      <c r="AM88" s="59">
        <f>[1]RES_NWS!AJ35</f>
        <v>0</v>
      </c>
      <c r="AN88" s="55"/>
    </row>
    <row r="89" spans="1:40" x14ac:dyDescent="0.3">
      <c r="A89" t="s">
        <v>123</v>
      </c>
      <c r="B89" t="s">
        <v>124</v>
      </c>
      <c r="C89" s="57">
        <v>2.5526160929679516</v>
      </c>
      <c r="D89" s="3">
        <v>603</v>
      </c>
      <c r="E89" s="3">
        <v>0</v>
      </c>
      <c r="F89" s="3">
        <f t="shared" si="69"/>
        <v>0</v>
      </c>
      <c r="G89">
        <v>6</v>
      </c>
      <c r="H89" s="44">
        <f>(NWS!M86+NWS!O86+NWS!T86)*NWS!R86</f>
        <v>84.85</v>
      </c>
      <c r="I89" s="40">
        <f t="shared" si="62"/>
        <v>4.4968280703331862</v>
      </c>
      <c r="J89" s="40">
        <f t="shared" si="63"/>
        <v>0</v>
      </c>
      <c r="K89" s="28">
        <f t="shared" si="70"/>
        <v>4.4968280703331862</v>
      </c>
      <c r="L89" s="44">
        <f t="shared" si="71"/>
        <v>279.22054471527804</v>
      </c>
      <c r="M89" s="48">
        <f t="shared" si="72"/>
        <v>-0.18705750802766108</v>
      </c>
      <c r="N89" s="45">
        <f t="shared" si="73"/>
        <v>1.4141666666666666</v>
      </c>
      <c r="O89" s="27">
        <f t="shared" si="74"/>
        <v>-1.6012241746943277</v>
      </c>
      <c r="P89" s="31">
        <f t="shared" si="75"/>
        <v>-96.073450481659663</v>
      </c>
      <c r="Q89" s="31">
        <f t="shared" si="76"/>
        <v>-11.223450481659668</v>
      </c>
      <c r="R89" s="39" t="str">
        <f t="shared" si="77"/>
        <v>YES</v>
      </c>
      <c r="S89" s="60">
        <f t="shared" si="53"/>
        <v>0.34407729767745432</v>
      </c>
      <c r="T89" s="44">
        <v>0</v>
      </c>
      <c r="U89" s="44"/>
      <c r="V89" s="61">
        <f t="shared" si="78"/>
        <v>0.34407729767745432</v>
      </c>
      <c r="W89" s="45"/>
      <c r="X89" s="67">
        <f t="shared" si="54"/>
        <v>84.85</v>
      </c>
      <c r="Y89" s="27">
        <f t="shared" si="55"/>
        <v>-1.6012241746943277</v>
      </c>
      <c r="Z89" s="31">
        <f t="shared" si="56"/>
        <v>-96.073450481659663</v>
      </c>
      <c r="AA89" s="63" t="str">
        <f t="shared" si="57"/>
        <v>Y</v>
      </c>
      <c r="AE89" s="48">
        <f t="shared" si="65"/>
        <v>-19.598211621183548</v>
      </c>
      <c r="AF89" s="48">
        <f t="shared" si="66"/>
        <v>-97.991058105917745</v>
      </c>
      <c r="AG89" s="48">
        <f t="shared" si="67"/>
        <v>-13.14105810591775</v>
      </c>
      <c r="AH89" s="48">
        <f t="shared" si="68"/>
        <v>-1.917607624258082</v>
      </c>
      <c r="AM89" s="59">
        <f>[1]RES_NWS!AJ36</f>
        <v>0</v>
      </c>
      <c r="AN89" s="55">
        <v>35</v>
      </c>
    </row>
    <row r="90" spans="1:40" x14ac:dyDescent="0.3">
      <c r="A90" t="s">
        <v>125</v>
      </c>
      <c r="B90" t="s">
        <v>293</v>
      </c>
      <c r="C90" s="57">
        <v>2.1664573475122366</v>
      </c>
      <c r="D90" s="3">
        <v>217</v>
      </c>
      <c r="E90" s="3">
        <v>0</v>
      </c>
      <c r="F90" s="3">
        <f t="shared" si="69"/>
        <v>0</v>
      </c>
      <c r="G90">
        <v>10</v>
      </c>
      <c r="H90" s="44">
        <f>(NWS!M87+NWS!O87+NWS!T87)*NWS!R87</f>
        <v>61</v>
      </c>
      <c r="I90" s="40">
        <f t="shared" si="62"/>
        <v>1.6182615112144301</v>
      </c>
      <c r="J90" s="40">
        <f t="shared" si="63"/>
        <v>0</v>
      </c>
      <c r="K90" s="28">
        <f t="shared" si="70"/>
        <v>1.6182615112144301</v>
      </c>
      <c r="L90" s="44">
        <f t="shared" si="71"/>
        <v>152.57188046150711</v>
      </c>
      <c r="M90" s="48">
        <f t="shared" si="72"/>
        <v>-0.13447858561800041</v>
      </c>
      <c r="N90" s="45">
        <f t="shared" si="73"/>
        <v>1.0166666666666666</v>
      </c>
      <c r="O90" s="27">
        <f t="shared" si="74"/>
        <v>-1.151145252284667</v>
      </c>
      <c r="P90" s="31">
        <f t="shared" si="75"/>
        <v>-69.068715137080019</v>
      </c>
      <c r="Q90" s="31">
        <f t="shared" si="76"/>
        <v>-8.0687151370800194</v>
      </c>
      <c r="R90" s="39" t="str">
        <f t="shared" si="77"/>
        <v>YES</v>
      </c>
      <c r="S90" s="60">
        <f t="shared" si="53"/>
        <v>0.45269623031555678</v>
      </c>
      <c r="T90" s="44">
        <v>0</v>
      </c>
      <c r="U90" s="44"/>
      <c r="V90" s="61">
        <f t="shared" si="78"/>
        <v>0.45269623031555678</v>
      </c>
      <c r="W90" s="45"/>
      <c r="X90" s="67">
        <f t="shared" si="54"/>
        <v>61</v>
      </c>
      <c r="Y90" s="27">
        <f t="shared" si="55"/>
        <v>-1.151145252284667</v>
      </c>
      <c r="Z90" s="31">
        <f t="shared" si="56"/>
        <v>-69.068715137080019</v>
      </c>
      <c r="AA90" s="63" t="str">
        <f t="shared" si="57"/>
        <v>Y</v>
      </c>
      <c r="AE90" s="48">
        <f t="shared" si="65"/>
        <v>-14.089462685824357</v>
      </c>
      <c r="AF90" s="48">
        <f t="shared" si="66"/>
        <v>-70.447313429121778</v>
      </c>
      <c r="AG90" s="48">
        <f t="shared" si="67"/>
        <v>-9.4473134291217775</v>
      </c>
      <c r="AH90" s="48">
        <f t="shared" si="68"/>
        <v>-1.3785982920417581</v>
      </c>
      <c r="AM90" s="59">
        <f>[1]RES_NWS!AJ39</f>
        <v>0</v>
      </c>
      <c r="AN90" s="55"/>
    </row>
    <row r="91" spans="1:40" x14ac:dyDescent="0.3">
      <c r="A91" t="s">
        <v>93</v>
      </c>
      <c r="B91" t="s">
        <v>129</v>
      </c>
      <c r="C91" s="57">
        <v>1.0101886088133689</v>
      </c>
      <c r="D91" s="3">
        <v>300</v>
      </c>
      <c r="E91" s="3">
        <v>0</v>
      </c>
      <c r="F91" s="3">
        <f t="shared" si="69"/>
        <v>0</v>
      </c>
      <c r="G91">
        <v>13</v>
      </c>
      <c r="H91" s="44">
        <f>(NWS!M89+NWS!O89+NWS!T89)*NWS!R89</f>
        <v>258.51</v>
      </c>
      <c r="I91" s="40">
        <f t="shared" si="62"/>
        <v>2.2372278956881519</v>
      </c>
      <c r="J91" s="40">
        <f t="shared" si="63"/>
        <v>0</v>
      </c>
      <c r="K91" s="28">
        <f t="shared" si="70"/>
        <v>2.2372278956881519</v>
      </c>
      <c r="L91" s="44">
        <f t="shared" si="71"/>
        <v>256.25142146717639</v>
      </c>
      <c r="M91" s="48">
        <f t="shared" si="72"/>
        <v>-0.56990260931326731</v>
      </c>
      <c r="N91" s="45">
        <f t="shared" si="73"/>
        <v>4.3084999999999996</v>
      </c>
      <c r="O91" s="27">
        <f t="shared" si="74"/>
        <v>-4.8784026093132669</v>
      </c>
      <c r="P91" s="31">
        <f t="shared" si="75"/>
        <v>-292.704156558796</v>
      </c>
      <c r="Q91" s="31">
        <f t="shared" si="76"/>
        <v>-34.19415655879601</v>
      </c>
      <c r="R91" s="39" t="str">
        <f t="shared" si="77"/>
        <v>NO</v>
      </c>
      <c r="S91" s="60">
        <f t="shared" si="53"/>
        <v>1.1422537868586571</v>
      </c>
      <c r="T91" s="44">
        <v>0</v>
      </c>
      <c r="U91" s="44">
        <v>100</v>
      </c>
      <c r="V91" s="61">
        <f t="shared" si="78"/>
        <v>1.1422537868586571</v>
      </c>
      <c r="W91" s="45"/>
      <c r="X91" s="67">
        <f t="shared" si="54"/>
        <v>158.51</v>
      </c>
      <c r="Y91" s="27">
        <f t="shared" si="55"/>
        <v>-2.9912792449121732</v>
      </c>
      <c r="Z91" s="31">
        <f t="shared" si="56"/>
        <v>-179.4767546947304</v>
      </c>
      <c r="AA91" s="63" t="str">
        <f t="shared" si="57"/>
        <v>Y</v>
      </c>
      <c r="AE91" s="48">
        <f t="shared" si="65"/>
        <v>-59.709295064138587</v>
      </c>
      <c r="AF91" s="48">
        <f t="shared" si="66"/>
        <v>-298.54647532069293</v>
      </c>
      <c r="AG91" s="48">
        <f t="shared" si="67"/>
        <v>-40.036475320692944</v>
      </c>
      <c r="AH91" s="48">
        <f t="shared" si="68"/>
        <v>-5.8423187618969337</v>
      </c>
      <c r="AM91" s="59">
        <f>[1]RES_NWS!AJ40</f>
        <v>0</v>
      </c>
      <c r="AN91" s="55"/>
    </row>
    <row r="92" spans="1:40" x14ac:dyDescent="0.3">
      <c r="A92" t="s">
        <v>134</v>
      </c>
      <c r="B92" t="s">
        <v>302</v>
      </c>
      <c r="C92" s="57">
        <v>6.4306143888586851</v>
      </c>
      <c r="D92" s="3">
        <v>180</v>
      </c>
      <c r="E92" s="3">
        <v>0</v>
      </c>
      <c r="F92" s="3">
        <f t="shared" si="69"/>
        <v>0</v>
      </c>
      <c r="G92">
        <v>10</v>
      </c>
      <c r="H92" s="44">
        <f>(NWS!M97+NWS!O97+NWS!T97)*NWS!R97</f>
        <v>18</v>
      </c>
      <c r="I92" s="40">
        <f t="shared" si="62"/>
        <v>1.3423367374128912</v>
      </c>
      <c r="J92" s="40">
        <f t="shared" si="63"/>
        <v>0</v>
      </c>
      <c r="K92" s="28">
        <f t="shared" si="70"/>
        <v>1.3423367374128912</v>
      </c>
      <c r="L92" s="44">
        <f t="shared" si="71"/>
        <v>126.55732019848514</v>
      </c>
      <c r="M92" s="48">
        <f t="shared" si="72"/>
        <v>-3.9682205592196818E-2</v>
      </c>
      <c r="N92" s="45">
        <f t="shared" si="73"/>
        <v>0.3</v>
      </c>
      <c r="O92" s="27">
        <f t="shared" si="74"/>
        <v>-0.33968220559219681</v>
      </c>
      <c r="P92" s="31">
        <f t="shared" si="75"/>
        <v>-20.38093233553181</v>
      </c>
      <c r="Q92" s="31">
        <f t="shared" si="76"/>
        <v>-2.3809323355318099</v>
      </c>
      <c r="R92" s="39" t="str">
        <f t="shared" si="77"/>
        <v>YES</v>
      </c>
      <c r="S92" s="60">
        <f t="shared" si="53"/>
        <v>0.16104111799750137</v>
      </c>
      <c r="T92" s="44">
        <v>0</v>
      </c>
      <c r="U92" s="44"/>
      <c r="V92" s="61">
        <f t="shared" si="78"/>
        <v>0.16104111799750137</v>
      </c>
      <c r="W92" s="45"/>
      <c r="X92" s="67">
        <f t="shared" si="54"/>
        <v>18</v>
      </c>
      <c r="Y92" s="27">
        <f t="shared" si="55"/>
        <v>-0.33968220559219681</v>
      </c>
      <c r="Z92" s="31">
        <f t="shared" si="56"/>
        <v>-20.38093233553181</v>
      </c>
      <c r="AA92" s="63" t="str">
        <f t="shared" si="57"/>
        <v>Y</v>
      </c>
      <c r="AE92" s="48">
        <f t="shared" si="65"/>
        <v>-4.1575463663088259</v>
      </c>
      <c r="AF92" s="48">
        <f t="shared" si="66"/>
        <v>-20.787731831544129</v>
      </c>
      <c r="AG92" s="48">
        <f t="shared" si="67"/>
        <v>-2.7877318315441286</v>
      </c>
      <c r="AH92" s="48">
        <f t="shared" si="68"/>
        <v>-0.40679949601231868</v>
      </c>
      <c r="AM92" s="59">
        <f>[1]RES_NWS!AJ41</f>
        <v>0</v>
      </c>
      <c r="AN92" s="55"/>
    </row>
    <row r="93" spans="1:40" x14ac:dyDescent="0.3">
      <c r="A93" t="s">
        <v>134</v>
      </c>
      <c r="B93" t="s">
        <v>303</v>
      </c>
      <c r="C93" s="57">
        <v>4.4927448182561553</v>
      </c>
      <c r="D93" s="3">
        <v>0</v>
      </c>
      <c r="E93" s="3">
        <v>11.71875</v>
      </c>
      <c r="F93" s="3">
        <f t="shared" si="69"/>
        <v>12</v>
      </c>
      <c r="G93">
        <v>10</v>
      </c>
      <c r="H93" s="44">
        <f>(NWS!M98+NWS!O98+NWS!T98)*NWS!R98</f>
        <v>18</v>
      </c>
      <c r="I93" s="40">
        <f t="shared" si="62"/>
        <v>0</v>
      </c>
      <c r="J93" s="40">
        <f t="shared" si="63"/>
        <v>0.9139980416289295</v>
      </c>
      <c r="K93" s="28">
        <f t="shared" si="70"/>
        <v>0.9139980416289295</v>
      </c>
      <c r="L93" s="44">
        <f t="shared" si="71"/>
        <v>86.172969562138064</v>
      </c>
      <c r="M93" s="48">
        <f t="shared" si="72"/>
        <v>-3.9682205592196818E-2</v>
      </c>
      <c r="N93" s="45">
        <f t="shared" si="73"/>
        <v>0.3</v>
      </c>
      <c r="O93" s="27">
        <f t="shared" si="74"/>
        <v>-0.33968220559219681</v>
      </c>
      <c r="P93" s="31">
        <f t="shared" si="75"/>
        <v>-20.38093233553181</v>
      </c>
      <c r="Q93" s="31">
        <f t="shared" si="76"/>
        <v>-2.3809323355318099</v>
      </c>
      <c r="R93" s="39" t="str">
        <f t="shared" si="77"/>
        <v>YES</v>
      </c>
      <c r="S93" s="60">
        <f t="shared" si="53"/>
        <v>0.2365118950767435</v>
      </c>
      <c r="T93" s="44">
        <v>0</v>
      </c>
      <c r="U93" s="44"/>
      <c r="V93" s="61">
        <f t="shared" si="78"/>
        <v>0.2365118950767435</v>
      </c>
      <c r="W93" s="45"/>
      <c r="X93" s="67">
        <f t="shared" si="54"/>
        <v>18</v>
      </c>
      <c r="Y93" s="27">
        <f t="shared" si="55"/>
        <v>-0.33968220559219681</v>
      </c>
      <c r="Z93" s="31">
        <f t="shared" si="56"/>
        <v>-20.38093233553181</v>
      </c>
      <c r="AA93" s="63" t="str">
        <f t="shared" si="57"/>
        <v>Y</v>
      </c>
      <c r="AE93" s="48">
        <f t="shared" si="65"/>
        <v>-4.1575463663088259</v>
      </c>
      <c r="AF93" s="48">
        <f t="shared" si="66"/>
        <v>-20.787731831544129</v>
      </c>
      <c r="AG93" s="48">
        <f t="shared" si="67"/>
        <v>-2.7877318315441286</v>
      </c>
      <c r="AH93" s="48">
        <f t="shared" si="68"/>
        <v>-0.40679949601231868</v>
      </c>
      <c r="AM93" s="59">
        <f>[1]RES_NWS!AJ42</f>
        <v>0</v>
      </c>
      <c r="AN93" s="55"/>
    </row>
    <row r="94" spans="1:40" x14ac:dyDescent="0.3">
      <c r="A94" t="s">
        <v>136</v>
      </c>
      <c r="B94" t="s">
        <v>304</v>
      </c>
      <c r="C94" s="57">
        <v>5.1118683846804149</v>
      </c>
      <c r="D94" s="3">
        <v>163</v>
      </c>
      <c r="E94" s="3">
        <v>0</v>
      </c>
      <c r="F94" s="3">
        <f t="shared" si="69"/>
        <v>0</v>
      </c>
      <c r="G94">
        <v>4</v>
      </c>
      <c r="H94" s="44">
        <f>(NWS!M99+NWS!O99+NWS!T99)*NWS!R99</f>
        <v>8</v>
      </c>
      <c r="I94" s="40">
        <f t="shared" si="62"/>
        <v>1.2155604899905625</v>
      </c>
      <c r="J94" s="40">
        <f t="shared" si="63"/>
        <v>0</v>
      </c>
      <c r="K94" s="28">
        <f t="shared" si="70"/>
        <v>1.2155604899905625</v>
      </c>
      <c r="L94" s="44">
        <f t="shared" si="71"/>
        <v>52.783229596757529</v>
      </c>
      <c r="M94" s="48">
        <f t="shared" si="72"/>
        <v>-1.7636535818754157E-2</v>
      </c>
      <c r="N94" s="45">
        <f t="shared" si="73"/>
        <v>0.13333333333333333</v>
      </c>
      <c r="O94" s="27">
        <f t="shared" si="74"/>
        <v>-0.15096986915208749</v>
      </c>
      <c r="P94" s="31">
        <f t="shared" si="75"/>
        <v>-9.0581921491252491</v>
      </c>
      <c r="Q94" s="31">
        <f t="shared" si="76"/>
        <v>-1.0581921491252491</v>
      </c>
      <c r="R94" s="39" t="str">
        <f t="shared" si="77"/>
        <v>YES</v>
      </c>
      <c r="S94" s="60">
        <f t="shared" si="53"/>
        <v>0.17161117685155236</v>
      </c>
      <c r="T94" s="44">
        <v>0</v>
      </c>
      <c r="U94" s="44"/>
      <c r="V94" s="61">
        <f t="shared" si="78"/>
        <v>0.17161117685155236</v>
      </c>
      <c r="W94" s="45"/>
      <c r="X94" s="67">
        <f t="shared" si="54"/>
        <v>8</v>
      </c>
      <c r="Y94" s="27">
        <f t="shared" si="55"/>
        <v>-0.15096986915208749</v>
      </c>
      <c r="Z94" s="31">
        <f t="shared" si="56"/>
        <v>-9.0581921491252491</v>
      </c>
      <c r="AA94" s="63" t="str">
        <f t="shared" si="57"/>
        <v>Y</v>
      </c>
      <c r="AE94" s="48">
        <f t="shared" si="65"/>
        <v>-1.847798385026145</v>
      </c>
      <c r="AF94" s="48">
        <f t="shared" si="66"/>
        <v>-9.2389919251307244</v>
      </c>
      <c r="AG94" s="48">
        <f t="shared" si="67"/>
        <v>-1.2389919251307244</v>
      </c>
      <c r="AH94" s="48">
        <f t="shared" si="68"/>
        <v>-0.18079977600547537</v>
      </c>
      <c r="AM94" s="59">
        <f>[1]RES_NWS!AJ43</f>
        <v>0</v>
      </c>
      <c r="AN94" s="55"/>
    </row>
    <row r="95" spans="1:40" x14ac:dyDescent="0.3">
      <c r="A95" t="s">
        <v>136</v>
      </c>
      <c r="B95" t="s">
        <v>305</v>
      </c>
      <c r="C95" s="57">
        <v>3.6363405219690765</v>
      </c>
      <c r="D95" s="3">
        <v>0</v>
      </c>
      <c r="E95" s="3">
        <v>10.7421875</v>
      </c>
      <c r="F95" s="3">
        <f t="shared" si="69"/>
        <v>11</v>
      </c>
      <c r="G95">
        <v>4</v>
      </c>
      <c r="H95" s="44">
        <f>(NWS!M100+NWS!O100+NWS!T100)*NWS!R100</f>
        <v>8</v>
      </c>
      <c r="I95" s="40">
        <f t="shared" ref="I95:I97" si="79">(D95*$H$2)/12</f>
        <v>0</v>
      </c>
      <c r="J95" s="40">
        <f t="shared" ref="J95:J97" si="80">($H$3*F95)/12</f>
        <v>0.83783153815985212</v>
      </c>
      <c r="K95" s="28">
        <f t="shared" si="70"/>
        <v>0.83783153815985212</v>
      </c>
      <c r="L95" s="44">
        <f t="shared" si="71"/>
        <v>36.381121964929392</v>
      </c>
      <c r="M95" s="48">
        <f t="shared" si="72"/>
        <v>-1.7636535818754157E-2</v>
      </c>
      <c r="N95" s="45">
        <f t="shared" si="73"/>
        <v>0.13333333333333333</v>
      </c>
      <c r="O95" s="27">
        <f t="shared" si="74"/>
        <v>-0.15096986915208749</v>
      </c>
      <c r="P95" s="31">
        <f t="shared" si="75"/>
        <v>-9.0581921491252491</v>
      </c>
      <c r="Q95" s="31">
        <f t="shared" si="76"/>
        <v>-1.0581921491252491</v>
      </c>
      <c r="R95" s="39" t="str">
        <f t="shared" si="77"/>
        <v>YES</v>
      </c>
      <c r="S95" s="60">
        <f t="shared" si="53"/>
        <v>0.24898056079351122</v>
      </c>
      <c r="T95" s="44">
        <v>0</v>
      </c>
      <c r="U95" s="44"/>
      <c r="V95" s="61">
        <f t="shared" si="78"/>
        <v>0.24898056079351122</v>
      </c>
      <c r="W95" s="45"/>
      <c r="X95" s="67">
        <f t="shared" si="54"/>
        <v>8</v>
      </c>
      <c r="Y95" s="27">
        <f t="shared" si="55"/>
        <v>-0.15096986915208749</v>
      </c>
      <c r="Z95" s="31">
        <f t="shared" si="56"/>
        <v>-9.0581921491252491</v>
      </c>
      <c r="AA95" s="63" t="str">
        <f t="shared" si="57"/>
        <v>Y</v>
      </c>
      <c r="AE95" s="48">
        <f t="shared" ref="AE95:AE97" si="81">PMT($B$1,IF(H95&lt;1000,5,10),H95)</f>
        <v>-1.847798385026145</v>
      </c>
      <c r="AF95" s="48">
        <f t="shared" ref="AF95:AF97" si="82">AE95*IF(H95&lt;1000,5,10)</f>
        <v>-9.2389919251307244</v>
      </c>
      <c r="AG95" s="48">
        <f t="shared" ref="AG95:AG97" si="83">AF95+H95</f>
        <v>-1.2389919251307244</v>
      </c>
      <c r="AH95" s="48">
        <f t="shared" ref="AH95:AH97" si="84">AF95-P95</f>
        <v>-0.18079977600547537</v>
      </c>
      <c r="AM95" s="59">
        <f>[1]RES_NWS!AJ44</f>
        <v>0</v>
      </c>
      <c r="AN95" s="55"/>
    </row>
    <row r="96" spans="1:40" x14ac:dyDescent="0.3">
      <c r="A96" t="s">
        <v>138</v>
      </c>
      <c r="B96" t="s">
        <v>306</v>
      </c>
      <c r="C96" s="57">
        <v>1.1149161464912938</v>
      </c>
      <c r="D96" s="3">
        <v>251</v>
      </c>
      <c r="E96" s="3">
        <v>0</v>
      </c>
      <c r="F96" s="3">
        <f t="shared" si="69"/>
        <v>0</v>
      </c>
      <c r="G96">
        <v>9</v>
      </c>
      <c r="H96" s="44">
        <f>(NWS!M101+NWS!O101+NWS!T101)*NWS!R101</f>
        <v>130</v>
      </c>
      <c r="I96" s="40">
        <f t="shared" si="79"/>
        <v>1.8718140060590871</v>
      </c>
      <c r="J96" s="40">
        <f t="shared" si="80"/>
        <v>0</v>
      </c>
      <c r="K96" s="28">
        <f t="shared" si="70"/>
        <v>1.8718140060590871</v>
      </c>
      <c r="L96" s="44">
        <f t="shared" si="71"/>
        <v>162.52232439884611</v>
      </c>
      <c r="M96" s="48">
        <f t="shared" si="72"/>
        <v>-0.28659370705475506</v>
      </c>
      <c r="N96" s="45">
        <f t="shared" si="73"/>
        <v>2.1666666666666665</v>
      </c>
      <c r="O96" s="27">
        <f t="shared" si="74"/>
        <v>-2.4532603737214216</v>
      </c>
      <c r="P96" s="31">
        <f t="shared" si="75"/>
        <v>-147.1956224232853</v>
      </c>
      <c r="Q96" s="31">
        <f t="shared" si="76"/>
        <v>-17.1956224232853</v>
      </c>
      <c r="R96" s="39" t="str">
        <f t="shared" si="77"/>
        <v>YES</v>
      </c>
      <c r="S96" s="60">
        <f t="shared" si="53"/>
        <v>0.90569478973271667</v>
      </c>
      <c r="T96" s="44">
        <v>0</v>
      </c>
      <c r="U96" s="44"/>
      <c r="V96" s="61">
        <f t="shared" si="78"/>
        <v>0.90569478973271667</v>
      </c>
      <c r="W96" s="45"/>
      <c r="X96" s="67">
        <f t="shared" si="54"/>
        <v>130</v>
      </c>
      <c r="Y96" s="27">
        <f t="shared" si="55"/>
        <v>-2.4532603737214216</v>
      </c>
      <c r="Z96" s="31">
        <f t="shared" si="56"/>
        <v>-147.1956224232853</v>
      </c>
      <c r="AA96" s="63" t="str">
        <f t="shared" si="57"/>
        <v>Y</v>
      </c>
      <c r="AE96" s="48">
        <f t="shared" si="81"/>
        <v>-30.026723756674855</v>
      </c>
      <c r="AF96" s="48">
        <f t="shared" si="82"/>
        <v>-150.13361878337429</v>
      </c>
      <c r="AG96" s="48">
        <f t="shared" si="83"/>
        <v>-20.133618783374288</v>
      </c>
      <c r="AH96" s="48">
        <f t="shared" si="84"/>
        <v>-2.937996360088988</v>
      </c>
      <c r="AM96" s="59">
        <f>[1]RES_NWS!AJ45</f>
        <v>0</v>
      </c>
      <c r="AN96" s="55"/>
    </row>
    <row r="97" spans="1:40" x14ac:dyDescent="0.3">
      <c r="A97" t="s">
        <v>146</v>
      </c>
      <c r="B97" t="s">
        <v>310</v>
      </c>
      <c r="C97" s="57">
        <v>1.3736077411475947</v>
      </c>
      <c r="D97" s="3">
        <v>11936</v>
      </c>
      <c r="E97" s="3">
        <v>0</v>
      </c>
      <c r="F97" s="3">
        <f t="shared" si="69"/>
        <v>0</v>
      </c>
      <c r="G97">
        <v>15</v>
      </c>
      <c r="H97" s="44">
        <f>(NWS!M106+NWS!O106+NWS!T106)*NWS!R106</f>
        <v>11000</v>
      </c>
      <c r="I97" s="40">
        <f t="shared" si="79"/>
        <v>89.011840543112612</v>
      </c>
      <c r="J97" s="40">
        <f t="shared" si="80"/>
        <v>0</v>
      </c>
      <c r="K97" s="28">
        <f t="shared" si="70"/>
        <v>89.011840543112612</v>
      </c>
      <c r="L97" s="44">
        <f t="shared" si="71"/>
        <v>11256.013899591608</v>
      </c>
      <c r="M97" s="48">
        <f t="shared" si="72"/>
        <v>-25.00540009631608</v>
      </c>
      <c r="N97" s="45">
        <f t="shared" si="73"/>
        <v>91.666666666666671</v>
      </c>
      <c r="O97" s="27">
        <f t="shared" si="74"/>
        <v>-116.67206676298275</v>
      </c>
      <c r="P97" s="31">
        <f t="shared" si="75"/>
        <v>-14000.648011557931</v>
      </c>
      <c r="Q97" s="31">
        <f t="shared" si="76"/>
        <v>-3000.6480115579307</v>
      </c>
      <c r="R97" s="39" t="str">
        <f t="shared" si="77"/>
        <v>NO</v>
      </c>
      <c r="S97" s="60">
        <f t="shared" si="53"/>
        <v>1.2438371288850225</v>
      </c>
      <c r="T97" s="44">
        <v>600</v>
      </c>
      <c r="U97" s="44"/>
      <c r="V97" s="61">
        <f t="shared" ref="V97" si="85">((ABS(P97)-T97)/L97)</f>
        <v>1.1905322906578975</v>
      </c>
      <c r="W97" s="45"/>
      <c r="X97" s="67">
        <f t="shared" si="54"/>
        <v>10400</v>
      </c>
      <c r="Y97" s="27">
        <f t="shared" si="55"/>
        <v>-110.30813584863824</v>
      </c>
      <c r="Z97" s="31">
        <f t="shared" si="56"/>
        <v>-13236.976301836588</v>
      </c>
      <c r="AA97" s="63" t="str">
        <f t="shared" si="57"/>
        <v>N</v>
      </c>
      <c r="AE97" s="48">
        <f t="shared" si="81"/>
        <v>-1424.5503246200233</v>
      </c>
      <c r="AF97" s="48">
        <f t="shared" si="82"/>
        <v>-14245.503246200233</v>
      </c>
      <c r="AG97" s="48">
        <f t="shared" si="83"/>
        <v>-3245.5032462002328</v>
      </c>
      <c r="AH97" s="48">
        <f t="shared" si="84"/>
        <v>-244.85523464230209</v>
      </c>
      <c r="AM97" s="59">
        <f>[1]RES_NWS!AJ46</f>
        <v>0</v>
      </c>
      <c r="AN97" s="55"/>
    </row>
    <row r="98" spans="1:40" x14ac:dyDescent="0.3">
      <c r="AM98" s="59">
        <f>[1]RES_NWS!AJ47</f>
        <v>0</v>
      </c>
      <c r="AN98" s="55"/>
    </row>
    <row r="99" spans="1:40" x14ac:dyDescent="0.3">
      <c r="M99" s="48"/>
      <c r="AM99" s="59">
        <f>[1]RES_NWS!AJ48</f>
        <v>0</v>
      </c>
      <c r="AN99" s="55"/>
    </row>
    <row r="100" spans="1:40" x14ac:dyDescent="0.3">
      <c r="AM100" s="59">
        <f>[1]RES_NWS!AJ49</f>
        <v>0</v>
      </c>
      <c r="AN100" s="55"/>
    </row>
    <row r="101" spans="1:40" x14ac:dyDescent="0.3">
      <c r="AM101" s="59">
        <f>[1]RES_NWS!AJ50</f>
        <v>0</v>
      </c>
      <c r="AN101" s="55"/>
    </row>
    <row r="102" spans="1:40" x14ac:dyDescent="0.3">
      <c r="AM102" s="59">
        <f>[1]RES_NWS!AJ51</f>
        <v>0</v>
      </c>
      <c r="AN102" s="55"/>
    </row>
    <row r="103" spans="1:40" x14ac:dyDescent="0.3">
      <c r="AM103" s="59">
        <f>[1]RES_NWS!AJ52</f>
        <v>0</v>
      </c>
      <c r="AN103" s="55"/>
    </row>
    <row r="104" spans="1:40" x14ac:dyDescent="0.3">
      <c r="AM104" s="59">
        <f>[1]RES_NWS!AJ53</f>
        <v>0</v>
      </c>
      <c r="AN104" s="55"/>
    </row>
    <row r="105" spans="1:40" x14ac:dyDescent="0.3">
      <c r="AM105" s="59">
        <f>[1]RES_NWS!AJ54</f>
        <v>0</v>
      </c>
      <c r="AN105" s="55"/>
    </row>
    <row r="106" spans="1:40" x14ac:dyDescent="0.3">
      <c r="AM106" s="59">
        <f>[1]RES_NWS!AJ55</f>
        <v>0</v>
      </c>
      <c r="AN106" s="55"/>
    </row>
    <row r="107" spans="1:40" x14ac:dyDescent="0.3">
      <c r="AM107" s="59">
        <f>[1]RES_NWS!AJ56</f>
        <v>0</v>
      </c>
      <c r="AN107" s="55"/>
    </row>
    <row r="108" spans="1:40" x14ac:dyDescent="0.3">
      <c r="AM108" s="59">
        <f>[1]RES_NWS!AJ57</f>
        <v>0</v>
      </c>
      <c r="AN108" s="55"/>
    </row>
    <row r="109" spans="1:40" x14ac:dyDescent="0.3">
      <c r="AM109" s="59">
        <f>[1]RES_NWS!AJ58</f>
        <v>0</v>
      </c>
      <c r="AN109" s="55"/>
    </row>
    <row r="110" spans="1:40" x14ac:dyDescent="0.3">
      <c r="AM110" s="59">
        <f>[1]RES_NWS!AJ59</f>
        <v>0</v>
      </c>
      <c r="AN110" s="55"/>
    </row>
    <row r="111" spans="1:40" x14ac:dyDescent="0.3">
      <c r="AM111" s="59">
        <f>[1]RES_NWS!AJ64</f>
        <v>0</v>
      </c>
      <c r="AN111" s="55">
        <v>25</v>
      </c>
    </row>
    <row r="112" spans="1:40" x14ac:dyDescent="0.3">
      <c r="AM112" s="59">
        <f>[1]RES_NWS!AJ65</f>
        <v>0</v>
      </c>
      <c r="AN112" s="55"/>
    </row>
    <row r="113" spans="39:40" x14ac:dyDescent="0.3">
      <c r="AM113" s="59">
        <f>[1]RES_NWS!AJ66</f>
        <v>0</v>
      </c>
      <c r="AN113" s="55"/>
    </row>
    <row r="114" spans="39:40" x14ac:dyDescent="0.3">
      <c r="AM114" s="59">
        <f>[1]RES_NWS!AJ67</f>
        <v>0</v>
      </c>
      <c r="AN114" s="55"/>
    </row>
    <row r="115" spans="39:40" x14ac:dyDescent="0.3">
      <c r="AM115" s="59">
        <f>[1]RES_NWS!AJ68</f>
        <v>0</v>
      </c>
      <c r="AN115" s="58"/>
    </row>
    <row r="116" spans="39:40" x14ac:dyDescent="0.3">
      <c r="AM116" s="59">
        <f>[1]RES_NWS!AJ69</f>
        <v>0</v>
      </c>
      <c r="AN116" s="58"/>
    </row>
    <row r="117" spans="39:40" x14ac:dyDescent="0.3">
      <c r="AM117" s="59">
        <f>[1]RES_NWS!AJ70</f>
        <v>0</v>
      </c>
      <c r="AN117" s="55"/>
    </row>
    <row r="118" spans="39:40" x14ac:dyDescent="0.3">
      <c r="AM118" s="59">
        <f>[1]RES_NWS!AJ72</f>
        <v>0</v>
      </c>
      <c r="AN118" s="55"/>
    </row>
    <row r="119" spans="39:40" x14ac:dyDescent="0.3">
      <c r="AM119" s="59">
        <f>[1]RES_NWS!AJ73</f>
        <v>0</v>
      </c>
      <c r="AN119" s="55"/>
    </row>
    <row r="120" spans="39:40" x14ac:dyDescent="0.3">
      <c r="AM120" s="59">
        <f>[1]RES_NWS!AJ74</f>
        <v>0</v>
      </c>
      <c r="AN120" s="55"/>
    </row>
    <row r="121" spans="39:40" x14ac:dyDescent="0.3">
      <c r="AM121" s="59">
        <f>[1]RES_NWS!AJ75</f>
        <v>0</v>
      </c>
      <c r="AN121" s="55"/>
    </row>
    <row r="122" spans="39:40" x14ac:dyDescent="0.3">
      <c r="AN122" s="55"/>
    </row>
    <row r="123" spans="39:40" x14ac:dyDescent="0.3">
      <c r="AN123" s="55"/>
    </row>
    <row r="124" spans="39:40" x14ac:dyDescent="0.3">
      <c r="AN124" s="55"/>
    </row>
  </sheetData>
  <mergeCells count="3">
    <mergeCell ref="G1:H1"/>
    <mergeCell ref="I3:K3"/>
    <mergeCell ref="M3:O3"/>
  </mergeCells>
  <conditionalFormatting sqref="R5:V97">
    <cfRule type="cellIs" dxfId="2" priority="11" operator="equal">
      <formula>"YES"</formula>
    </cfRule>
  </conditionalFormatting>
  <conditionalFormatting sqref="C4:C216">
    <cfRule type="cellIs" dxfId="1" priority="10" operator="greaterThan">
      <formula>1</formula>
    </cfRule>
  </conditionalFormatting>
  <conditionalFormatting sqref="AA6:AA97">
    <cfRule type="cellIs" dxfId="0" priority="1" operator="equal">
      <formula>"Y"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opLeftCell="A4" zoomScale="85" zoomScaleNormal="85" workbookViewId="0">
      <selection activeCell="N30" sqref="N30"/>
    </sheetView>
  </sheetViews>
  <sheetFormatPr defaultRowHeight="14.4" x14ac:dyDescent="0.3"/>
  <cols>
    <col min="1" max="1" width="36" customWidth="1"/>
  </cols>
  <sheetData>
    <row r="1" spans="1:14" ht="72" x14ac:dyDescent="0.3">
      <c r="A1" s="2" t="s">
        <v>312</v>
      </c>
      <c r="B1" s="2" t="s">
        <v>2</v>
      </c>
      <c r="C1" s="2" t="s">
        <v>313</v>
      </c>
      <c r="D1" s="2" t="s">
        <v>314</v>
      </c>
      <c r="E1" s="2" t="s">
        <v>3</v>
      </c>
      <c r="F1" s="2" t="s">
        <v>149</v>
      </c>
      <c r="G1" s="2" t="s">
        <v>315</v>
      </c>
      <c r="H1" s="2" t="s">
        <v>4</v>
      </c>
      <c r="I1" s="2" t="s">
        <v>316</v>
      </c>
      <c r="J1" s="2" t="s">
        <v>317</v>
      </c>
      <c r="K1" s="2" t="s">
        <v>318</v>
      </c>
      <c r="L1" s="2" t="s">
        <v>319</v>
      </c>
      <c r="M1" s="2" t="s">
        <v>5</v>
      </c>
      <c r="N1" s="2" t="s">
        <v>320</v>
      </c>
    </row>
    <row r="2" spans="1:14" x14ac:dyDescent="0.3">
      <c r="A2" t="s">
        <v>152</v>
      </c>
      <c r="B2">
        <v>11.718793604631843</v>
      </c>
      <c r="C2">
        <v>2.4519762039252094E-3</v>
      </c>
      <c r="D2">
        <v>4.586534755449248E-3</v>
      </c>
      <c r="E2">
        <v>1.8133515758254148</v>
      </c>
      <c r="F2">
        <v>1.7708511482670066</v>
      </c>
      <c r="G2" t="s">
        <v>321</v>
      </c>
      <c r="H2">
        <v>15.000000000000002</v>
      </c>
      <c r="I2">
        <v>39.5</v>
      </c>
      <c r="J2">
        <v>64.5</v>
      </c>
      <c r="K2">
        <v>25</v>
      </c>
      <c r="L2">
        <v>12.150000000000002</v>
      </c>
      <c r="M2">
        <v>76.650000000000006</v>
      </c>
      <c r="N2">
        <v>7.7263157894736851</v>
      </c>
    </row>
    <row r="3" spans="1:14" x14ac:dyDescent="0.3">
      <c r="A3" t="s">
        <v>153</v>
      </c>
      <c r="B3">
        <v>180.82261001448549</v>
      </c>
      <c r="C3">
        <v>0.19764380350321675</v>
      </c>
      <c r="D3">
        <v>1.5419298413804154E-2</v>
      </c>
      <c r="E3">
        <v>0</v>
      </c>
      <c r="F3">
        <v>0</v>
      </c>
      <c r="G3" t="s">
        <v>322</v>
      </c>
      <c r="H3">
        <v>15</v>
      </c>
      <c r="I3">
        <v>630.84454764081727</v>
      </c>
      <c r="J3">
        <v>728.78063032674413</v>
      </c>
      <c r="K3">
        <v>97.936082685926749</v>
      </c>
      <c r="L3">
        <v>235.95000000000002</v>
      </c>
      <c r="M3">
        <v>964.73063032674395</v>
      </c>
      <c r="N3">
        <v>3</v>
      </c>
    </row>
    <row r="4" spans="1:14" x14ac:dyDescent="0.3">
      <c r="A4" t="s">
        <v>154</v>
      </c>
      <c r="B4">
        <v>336.96267731751863</v>
      </c>
      <c r="C4">
        <v>0.27696509617930887</v>
      </c>
      <c r="D4">
        <v>4.5280367581833389E-2</v>
      </c>
      <c r="E4">
        <v>0</v>
      </c>
      <c r="F4">
        <v>0</v>
      </c>
      <c r="G4" t="s">
        <v>322</v>
      </c>
      <c r="H4">
        <v>15</v>
      </c>
      <c r="I4">
        <v>630.84454764081727</v>
      </c>
      <c r="J4">
        <v>826.71671301267088</v>
      </c>
      <c r="K4">
        <v>195.87216537185361</v>
      </c>
      <c r="L4">
        <v>235.95000000000002</v>
      </c>
      <c r="M4">
        <v>1062.6667130126709</v>
      </c>
      <c r="N4">
        <v>3</v>
      </c>
    </row>
    <row r="5" spans="1:14" x14ac:dyDescent="0.3">
      <c r="A5" t="s">
        <v>155</v>
      </c>
      <c r="B5">
        <v>425.06829650768321</v>
      </c>
      <c r="C5">
        <v>0.26313057990910432</v>
      </c>
      <c r="D5">
        <v>0.26828371750455599</v>
      </c>
      <c r="E5">
        <v>0</v>
      </c>
      <c r="F5">
        <v>0</v>
      </c>
      <c r="G5" t="s">
        <v>322</v>
      </c>
      <c r="H5">
        <v>15</v>
      </c>
      <c r="I5">
        <v>630.84454764081727</v>
      </c>
      <c r="J5">
        <v>924.65279569859774</v>
      </c>
      <c r="K5">
        <v>293.80824805778042</v>
      </c>
      <c r="L5">
        <v>235.95000000000002</v>
      </c>
      <c r="M5">
        <v>1160.6027956985977</v>
      </c>
      <c r="N5">
        <v>3</v>
      </c>
    </row>
    <row r="6" spans="1:14" x14ac:dyDescent="0.3">
      <c r="A6" t="s">
        <v>156</v>
      </c>
      <c r="B6">
        <v>491.06587719948686</v>
      </c>
      <c r="C6">
        <v>0.26277310881295868</v>
      </c>
      <c r="D6">
        <v>0.41824877122836501</v>
      </c>
      <c r="E6">
        <v>0</v>
      </c>
      <c r="F6">
        <v>0</v>
      </c>
      <c r="G6" t="s">
        <v>322</v>
      </c>
      <c r="H6">
        <v>15</v>
      </c>
      <c r="I6">
        <v>630.84454764081727</v>
      </c>
      <c r="J6">
        <v>1022.5888783845247</v>
      </c>
      <c r="K6">
        <v>391.74433074370745</v>
      </c>
      <c r="L6">
        <v>235.95000000000002</v>
      </c>
      <c r="M6">
        <v>1258.5388783845247</v>
      </c>
      <c r="N6">
        <v>3</v>
      </c>
    </row>
    <row r="7" spans="1:14" x14ac:dyDescent="0.3">
      <c r="A7" t="s">
        <v>157</v>
      </c>
      <c r="B7">
        <v>504.72615753340756</v>
      </c>
      <c r="C7">
        <v>0.28193783423411234</v>
      </c>
      <c r="D7">
        <v>0.42616631957343842</v>
      </c>
      <c r="E7">
        <v>0</v>
      </c>
      <c r="F7">
        <v>0</v>
      </c>
      <c r="G7" t="s">
        <v>322</v>
      </c>
      <c r="H7">
        <v>15</v>
      </c>
      <c r="I7">
        <v>630.84454764081727</v>
      </c>
      <c r="J7">
        <v>1120.5249610704514</v>
      </c>
      <c r="K7">
        <v>489.68041342963414</v>
      </c>
      <c r="L7">
        <v>235.95000000000002</v>
      </c>
      <c r="M7">
        <v>1356.4749610704514</v>
      </c>
      <c r="N7">
        <v>3</v>
      </c>
    </row>
    <row r="8" spans="1:14" x14ac:dyDescent="0.3">
      <c r="A8" t="s">
        <v>158</v>
      </c>
      <c r="B8">
        <v>190.93219841358524</v>
      </c>
      <c r="C8">
        <v>-8.9211252245318187E-3</v>
      </c>
      <c r="D8">
        <v>0.10940099704487315</v>
      </c>
      <c r="E8">
        <v>36.300410986118344</v>
      </c>
      <c r="F8">
        <v>35.449620103631197</v>
      </c>
      <c r="G8" t="s">
        <v>323</v>
      </c>
      <c r="H8">
        <v>20</v>
      </c>
      <c r="I8">
        <v>0</v>
      </c>
      <c r="J8">
        <v>273.35353679646971</v>
      </c>
      <c r="K8">
        <v>273.35353679646971</v>
      </c>
      <c r="L8">
        <v>416.78</v>
      </c>
      <c r="M8">
        <v>690.13353679646968</v>
      </c>
      <c r="N8">
        <v>1.6</v>
      </c>
    </row>
    <row r="9" spans="1:14" x14ac:dyDescent="0.3">
      <c r="A9" t="s">
        <v>159</v>
      </c>
      <c r="B9">
        <v>60.350036516303192</v>
      </c>
      <c r="C9">
        <v>3.4022113383404239E-2</v>
      </c>
      <c r="D9">
        <v>1.2776558682471749E-4</v>
      </c>
      <c r="E9">
        <v>2.6606472264953399E-2</v>
      </c>
      <c r="F9">
        <v>2.5982883071243554E-2</v>
      </c>
      <c r="G9" t="s">
        <v>324</v>
      </c>
      <c r="H9">
        <v>14.999999999999998</v>
      </c>
      <c r="I9">
        <v>0</v>
      </c>
      <c r="J9">
        <v>24.999999999999996</v>
      </c>
      <c r="K9">
        <v>24.999999999999996</v>
      </c>
      <c r="L9">
        <v>250</v>
      </c>
      <c r="M9">
        <v>275</v>
      </c>
      <c r="N9">
        <v>5.9999999999999991</v>
      </c>
    </row>
    <row r="10" spans="1:14" x14ac:dyDescent="0.3">
      <c r="A10" t="s">
        <v>160</v>
      </c>
      <c r="B10">
        <v>12.77719581920829</v>
      </c>
      <c r="C10">
        <v>1.9336069725903314E-2</v>
      </c>
      <c r="D10">
        <v>2.1114213664282958E-4</v>
      </c>
      <c r="E10">
        <v>-2.4887827795073103</v>
      </c>
      <c r="F10">
        <v>-2.4304519331126078</v>
      </c>
      <c r="G10" t="s">
        <v>325</v>
      </c>
      <c r="H10">
        <v>20.000000000000004</v>
      </c>
      <c r="I10">
        <v>310.00000000000006</v>
      </c>
      <c r="J10">
        <v>410</v>
      </c>
      <c r="K10">
        <v>100</v>
      </c>
      <c r="L10">
        <v>355</v>
      </c>
      <c r="M10">
        <v>765.00000000000011</v>
      </c>
      <c r="N10">
        <v>2.3177894736842104</v>
      </c>
    </row>
    <row r="11" spans="1:14" x14ac:dyDescent="0.3">
      <c r="A11" t="s">
        <v>161</v>
      </c>
      <c r="B11">
        <v>222.98282185628736</v>
      </c>
      <c r="C11">
        <v>8.6425898203592505E-2</v>
      </c>
      <c r="D11">
        <v>8.8809880239520703E-2</v>
      </c>
      <c r="E11">
        <v>18.992421407185631</v>
      </c>
      <c r="F11">
        <v>18.547286530454716</v>
      </c>
      <c r="G11" t="s">
        <v>326</v>
      </c>
      <c r="H11">
        <v>20</v>
      </c>
      <c r="I11">
        <v>0</v>
      </c>
      <c r="J11">
        <v>273.35353679646971</v>
      </c>
      <c r="K11">
        <v>273.35353679646971</v>
      </c>
      <c r="L11">
        <v>416.78</v>
      </c>
      <c r="M11">
        <v>690.13353679646968</v>
      </c>
      <c r="N11">
        <v>0.8</v>
      </c>
    </row>
    <row r="12" spans="1:14" x14ac:dyDescent="0.3">
      <c r="A12" t="s">
        <v>162</v>
      </c>
      <c r="B12">
        <v>216.80389225993645</v>
      </c>
      <c r="C12">
        <v>0.19764380350321675</v>
      </c>
      <c r="D12">
        <v>9.49343690814493E-3</v>
      </c>
      <c r="E12">
        <v>-1.7697811736250015</v>
      </c>
      <c r="F12">
        <v>-1.7283019273681655</v>
      </c>
      <c r="G12" t="s">
        <v>322</v>
      </c>
      <c r="H12">
        <v>15</v>
      </c>
      <c r="I12">
        <v>549.55081515962536</v>
      </c>
      <c r="J12">
        <v>642.1695291505763</v>
      </c>
      <c r="K12">
        <v>92.618713990951036</v>
      </c>
      <c r="L12">
        <v>235.95000000000002</v>
      </c>
      <c r="M12">
        <v>878.11952915057623</v>
      </c>
      <c r="N12">
        <v>3</v>
      </c>
    </row>
    <row r="13" spans="1:14" x14ac:dyDescent="0.3">
      <c r="A13" t="s">
        <v>163</v>
      </c>
      <c r="B13">
        <v>216.80389225993645</v>
      </c>
      <c r="C13">
        <v>0.19764380350321675</v>
      </c>
      <c r="D13">
        <v>9.49343690814493E-3</v>
      </c>
      <c r="E13">
        <v>8.742385423497236</v>
      </c>
      <c r="F13">
        <v>8.5374857651340186</v>
      </c>
      <c r="G13" t="s">
        <v>322</v>
      </c>
      <c r="H13">
        <v>15</v>
      </c>
      <c r="I13">
        <v>782.55081515962524</v>
      </c>
      <c r="J13">
        <v>1369.5028624839097</v>
      </c>
      <c r="K13">
        <v>586.95204732428442</v>
      </c>
      <c r="L13">
        <v>786.56871399095098</v>
      </c>
      <c r="M13">
        <v>2155.7382431415272</v>
      </c>
      <c r="N13">
        <v>3</v>
      </c>
    </row>
    <row r="14" spans="1:14" x14ac:dyDescent="0.3">
      <c r="A14" t="s">
        <v>164</v>
      </c>
      <c r="B14">
        <v>447.46464095819135</v>
      </c>
      <c r="C14">
        <v>0.27696509617930887</v>
      </c>
      <c r="D14">
        <v>0.15424365450636973</v>
      </c>
      <c r="E14">
        <v>-5.5613202144288651</v>
      </c>
      <c r="F14">
        <v>-5.4309767719031887</v>
      </c>
      <c r="G14" t="s">
        <v>322</v>
      </c>
      <c r="H14">
        <v>15</v>
      </c>
      <c r="I14">
        <v>549.55081515962536</v>
      </c>
      <c r="J14">
        <v>734.78824314152735</v>
      </c>
      <c r="K14">
        <v>185.23742798190207</v>
      </c>
      <c r="L14">
        <v>235.95000000000002</v>
      </c>
      <c r="M14">
        <v>970.73824314152739</v>
      </c>
      <c r="N14">
        <v>3</v>
      </c>
    </row>
    <row r="15" spans="1:14" x14ac:dyDescent="0.3">
      <c r="A15" t="s">
        <v>165</v>
      </c>
      <c r="B15">
        <v>447.46464095819135</v>
      </c>
      <c r="C15">
        <v>0.27696509617930887</v>
      </c>
      <c r="D15">
        <v>0.15424365450636973</v>
      </c>
      <c r="E15">
        <v>5.572066432567329</v>
      </c>
      <c r="F15">
        <v>5.441471125554032</v>
      </c>
      <c r="G15" t="s">
        <v>322</v>
      </c>
      <c r="H15">
        <v>15</v>
      </c>
      <c r="I15">
        <v>782.55081515962524</v>
      </c>
      <c r="J15">
        <v>1462.1215764748608</v>
      </c>
      <c r="K15">
        <v>679.57076131523536</v>
      </c>
      <c r="L15">
        <v>786.56871399095098</v>
      </c>
      <c r="M15">
        <v>2248.3569571324788</v>
      </c>
      <c r="N15">
        <v>3</v>
      </c>
    </row>
    <row r="16" spans="1:14" x14ac:dyDescent="0.3">
      <c r="A16" t="s">
        <v>166</v>
      </c>
      <c r="B16">
        <v>491.50084234282144</v>
      </c>
      <c r="C16">
        <v>0.26313057990910432</v>
      </c>
      <c r="D16">
        <v>0.11179066423432511</v>
      </c>
      <c r="E16">
        <v>-3.3989449686370876</v>
      </c>
      <c r="F16">
        <v>-3.3192821959346559</v>
      </c>
      <c r="G16" t="s">
        <v>322</v>
      </c>
      <c r="H16">
        <v>15</v>
      </c>
      <c r="I16">
        <v>549.55081515962536</v>
      </c>
      <c r="J16">
        <v>827.4069571324784</v>
      </c>
      <c r="K16">
        <v>277.85614197285315</v>
      </c>
      <c r="L16">
        <v>235.95000000000002</v>
      </c>
      <c r="M16">
        <v>1063.3569571324783</v>
      </c>
      <c r="N16">
        <v>3</v>
      </c>
    </row>
    <row r="17" spans="1:14" x14ac:dyDescent="0.3">
      <c r="A17" t="s">
        <v>167</v>
      </c>
      <c r="B17">
        <v>491.50084234282144</v>
      </c>
      <c r="C17">
        <v>0.26313057990910432</v>
      </c>
      <c r="D17">
        <v>0.11179066423432511</v>
      </c>
      <c r="E17">
        <v>7.4041137165909348</v>
      </c>
      <c r="F17">
        <v>7.2305798013583349</v>
      </c>
      <c r="G17" t="s">
        <v>322</v>
      </c>
      <c r="H17">
        <v>15</v>
      </c>
      <c r="I17">
        <v>782.55081515962524</v>
      </c>
      <c r="J17">
        <v>1554.7402904658118</v>
      </c>
      <c r="K17">
        <v>772.18947530618664</v>
      </c>
      <c r="L17">
        <v>786.56871399095098</v>
      </c>
      <c r="M17">
        <v>2340.9756711234299</v>
      </c>
      <c r="N17">
        <v>3</v>
      </c>
    </row>
    <row r="18" spans="1:14" x14ac:dyDescent="0.3">
      <c r="A18" t="s">
        <v>168</v>
      </c>
      <c r="B18">
        <v>595.78861783010245</v>
      </c>
      <c r="C18">
        <v>0.26277310881295868</v>
      </c>
      <c r="D18">
        <v>0.18424928826158912</v>
      </c>
      <c r="E18">
        <v>-5.3000228522832007</v>
      </c>
      <c r="F18">
        <v>-5.1758035666828128</v>
      </c>
      <c r="G18" t="s">
        <v>322</v>
      </c>
      <c r="H18">
        <v>15</v>
      </c>
      <c r="I18">
        <v>549.55081515962536</v>
      </c>
      <c r="J18">
        <v>920.02567112342933</v>
      </c>
      <c r="K18">
        <v>370.47485596380409</v>
      </c>
      <c r="L18">
        <v>235.95000000000002</v>
      </c>
      <c r="M18">
        <v>1155.9756711234295</v>
      </c>
      <c r="N18">
        <v>3</v>
      </c>
    </row>
    <row r="19" spans="1:14" x14ac:dyDescent="0.3">
      <c r="A19" t="s">
        <v>169</v>
      </c>
      <c r="B19">
        <v>595.78861783010245</v>
      </c>
      <c r="C19">
        <v>0.26277310881295868</v>
      </c>
      <c r="D19">
        <v>0.18424928826158912</v>
      </c>
      <c r="E19">
        <v>5.8327484091062241</v>
      </c>
      <c r="F19">
        <v>5.6960433682677971</v>
      </c>
      <c r="G19" t="s">
        <v>322</v>
      </c>
      <c r="H19">
        <v>15</v>
      </c>
      <c r="I19">
        <v>782.55081515962524</v>
      </c>
      <c r="J19">
        <v>1647.3590044567629</v>
      </c>
      <c r="K19">
        <v>864.80818929713757</v>
      </c>
      <c r="L19">
        <v>786.56871399095098</v>
      </c>
      <c r="M19">
        <v>2433.5943851143802</v>
      </c>
      <c r="N19">
        <v>3</v>
      </c>
    </row>
    <row r="20" spans="1:14" x14ac:dyDescent="0.3">
      <c r="A20" t="s">
        <v>170</v>
      </c>
      <c r="B20">
        <v>589.16795659562183</v>
      </c>
      <c r="C20">
        <v>0.28193783423411234</v>
      </c>
      <c r="D20">
        <v>0.16442654474700827</v>
      </c>
      <c r="E20">
        <v>-4.2761771054149706</v>
      </c>
      <c r="F20">
        <v>-4.175954204506807</v>
      </c>
      <c r="G20" t="s">
        <v>322</v>
      </c>
      <c r="H20">
        <v>15</v>
      </c>
      <c r="I20">
        <v>549.55081515962536</v>
      </c>
      <c r="J20">
        <v>1038.5508151596252</v>
      </c>
      <c r="K20">
        <v>489</v>
      </c>
      <c r="L20">
        <v>235.95000000000002</v>
      </c>
      <c r="M20">
        <v>1274.5008151596253</v>
      </c>
      <c r="N20">
        <v>3</v>
      </c>
    </row>
    <row r="21" spans="1:14" x14ac:dyDescent="0.3">
      <c r="A21" t="s">
        <v>171</v>
      </c>
      <c r="B21">
        <v>589.16795659562183</v>
      </c>
      <c r="C21">
        <v>0.28193783423411234</v>
      </c>
      <c r="D21">
        <v>0.16442654474700827</v>
      </c>
      <c r="E21">
        <v>6.6699107006408802</v>
      </c>
      <c r="F21">
        <v>6.5135846685946097</v>
      </c>
      <c r="G21" t="s">
        <v>322</v>
      </c>
      <c r="H21">
        <v>15</v>
      </c>
      <c r="I21">
        <v>782.55081515962524</v>
      </c>
      <c r="J21">
        <v>1765.8841484929587</v>
      </c>
      <c r="K21">
        <v>983.33333333333337</v>
      </c>
      <c r="L21">
        <v>786.56871399095098</v>
      </c>
      <c r="M21">
        <v>2552.1195291505765</v>
      </c>
      <c r="N21">
        <v>3</v>
      </c>
    </row>
    <row r="22" spans="1:14" x14ac:dyDescent="0.3">
      <c r="A22" t="s">
        <v>172</v>
      </c>
      <c r="B22">
        <v>10.947587968085458</v>
      </c>
      <c r="C22">
        <v>4.0973762293992893E-3</v>
      </c>
      <c r="D22">
        <v>3.9107148790536944E-3</v>
      </c>
      <c r="E22">
        <v>1.6842621153973953</v>
      </c>
      <c r="F22">
        <v>1.6447872220677688</v>
      </c>
      <c r="G22" t="s">
        <v>327</v>
      </c>
      <c r="H22">
        <v>5.0000000000000009</v>
      </c>
      <c r="I22">
        <v>0</v>
      </c>
      <c r="J22">
        <v>13.000000000000002</v>
      </c>
      <c r="K22">
        <v>13.000000000000002</v>
      </c>
      <c r="L22">
        <v>30.000000000000004</v>
      </c>
      <c r="M22">
        <v>43.000000000000007</v>
      </c>
      <c r="N22">
        <v>1.8631578947368421</v>
      </c>
    </row>
    <row r="23" spans="1:14" x14ac:dyDescent="0.3">
      <c r="A23" t="s">
        <v>173</v>
      </c>
      <c r="B23">
        <v>126.25653181916789</v>
      </c>
      <c r="C23">
        <v>2.0309044846863605E-2</v>
      </c>
      <c r="D23">
        <v>8.3867382206395627E-2</v>
      </c>
      <c r="E23">
        <v>18.902789529147235</v>
      </c>
      <c r="F23">
        <v>18.459755399557846</v>
      </c>
      <c r="G23" t="s">
        <v>328</v>
      </c>
      <c r="H23">
        <v>20.000000000000004</v>
      </c>
      <c r="I23">
        <v>0</v>
      </c>
      <c r="J23">
        <v>100</v>
      </c>
      <c r="K23">
        <v>100</v>
      </c>
      <c r="L23">
        <v>140</v>
      </c>
      <c r="M23">
        <v>240</v>
      </c>
      <c r="N23">
        <v>3</v>
      </c>
    </row>
    <row r="24" spans="1:14" x14ac:dyDescent="0.3">
      <c r="A24" t="s">
        <v>174</v>
      </c>
      <c r="B24">
        <v>320.80935076378915</v>
      </c>
      <c r="C24">
        <v>6.8701228792878627E-2</v>
      </c>
      <c r="D24">
        <v>0.25662111451409442</v>
      </c>
      <c r="E24">
        <v>41.330714864986156</v>
      </c>
      <c r="F24">
        <v>40.362026235338043</v>
      </c>
      <c r="G24" t="s">
        <v>328</v>
      </c>
      <c r="H24">
        <v>30.000000000000004</v>
      </c>
      <c r="I24">
        <v>0</v>
      </c>
      <c r="J24">
        <v>750.00000000000011</v>
      </c>
      <c r="K24">
        <v>750.00000000000011</v>
      </c>
      <c r="L24">
        <v>0</v>
      </c>
      <c r="M24">
        <v>750.00000000000011</v>
      </c>
      <c r="N24">
        <v>2.1368421052631579</v>
      </c>
    </row>
    <row r="25" spans="1:14" x14ac:dyDescent="0.3">
      <c r="A25" t="s">
        <v>175</v>
      </c>
      <c r="B25">
        <v>72.468813671797434</v>
      </c>
      <c r="C25">
        <v>1.6960329578115236E-2</v>
      </c>
      <c r="D25">
        <v>4.7472971101630436E-2</v>
      </c>
      <c r="E25">
        <v>9.7526287122975877</v>
      </c>
      <c r="F25">
        <v>9.5240514768531135</v>
      </c>
      <c r="G25" t="s">
        <v>328</v>
      </c>
      <c r="H25">
        <v>18</v>
      </c>
      <c r="I25">
        <v>0</v>
      </c>
      <c r="J25">
        <v>33.333333333333336</v>
      </c>
      <c r="K25">
        <v>33.333333333333336</v>
      </c>
      <c r="L25">
        <v>182.48759999999993</v>
      </c>
      <c r="M25">
        <v>215.8209333333333</v>
      </c>
      <c r="N25">
        <v>3</v>
      </c>
    </row>
    <row r="26" spans="1:14" x14ac:dyDescent="0.3">
      <c r="A26" t="s">
        <v>176</v>
      </c>
      <c r="B26">
        <v>112.73421126729363</v>
      </c>
      <c r="C26">
        <v>2.7721695951805476E-2</v>
      </c>
      <c r="D26">
        <v>6.9519485985903906E-2</v>
      </c>
      <c r="E26">
        <v>15.08534769730627</v>
      </c>
      <c r="F26">
        <v>14.731784860650654</v>
      </c>
      <c r="G26" t="s">
        <v>328</v>
      </c>
      <c r="H26">
        <v>18</v>
      </c>
      <c r="I26">
        <v>0</v>
      </c>
      <c r="J26">
        <v>33.333333333333336</v>
      </c>
      <c r="K26">
        <v>33.333333333333336</v>
      </c>
      <c r="L26">
        <v>182.48759999999993</v>
      </c>
      <c r="M26">
        <v>215.8209333333333</v>
      </c>
      <c r="N26">
        <v>3</v>
      </c>
    </row>
    <row r="27" spans="1:14" x14ac:dyDescent="0.3">
      <c r="A27" t="s">
        <v>177</v>
      </c>
      <c r="B27">
        <v>153.20387055965264</v>
      </c>
      <c r="C27">
        <v>4.1772932408122382E-2</v>
      </c>
      <c r="D27">
        <v>9.0705038658250359E-2</v>
      </c>
      <c r="E27">
        <v>20.310744568266877</v>
      </c>
      <c r="F27">
        <v>19.834711492448122</v>
      </c>
      <c r="G27" t="s">
        <v>328</v>
      </c>
      <c r="H27">
        <v>18</v>
      </c>
      <c r="I27">
        <v>0</v>
      </c>
      <c r="J27">
        <v>33.333333333333336</v>
      </c>
      <c r="K27">
        <v>33.333333333333336</v>
      </c>
      <c r="L27">
        <v>182.48759999999993</v>
      </c>
      <c r="M27">
        <v>215.8209333333333</v>
      </c>
      <c r="N27">
        <v>3</v>
      </c>
    </row>
    <row r="28" spans="1:14" x14ac:dyDescent="0.3">
      <c r="A28" t="s">
        <v>178</v>
      </c>
      <c r="B28">
        <v>192.78389200089003</v>
      </c>
      <c r="C28">
        <v>5.5967639984270484E-2</v>
      </c>
      <c r="D28">
        <v>0.11114965206636765</v>
      </c>
      <c r="E28">
        <v>25.533209265524178</v>
      </c>
      <c r="F28">
        <v>24.934774673363453</v>
      </c>
      <c r="G28" t="s">
        <v>328</v>
      </c>
      <c r="H28">
        <v>18</v>
      </c>
      <c r="I28">
        <v>0</v>
      </c>
      <c r="J28">
        <v>33.333333333333336</v>
      </c>
      <c r="K28">
        <v>33.333333333333336</v>
      </c>
      <c r="L28">
        <v>182.48759999999993</v>
      </c>
      <c r="M28">
        <v>215.8209333333333</v>
      </c>
      <c r="N28">
        <v>3</v>
      </c>
    </row>
    <row r="29" spans="1:14" x14ac:dyDescent="0.3">
      <c r="A29" t="s">
        <v>179</v>
      </c>
      <c r="B29">
        <v>553.19810051974821</v>
      </c>
      <c r="C29">
        <v>9.399711089990391E-2</v>
      </c>
      <c r="D29">
        <v>5.7772623313809356E-2</v>
      </c>
      <c r="E29">
        <v>-11.720489809631447</v>
      </c>
      <c r="F29">
        <v>-11.445790829718209</v>
      </c>
      <c r="G29" t="s">
        <v>322</v>
      </c>
      <c r="H29">
        <v>15</v>
      </c>
      <c r="I29">
        <v>0</v>
      </c>
      <c r="J29">
        <v>175</v>
      </c>
      <c r="K29">
        <v>175</v>
      </c>
      <c r="L29">
        <v>150.95204732428439</v>
      </c>
      <c r="M29">
        <v>325.95204732428442</v>
      </c>
      <c r="N29">
        <v>3</v>
      </c>
    </row>
    <row r="30" spans="1:14" x14ac:dyDescent="0.3">
      <c r="A30" t="s">
        <v>180</v>
      </c>
      <c r="B30">
        <v>126.0341640274498</v>
      </c>
      <c r="C30">
        <v>7.4714779779113394E-2</v>
      </c>
      <c r="D30">
        <v>3.6137565661450245E-2</v>
      </c>
      <c r="E30">
        <v>-2.6950717415805565</v>
      </c>
      <c r="F30">
        <v>-2.6319059976372623</v>
      </c>
      <c r="G30" t="s">
        <v>322</v>
      </c>
      <c r="H30">
        <v>15</v>
      </c>
      <c r="I30">
        <v>0</v>
      </c>
      <c r="J30">
        <v>175</v>
      </c>
      <c r="K30">
        <v>175</v>
      </c>
      <c r="L30">
        <v>150.95204732428439</v>
      </c>
      <c r="M30">
        <v>325.95204732428442</v>
      </c>
      <c r="N30">
        <v>3</v>
      </c>
    </row>
    <row r="31" spans="1:14" x14ac:dyDescent="0.3">
      <c r="A31" t="s">
        <v>181</v>
      </c>
      <c r="B31">
        <v>79.121867979964094</v>
      </c>
      <c r="C31">
        <v>1.4784866261297061E-2</v>
      </c>
      <c r="D31">
        <v>2.4640753754651842E-2</v>
      </c>
      <c r="E31">
        <v>11.16360689543461</v>
      </c>
      <c r="F31">
        <v>10.901959858822861</v>
      </c>
      <c r="G31" t="s">
        <v>327</v>
      </c>
      <c r="H31">
        <v>20.000000000000004</v>
      </c>
      <c r="I31">
        <v>285</v>
      </c>
      <c r="J31">
        <v>1400</v>
      </c>
      <c r="K31">
        <v>1115</v>
      </c>
      <c r="L31">
        <v>1500.0000000000002</v>
      </c>
      <c r="M31">
        <v>2900</v>
      </c>
      <c r="N31">
        <v>1.8631578947368421</v>
      </c>
    </row>
    <row r="32" spans="1:14" x14ac:dyDescent="0.3">
      <c r="A32" t="s">
        <v>182</v>
      </c>
      <c r="B32">
        <v>2.1782422874297098</v>
      </c>
      <c r="C32">
        <v>-2.0311421128275949E-2</v>
      </c>
      <c r="D32">
        <v>2.1904828557158453E-2</v>
      </c>
      <c r="E32">
        <v>9.9390225038514366</v>
      </c>
      <c r="F32">
        <v>9.7060766639174183</v>
      </c>
      <c r="G32" t="s">
        <v>329</v>
      </c>
      <c r="H32">
        <v>20.000000000000004</v>
      </c>
      <c r="I32">
        <v>0</v>
      </c>
      <c r="J32">
        <v>273.35353679646971</v>
      </c>
      <c r="K32">
        <v>273.35353679646971</v>
      </c>
      <c r="L32">
        <v>416.78</v>
      </c>
      <c r="M32">
        <v>690.13353679646968</v>
      </c>
      <c r="N32">
        <v>2.9999999999999996</v>
      </c>
    </row>
    <row r="33" spans="1:14" x14ac:dyDescent="0.3">
      <c r="A33" t="s">
        <v>183</v>
      </c>
      <c r="B33">
        <v>181.19640097416189</v>
      </c>
      <c r="C33">
        <v>0.16345233393587374</v>
      </c>
      <c r="D33">
        <v>3.9323020144729E-2</v>
      </c>
      <c r="E33">
        <v>-2.0033820073043076</v>
      </c>
      <c r="F33">
        <v>-1.9564277415081128</v>
      </c>
      <c r="G33" t="s">
        <v>322</v>
      </c>
      <c r="H33">
        <v>15</v>
      </c>
      <c r="I33">
        <v>549.55081515962536</v>
      </c>
      <c r="J33">
        <v>642.1695291505763</v>
      </c>
      <c r="K33">
        <v>92.618713990951036</v>
      </c>
      <c r="L33">
        <v>235.95000000000002</v>
      </c>
      <c r="M33">
        <v>878.11952915057623</v>
      </c>
      <c r="N33">
        <v>3</v>
      </c>
    </row>
    <row r="34" spans="1:14" x14ac:dyDescent="0.3">
      <c r="A34" t="s">
        <v>184</v>
      </c>
      <c r="B34">
        <v>190.20862489056921</v>
      </c>
      <c r="C34">
        <v>0.16345233393587372</v>
      </c>
      <c r="D34">
        <v>4.0987965993847256E-2</v>
      </c>
      <c r="E34">
        <v>47.828309013408123</v>
      </c>
      <c r="F34">
        <v>46.707333020906368</v>
      </c>
      <c r="G34" t="s">
        <v>322</v>
      </c>
      <c r="H34">
        <v>15</v>
      </c>
      <c r="I34">
        <v>782.55081515962524</v>
      </c>
      <c r="J34">
        <v>1369.5028624839097</v>
      </c>
      <c r="K34">
        <v>586.95204732428442</v>
      </c>
      <c r="L34">
        <v>786.56871399095098</v>
      </c>
      <c r="M34">
        <v>2155.7382431415272</v>
      </c>
      <c r="N34">
        <v>3</v>
      </c>
    </row>
    <row r="35" spans="1:14" x14ac:dyDescent="0.3">
      <c r="A35" t="s">
        <v>185</v>
      </c>
      <c r="B35">
        <v>188.0147507926643</v>
      </c>
      <c r="C35">
        <v>0.16370944587710626</v>
      </c>
      <c r="D35">
        <v>3.7889506258774096E-2</v>
      </c>
      <c r="E35">
        <v>-4.2314746515977726</v>
      </c>
      <c r="F35">
        <v>-4.1322994644509494</v>
      </c>
      <c r="G35" t="s">
        <v>322</v>
      </c>
      <c r="H35">
        <v>15</v>
      </c>
      <c r="I35">
        <v>549.55081515962536</v>
      </c>
      <c r="J35">
        <v>734.78824314152735</v>
      </c>
      <c r="K35">
        <v>185.23742798190207</v>
      </c>
      <c r="L35">
        <v>235.95000000000002</v>
      </c>
      <c r="M35">
        <v>970.73824314152739</v>
      </c>
      <c r="N35">
        <v>3</v>
      </c>
    </row>
    <row r="36" spans="1:14" x14ac:dyDescent="0.3">
      <c r="A36" t="s">
        <v>186</v>
      </c>
      <c r="B36">
        <v>206.88720212650571</v>
      </c>
      <c r="C36">
        <v>0.16370944587710623</v>
      </c>
      <c r="D36">
        <v>4.1995552726881234E-2</v>
      </c>
      <c r="E36">
        <v>45.641905497987366</v>
      </c>
      <c r="F36">
        <v>44.57217333787829</v>
      </c>
      <c r="G36" t="s">
        <v>322</v>
      </c>
      <c r="H36">
        <v>15</v>
      </c>
      <c r="I36">
        <v>782.55081515962524</v>
      </c>
      <c r="J36">
        <v>1462.1215764748608</v>
      </c>
      <c r="K36">
        <v>679.57076131523536</v>
      </c>
      <c r="L36">
        <v>786.56871399095098</v>
      </c>
      <c r="M36">
        <v>2248.3569571324788</v>
      </c>
      <c r="N36">
        <v>3</v>
      </c>
    </row>
    <row r="37" spans="1:14" x14ac:dyDescent="0.3">
      <c r="A37" t="s">
        <v>187</v>
      </c>
      <c r="B37">
        <v>157.08151120082064</v>
      </c>
      <c r="C37">
        <v>0.18095809835207166</v>
      </c>
      <c r="D37">
        <v>7.4299123713455775E-2</v>
      </c>
      <c r="E37">
        <v>-5.9067647066717122</v>
      </c>
      <c r="F37">
        <v>-5.7683249088590935</v>
      </c>
      <c r="G37" t="s">
        <v>322</v>
      </c>
      <c r="H37">
        <v>15</v>
      </c>
      <c r="I37">
        <v>549.55081515962536</v>
      </c>
      <c r="J37">
        <v>827.4069571324784</v>
      </c>
      <c r="K37">
        <v>277.85614197285315</v>
      </c>
      <c r="L37">
        <v>235.95000000000002</v>
      </c>
      <c r="M37">
        <v>1063.3569571324783</v>
      </c>
      <c r="N37">
        <v>3</v>
      </c>
    </row>
    <row r="38" spans="1:14" x14ac:dyDescent="0.3">
      <c r="A38" t="s">
        <v>188</v>
      </c>
      <c r="B38">
        <v>183.5799287995716</v>
      </c>
      <c r="C38">
        <v>0.18095809835207163</v>
      </c>
      <c r="D38">
        <v>2.1105611870044495E-2</v>
      </c>
      <c r="E38">
        <v>43.997448392875711</v>
      </c>
      <c r="F38">
        <v>42.966258196167686</v>
      </c>
      <c r="G38" t="s">
        <v>322</v>
      </c>
      <c r="H38">
        <v>15</v>
      </c>
      <c r="I38">
        <v>782.55081515962524</v>
      </c>
      <c r="J38">
        <v>1554.7402904658118</v>
      </c>
      <c r="K38">
        <v>772.18947530618664</v>
      </c>
      <c r="L38">
        <v>786.56871399095098</v>
      </c>
      <c r="M38">
        <v>2340.9756711234299</v>
      </c>
      <c r="N38">
        <v>3</v>
      </c>
    </row>
    <row r="39" spans="1:14" x14ac:dyDescent="0.3">
      <c r="A39" t="s">
        <v>189</v>
      </c>
      <c r="B39">
        <v>214.54290482510288</v>
      </c>
      <c r="C39">
        <v>0.22972367009469802</v>
      </c>
      <c r="D39">
        <v>9.089403411967148E-2</v>
      </c>
      <c r="E39">
        <v>-7.366799743854525</v>
      </c>
      <c r="F39">
        <v>-7.194140374857934</v>
      </c>
      <c r="G39" t="s">
        <v>322</v>
      </c>
      <c r="H39">
        <v>15</v>
      </c>
      <c r="I39">
        <v>549.55081515962536</v>
      </c>
      <c r="J39">
        <v>920.02567112342933</v>
      </c>
      <c r="K39">
        <v>370.47485596380409</v>
      </c>
      <c r="L39">
        <v>235.95000000000002</v>
      </c>
      <c r="M39">
        <v>1155.9756711234295</v>
      </c>
      <c r="N39">
        <v>3</v>
      </c>
    </row>
    <row r="40" spans="1:14" x14ac:dyDescent="0.3">
      <c r="A40" t="s">
        <v>190</v>
      </c>
      <c r="B40">
        <v>247.59471742774787</v>
      </c>
      <c r="C40">
        <v>0.22972367009469799</v>
      </c>
      <c r="D40">
        <v>3.3106420788510282E-2</v>
      </c>
      <c r="E40">
        <v>42.552968002978226</v>
      </c>
      <c r="F40">
        <v>41.555632815408423</v>
      </c>
      <c r="G40" t="s">
        <v>322</v>
      </c>
      <c r="H40">
        <v>15</v>
      </c>
      <c r="I40">
        <v>782.55081515962524</v>
      </c>
      <c r="J40">
        <v>1647.3590044567629</v>
      </c>
      <c r="K40">
        <v>864.80818929713757</v>
      </c>
      <c r="L40">
        <v>786.56871399095098</v>
      </c>
      <c r="M40">
        <v>2433.5943851143802</v>
      </c>
      <c r="N40">
        <v>3</v>
      </c>
    </row>
    <row r="41" spans="1:14" x14ac:dyDescent="0.3">
      <c r="A41" t="s">
        <v>191</v>
      </c>
      <c r="B41">
        <v>359.33165932861368</v>
      </c>
      <c r="C41">
        <v>0.14459581063417054</v>
      </c>
      <c r="D41">
        <v>0.12091568587544489</v>
      </c>
      <c r="E41">
        <v>0</v>
      </c>
      <c r="F41">
        <v>0</v>
      </c>
      <c r="G41" t="s">
        <v>322</v>
      </c>
      <c r="H41">
        <v>15</v>
      </c>
      <c r="I41">
        <v>561.13791666666657</v>
      </c>
      <c r="J41">
        <v>740.92666666666673</v>
      </c>
      <c r="K41">
        <v>179.78874999999999</v>
      </c>
      <c r="L41">
        <v>229.9716</v>
      </c>
      <c r="M41">
        <v>970.8982666666667</v>
      </c>
      <c r="N41">
        <v>3</v>
      </c>
    </row>
    <row r="42" spans="1:14" x14ac:dyDescent="0.3">
      <c r="A42" t="s">
        <v>192</v>
      </c>
      <c r="B42">
        <v>484.74235907191428</v>
      </c>
      <c r="C42">
        <v>0.19563667597128809</v>
      </c>
      <c r="D42">
        <v>0.16200108182595382</v>
      </c>
      <c r="E42">
        <v>0</v>
      </c>
      <c r="F42">
        <v>0</v>
      </c>
      <c r="G42" t="s">
        <v>322</v>
      </c>
      <c r="H42">
        <v>15</v>
      </c>
      <c r="I42">
        <v>561.13791666666657</v>
      </c>
      <c r="J42">
        <v>740.92666666666673</v>
      </c>
      <c r="K42">
        <v>179.78874999999999</v>
      </c>
      <c r="L42">
        <v>229.9716</v>
      </c>
      <c r="M42">
        <v>970.8982666666667</v>
      </c>
      <c r="N42">
        <v>3</v>
      </c>
    </row>
    <row r="43" spans="1:14" x14ac:dyDescent="0.3">
      <c r="A43" t="s">
        <v>193</v>
      </c>
      <c r="B43">
        <v>1581.6860060426293</v>
      </c>
      <c r="C43">
        <v>0.29145552780491246</v>
      </c>
      <c r="D43">
        <v>2.3976227824213319</v>
      </c>
      <c r="E43">
        <v>0</v>
      </c>
      <c r="F43">
        <v>0</v>
      </c>
      <c r="G43" t="s">
        <v>322</v>
      </c>
      <c r="H43">
        <v>15</v>
      </c>
      <c r="I43">
        <v>630</v>
      </c>
      <c r="J43">
        <v>7500</v>
      </c>
      <c r="K43">
        <v>6870</v>
      </c>
      <c r="L43">
        <v>0</v>
      </c>
      <c r="M43">
        <v>7500</v>
      </c>
      <c r="N43">
        <v>3</v>
      </c>
    </row>
    <row r="44" spans="1:14" x14ac:dyDescent="0.3">
      <c r="A44" t="s">
        <v>194</v>
      </c>
      <c r="B44">
        <v>1707.0967057859298</v>
      </c>
      <c r="C44">
        <v>0.34249639314203001</v>
      </c>
      <c r="D44">
        <v>2.438708178371841</v>
      </c>
      <c r="E44">
        <v>0</v>
      </c>
      <c r="F44">
        <v>0</v>
      </c>
      <c r="G44" t="s">
        <v>322</v>
      </c>
      <c r="H44">
        <v>15</v>
      </c>
      <c r="I44">
        <v>630</v>
      </c>
      <c r="J44">
        <v>7500</v>
      </c>
      <c r="K44">
        <v>6870</v>
      </c>
      <c r="L44">
        <v>0</v>
      </c>
      <c r="M44">
        <v>7500</v>
      </c>
      <c r="N44">
        <v>3</v>
      </c>
    </row>
    <row r="45" spans="1:14" x14ac:dyDescent="0.3">
      <c r="A45" t="s">
        <v>195</v>
      </c>
      <c r="B45">
        <v>5.2414261516523064</v>
      </c>
      <c r="C45">
        <v>2.6351343822644166E-3</v>
      </c>
      <c r="D45">
        <v>1.7413329187917924E-3</v>
      </c>
      <c r="E45">
        <v>1.6618441937102639</v>
      </c>
      <c r="F45">
        <v>1.6228947204201796</v>
      </c>
      <c r="G45" t="s">
        <v>330</v>
      </c>
      <c r="H45">
        <v>15</v>
      </c>
      <c r="I45">
        <v>6.99</v>
      </c>
      <c r="J45">
        <v>21.82</v>
      </c>
      <c r="K45">
        <v>14.830000000000002</v>
      </c>
      <c r="L45">
        <v>16.518561419728531</v>
      </c>
      <c r="M45">
        <v>38.32856141972853</v>
      </c>
      <c r="N45">
        <v>100</v>
      </c>
    </row>
    <row r="46" spans="1:14" x14ac:dyDescent="0.3">
      <c r="A46" t="s">
        <v>196</v>
      </c>
      <c r="B46">
        <v>0</v>
      </c>
      <c r="C46">
        <v>0</v>
      </c>
      <c r="D46">
        <v>0</v>
      </c>
      <c r="E46">
        <v>2.0485325453790919</v>
      </c>
      <c r="F46">
        <v>2.0005200638467695</v>
      </c>
      <c r="G46" t="s">
        <v>330</v>
      </c>
      <c r="H46">
        <v>15</v>
      </c>
      <c r="I46">
        <v>6.99</v>
      </c>
      <c r="J46">
        <v>16.57</v>
      </c>
      <c r="K46">
        <v>9.58</v>
      </c>
      <c r="L46">
        <v>11.99</v>
      </c>
      <c r="M46">
        <v>28.550000000000004</v>
      </c>
      <c r="N46">
        <v>100</v>
      </c>
    </row>
    <row r="47" spans="1:14" x14ac:dyDescent="0.3">
      <c r="A47" t="s">
        <v>197</v>
      </c>
      <c r="B47">
        <v>211.10600797760409</v>
      </c>
      <c r="C47">
        <v>5.6229180717188208E-2</v>
      </c>
      <c r="D47">
        <v>9.5701770515362286E-2</v>
      </c>
      <c r="E47">
        <v>32.510717962062628</v>
      </c>
      <c r="F47">
        <v>31.748748009826784</v>
      </c>
      <c r="G47" t="s">
        <v>322</v>
      </c>
      <c r="H47">
        <v>13.000000000000002</v>
      </c>
      <c r="I47">
        <v>0</v>
      </c>
      <c r="J47">
        <v>20.000000000000004</v>
      </c>
      <c r="K47">
        <v>20.000000000000004</v>
      </c>
      <c r="L47">
        <v>100</v>
      </c>
      <c r="M47">
        <v>120</v>
      </c>
      <c r="N47">
        <v>3</v>
      </c>
    </row>
    <row r="48" spans="1:14" x14ac:dyDescent="0.3">
      <c r="A48" t="s">
        <v>198</v>
      </c>
      <c r="B48">
        <v>307.39087103076838</v>
      </c>
      <c r="C48">
        <v>7.8209221395587405E-2</v>
      </c>
      <c r="D48">
        <v>0.13835214993688136</v>
      </c>
      <c r="E48">
        <v>46.393745836259917</v>
      </c>
      <c r="F48">
        <v>45.306392418222572</v>
      </c>
      <c r="G48" t="s">
        <v>322</v>
      </c>
      <c r="H48">
        <v>13.000000000000002</v>
      </c>
      <c r="I48">
        <v>0</v>
      </c>
      <c r="J48">
        <v>584.82428706812982</v>
      </c>
      <c r="K48">
        <v>584.82428706812982</v>
      </c>
      <c r="L48">
        <v>292.12625820196905</v>
      </c>
      <c r="M48">
        <v>876.95054527009904</v>
      </c>
      <c r="N48">
        <v>3</v>
      </c>
    </row>
    <row r="49" spans="1:14" x14ac:dyDescent="0.3">
      <c r="A49" t="s">
        <v>199</v>
      </c>
      <c r="B49">
        <v>352.37075499208771</v>
      </c>
      <c r="C49">
        <v>9.3743697305361792E-2</v>
      </c>
      <c r="D49">
        <v>0.16165839104360763</v>
      </c>
      <c r="E49">
        <v>54.255101870726939</v>
      </c>
      <c r="F49">
        <v>52.983497920631777</v>
      </c>
      <c r="G49" t="s">
        <v>322</v>
      </c>
      <c r="H49">
        <v>13.000000000000002</v>
      </c>
      <c r="I49">
        <v>0</v>
      </c>
      <c r="J49">
        <v>20.000000000000004</v>
      </c>
      <c r="K49">
        <v>20.000000000000004</v>
      </c>
      <c r="L49">
        <v>100</v>
      </c>
      <c r="M49">
        <v>120</v>
      </c>
      <c r="N49">
        <v>3</v>
      </c>
    </row>
    <row r="50" spans="1:14" x14ac:dyDescent="0.3">
      <c r="A50" t="s">
        <v>200</v>
      </c>
      <c r="B50">
        <v>449.20921077993478</v>
      </c>
      <c r="C50">
        <v>0.11712470959000927</v>
      </c>
      <c r="D50">
        <v>0.203753535522255</v>
      </c>
      <c r="E50">
        <v>68.308225520435926</v>
      </c>
      <c r="F50">
        <v>66.707251484800707</v>
      </c>
      <c r="G50" t="s">
        <v>322</v>
      </c>
      <c r="H50">
        <v>13.000000000000002</v>
      </c>
      <c r="I50">
        <v>0</v>
      </c>
      <c r="J50">
        <v>584.82428706812982</v>
      </c>
      <c r="K50">
        <v>584.82428706812982</v>
      </c>
      <c r="L50">
        <v>292.12625820196905</v>
      </c>
      <c r="M50">
        <v>876.95054527009904</v>
      </c>
      <c r="N50">
        <v>3</v>
      </c>
    </row>
    <row r="51" spans="1:14" x14ac:dyDescent="0.3">
      <c r="A51" t="s">
        <v>201</v>
      </c>
      <c r="B51">
        <v>45.668054196131422</v>
      </c>
      <c r="C51">
        <v>6.129042101310906E-2</v>
      </c>
      <c r="D51">
        <v>0</v>
      </c>
      <c r="E51">
        <v>8.5725984765697678</v>
      </c>
      <c r="F51">
        <v>8.3716781997751646</v>
      </c>
      <c r="G51" t="s">
        <v>322</v>
      </c>
      <c r="H51">
        <v>15.000000000000002</v>
      </c>
      <c r="I51">
        <v>6.9900000000000011</v>
      </c>
      <c r="J51">
        <v>16.57</v>
      </c>
      <c r="K51">
        <v>9.58</v>
      </c>
      <c r="L51">
        <v>11.990000000000002</v>
      </c>
      <c r="M51">
        <v>28.550000000000004</v>
      </c>
      <c r="N51">
        <v>3.0000000000000004</v>
      </c>
    </row>
    <row r="52" spans="1:14" x14ac:dyDescent="0.3">
      <c r="A52" t="s">
        <v>202</v>
      </c>
      <c r="B52">
        <v>154.85664593654471</v>
      </c>
      <c r="C52">
        <v>0.12112091009529602</v>
      </c>
      <c r="D52">
        <v>0</v>
      </c>
      <c r="E52">
        <v>0</v>
      </c>
      <c r="F52">
        <v>0</v>
      </c>
      <c r="G52" t="s">
        <v>322</v>
      </c>
      <c r="H52">
        <v>15</v>
      </c>
      <c r="I52">
        <v>741.80919629906646</v>
      </c>
      <c r="J52">
        <v>907.5325273871556</v>
      </c>
      <c r="K52">
        <v>165.72333108808914</v>
      </c>
      <c r="L52">
        <v>132.5</v>
      </c>
      <c r="M52">
        <v>1040.0325273871556</v>
      </c>
      <c r="N52">
        <v>0.75</v>
      </c>
    </row>
    <row r="53" spans="1:14" x14ac:dyDescent="0.3">
      <c r="A53" t="s">
        <v>203</v>
      </c>
      <c r="B53">
        <v>238.46808762464812</v>
      </c>
      <c r="C53">
        <v>0.23208381275837506</v>
      </c>
      <c r="D53">
        <v>0</v>
      </c>
      <c r="E53">
        <v>0</v>
      </c>
      <c r="F53">
        <v>0</v>
      </c>
      <c r="G53" t="s">
        <v>322</v>
      </c>
      <c r="H53">
        <v>15</v>
      </c>
      <c r="I53">
        <v>809.24639596261784</v>
      </c>
      <c r="J53">
        <v>990.03548442235171</v>
      </c>
      <c r="K53">
        <v>180.78908845973382</v>
      </c>
      <c r="L53">
        <v>137.6</v>
      </c>
      <c r="M53">
        <v>1127.6354844223517</v>
      </c>
      <c r="N53">
        <v>0.75</v>
      </c>
    </row>
    <row r="54" spans="1:14" x14ac:dyDescent="0.3">
      <c r="A54" t="s">
        <v>204</v>
      </c>
      <c r="B54">
        <v>295.64189202378299</v>
      </c>
      <c r="C54">
        <v>0.16743184630820337</v>
      </c>
      <c r="D54">
        <v>-0.11043377096924036</v>
      </c>
      <c r="E54">
        <v>0</v>
      </c>
      <c r="F54">
        <v>0</v>
      </c>
      <c r="G54" t="s">
        <v>322</v>
      </c>
      <c r="H54">
        <v>15</v>
      </c>
      <c r="I54">
        <v>925.75216052592771</v>
      </c>
      <c r="J54">
        <v>1132.5691325583157</v>
      </c>
      <c r="K54">
        <v>206.81697203238798</v>
      </c>
      <c r="L54">
        <v>402.60120000000001</v>
      </c>
      <c r="M54">
        <v>1535.1703325583157</v>
      </c>
      <c r="N54">
        <v>0.75</v>
      </c>
    </row>
    <row r="55" spans="1:14" x14ac:dyDescent="0.3">
      <c r="A55" t="s">
        <v>205</v>
      </c>
      <c r="B55">
        <v>394.22093934177678</v>
      </c>
      <c r="C55">
        <v>0.23169903727228844</v>
      </c>
      <c r="D55">
        <v>-0.10541342472967359</v>
      </c>
      <c r="E55">
        <v>0</v>
      </c>
      <c r="F55">
        <v>0</v>
      </c>
      <c r="G55" t="s">
        <v>322</v>
      </c>
      <c r="H55">
        <v>15</v>
      </c>
      <c r="I55">
        <v>1009.9114478464666</v>
      </c>
      <c r="J55">
        <v>1235.5299627908898</v>
      </c>
      <c r="K55">
        <v>225.61851494442325</v>
      </c>
      <c r="L55">
        <v>322.08096</v>
      </c>
      <c r="M55">
        <v>1557.6109227908898</v>
      </c>
      <c r="N55">
        <v>0.75</v>
      </c>
    </row>
    <row r="56" spans="1:14" x14ac:dyDescent="0.3">
      <c r="A56" t="s">
        <v>206</v>
      </c>
      <c r="B56">
        <v>56.394806124038674</v>
      </c>
      <c r="C56">
        <v>7.7139052176134731E-2</v>
      </c>
      <c r="D56">
        <v>0</v>
      </c>
      <c r="E56">
        <v>0</v>
      </c>
      <c r="F56">
        <v>0</v>
      </c>
      <c r="G56" t="s">
        <v>322</v>
      </c>
      <c r="H56">
        <v>10.000000000000002</v>
      </c>
      <c r="I56">
        <v>0</v>
      </c>
      <c r="J56">
        <v>17.866666666666667</v>
      </c>
      <c r="K56">
        <v>17.866666666666667</v>
      </c>
      <c r="L56">
        <v>28.466666666666661</v>
      </c>
      <c r="M56">
        <v>46.333333333333329</v>
      </c>
      <c r="N56">
        <v>3</v>
      </c>
    </row>
    <row r="57" spans="1:14" x14ac:dyDescent="0.3">
      <c r="A57" t="s">
        <v>207</v>
      </c>
      <c r="B57">
        <v>85.448902675176072</v>
      </c>
      <c r="C57">
        <v>0.11787088778604567</v>
      </c>
      <c r="D57">
        <v>0</v>
      </c>
      <c r="E57">
        <v>0</v>
      </c>
      <c r="F57">
        <v>0</v>
      </c>
      <c r="G57" t="s">
        <v>322</v>
      </c>
      <c r="H57">
        <v>10.000000000000002</v>
      </c>
      <c r="I57">
        <v>0</v>
      </c>
      <c r="J57">
        <v>27.024999999999999</v>
      </c>
      <c r="K57">
        <v>27.024999999999999</v>
      </c>
      <c r="L57">
        <v>119.24379999999996</v>
      </c>
      <c r="M57">
        <v>146.2688</v>
      </c>
      <c r="N57">
        <v>3</v>
      </c>
    </row>
    <row r="58" spans="1:14" x14ac:dyDescent="0.3">
      <c r="A58" t="s">
        <v>208</v>
      </c>
      <c r="B58">
        <v>28.275343221895479</v>
      </c>
      <c r="C58">
        <v>4.0408586020537811E-2</v>
      </c>
      <c r="D58">
        <v>0</v>
      </c>
      <c r="E58">
        <v>0</v>
      </c>
      <c r="F58">
        <v>0</v>
      </c>
      <c r="G58" t="s">
        <v>322</v>
      </c>
      <c r="H58">
        <v>10.000000000000002</v>
      </c>
      <c r="I58">
        <v>0</v>
      </c>
      <c r="J58">
        <v>10.358333333333334</v>
      </c>
      <c r="K58">
        <v>10.358333333333334</v>
      </c>
      <c r="L58">
        <v>28</v>
      </c>
      <c r="M58">
        <v>38.358333333333341</v>
      </c>
      <c r="N58">
        <v>3</v>
      </c>
    </row>
    <row r="59" spans="1:14" x14ac:dyDescent="0.3">
      <c r="A59" t="s">
        <v>209</v>
      </c>
      <c r="B59">
        <v>152.51524617247873</v>
      </c>
      <c r="C59">
        <v>3.2164195652713751E-2</v>
      </c>
      <c r="D59">
        <v>5.9696921048700544E-2</v>
      </c>
      <c r="E59">
        <v>21.729641329484629</v>
      </c>
      <c r="F59">
        <v>21.220352860824832</v>
      </c>
      <c r="G59" t="s">
        <v>325</v>
      </c>
      <c r="H59">
        <v>20.000000000000004</v>
      </c>
      <c r="I59">
        <v>0</v>
      </c>
      <c r="J59">
        <v>564.82428706812982</v>
      </c>
      <c r="K59">
        <v>564.82428706812982</v>
      </c>
      <c r="L59">
        <v>192.12625820196905</v>
      </c>
      <c r="M59">
        <v>756.95054527009904</v>
      </c>
      <c r="N59">
        <v>3</v>
      </c>
    </row>
    <row r="60" spans="1:14" x14ac:dyDescent="0.3">
      <c r="A60" t="s">
        <v>150</v>
      </c>
      <c r="B60">
        <v>314.9007614139656</v>
      </c>
      <c r="C60">
        <v>-9.450388087985857E-3</v>
      </c>
      <c r="D60">
        <v>-0.47684435855491608</v>
      </c>
      <c r="E60">
        <v>49.136920790520193</v>
      </c>
      <c r="F60">
        <v>47.985274209492374</v>
      </c>
      <c r="G60" t="s">
        <v>328</v>
      </c>
      <c r="H60">
        <v>9</v>
      </c>
      <c r="I60">
        <v>14.913973600364132</v>
      </c>
      <c r="J60">
        <v>25.657532999544827</v>
      </c>
      <c r="K60">
        <v>10.743559399180695</v>
      </c>
      <c r="L60">
        <v>7.7200421903994965</v>
      </c>
      <c r="M60">
        <v>33.377575189944324</v>
      </c>
      <c r="N60">
        <v>3</v>
      </c>
    </row>
    <row r="61" spans="1:14" x14ac:dyDescent="0.3">
      <c r="A61" t="s">
        <v>151</v>
      </c>
      <c r="B61">
        <v>193.84226024436708</v>
      </c>
      <c r="C61">
        <v>-9.1419370474271049E-3</v>
      </c>
      <c r="D61">
        <v>-0.23542531182467183</v>
      </c>
      <c r="E61">
        <v>26.454756891781969</v>
      </c>
      <c r="F61">
        <v>25.83472352713083</v>
      </c>
      <c r="G61" t="s">
        <v>328</v>
      </c>
      <c r="H61">
        <v>9</v>
      </c>
      <c r="I61">
        <v>14.913973600364132</v>
      </c>
      <c r="J61">
        <v>25.657532999544827</v>
      </c>
      <c r="K61">
        <v>10.743559399180695</v>
      </c>
      <c r="L61">
        <v>7.7200421903994965</v>
      </c>
      <c r="M61">
        <v>33.377575189944324</v>
      </c>
      <c r="N61">
        <v>3</v>
      </c>
    </row>
    <row r="62" spans="1:14" x14ac:dyDescent="0.3">
      <c r="A62" t="s">
        <v>210</v>
      </c>
      <c r="B62">
        <v>195.61852342202923</v>
      </c>
      <c r="C62">
        <v>3.9583929376010435E-2</v>
      </c>
      <c r="D62">
        <v>7.9867411689079404E-2</v>
      </c>
      <c r="E62">
        <v>29.502156644190578</v>
      </c>
      <c r="F62">
        <v>28.810699847842361</v>
      </c>
      <c r="G62" t="s">
        <v>331</v>
      </c>
      <c r="H62">
        <v>20.000000000000004</v>
      </c>
      <c r="I62">
        <v>0</v>
      </c>
      <c r="J62">
        <v>151.98499147446799</v>
      </c>
      <c r="K62">
        <v>151.98499147446799</v>
      </c>
      <c r="L62">
        <v>1170.2372307477474</v>
      </c>
      <c r="M62">
        <v>1322.2222222222151</v>
      </c>
      <c r="N62">
        <v>2.2999999999999998</v>
      </c>
    </row>
    <row r="63" spans="1:14" x14ac:dyDescent="0.3">
      <c r="A63" t="s">
        <v>211</v>
      </c>
      <c r="B63">
        <v>38.676163435134576</v>
      </c>
      <c r="C63">
        <v>4.6428653417720898E-4</v>
      </c>
      <c r="D63">
        <v>0</v>
      </c>
      <c r="E63">
        <v>-6.8872942202049476E-3</v>
      </c>
      <c r="F63">
        <v>-6.725873261918894E-3</v>
      </c>
      <c r="G63" t="s">
        <v>328</v>
      </c>
      <c r="H63">
        <v>14.999999999999998</v>
      </c>
      <c r="I63">
        <v>0</v>
      </c>
      <c r="J63">
        <v>534.2535364705883</v>
      </c>
      <c r="K63">
        <v>534.2535364705883</v>
      </c>
      <c r="L63">
        <v>592.57483999999999</v>
      </c>
      <c r="M63">
        <v>1126.8283764705884</v>
      </c>
      <c r="N63">
        <v>2.9999999999999996</v>
      </c>
    </row>
    <row r="64" spans="1:14" x14ac:dyDescent="0.3">
      <c r="A64" t="s">
        <v>212</v>
      </c>
      <c r="B64">
        <v>33.721542424937915</v>
      </c>
      <c r="C64">
        <v>0.1215178635218182</v>
      </c>
      <c r="D64">
        <v>6.7204741263635884E-4</v>
      </c>
      <c r="E64">
        <v>-25.632060863077346</v>
      </c>
      <c r="F64">
        <v>-25.031309436598971</v>
      </c>
      <c r="G64" t="s">
        <v>328</v>
      </c>
      <c r="H64">
        <v>10.000000000000002</v>
      </c>
      <c r="I64">
        <v>0</v>
      </c>
      <c r="J64">
        <v>89.890787332365008</v>
      </c>
      <c r="K64">
        <v>89.890787332365008</v>
      </c>
      <c r="L64">
        <v>63.924000000000007</v>
      </c>
      <c r="M64">
        <v>153.81478733236503</v>
      </c>
      <c r="N64">
        <v>3.5</v>
      </c>
    </row>
    <row r="65" spans="1:14" x14ac:dyDescent="0.3">
      <c r="A65" t="s">
        <v>213</v>
      </c>
      <c r="B65">
        <v>302.15847476775309</v>
      </c>
      <c r="C65">
        <v>0.15438363673212274</v>
      </c>
      <c r="D65">
        <v>0.1103664740456748</v>
      </c>
      <c r="E65">
        <v>21.203896438330386</v>
      </c>
      <c r="F65">
        <v>20.706930115557018</v>
      </c>
      <c r="G65" t="s">
        <v>332</v>
      </c>
      <c r="H65">
        <v>20.000000000000004</v>
      </c>
      <c r="I65">
        <v>1640.9722222222222</v>
      </c>
      <c r="J65">
        <v>2069.6021002661951</v>
      </c>
      <c r="K65">
        <v>428.62987804397289</v>
      </c>
      <c r="L65">
        <v>206.96666666666675</v>
      </c>
      <c r="M65">
        <v>2276.5687669328618</v>
      </c>
      <c r="N65">
        <v>3.5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10"/>
  <sheetViews>
    <sheetView topLeftCell="D24" zoomScale="85" zoomScaleNormal="85" workbookViewId="0">
      <selection activeCell="M28" sqref="M28"/>
    </sheetView>
  </sheetViews>
  <sheetFormatPr defaultRowHeight="14.4" x14ac:dyDescent="0.3"/>
  <cols>
    <col min="2" max="2" width="39.33203125" customWidth="1"/>
    <col min="3" max="3" width="29.88671875" customWidth="1"/>
    <col min="4" max="4" width="19.88671875" customWidth="1"/>
    <col min="5" max="5" width="12.33203125" customWidth="1"/>
  </cols>
  <sheetData>
    <row r="3" spans="2:20" s="7" customFormat="1" ht="66.599999999999994" x14ac:dyDescent="0.3">
      <c r="B3" s="43" t="s">
        <v>339</v>
      </c>
      <c r="C3" s="43" t="s">
        <v>340</v>
      </c>
      <c r="D3" s="43" t="s">
        <v>341</v>
      </c>
      <c r="E3" s="43" t="s">
        <v>342</v>
      </c>
      <c r="F3" s="43" t="s">
        <v>343</v>
      </c>
      <c r="G3" s="43" t="s">
        <v>344</v>
      </c>
      <c r="H3" s="43" t="s">
        <v>345</v>
      </c>
      <c r="I3" s="43" t="s">
        <v>346</v>
      </c>
      <c r="J3" s="43" t="s">
        <v>347</v>
      </c>
      <c r="K3" s="14" t="s">
        <v>348</v>
      </c>
      <c r="L3" s="43" t="s">
        <v>349</v>
      </c>
      <c r="M3" s="43" t="s">
        <v>350</v>
      </c>
      <c r="N3" s="14" t="s">
        <v>351</v>
      </c>
      <c r="O3" s="14" t="s">
        <v>352</v>
      </c>
      <c r="P3" s="43" t="s">
        <v>353</v>
      </c>
      <c r="Q3" s="43" t="s">
        <v>354</v>
      </c>
      <c r="R3" s="43" t="s">
        <v>355</v>
      </c>
      <c r="S3" s="43" t="s">
        <v>356</v>
      </c>
      <c r="T3" s="43" t="s">
        <v>357</v>
      </c>
    </row>
    <row r="4" spans="2:20" x14ac:dyDescent="0.3">
      <c r="B4" s="15" t="s">
        <v>214</v>
      </c>
      <c r="C4" s="15" t="s">
        <v>32</v>
      </c>
      <c r="D4" s="15" t="s">
        <v>33</v>
      </c>
      <c r="E4" s="15">
        <v>840</v>
      </c>
      <c r="F4" s="15">
        <v>0.08</v>
      </c>
      <c r="G4" s="16">
        <v>5.2499999999999998E-2</v>
      </c>
      <c r="H4" s="15">
        <v>44.1</v>
      </c>
      <c r="I4" s="17">
        <v>4.1999999999999997E-3</v>
      </c>
      <c r="J4" s="15"/>
      <c r="K4" s="36">
        <f t="shared" ref="K4:K67" si="0">J4/1.024</f>
        <v>0</v>
      </c>
      <c r="L4" s="15">
        <v>9</v>
      </c>
      <c r="M4" s="10">
        <v>3</v>
      </c>
      <c r="N4" s="10"/>
      <c r="O4" s="10"/>
      <c r="P4" s="15" t="s">
        <v>358</v>
      </c>
      <c r="Q4" s="15"/>
      <c r="R4" s="15">
        <v>1</v>
      </c>
      <c r="S4" s="15" t="s">
        <v>359</v>
      </c>
      <c r="T4" s="15">
        <v>0</v>
      </c>
    </row>
    <row r="5" spans="2:20" x14ac:dyDescent="0.3">
      <c r="B5" s="11" t="s">
        <v>215</v>
      </c>
      <c r="C5" s="11" t="s">
        <v>34</v>
      </c>
      <c r="D5" s="11" t="s">
        <v>35</v>
      </c>
      <c r="E5" s="11">
        <f t="shared" ref="E5:E10" si="1">2.7*365</f>
        <v>985.50000000000011</v>
      </c>
      <c r="F5" s="11">
        <v>0.08</v>
      </c>
      <c r="G5" s="12">
        <f>0.06-0.013</f>
        <v>4.7E-2</v>
      </c>
      <c r="H5" s="13">
        <f t="shared" ref="H5:H10" si="2">G5*E5</f>
        <v>46.318500000000007</v>
      </c>
      <c r="I5" s="34">
        <f t="shared" ref="I5:I10" si="3">G5*F5</f>
        <v>3.7599999999999999E-3</v>
      </c>
      <c r="J5" s="11"/>
      <c r="K5" s="34">
        <f t="shared" si="0"/>
        <v>0</v>
      </c>
      <c r="L5" s="11">
        <v>9</v>
      </c>
      <c r="M5" s="35">
        <v>3</v>
      </c>
      <c r="N5" s="35"/>
      <c r="O5" s="35"/>
      <c r="P5" s="11" t="s">
        <v>358</v>
      </c>
      <c r="Q5" s="11"/>
      <c r="R5" s="11">
        <v>1</v>
      </c>
      <c r="S5" s="11" t="s">
        <v>359</v>
      </c>
      <c r="T5" s="11">
        <v>0</v>
      </c>
    </row>
    <row r="6" spans="2:20" x14ac:dyDescent="0.3">
      <c r="B6" s="11" t="s">
        <v>216</v>
      </c>
      <c r="C6" s="11" t="s">
        <v>36</v>
      </c>
      <c r="D6" s="11" t="s">
        <v>35</v>
      </c>
      <c r="E6" s="11">
        <f t="shared" si="1"/>
        <v>985.50000000000011</v>
      </c>
      <c r="F6" s="11">
        <v>0.08</v>
      </c>
      <c r="G6" s="12">
        <f>0.045-0.013</f>
        <v>3.2000000000000001E-2</v>
      </c>
      <c r="H6" s="13">
        <f t="shared" si="2"/>
        <v>31.536000000000005</v>
      </c>
      <c r="I6" s="34">
        <f t="shared" si="3"/>
        <v>2.5600000000000002E-3</v>
      </c>
      <c r="J6" s="11"/>
      <c r="K6" s="34">
        <f t="shared" si="0"/>
        <v>0</v>
      </c>
      <c r="L6" s="11">
        <v>9</v>
      </c>
      <c r="M6" s="35">
        <v>1</v>
      </c>
      <c r="N6" s="35"/>
      <c r="O6" s="35"/>
      <c r="P6" s="11" t="s">
        <v>358</v>
      </c>
      <c r="Q6" s="11"/>
      <c r="R6" s="11">
        <v>1</v>
      </c>
      <c r="S6" s="11" t="s">
        <v>359</v>
      </c>
      <c r="T6" s="11">
        <v>0</v>
      </c>
    </row>
    <row r="7" spans="2:20" x14ac:dyDescent="0.3">
      <c r="B7" s="11" t="s">
        <v>217</v>
      </c>
      <c r="C7" s="11" t="s">
        <v>37</v>
      </c>
      <c r="D7" s="11" t="s">
        <v>38</v>
      </c>
      <c r="E7" s="11">
        <f t="shared" si="1"/>
        <v>985.50000000000011</v>
      </c>
      <c r="F7" s="11">
        <v>0.08</v>
      </c>
      <c r="G7" s="12">
        <f>0.075-0.018</f>
        <v>5.6999999999999995E-2</v>
      </c>
      <c r="H7" s="13">
        <f t="shared" si="2"/>
        <v>56.173500000000004</v>
      </c>
      <c r="I7" s="34">
        <f t="shared" si="3"/>
        <v>4.5599999999999998E-3</v>
      </c>
      <c r="J7" s="11"/>
      <c r="K7" s="34">
        <f t="shared" si="0"/>
        <v>0</v>
      </c>
      <c r="L7" s="11">
        <v>9</v>
      </c>
      <c r="M7" s="35">
        <v>3</v>
      </c>
      <c r="N7" s="35"/>
      <c r="O7" s="35"/>
      <c r="P7" s="11" t="s">
        <v>358</v>
      </c>
      <c r="Q7" s="11"/>
      <c r="R7" s="11">
        <v>1</v>
      </c>
      <c r="S7" s="11" t="s">
        <v>359</v>
      </c>
      <c r="T7" s="11">
        <v>0</v>
      </c>
    </row>
    <row r="8" spans="2:20" x14ac:dyDescent="0.3">
      <c r="B8" s="11" t="s">
        <v>218</v>
      </c>
      <c r="C8" s="11" t="s">
        <v>39</v>
      </c>
      <c r="D8" s="11" t="s">
        <v>38</v>
      </c>
      <c r="E8" s="11">
        <f t="shared" si="1"/>
        <v>985.50000000000011</v>
      </c>
      <c r="F8" s="11">
        <v>0.08</v>
      </c>
      <c r="G8" s="12">
        <f>0.056-0.018</f>
        <v>3.8000000000000006E-2</v>
      </c>
      <c r="H8" s="13">
        <f t="shared" si="2"/>
        <v>37.449000000000012</v>
      </c>
      <c r="I8" s="34">
        <f t="shared" si="3"/>
        <v>3.0400000000000006E-3</v>
      </c>
      <c r="J8" s="11"/>
      <c r="K8" s="34">
        <f t="shared" si="0"/>
        <v>0</v>
      </c>
      <c r="L8" s="11">
        <v>9</v>
      </c>
      <c r="M8" s="35">
        <v>1</v>
      </c>
      <c r="N8" s="35"/>
      <c r="O8" s="35"/>
      <c r="P8" s="11" t="s">
        <v>358</v>
      </c>
      <c r="Q8" s="11"/>
      <c r="R8" s="11">
        <v>1</v>
      </c>
      <c r="S8" s="11" t="s">
        <v>359</v>
      </c>
      <c r="T8" s="11">
        <v>0</v>
      </c>
    </row>
    <row r="9" spans="2:20" x14ac:dyDescent="0.3">
      <c r="B9" s="11" t="s">
        <v>219</v>
      </c>
      <c r="C9" s="11" t="s">
        <v>40</v>
      </c>
      <c r="D9" s="11" t="s">
        <v>41</v>
      </c>
      <c r="E9" s="11">
        <f t="shared" si="1"/>
        <v>985.50000000000011</v>
      </c>
      <c r="F9" s="11">
        <v>0.08</v>
      </c>
      <c r="G9" s="12">
        <f>0.1-0.023</f>
        <v>7.7000000000000013E-2</v>
      </c>
      <c r="H9" s="13">
        <f t="shared" si="2"/>
        <v>75.883500000000026</v>
      </c>
      <c r="I9" s="34">
        <f t="shared" si="3"/>
        <v>6.1600000000000014E-3</v>
      </c>
      <c r="J9" s="11"/>
      <c r="K9" s="34">
        <f t="shared" si="0"/>
        <v>0</v>
      </c>
      <c r="L9" s="11">
        <v>9</v>
      </c>
      <c r="M9" s="35">
        <v>3</v>
      </c>
      <c r="N9" s="35"/>
      <c r="O9" s="35"/>
      <c r="P9" s="11" t="s">
        <v>358</v>
      </c>
      <c r="Q9" s="11"/>
      <c r="R9" s="11">
        <v>1</v>
      </c>
      <c r="S9" s="11" t="s">
        <v>359</v>
      </c>
      <c r="T9" s="11">
        <v>0</v>
      </c>
    </row>
    <row r="10" spans="2:20" x14ac:dyDescent="0.3">
      <c r="B10" s="11" t="s">
        <v>220</v>
      </c>
      <c r="C10" s="11" t="s">
        <v>42</v>
      </c>
      <c r="D10" s="11" t="s">
        <v>41</v>
      </c>
      <c r="E10" s="11">
        <f t="shared" si="1"/>
        <v>985.50000000000011</v>
      </c>
      <c r="F10" s="11">
        <v>0.08</v>
      </c>
      <c r="G10" s="12">
        <f>0.075-0.023</f>
        <v>5.1999999999999998E-2</v>
      </c>
      <c r="H10" s="13">
        <f t="shared" si="2"/>
        <v>51.246000000000002</v>
      </c>
      <c r="I10" s="34">
        <f t="shared" si="3"/>
        <v>4.1599999999999996E-3</v>
      </c>
      <c r="J10" s="11"/>
      <c r="K10" s="34">
        <f t="shared" si="0"/>
        <v>0</v>
      </c>
      <c r="L10" s="11">
        <v>9</v>
      </c>
      <c r="M10" s="35">
        <v>1</v>
      </c>
      <c r="N10" s="35"/>
      <c r="O10" s="35"/>
      <c r="P10" s="11" t="s">
        <v>358</v>
      </c>
      <c r="Q10" s="11"/>
      <c r="R10" s="11">
        <v>1</v>
      </c>
      <c r="S10" s="11" t="s">
        <v>359</v>
      </c>
      <c r="T10" s="11">
        <v>0</v>
      </c>
    </row>
    <row r="11" spans="2:20" x14ac:dyDescent="0.3">
      <c r="B11" s="15" t="s">
        <v>221</v>
      </c>
      <c r="C11" s="15" t="s">
        <v>32</v>
      </c>
      <c r="D11" s="15" t="s">
        <v>33</v>
      </c>
      <c r="E11" s="15">
        <v>840</v>
      </c>
      <c r="F11" s="15">
        <v>0.08</v>
      </c>
      <c r="G11" s="16">
        <v>5.2499999999999998E-2</v>
      </c>
      <c r="H11" s="15">
        <v>44.1</v>
      </c>
      <c r="I11" s="17">
        <v>4.1999999999999997E-3</v>
      </c>
      <c r="J11" s="15"/>
      <c r="K11" s="36">
        <f t="shared" si="0"/>
        <v>0</v>
      </c>
      <c r="L11" s="15">
        <v>9</v>
      </c>
      <c r="M11" s="10">
        <v>10</v>
      </c>
      <c r="N11" s="10"/>
      <c r="O11" s="10"/>
      <c r="P11" s="15" t="s">
        <v>358</v>
      </c>
      <c r="Q11" s="15"/>
      <c r="R11" s="15">
        <v>1</v>
      </c>
      <c r="S11" s="15" t="s">
        <v>359</v>
      </c>
      <c r="T11" s="15">
        <v>0</v>
      </c>
    </row>
    <row r="12" spans="2:20" x14ac:dyDescent="0.3">
      <c r="B12" s="15" t="s">
        <v>222</v>
      </c>
      <c r="C12" s="15" t="s">
        <v>32</v>
      </c>
      <c r="D12" s="15" t="s">
        <v>33</v>
      </c>
      <c r="E12" s="15">
        <v>840</v>
      </c>
      <c r="F12" s="15">
        <v>0.08</v>
      </c>
      <c r="G12" s="16">
        <v>0.13500000000000001</v>
      </c>
      <c r="H12" s="15">
        <v>113</v>
      </c>
      <c r="I12" s="17">
        <v>1.0800000000000001E-2</v>
      </c>
      <c r="J12" s="15"/>
      <c r="K12" s="36">
        <f t="shared" si="0"/>
        <v>0</v>
      </c>
      <c r="L12" s="15">
        <v>9</v>
      </c>
      <c r="M12" s="10">
        <v>15</v>
      </c>
      <c r="N12" s="10"/>
      <c r="O12" s="10"/>
      <c r="P12" s="15" t="s">
        <v>358</v>
      </c>
      <c r="Q12" s="15"/>
      <c r="R12" s="15">
        <v>1</v>
      </c>
      <c r="S12" s="15" t="s">
        <v>359</v>
      </c>
      <c r="T12" s="15">
        <v>0</v>
      </c>
    </row>
    <row r="13" spans="2:20" x14ac:dyDescent="0.3">
      <c r="B13" s="15" t="s">
        <v>223</v>
      </c>
      <c r="C13" s="15" t="s">
        <v>43</v>
      </c>
      <c r="D13" s="15" t="s">
        <v>44</v>
      </c>
      <c r="E13" s="15">
        <v>840</v>
      </c>
      <c r="F13" s="15">
        <v>0.08</v>
      </c>
      <c r="G13" s="16">
        <v>5.2499999999999998E-2</v>
      </c>
      <c r="H13" s="15">
        <v>44.1</v>
      </c>
      <c r="I13" s="17">
        <v>4.1999999999999997E-3</v>
      </c>
      <c r="J13" s="15"/>
      <c r="K13" s="36">
        <f t="shared" si="0"/>
        <v>0</v>
      </c>
      <c r="L13" s="15">
        <v>9</v>
      </c>
      <c r="M13" s="10">
        <v>13</v>
      </c>
      <c r="N13" s="10"/>
      <c r="O13" s="10"/>
      <c r="P13" s="15" t="s">
        <v>358</v>
      </c>
      <c r="Q13" s="15"/>
      <c r="R13" s="15">
        <v>1</v>
      </c>
      <c r="S13" s="15" t="s">
        <v>359</v>
      </c>
      <c r="T13" s="15">
        <v>0</v>
      </c>
    </row>
    <row r="14" spans="2:20" x14ac:dyDescent="0.3">
      <c r="B14" s="15" t="s">
        <v>224</v>
      </c>
      <c r="C14" s="15" t="s">
        <v>45</v>
      </c>
      <c r="D14" s="15" t="s">
        <v>46</v>
      </c>
      <c r="E14" s="15">
        <v>840</v>
      </c>
      <c r="F14" s="15">
        <v>0.08</v>
      </c>
      <c r="G14" s="16">
        <v>5.2999999999999999E-2</v>
      </c>
      <c r="H14" s="15">
        <v>44.5</v>
      </c>
      <c r="I14" s="17">
        <v>4.1999999999999997E-3</v>
      </c>
      <c r="J14" s="15"/>
      <c r="K14" s="36">
        <f t="shared" si="0"/>
        <v>0</v>
      </c>
      <c r="L14" s="15">
        <v>15</v>
      </c>
      <c r="M14" s="10">
        <v>90</v>
      </c>
      <c r="N14" s="10"/>
      <c r="O14" s="10"/>
      <c r="P14" s="15" t="s">
        <v>360</v>
      </c>
      <c r="Q14" s="15"/>
      <c r="R14" s="15">
        <v>1</v>
      </c>
      <c r="S14" s="15" t="s">
        <v>361</v>
      </c>
      <c r="T14" s="15">
        <v>34</v>
      </c>
    </row>
    <row r="15" spans="2:20" x14ac:dyDescent="0.3">
      <c r="B15" s="15" t="s">
        <v>225</v>
      </c>
      <c r="C15" s="15" t="s">
        <v>362</v>
      </c>
      <c r="D15" s="15" t="s">
        <v>363</v>
      </c>
      <c r="E15" s="15">
        <v>840</v>
      </c>
      <c r="F15" s="15">
        <v>0.08</v>
      </c>
      <c r="G15" s="16">
        <v>4.8000000000000001E-2</v>
      </c>
      <c r="H15" s="15">
        <v>40</v>
      </c>
      <c r="I15" s="17">
        <v>3.8E-3</v>
      </c>
      <c r="J15" s="15"/>
      <c r="K15" s="36">
        <f t="shared" si="0"/>
        <v>0</v>
      </c>
      <c r="L15" s="15">
        <v>15</v>
      </c>
      <c r="M15" s="18">
        <v>51</v>
      </c>
      <c r="N15" s="10"/>
      <c r="O15" s="10"/>
      <c r="P15" s="15" t="s">
        <v>358</v>
      </c>
      <c r="Q15" s="15"/>
      <c r="R15" s="15">
        <v>1</v>
      </c>
      <c r="S15" s="15" t="s">
        <v>359</v>
      </c>
      <c r="T15" s="15">
        <v>0</v>
      </c>
    </row>
    <row r="16" spans="2:20" x14ac:dyDescent="0.3">
      <c r="B16" s="15" t="s">
        <v>226</v>
      </c>
      <c r="C16" s="15" t="s">
        <v>47</v>
      </c>
      <c r="D16" s="15" t="s">
        <v>48</v>
      </c>
      <c r="E16" s="15">
        <v>840</v>
      </c>
      <c r="F16" s="15">
        <v>0.08</v>
      </c>
      <c r="G16" s="16">
        <v>9.2999999999999999E-2</v>
      </c>
      <c r="H16" s="15">
        <v>78</v>
      </c>
      <c r="I16" s="17">
        <v>7.4400000000000004E-3</v>
      </c>
      <c r="J16" s="15"/>
      <c r="K16" s="36">
        <f t="shared" si="0"/>
        <v>0</v>
      </c>
      <c r="L16" s="15">
        <v>12</v>
      </c>
      <c r="M16" s="10">
        <v>45</v>
      </c>
      <c r="N16" s="10"/>
      <c r="O16" s="10"/>
      <c r="P16" s="15" t="s">
        <v>360</v>
      </c>
      <c r="Q16" s="15"/>
      <c r="R16" s="15">
        <v>1</v>
      </c>
      <c r="S16" s="15" t="s">
        <v>361</v>
      </c>
      <c r="T16" s="15">
        <v>35</v>
      </c>
    </row>
    <row r="17" spans="2:20" x14ac:dyDescent="0.3">
      <c r="B17" s="15" t="s">
        <v>227</v>
      </c>
      <c r="C17" s="15" t="s">
        <v>49</v>
      </c>
      <c r="D17" s="15" t="s">
        <v>50</v>
      </c>
      <c r="E17" s="15">
        <v>3650</v>
      </c>
      <c r="F17" s="15">
        <v>0</v>
      </c>
      <c r="G17" s="16">
        <v>6.0000000000000001E-3</v>
      </c>
      <c r="H17" s="15">
        <v>22</v>
      </c>
      <c r="I17" s="17">
        <v>0</v>
      </c>
      <c r="J17" s="15"/>
      <c r="K17" s="36">
        <f t="shared" si="0"/>
        <v>0</v>
      </c>
      <c r="L17" s="15">
        <v>12</v>
      </c>
      <c r="M17" s="10">
        <v>5</v>
      </c>
      <c r="N17" s="10"/>
      <c r="O17" s="10"/>
      <c r="P17" s="15" t="s">
        <v>360</v>
      </c>
      <c r="Q17" s="15"/>
      <c r="R17" s="15">
        <v>1</v>
      </c>
      <c r="S17" s="15" t="s">
        <v>361</v>
      </c>
      <c r="T17" s="15">
        <v>0</v>
      </c>
    </row>
    <row r="18" spans="2:20" x14ac:dyDescent="0.3">
      <c r="B18" s="15" t="s">
        <v>228</v>
      </c>
      <c r="C18" s="15" t="s">
        <v>51</v>
      </c>
      <c r="D18" s="15" t="s">
        <v>52</v>
      </c>
      <c r="E18" s="15">
        <v>840</v>
      </c>
      <c r="F18" s="15">
        <v>0.08</v>
      </c>
      <c r="G18" s="16">
        <v>4.5999999999999999E-2</v>
      </c>
      <c r="H18" s="15">
        <v>39</v>
      </c>
      <c r="I18" s="17">
        <v>3.6800000000000001E-3</v>
      </c>
      <c r="J18" s="15"/>
      <c r="K18" s="36">
        <f t="shared" si="0"/>
        <v>0</v>
      </c>
      <c r="L18" s="15">
        <v>12</v>
      </c>
      <c r="M18" s="10">
        <v>25</v>
      </c>
      <c r="N18" s="10"/>
      <c r="O18" s="10"/>
      <c r="P18" s="15" t="s">
        <v>360</v>
      </c>
      <c r="Q18" s="15"/>
      <c r="R18" s="15">
        <v>1</v>
      </c>
      <c r="S18" s="15" t="s">
        <v>361</v>
      </c>
      <c r="T18" s="15">
        <v>0</v>
      </c>
    </row>
    <row r="19" spans="2:20" x14ac:dyDescent="0.3">
      <c r="B19" s="15" t="s">
        <v>229</v>
      </c>
      <c r="C19" s="15" t="s">
        <v>53</v>
      </c>
      <c r="D19" s="15" t="s">
        <v>54</v>
      </c>
      <c r="E19" s="15">
        <v>840</v>
      </c>
      <c r="F19" s="15">
        <v>0.08</v>
      </c>
      <c r="G19" s="16">
        <v>0.19500000000000001</v>
      </c>
      <c r="H19" s="15">
        <v>164</v>
      </c>
      <c r="I19" s="17">
        <v>1.5600000000000001E-2</v>
      </c>
      <c r="J19" s="15"/>
      <c r="K19" s="36">
        <f t="shared" si="0"/>
        <v>0</v>
      </c>
      <c r="L19" s="15">
        <v>12</v>
      </c>
      <c r="M19" s="10">
        <v>50</v>
      </c>
      <c r="N19" s="10"/>
      <c r="O19" s="10"/>
      <c r="P19" s="15" t="s">
        <v>360</v>
      </c>
      <c r="Q19" s="15"/>
      <c r="R19" s="15">
        <v>1</v>
      </c>
      <c r="S19" s="15" t="s">
        <v>361</v>
      </c>
      <c r="T19" s="15">
        <v>0</v>
      </c>
    </row>
    <row r="20" spans="2:20" x14ac:dyDescent="0.3">
      <c r="B20" s="15" t="s">
        <v>230</v>
      </c>
      <c r="C20" s="15" t="s">
        <v>55</v>
      </c>
      <c r="D20" s="15" t="s">
        <v>56</v>
      </c>
      <c r="E20" s="15">
        <v>150</v>
      </c>
      <c r="F20" s="15">
        <v>0</v>
      </c>
      <c r="G20" s="16">
        <v>7.0000000000000007E-2</v>
      </c>
      <c r="H20" s="15">
        <v>10.6</v>
      </c>
      <c r="I20" s="17">
        <v>0</v>
      </c>
      <c r="J20" s="15"/>
      <c r="K20" s="36">
        <f t="shared" si="0"/>
        <v>0</v>
      </c>
      <c r="L20" s="15">
        <v>10</v>
      </c>
      <c r="M20" s="10">
        <v>12</v>
      </c>
      <c r="N20" s="10"/>
      <c r="O20" s="10"/>
      <c r="P20" s="15" t="s">
        <v>364</v>
      </c>
      <c r="Q20" s="15" t="s">
        <v>365</v>
      </c>
      <c r="R20" s="15">
        <v>1</v>
      </c>
      <c r="S20" s="15" t="s">
        <v>366</v>
      </c>
      <c r="T20" s="15">
        <v>0</v>
      </c>
    </row>
    <row r="21" spans="2:20" x14ac:dyDescent="0.3">
      <c r="B21" s="15" t="s">
        <v>231</v>
      </c>
      <c r="C21" s="15" t="s">
        <v>57</v>
      </c>
      <c r="D21" s="15" t="s">
        <v>58</v>
      </c>
      <c r="E21" s="15">
        <v>840</v>
      </c>
      <c r="F21" s="15">
        <v>0.08</v>
      </c>
      <c r="G21" s="16">
        <v>1.2999999999999999E-2</v>
      </c>
      <c r="H21" s="15">
        <v>10.9</v>
      </c>
      <c r="I21" s="17">
        <f t="shared" ref="I21:I26" si="4">G21*F21</f>
        <v>1.0399999999999999E-3</v>
      </c>
      <c r="J21" s="15"/>
      <c r="K21" s="36">
        <f t="shared" si="0"/>
        <v>0</v>
      </c>
      <c r="L21" s="15">
        <v>12</v>
      </c>
      <c r="M21" s="10">
        <v>33</v>
      </c>
      <c r="N21" s="10"/>
      <c r="O21" s="10"/>
      <c r="P21" s="15" t="s">
        <v>360</v>
      </c>
      <c r="Q21" s="15"/>
      <c r="R21" s="15">
        <v>1</v>
      </c>
      <c r="S21" s="15" t="s">
        <v>361</v>
      </c>
      <c r="T21" s="15">
        <v>72.349999999999994</v>
      </c>
    </row>
    <row r="22" spans="2:20" x14ac:dyDescent="0.3">
      <c r="B22" s="15" t="s">
        <v>232</v>
      </c>
      <c r="C22" s="15" t="s">
        <v>57</v>
      </c>
      <c r="D22" s="15" t="s">
        <v>58</v>
      </c>
      <c r="E22" s="15">
        <v>840</v>
      </c>
      <c r="F22" s="15">
        <v>0.08</v>
      </c>
      <c r="G22" s="16">
        <v>1.2E-2</v>
      </c>
      <c r="H22" s="15">
        <v>10.1</v>
      </c>
      <c r="I22" s="17">
        <f t="shared" si="4"/>
        <v>9.6000000000000002E-4</v>
      </c>
      <c r="J22" s="15"/>
      <c r="K22" s="36">
        <f t="shared" si="0"/>
        <v>0</v>
      </c>
      <c r="L22" s="15">
        <v>12</v>
      </c>
      <c r="M22" s="10">
        <v>36</v>
      </c>
      <c r="N22" s="10"/>
      <c r="O22" s="10"/>
      <c r="P22" s="15" t="s">
        <v>360</v>
      </c>
      <c r="Q22" s="15"/>
      <c r="R22" s="15">
        <v>1</v>
      </c>
      <c r="S22" s="15" t="s">
        <v>361</v>
      </c>
      <c r="T22" s="15">
        <v>72.349999999999994</v>
      </c>
    </row>
    <row r="23" spans="2:20" x14ac:dyDescent="0.3">
      <c r="B23" s="15" t="s">
        <v>233</v>
      </c>
      <c r="C23" s="15" t="s">
        <v>57</v>
      </c>
      <c r="D23" s="15" t="s">
        <v>58</v>
      </c>
      <c r="E23" s="15">
        <v>840</v>
      </c>
      <c r="F23" s="15">
        <v>0.08</v>
      </c>
      <c r="G23" s="16">
        <v>2.7E-2</v>
      </c>
      <c r="H23" s="15">
        <v>22.7</v>
      </c>
      <c r="I23" s="17">
        <f t="shared" si="4"/>
        <v>2.16E-3</v>
      </c>
      <c r="J23" s="15"/>
      <c r="K23" s="36">
        <f t="shared" si="0"/>
        <v>0</v>
      </c>
      <c r="L23" s="15">
        <v>12</v>
      </c>
      <c r="M23" s="10">
        <v>54</v>
      </c>
      <c r="N23" s="10"/>
      <c r="O23" s="10"/>
      <c r="P23" s="15" t="s">
        <v>360</v>
      </c>
      <c r="Q23" s="15"/>
      <c r="R23" s="15">
        <v>1</v>
      </c>
      <c r="S23" s="15" t="s">
        <v>361</v>
      </c>
      <c r="T23" s="15">
        <v>76.16</v>
      </c>
    </row>
    <row r="24" spans="2:20" x14ac:dyDescent="0.3">
      <c r="B24" s="15" t="s">
        <v>234</v>
      </c>
      <c r="C24" s="15" t="s">
        <v>57</v>
      </c>
      <c r="D24" s="15" t="s">
        <v>58</v>
      </c>
      <c r="E24" s="15">
        <v>840</v>
      </c>
      <c r="F24" s="15">
        <v>0.08</v>
      </c>
      <c r="G24" s="16">
        <v>3.2000000000000001E-2</v>
      </c>
      <c r="H24" s="15">
        <v>26.9</v>
      </c>
      <c r="I24" s="17">
        <f t="shared" si="4"/>
        <v>2.5600000000000002E-3</v>
      </c>
      <c r="J24" s="15"/>
      <c r="K24" s="36">
        <f t="shared" si="0"/>
        <v>0</v>
      </c>
      <c r="L24" s="15">
        <v>12</v>
      </c>
      <c r="M24" s="10">
        <v>57</v>
      </c>
      <c r="N24" s="10"/>
      <c r="O24" s="10"/>
      <c r="P24" s="15" t="s">
        <v>360</v>
      </c>
      <c r="Q24" s="15"/>
      <c r="R24" s="15">
        <v>1</v>
      </c>
      <c r="S24" s="15" t="s">
        <v>361</v>
      </c>
      <c r="T24" s="15">
        <v>81.06</v>
      </c>
    </row>
    <row r="25" spans="2:20" x14ac:dyDescent="0.3">
      <c r="B25" s="15" t="s">
        <v>235</v>
      </c>
      <c r="C25" s="15" t="s">
        <v>57</v>
      </c>
      <c r="D25" s="15" t="s">
        <v>58</v>
      </c>
      <c r="E25" s="15">
        <v>840</v>
      </c>
      <c r="F25" s="15">
        <v>0.08</v>
      </c>
      <c r="G25" s="16">
        <v>1.7000000000000001E-2</v>
      </c>
      <c r="H25" s="15">
        <v>14.3</v>
      </c>
      <c r="I25" s="17">
        <f t="shared" si="4"/>
        <v>1.3600000000000001E-3</v>
      </c>
      <c r="J25" s="15"/>
      <c r="K25" s="36">
        <f t="shared" si="0"/>
        <v>0</v>
      </c>
      <c r="L25" s="15">
        <v>12</v>
      </c>
      <c r="M25" s="10">
        <v>50</v>
      </c>
      <c r="N25" s="10"/>
      <c r="O25" s="10"/>
      <c r="P25" s="15" t="s">
        <v>360</v>
      </c>
      <c r="Q25" s="15"/>
      <c r="R25" s="15">
        <v>1</v>
      </c>
      <c r="S25" s="15" t="s">
        <v>361</v>
      </c>
      <c r="T25" s="15">
        <v>79.423333333333332</v>
      </c>
    </row>
    <row r="26" spans="2:20" x14ac:dyDescent="0.3">
      <c r="B26" s="15" t="s">
        <v>236</v>
      </c>
      <c r="C26" s="15" t="s">
        <v>57</v>
      </c>
      <c r="D26" s="15" t="s">
        <v>58</v>
      </c>
      <c r="E26" s="15">
        <v>840</v>
      </c>
      <c r="F26" s="15">
        <v>0.08</v>
      </c>
      <c r="G26" s="16">
        <v>1.0999999999999999E-2</v>
      </c>
      <c r="H26" s="15">
        <v>9.1999999999999993</v>
      </c>
      <c r="I26" s="17">
        <f t="shared" si="4"/>
        <v>8.7999999999999992E-4</v>
      </c>
      <c r="J26" s="15"/>
      <c r="K26" s="36">
        <f t="shared" si="0"/>
        <v>0</v>
      </c>
      <c r="L26" s="15">
        <v>12</v>
      </c>
      <c r="M26" s="10">
        <v>54</v>
      </c>
      <c r="N26" s="10"/>
      <c r="O26" s="10"/>
      <c r="P26" s="15" t="s">
        <v>360</v>
      </c>
      <c r="Q26" s="15"/>
      <c r="R26" s="15">
        <v>1</v>
      </c>
      <c r="S26" s="15" t="s">
        <v>361</v>
      </c>
      <c r="T26" s="15">
        <v>79.423333333333332</v>
      </c>
    </row>
    <row r="27" spans="2:20" x14ac:dyDescent="0.3">
      <c r="B27" s="15" t="s">
        <v>237</v>
      </c>
      <c r="C27" s="15" t="s">
        <v>59</v>
      </c>
      <c r="D27" s="15" t="s">
        <v>60</v>
      </c>
      <c r="E27" s="15">
        <v>280</v>
      </c>
      <c r="F27" s="15">
        <v>0</v>
      </c>
      <c r="G27" s="16">
        <v>0.06</v>
      </c>
      <c r="H27" s="15">
        <v>17</v>
      </c>
      <c r="I27" s="17">
        <v>0</v>
      </c>
      <c r="J27" s="15"/>
      <c r="K27" s="36">
        <f t="shared" si="0"/>
        <v>0</v>
      </c>
      <c r="L27" s="15">
        <v>8</v>
      </c>
      <c r="M27" s="10">
        <v>12</v>
      </c>
      <c r="N27" s="10"/>
      <c r="O27" s="10"/>
      <c r="P27" s="15" t="s">
        <v>367</v>
      </c>
      <c r="Q27" s="15" t="s">
        <v>368</v>
      </c>
      <c r="R27" s="15">
        <v>1</v>
      </c>
      <c r="S27" s="15" t="s">
        <v>367</v>
      </c>
      <c r="T27" s="15">
        <v>0</v>
      </c>
    </row>
    <row r="28" spans="2:20" x14ac:dyDescent="0.3">
      <c r="B28" s="15" t="s">
        <v>238</v>
      </c>
      <c r="C28" s="15" t="s">
        <v>61</v>
      </c>
      <c r="D28" s="15" t="s">
        <v>62</v>
      </c>
      <c r="E28" s="15">
        <v>2920</v>
      </c>
      <c r="F28" s="15">
        <v>0</v>
      </c>
      <c r="G28" s="16">
        <v>6.5000000000000002E-2</v>
      </c>
      <c r="H28" s="15">
        <v>189.8</v>
      </c>
      <c r="I28" s="17">
        <v>0</v>
      </c>
      <c r="J28" s="15"/>
      <c r="K28" s="36">
        <f t="shared" si="0"/>
        <v>0</v>
      </c>
      <c r="L28" s="15">
        <v>15</v>
      </c>
      <c r="M28" s="10">
        <v>112</v>
      </c>
      <c r="N28" s="10"/>
      <c r="O28" s="10"/>
      <c r="P28" s="15" t="s">
        <v>361</v>
      </c>
      <c r="Q28" s="15"/>
      <c r="R28" s="15">
        <v>35</v>
      </c>
      <c r="S28" s="15" t="s">
        <v>369</v>
      </c>
      <c r="T28" s="15">
        <v>38</v>
      </c>
    </row>
    <row r="29" spans="2:20" x14ac:dyDescent="0.3">
      <c r="B29" s="15" t="s">
        <v>239</v>
      </c>
      <c r="C29" s="15" t="s">
        <v>63</v>
      </c>
      <c r="D29" s="15" t="s">
        <v>64</v>
      </c>
      <c r="E29" s="15">
        <v>587</v>
      </c>
      <c r="F29" s="15">
        <v>0.7</v>
      </c>
      <c r="G29" s="16">
        <v>2.5302175664786462E-2</v>
      </c>
      <c r="H29" s="15">
        <v>157</v>
      </c>
      <c r="I29" s="17">
        <v>1.7711522965350522E-2</v>
      </c>
      <c r="J29" s="15"/>
      <c r="K29" s="36">
        <f t="shared" si="0"/>
        <v>0</v>
      </c>
      <c r="L29" s="15">
        <v>15</v>
      </c>
      <c r="M29" s="10">
        <v>49</v>
      </c>
      <c r="N29" s="10"/>
      <c r="O29" s="10"/>
      <c r="P29" s="15" t="s">
        <v>370</v>
      </c>
      <c r="Q29" s="15"/>
      <c r="R29" s="15">
        <v>1</v>
      </c>
      <c r="S29" s="15" t="s">
        <v>370</v>
      </c>
      <c r="T29" s="15">
        <v>180</v>
      </c>
    </row>
    <row r="30" spans="2:20" x14ac:dyDescent="0.3">
      <c r="B30" s="15" t="s">
        <v>240</v>
      </c>
      <c r="C30" s="15" t="s">
        <v>63</v>
      </c>
      <c r="D30" s="15" t="s">
        <v>65</v>
      </c>
      <c r="E30" s="15">
        <v>587</v>
      </c>
      <c r="F30" s="15">
        <v>0.7</v>
      </c>
      <c r="G30" s="16">
        <v>0.46494762288477037</v>
      </c>
      <c r="H30" s="15">
        <v>2885</v>
      </c>
      <c r="I30" s="17">
        <v>0.32546333601933924</v>
      </c>
      <c r="J30" s="15"/>
      <c r="K30" s="36">
        <f t="shared" si="0"/>
        <v>0</v>
      </c>
      <c r="L30" s="15">
        <v>15</v>
      </c>
      <c r="M30" s="10">
        <v>700</v>
      </c>
      <c r="N30" s="10"/>
      <c r="O30" s="10"/>
      <c r="P30" s="15" t="s">
        <v>370</v>
      </c>
      <c r="Q30" s="15"/>
      <c r="R30" s="15">
        <v>1</v>
      </c>
      <c r="S30" s="15" t="s">
        <v>370</v>
      </c>
      <c r="T30" s="15">
        <v>120</v>
      </c>
    </row>
    <row r="31" spans="2:20" x14ac:dyDescent="0.3">
      <c r="B31" s="15" t="s">
        <v>241</v>
      </c>
      <c r="C31" s="15" t="s">
        <v>66</v>
      </c>
      <c r="D31" s="15" t="s">
        <v>67</v>
      </c>
      <c r="E31" s="15">
        <v>587</v>
      </c>
      <c r="F31" s="15"/>
      <c r="G31" s="16"/>
      <c r="H31" s="15"/>
      <c r="I31" s="17"/>
      <c r="J31" s="15">
        <v>10</v>
      </c>
      <c r="K31" s="36">
        <f t="shared" si="0"/>
        <v>9.765625</v>
      </c>
      <c r="L31" s="15">
        <v>15</v>
      </c>
      <c r="M31" s="10">
        <v>67</v>
      </c>
      <c r="N31" s="10"/>
      <c r="O31" s="10"/>
      <c r="P31" s="15" t="s">
        <v>370</v>
      </c>
      <c r="Q31" s="15"/>
      <c r="R31" s="15">
        <v>1</v>
      </c>
      <c r="S31" s="15" t="s">
        <v>370</v>
      </c>
      <c r="T31" s="15">
        <v>164</v>
      </c>
    </row>
    <row r="32" spans="2:20" x14ac:dyDescent="0.3">
      <c r="B32" s="15" t="s">
        <v>242</v>
      </c>
      <c r="C32" s="15" t="s">
        <v>66</v>
      </c>
      <c r="D32" s="15" t="s">
        <v>68</v>
      </c>
      <c r="E32" s="15">
        <v>587</v>
      </c>
      <c r="F32" s="15"/>
      <c r="G32" s="16"/>
      <c r="H32" s="15"/>
      <c r="I32" s="17"/>
      <c r="J32" s="15">
        <v>36</v>
      </c>
      <c r="K32" s="36">
        <f t="shared" si="0"/>
        <v>35.15625</v>
      </c>
      <c r="L32" s="15">
        <v>15</v>
      </c>
      <c r="M32" s="10">
        <v>235</v>
      </c>
      <c r="N32" s="10"/>
      <c r="O32" s="10"/>
      <c r="P32" s="15" t="s">
        <v>370</v>
      </c>
      <c r="Q32" s="15"/>
      <c r="R32" s="15">
        <v>1</v>
      </c>
      <c r="S32" s="15" t="s">
        <v>370</v>
      </c>
      <c r="T32" s="15">
        <v>164</v>
      </c>
    </row>
    <row r="33" spans="2:20" x14ac:dyDescent="0.3">
      <c r="B33" s="15" t="s">
        <v>243</v>
      </c>
      <c r="C33" s="15" t="s">
        <v>66</v>
      </c>
      <c r="D33" s="15" t="s">
        <v>69</v>
      </c>
      <c r="E33" s="15">
        <v>587</v>
      </c>
      <c r="F33" s="15"/>
      <c r="G33" s="16"/>
      <c r="H33" s="15"/>
      <c r="I33" s="17"/>
      <c r="J33" s="15">
        <v>67</v>
      </c>
      <c r="K33" s="36">
        <f t="shared" si="0"/>
        <v>65.4296875</v>
      </c>
      <c r="L33" s="15">
        <v>15</v>
      </c>
      <c r="M33" s="10">
        <v>434</v>
      </c>
      <c r="N33" s="10"/>
      <c r="O33" s="10"/>
      <c r="P33" s="15" t="s">
        <v>370</v>
      </c>
      <c r="Q33" s="15"/>
      <c r="R33" s="15">
        <v>1</v>
      </c>
      <c r="S33" s="15" t="s">
        <v>370</v>
      </c>
      <c r="T33" s="15">
        <v>164</v>
      </c>
    </row>
    <row r="34" spans="2:20" x14ac:dyDescent="0.3">
      <c r="B34" s="15" t="s">
        <v>244</v>
      </c>
      <c r="C34" s="15" t="s">
        <v>70</v>
      </c>
      <c r="D34" s="15" t="s">
        <v>71</v>
      </c>
      <c r="E34" s="15">
        <v>8760</v>
      </c>
      <c r="F34" s="15"/>
      <c r="G34" s="16"/>
      <c r="H34" s="15"/>
      <c r="I34" s="17"/>
      <c r="J34" s="15">
        <v>11</v>
      </c>
      <c r="K34" s="36">
        <f t="shared" si="0"/>
        <v>10.7421875</v>
      </c>
      <c r="L34" s="15">
        <v>6</v>
      </c>
      <c r="M34" s="10">
        <v>4</v>
      </c>
      <c r="N34" s="10"/>
      <c r="O34" s="10"/>
      <c r="P34" s="15" t="s">
        <v>371</v>
      </c>
      <c r="Q34" s="15"/>
      <c r="R34" s="15">
        <v>10</v>
      </c>
      <c r="S34" s="15" t="s">
        <v>372</v>
      </c>
      <c r="T34" s="15">
        <v>3.6</v>
      </c>
    </row>
    <row r="35" spans="2:20" x14ac:dyDescent="0.3">
      <c r="B35" s="15" t="s">
        <v>245</v>
      </c>
      <c r="C35" s="15" t="s">
        <v>70</v>
      </c>
      <c r="D35" s="15" t="s">
        <v>71</v>
      </c>
      <c r="E35" s="15">
        <v>8760</v>
      </c>
      <c r="F35" s="15">
        <v>1</v>
      </c>
      <c r="G35" s="16">
        <v>2.9000000000000001E-2</v>
      </c>
      <c r="H35" s="15">
        <v>257</v>
      </c>
      <c r="I35" s="17">
        <v>2.9000000000000001E-2</v>
      </c>
      <c r="J35" s="15"/>
      <c r="K35" s="36">
        <f t="shared" si="0"/>
        <v>0</v>
      </c>
      <c r="L35" s="15">
        <v>6</v>
      </c>
      <c r="M35" s="10">
        <v>4</v>
      </c>
      <c r="N35" s="10"/>
      <c r="O35" s="10"/>
      <c r="P35" s="15" t="s">
        <v>371</v>
      </c>
      <c r="Q35" s="15"/>
      <c r="R35" s="15">
        <v>10</v>
      </c>
      <c r="S35" s="15" t="s">
        <v>372</v>
      </c>
      <c r="T35" s="15">
        <v>3.6</v>
      </c>
    </row>
    <row r="36" spans="2:20" x14ac:dyDescent="0.3">
      <c r="B36" s="15" t="s">
        <v>246</v>
      </c>
      <c r="C36" s="15" t="s">
        <v>72</v>
      </c>
      <c r="D36" s="15" t="s">
        <v>73</v>
      </c>
      <c r="E36" s="15">
        <v>100</v>
      </c>
      <c r="F36" s="15"/>
      <c r="G36" s="16"/>
      <c r="H36" s="15"/>
      <c r="I36" s="17"/>
      <c r="J36" s="15">
        <v>22</v>
      </c>
      <c r="K36" s="36">
        <f t="shared" si="0"/>
        <v>21.484375</v>
      </c>
      <c r="L36" s="15">
        <v>12</v>
      </c>
      <c r="M36" s="10">
        <v>14.9</v>
      </c>
      <c r="N36" s="10"/>
      <c r="O36" s="10"/>
      <c r="P36" s="15" t="s">
        <v>370</v>
      </c>
      <c r="Q36" s="15"/>
      <c r="R36" s="15">
        <v>1</v>
      </c>
      <c r="S36" s="15" t="s">
        <v>370</v>
      </c>
      <c r="T36" s="15">
        <v>16.7</v>
      </c>
    </row>
    <row r="37" spans="2:20" x14ac:dyDescent="0.3">
      <c r="B37" s="15" t="s">
        <v>247</v>
      </c>
      <c r="C37" s="15" t="s">
        <v>72</v>
      </c>
      <c r="D37" s="15" t="s">
        <v>73</v>
      </c>
      <c r="E37" s="15">
        <v>100</v>
      </c>
      <c r="F37" s="15">
        <v>0.7</v>
      </c>
      <c r="G37" s="16">
        <v>6.8000000000000005E-2</v>
      </c>
      <c r="H37" s="15">
        <v>424</v>
      </c>
      <c r="I37" s="17">
        <v>4.8000000000000001E-2</v>
      </c>
      <c r="J37" s="15"/>
      <c r="K37" s="36">
        <f t="shared" si="0"/>
        <v>0</v>
      </c>
      <c r="L37" s="15">
        <v>12</v>
      </c>
      <c r="M37" s="10">
        <v>14.9</v>
      </c>
      <c r="N37" s="10"/>
      <c r="O37" s="10"/>
      <c r="P37" s="15" t="s">
        <v>370</v>
      </c>
      <c r="Q37" s="15"/>
      <c r="R37" s="15">
        <v>1</v>
      </c>
      <c r="S37" s="15" t="s">
        <v>370</v>
      </c>
      <c r="T37" s="15">
        <v>16.7</v>
      </c>
    </row>
    <row r="38" spans="2:20" x14ac:dyDescent="0.3">
      <c r="B38" s="15" t="s">
        <v>248</v>
      </c>
      <c r="C38" s="15" t="s">
        <v>74</v>
      </c>
      <c r="D38" s="15" t="s">
        <v>75</v>
      </c>
      <c r="E38" s="15">
        <v>31</v>
      </c>
      <c r="F38" s="15"/>
      <c r="G38" s="16"/>
      <c r="H38" s="15"/>
      <c r="I38" s="17"/>
      <c r="J38" s="15">
        <v>7</v>
      </c>
      <c r="K38" s="36">
        <f t="shared" si="0"/>
        <v>6.8359375</v>
      </c>
      <c r="L38" s="15">
        <v>12</v>
      </c>
      <c r="M38" s="10">
        <v>2.8</v>
      </c>
      <c r="N38" s="10"/>
      <c r="O38" s="10"/>
      <c r="P38" s="15" t="s">
        <v>370</v>
      </c>
      <c r="Q38" s="15"/>
      <c r="R38" s="15">
        <v>1</v>
      </c>
      <c r="S38" s="15" t="s">
        <v>370</v>
      </c>
      <c r="T38" s="15">
        <v>6.7</v>
      </c>
    </row>
    <row r="39" spans="2:20" x14ac:dyDescent="0.3">
      <c r="B39" s="15" t="s">
        <v>249</v>
      </c>
      <c r="C39" s="15" t="s">
        <v>74</v>
      </c>
      <c r="D39" s="15" t="s">
        <v>75</v>
      </c>
      <c r="E39" s="15">
        <v>31</v>
      </c>
      <c r="F39" s="15">
        <v>0.7</v>
      </c>
      <c r="G39" s="16">
        <v>2.1999999999999999E-2</v>
      </c>
      <c r="H39" s="15">
        <v>136</v>
      </c>
      <c r="I39" s="17">
        <v>1.6E-2</v>
      </c>
      <c r="J39" s="15"/>
      <c r="K39" s="36">
        <f t="shared" si="0"/>
        <v>0</v>
      </c>
      <c r="L39" s="15">
        <v>12</v>
      </c>
      <c r="M39" s="10">
        <v>2.8</v>
      </c>
      <c r="N39" s="10"/>
      <c r="O39" s="10"/>
      <c r="P39" s="15" t="s">
        <v>370</v>
      </c>
      <c r="Q39" s="15"/>
      <c r="R39" s="15">
        <v>1</v>
      </c>
      <c r="S39" s="15" t="s">
        <v>370</v>
      </c>
      <c r="T39" s="15">
        <v>6.7</v>
      </c>
    </row>
    <row r="40" spans="2:20" x14ac:dyDescent="0.3">
      <c r="B40" s="15" t="s">
        <v>250</v>
      </c>
      <c r="C40" s="15" t="s">
        <v>76</v>
      </c>
      <c r="D40" s="15" t="s">
        <v>77</v>
      </c>
      <c r="E40" s="15">
        <v>587</v>
      </c>
      <c r="F40" s="15"/>
      <c r="G40" s="16"/>
      <c r="H40" s="15"/>
      <c r="I40" s="17"/>
      <c r="J40" s="15">
        <v>28</v>
      </c>
      <c r="K40" s="36">
        <f t="shared" si="0"/>
        <v>27.34375</v>
      </c>
      <c r="L40" s="15">
        <v>3</v>
      </c>
      <c r="M40" s="10">
        <v>40</v>
      </c>
      <c r="N40" s="10"/>
      <c r="O40" s="10"/>
      <c r="P40" s="15" t="s">
        <v>370</v>
      </c>
      <c r="Q40" s="15"/>
      <c r="R40" s="15">
        <v>1</v>
      </c>
      <c r="S40" s="15" t="s">
        <v>370</v>
      </c>
      <c r="T40" s="15">
        <v>16.7</v>
      </c>
    </row>
    <row r="41" spans="2:20" x14ac:dyDescent="0.3">
      <c r="B41" s="15" t="s">
        <v>251</v>
      </c>
      <c r="C41" s="15" t="s">
        <v>76</v>
      </c>
      <c r="D41" s="15" t="s">
        <v>77</v>
      </c>
      <c r="E41" s="15">
        <v>587</v>
      </c>
      <c r="F41" s="15">
        <v>0.7</v>
      </c>
      <c r="G41" s="16">
        <v>8.5000000000000006E-2</v>
      </c>
      <c r="H41" s="15">
        <v>530</v>
      </c>
      <c r="I41" s="17">
        <v>0.06</v>
      </c>
      <c r="J41" s="15"/>
      <c r="K41" s="36">
        <f t="shared" si="0"/>
        <v>0</v>
      </c>
      <c r="L41" s="15">
        <v>3</v>
      </c>
      <c r="M41" s="10">
        <v>40</v>
      </c>
      <c r="N41" s="10"/>
      <c r="O41" s="10"/>
      <c r="P41" s="15" t="s">
        <v>370</v>
      </c>
      <c r="Q41" s="15"/>
      <c r="R41" s="15">
        <v>1</v>
      </c>
      <c r="S41" s="15" t="s">
        <v>370</v>
      </c>
      <c r="T41" s="15">
        <v>16.7</v>
      </c>
    </row>
    <row r="42" spans="2:20" x14ac:dyDescent="0.3">
      <c r="B42" s="15" t="s">
        <v>252</v>
      </c>
      <c r="C42" s="15" t="s">
        <v>78</v>
      </c>
      <c r="D42" s="15" t="s">
        <v>79</v>
      </c>
      <c r="E42" s="15">
        <v>587</v>
      </c>
      <c r="F42" s="15">
        <v>0.7</v>
      </c>
      <c r="G42" s="16">
        <v>0.13600000000000001</v>
      </c>
      <c r="H42" s="15">
        <v>842</v>
      </c>
      <c r="I42" s="17">
        <v>9.5000000000000001E-2</v>
      </c>
      <c r="J42" s="15"/>
      <c r="K42" s="36">
        <f t="shared" si="0"/>
        <v>0</v>
      </c>
      <c r="L42" s="15">
        <v>10</v>
      </c>
      <c r="M42" s="10">
        <v>565</v>
      </c>
      <c r="N42" s="10"/>
      <c r="O42" s="10"/>
      <c r="P42" s="15" t="s">
        <v>370</v>
      </c>
      <c r="Q42" s="15"/>
      <c r="R42" s="15">
        <v>1</v>
      </c>
      <c r="S42" s="15" t="s">
        <v>370</v>
      </c>
      <c r="T42" s="15">
        <v>280</v>
      </c>
    </row>
    <row r="43" spans="2:20" x14ac:dyDescent="0.3">
      <c r="B43" s="15" t="s">
        <v>253</v>
      </c>
      <c r="C43" s="15" t="s">
        <v>78</v>
      </c>
      <c r="D43" s="15" t="s">
        <v>79</v>
      </c>
      <c r="E43" s="15">
        <v>587</v>
      </c>
      <c r="F43" s="15"/>
      <c r="G43" s="16"/>
      <c r="H43" s="15"/>
      <c r="I43" s="17"/>
      <c r="J43" s="15">
        <v>44</v>
      </c>
      <c r="K43" s="36">
        <f t="shared" si="0"/>
        <v>42.96875</v>
      </c>
      <c r="L43" s="15">
        <v>10</v>
      </c>
      <c r="M43" s="10">
        <v>565</v>
      </c>
      <c r="N43" s="10"/>
      <c r="O43" s="10"/>
      <c r="P43" s="15" t="s">
        <v>370</v>
      </c>
      <c r="Q43" s="15"/>
      <c r="R43" s="15">
        <v>1</v>
      </c>
      <c r="S43" s="15" t="s">
        <v>370</v>
      </c>
      <c r="T43" s="15">
        <v>280</v>
      </c>
    </row>
    <row r="44" spans="2:20" x14ac:dyDescent="0.3">
      <c r="B44" s="15" t="s">
        <v>254</v>
      </c>
      <c r="C44" s="15" t="s">
        <v>80</v>
      </c>
      <c r="D44" s="15" t="s">
        <v>81</v>
      </c>
      <c r="E44" s="15">
        <v>1074</v>
      </c>
      <c r="F44" s="15">
        <v>1</v>
      </c>
      <c r="G44" s="16">
        <v>9.4E-2</v>
      </c>
      <c r="H44" s="15">
        <v>101</v>
      </c>
      <c r="I44" s="17">
        <v>9.4E-2</v>
      </c>
      <c r="J44" s="15"/>
      <c r="K44" s="36">
        <f t="shared" si="0"/>
        <v>0</v>
      </c>
      <c r="L44" s="15">
        <v>12</v>
      </c>
      <c r="M44" s="10">
        <v>86</v>
      </c>
      <c r="N44" s="10"/>
      <c r="O44" s="10"/>
      <c r="P44" s="15" t="s">
        <v>370</v>
      </c>
      <c r="Q44" s="15"/>
      <c r="R44" s="15">
        <v>6000</v>
      </c>
      <c r="S44" s="15" t="s">
        <v>373</v>
      </c>
      <c r="T44" s="15">
        <v>0</v>
      </c>
    </row>
    <row r="45" spans="2:20" x14ac:dyDescent="0.3">
      <c r="B45" s="15" t="s">
        <v>255</v>
      </c>
      <c r="C45" s="15" t="s">
        <v>82</v>
      </c>
      <c r="D45" s="15" t="s">
        <v>83</v>
      </c>
      <c r="E45" s="15">
        <v>920</v>
      </c>
      <c r="F45" s="15">
        <v>0.5</v>
      </c>
      <c r="G45" s="16">
        <v>0.71499999999999997</v>
      </c>
      <c r="H45" s="15">
        <v>694</v>
      </c>
      <c r="I45" s="17">
        <v>0.35699999999999998</v>
      </c>
      <c r="J45" s="15"/>
      <c r="K45" s="36">
        <f t="shared" si="0"/>
        <v>0</v>
      </c>
      <c r="L45" s="15">
        <v>10</v>
      </c>
      <c r="M45" s="10">
        <v>85</v>
      </c>
      <c r="N45" s="10"/>
      <c r="O45" s="10"/>
      <c r="P45" s="15" t="s">
        <v>370</v>
      </c>
      <c r="Q45" s="15" t="s">
        <v>374</v>
      </c>
      <c r="R45" s="15">
        <v>1.5</v>
      </c>
      <c r="S45" s="15" t="s">
        <v>375</v>
      </c>
      <c r="T45" s="15">
        <v>357.11759999999998</v>
      </c>
    </row>
    <row r="46" spans="2:20" x14ac:dyDescent="0.3">
      <c r="B46" s="15" t="s">
        <v>256</v>
      </c>
      <c r="C46" s="15" t="s">
        <v>82</v>
      </c>
      <c r="D46" s="15" t="s">
        <v>84</v>
      </c>
      <c r="E46" s="15">
        <v>920</v>
      </c>
      <c r="F46" s="15">
        <v>0.5</v>
      </c>
      <c r="G46" s="16">
        <v>1.5920000000000001</v>
      </c>
      <c r="H46" s="15">
        <v>1081</v>
      </c>
      <c r="I46" s="17">
        <v>0.79600000000000004</v>
      </c>
      <c r="J46" s="15"/>
      <c r="K46" s="36">
        <f t="shared" si="0"/>
        <v>0</v>
      </c>
      <c r="L46" s="15">
        <v>10</v>
      </c>
      <c r="M46" s="10">
        <v>579</v>
      </c>
      <c r="N46" s="10"/>
      <c r="O46" s="10"/>
      <c r="P46" s="15" t="s">
        <v>370</v>
      </c>
      <c r="Q46" s="15" t="s">
        <v>374</v>
      </c>
      <c r="R46" s="15">
        <v>1.5</v>
      </c>
      <c r="S46" s="15" t="s">
        <v>375</v>
      </c>
      <c r="T46" s="15">
        <v>357.11759999999998</v>
      </c>
    </row>
    <row r="47" spans="2:20" x14ac:dyDescent="0.3">
      <c r="B47" s="15" t="s">
        <v>257</v>
      </c>
      <c r="C47" s="15" t="s">
        <v>85</v>
      </c>
      <c r="D47" s="15" t="s">
        <v>86</v>
      </c>
      <c r="E47" s="15">
        <v>2920</v>
      </c>
      <c r="F47" s="15">
        <v>0.78</v>
      </c>
      <c r="G47" s="16">
        <v>0.52800000000000002</v>
      </c>
      <c r="H47" s="15">
        <v>1543</v>
      </c>
      <c r="I47" s="17">
        <f>G47*F47</f>
        <v>0.41184000000000004</v>
      </c>
      <c r="J47" s="15"/>
      <c r="K47" s="36">
        <f t="shared" si="0"/>
        <v>0</v>
      </c>
      <c r="L47" s="15">
        <v>15</v>
      </c>
      <c r="M47" s="10">
        <v>425</v>
      </c>
      <c r="N47" s="10"/>
      <c r="O47" s="10"/>
      <c r="P47" s="15" t="s">
        <v>376</v>
      </c>
      <c r="Q47" s="15" t="s">
        <v>374</v>
      </c>
      <c r="R47" s="15">
        <v>1.5</v>
      </c>
      <c r="S47" s="15" t="s">
        <v>375</v>
      </c>
      <c r="T47" s="15">
        <v>100</v>
      </c>
    </row>
    <row r="48" spans="2:20" x14ac:dyDescent="0.3">
      <c r="B48" s="15" t="s">
        <v>258</v>
      </c>
      <c r="C48" s="15" t="s">
        <v>87</v>
      </c>
      <c r="D48" s="15" t="s">
        <v>88</v>
      </c>
      <c r="E48" s="15">
        <v>293</v>
      </c>
      <c r="F48" s="15">
        <v>0.1</v>
      </c>
      <c r="G48" s="16">
        <v>2.5597269624573378E-2</v>
      </c>
      <c r="H48" s="15">
        <v>7.5</v>
      </c>
      <c r="I48" s="17">
        <v>2.5597269624573378E-3</v>
      </c>
      <c r="J48" s="15">
        <v>11</v>
      </c>
      <c r="K48" s="36">
        <f t="shared" si="0"/>
        <v>10.7421875</v>
      </c>
      <c r="L48" s="15">
        <v>14</v>
      </c>
      <c r="M48" s="10">
        <v>347</v>
      </c>
      <c r="N48" s="10"/>
      <c r="O48" s="10"/>
      <c r="P48" s="15" t="s">
        <v>370</v>
      </c>
      <c r="Q48" s="15"/>
      <c r="R48" s="15">
        <v>1</v>
      </c>
      <c r="S48" s="15" t="s">
        <v>370</v>
      </c>
      <c r="T48" s="15">
        <v>116</v>
      </c>
    </row>
    <row r="49" spans="2:20" x14ac:dyDescent="0.3">
      <c r="B49" s="15" t="s">
        <v>259</v>
      </c>
      <c r="C49" s="15" t="s">
        <v>87</v>
      </c>
      <c r="D49" s="15" t="s">
        <v>88</v>
      </c>
      <c r="E49" s="15">
        <v>293</v>
      </c>
      <c r="F49" s="15">
        <v>0.1</v>
      </c>
      <c r="G49" s="16">
        <v>0.31296928327645052</v>
      </c>
      <c r="H49" s="15">
        <v>91.7</v>
      </c>
      <c r="I49" s="17">
        <v>3.1296928327645052E-2</v>
      </c>
      <c r="J49" s="15">
        <v>7.5</v>
      </c>
      <c r="K49" s="36">
        <f t="shared" si="0"/>
        <v>7.32421875</v>
      </c>
      <c r="L49" s="15">
        <v>14</v>
      </c>
      <c r="M49" s="10">
        <v>347</v>
      </c>
      <c r="N49" s="10"/>
      <c r="O49" s="10"/>
      <c r="P49" s="15" t="s">
        <v>370</v>
      </c>
      <c r="Q49" s="15"/>
      <c r="R49" s="15">
        <v>1</v>
      </c>
      <c r="S49" s="15" t="s">
        <v>370</v>
      </c>
      <c r="T49" s="15">
        <v>116</v>
      </c>
    </row>
    <row r="50" spans="2:20" x14ac:dyDescent="0.3">
      <c r="B50" s="15" t="s">
        <v>260</v>
      </c>
      <c r="C50" s="15" t="s">
        <v>87</v>
      </c>
      <c r="D50" s="15" t="s">
        <v>88</v>
      </c>
      <c r="E50" s="15">
        <v>293</v>
      </c>
      <c r="F50" s="15">
        <v>0.1</v>
      </c>
      <c r="G50" s="16">
        <v>0.60409556313993173</v>
      </c>
      <c r="H50" s="15">
        <v>177</v>
      </c>
      <c r="I50" s="17">
        <v>6.0409556313993175E-2</v>
      </c>
      <c r="J50" s="15">
        <v>3.5</v>
      </c>
      <c r="K50" s="36">
        <f t="shared" si="0"/>
        <v>3.41796875</v>
      </c>
      <c r="L50" s="15">
        <v>14</v>
      </c>
      <c r="M50" s="10">
        <v>347</v>
      </c>
      <c r="N50" s="10"/>
      <c r="O50" s="10"/>
      <c r="P50" s="15" t="s">
        <v>370</v>
      </c>
      <c r="Q50" s="15"/>
      <c r="R50" s="15">
        <v>1</v>
      </c>
      <c r="S50" s="15" t="s">
        <v>370</v>
      </c>
      <c r="T50" s="15">
        <v>116</v>
      </c>
    </row>
    <row r="51" spans="2:20" x14ac:dyDescent="0.3">
      <c r="B51" s="15" t="s">
        <v>261</v>
      </c>
      <c r="C51" s="15" t="s">
        <v>87</v>
      </c>
      <c r="D51" s="15" t="s">
        <v>88</v>
      </c>
      <c r="E51" s="15">
        <v>293</v>
      </c>
      <c r="F51" s="15">
        <v>0.1</v>
      </c>
      <c r="G51" s="16">
        <v>0.89078498293515362</v>
      </c>
      <c r="H51" s="15">
        <v>261</v>
      </c>
      <c r="I51" s="17">
        <v>8.9078498293515371E-2</v>
      </c>
      <c r="J51" s="15"/>
      <c r="K51" s="36">
        <f t="shared" si="0"/>
        <v>0</v>
      </c>
      <c r="L51" s="15">
        <v>14</v>
      </c>
      <c r="M51" s="10">
        <v>347</v>
      </c>
      <c r="N51" s="10"/>
      <c r="O51" s="10"/>
      <c r="P51" s="15" t="s">
        <v>370</v>
      </c>
      <c r="Q51" s="15"/>
      <c r="R51" s="15">
        <v>1</v>
      </c>
      <c r="S51" s="15" t="s">
        <v>370</v>
      </c>
      <c r="T51" s="15">
        <v>116</v>
      </c>
    </row>
    <row r="52" spans="2:20" x14ac:dyDescent="0.3">
      <c r="B52" s="15" t="s">
        <v>262</v>
      </c>
      <c r="C52" s="15" t="s">
        <v>87</v>
      </c>
      <c r="D52" s="15" t="s">
        <v>89</v>
      </c>
      <c r="E52" s="15">
        <v>293</v>
      </c>
      <c r="F52" s="15">
        <v>0.1</v>
      </c>
      <c r="G52" s="16">
        <v>2.5597269624573378E-2</v>
      </c>
      <c r="H52" s="15">
        <v>7.5</v>
      </c>
      <c r="I52" s="17">
        <v>2.5597269624573378E-3</v>
      </c>
      <c r="J52" s="15">
        <v>13.7</v>
      </c>
      <c r="K52" s="36">
        <f t="shared" si="0"/>
        <v>13.378906249999998</v>
      </c>
      <c r="L52" s="15">
        <v>14</v>
      </c>
      <c r="M52" s="10">
        <v>475</v>
      </c>
      <c r="N52" s="10"/>
      <c r="O52" s="10"/>
      <c r="P52" s="15" t="s">
        <v>370</v>
      </c>
      <c r="Q52" s="15"/>
      <c r="R52" s="15">
        <v>1</v>
      </c>
      <c r="S52" s="15" t="s">
        <v>370</v>
      </c>
      <c r="T52" s="15">
        <v>116</v>
      </c>
    </row>
    <row r="53" spans="2:20" x14ac:dyDescent="0.3">
      <c r="B53" s="15" t="s">
        <v>263</v>
      </c>
      <c r="C53" s="15" t="s">
        <v>87</v>
      </c>
      <c r="D53" s="15" t="s">
        <v>89</v>
      </c>
      <c r="E53" s="15">
        <v>293</v>
      </c>
      <c r="F53" s="15">
        <v>0.1</v>
      </c>
      <c r="G53" s="16">
        <v>0.41979522184300339</v>
      </c>
      <c r="H53" s="15">
        <v>123</v>
      </c>
      <c r="I53" s="17">
        <v>4.1979522184300344E-2</v>
      </c>
      <c r="J53" s="15">
        <v>9</v>
      </c>
      <c r="K53" s="36">
        <f t="shared" si="0"/>
        <v>8.7890625</v>
      </c>
      <c r="L53" s="15">
        <v>14</v>
      </c>
      <c r="M53" s="10">
        <v>475</v>
      </c>
      <c r="N53" s="10"/>
      <c r="O53" s="10"/>
      <c r="P53" s="15" t="s">
        <v>370</v>
      </c>
      <c r="Q53" s="15"/>
      <c r="R53" s="15">
        <v>1</v>
      </c>
      <c r="S53" s="15" t="s">
        <v>370</v>
      </c>
      <c r="T53" s="15">
        <v>116</v>
      </c>
    </row>
    <row r="54" spans="2:20" x14ac:dyDescent="0.3">
      <c r="B54" s="15" t="s">
        <v>264</v>
      </c>
      <c r="C54" s="15" t="s">
        <v>87</v>
      </c>
      <c r="D54" s="15" t="s">
        <v>89</v>
      </c>
      <c r="E54" s="15">
        <v>293</v>
      </c>
      <c r="F54" s="15">
        <v>0.1</v>
      </c>
      <c r="G54" s="16">
        <v>0.70648464163822522</v>
      </c>
      <c r="H54" s="15">
        <v>207</v>
      </c>
      <c r="I54" s="17">
        <v>7.0648464163822519E-2</v>
      </c>
      <c r="J54" s="15">
        <v>4.7</v>
      </c>
      <c r="K54" s="36">
        <f t="shared" si="0"/>
        <v>4.58984375</v>
      </c>
      <c r="L54" s="15">
        <v>14</v>
      </c>
      <c r="M54" s="10">
        <v>475</v>
      </c>
      <c r="N54" s="10"/>
      <c r="O54" s="10"/>
      <c r="P54" s="15" t="s">
        <v>370</v>
      </c>
      <c r="Q54" s="15"/>
      <c r="R54" s="15">
        <v>1</v>
      </c>
      <c r="S54" s="15" t="s">
        <v>370</v>
      </c>
      <c r="T54" s="15">
        <v>116</v>
      </c>
    </row>
    <row r="55" spans="2:20" x14ac:dyDescent="0.3">
      <c r="B55" s="15" t="s">
        <v>265</v>
      </c>
      <c r="C55" s="15" t="s">
        <v>87</v>
      </c>
      <c r="D55" s="15" t="s">
        <v>89</v>
      </c>
      <c r="E55" s="15">
        <v>293</v>
      </c>
      <c r="F55" s="15">
        <v>0.1</v>
      </c>
      <c r="G55" s="16">
        <v>1.098976109215017</v>
      </c>
      <c r="H55" s="15">
        <v>322</v>
      </c>
      <c r="I55" s="17">
        <v>0.1098976109215017</v>
      </c>
      <c r="J55" s="15"/>
      <c r="K55" s="36">
        <f t="shared" si="0"/>
        <v>0</v>
      </c>
      <c r="L55" s="15">
        <v>14</v>
      </c>
      <c r="M55" s="10">
        <v>475</v>
      </c>
      <c r="N55" s="10"/>
      <c r="O55" s="10"/>
      <c r="P55" s="15" t="s">
        <v>370</v>
      </c>
      <c r="Q55" s="15"/>
      <c r="R55" s="15">
        <v>1</v>
      </c>
      <c r="S55" s="15" t="s">
        <v>370</v>
      </c>
      <c r="T55" s="15">
        <v>116</v>
      </c>
    </row>
    <row r="56" spans="2:20" x14ac:dyDescent="0.3">
      <c r="B56" s="15" t="s">
        <v>266</v>
      </c>
      <c r="C56" s="15" t="s">
        <v>87</v>
      </c>
      <c r="D56" s="15" t="s">
        <v>90</v>
      </c>
      <c r="E56" s="15">
        <v>293</v>
      </c>
      <c r="F56" s="15">
        <v>0.1</v>
      </c>
      <c r="G56" s="16">
        <v>2.5597269624573378E-2</v>
      </c>
      <c r="H56" s="15">
        <v>7.5</v>
      </c>
      <c r="I56" s="17">
        <v>2.5597269624573378E-3</v>
      </c>
      <c r="J56" s="15">
        <v>15.7</v>
      </c>
      <c r="K56" s="36">
        <f t="shared" si="0"/>
        <v>15.332031249999998</v>
      </c>
      <c r="L56" s="15">
        <v>14</v>
      </c>
      <c r="M56" s="10">
        <v>604</v>
      </c>
      <c r="N56" s="10"/>
      <c r="O56" s="10"/>
      <c r="P56" s="15" t="s">
        <v>370</v>
      </c>
      <c r="Q56" s="15"/>
      <c r="R56" s="15">
        <v>1</v>
      </c>
      <c r="S56" s="15" t="s">
        <v>370</v>
      </c>
      <c r="T56" s="15">
        <v>116</v>
      </c>
    </row>
    <row r="57" spans="2:20" x14ac:dyDescent="0.3">
      <c r="B57" s="15" t="s">
        <v>267</v>
      </c>
      <c r="C57" s="15" t="s">
        <v>87</v>
      </c>
      <c r="D57" s="15" t="s">
        <v>90</v>
      </c>
      <c r="E57" s="15">
        <v>293</v>
      </c>
      <c r="F57" s="15">
        <v>0.1</v>
      </c>
      <c r="G57" s="16">
        <v>0.52559726962457343</v>
      </c>
      <c r="H57" s="15">
        <v>154</v>
      </c>
      <c r="I57" s="17">
        <v>5.2559726962457344E-2</v>
      </c>
      <c r="J57" s="15">
        <v>9.8000000000000007</v>
      </c>
      <c r="K57" s="36">
        <f t="shared" si="0"/>
        <v>9.5703125</v>
      </c>
      <c r="L57" s="15">
        <v>14</v>
      </c>
      <c r="M57" s="10">
        <v>604</v>
      </c>
      <c r="N57" s="10"/>
      <c r="O57" s="10"/>
      <c r="P57" s="15" t="s">
        <v>370</v>
      </c>
      <c r="Q57" s="15"/>
      <c r="R57" s="15">
        <v>1</v>
      </c>
      <c r="S57" s="15" t="s">
        <v>370</v>
      </c>
      <c r="T57" s="15">
        <v>116</v>
      </c>
    </row>
    <row r="58" spans="2:20" x14ac:dyDescent="0.3">
      <c r="B58" s="15" t="s">
        <v>268</v>
      </c>
      <c r="C58" s="15" t="s">
        <v>87</v>
      </c>
      <c r="D58" s="15" t="s">
        <v>90</v>
      </c>
      <c r="E58" s="15">
        <v>293</v>
      </c>
      <c r="F58" s="15">
        <v>0.1</v>
      </c>
      <c r="G58" s="16">
        <v>0.76791808873720135</v>
      </c>
      <c r="H58" s="15">
        <v>225</v>
      </c>
      <c r="I58" s="17">
        <v>7.6791808873720141E-2</v>
      </c>
      <c r="J58" s="15">
        <v>5.9</v>
      </c>
      <c r="K58" s="36">
        <f t="shared" si="0"/>
        <v>5.76171875</v>
      </c>
      <c r="L58" s="15">
        <v>14</v>
      </c>
      <c r="M58" s="10">
        <v>604</v>
      </c>
      <c r="N58" s="10"/>
      <c r="O58" s="10"/>
      <c r="P58" s="15" t="s">
        <v>370</v>
      </c>
      <c r="Q58" s="15"/>
      <c r="R58" s="15">
        <v>1</v>
      </c>
      <c r="S58" s="15" t="s">
        <v>370</v>
      </c>
      <c r="T58" s="15">
        <v>116</v>
      </c>
    </row>
    <row r="59" spans="2:20" x14ac:dyDescent="0.3">
      <c r="B59" s="15" t="s">
        <v>269</v>
      </c>
      <c r="C59" s="15" t="s">
        <v>87</v>
      </c>
      <c r="D59" s="15" t="s">
        <v>90</v>
      </c>
      <c r="E59" s="15">
        <v>293</v>
      </c>
      <c r="F59" s="15">
        <v>0.1</v>
      </c>
      <c r="G59" s="16">
        <v>1.2696245733788396</v>
      </c>
      <c r="H59" s="15">
        <v>372</v>
      </c>
      <c r="I59" s="17">
        <v>0.12696245733788397</v>
      </c>
      <c r="J59" s="15"/>
      <c r="K59" s="36">
        <f t="shared" si="0"/>
        <v>0</v>
      </c>
      <c r="L59" s="15">
        <v>14</v>
      </c>
      <c r="M59" s="10">
        <v>604</v>
      </c>
      <c r="N59" s="10"/>
      <c r="O59" s="10"/>
      <c r="P59" s="15" t="s">
        <v>370</v>
      </c>
      <c r="Q59" s="15"/>
      <c r="R59" s="15">
        <v>1</v>
      </c>
      <c r="S59" s="15" t="s">
        <v>370</v>
      </c>
      <c r="T59" s="15">
        <v>116</v>
      </c>
    </row>
    <row r="60" spans="2:20" x14ac:dyDescent="0.3">
      <c r="B60" s="15" t="s">
        <v>270</v>
      </c>
      <c r="C60" s="15" t="s">
        <v>91</v>
      </c>
      <c r="D60" s="15" t="s">
        <v>92</v>
      </c>
      <c r="E60" s="15">
        <v>7118</v>
      </c>
      <c r="F60" s="15">
        <v>0.5</v>
      </c>
      <c r="G60" s="16">
        <f>H60/E60</f>
        <v>2.5849957853329587E-2</v>
      </c>
      <c r="H60" s="15">
        <v>184</v>
      </c>
      <c r="I60" s="17">
        <f>G60*F60</f>
        <v>1.2924978926664794E-2</v>
      </c>
      <c r="J60" s="15"/>
      <c r="K60" s="36">
        <f t="shared" si="0"/>
        <v>0</v>
      </c>
      <c r="L60" s="15">
        <v>5</v>
      </c>
      <c r="M60" s="10">
        <v>40</v>
      </c>
      <c r="N60" s="10"/>
      <c r="O60" s="10"/>
      <c r="P60" s="15" t="s">
        <v>370</v>
      </c>
      <c r="Q60" s="15" t="s">
        <v>377</v>
      </c>
      <c r="R60" s="15">
        <v>1</v>
      </c>
      <c r="S60" s="15" t="s">
        <v>370</v>
      </c>
      <c r="T60" s="15">
        <v>0</v>
      </c>
    </row>
    <row r="61" spans="2:20" x14ac:dyDescent="0.3">
      <c r="B61" s="15" t="s">
        <v>271</v>
      </c>
      <c r="C61" s="15" t="s">
        <v>93</v>
      </c>
      <c r="D61" s="15" t="s">
        <v>94</v>
      </c>
      <c r="E61" s="15">
        <v>5700</v>
      </c>
      <c r="F61" s="15">
        <v>1</v>
      </c>
      <c r="G61" s="16">
        <v>1.4999999999999999E-2</v>
      </c>
      <c r="H61" s="15">
        <v>85</v>
      </c>
      <c r="I61" s="17">
        <v>1.4999999999999999E-2</v>
      </c>
      <c r="J61" s="15"/>
      <c r="K61" s="36">
        <f t="shared" si="0"/>
        <v>0</v>
      </c>
      <c r="L61" s="15">
        <v>12</v>
      </c>
      <c r="M61" s="10">
        <f t="shared" ref="M61:M67" si="5">(170-15)/2+15</f>
        <v>92.5</v>
      </c>
      <c r="N61" s="10"/>
      <c r="O61" s="10"/>
      <c r="P61" s="15" t="s">
        <v>370</v>
      </c>
      <c r="Q61" s="15"/>
      <c r="R61" s="15">
        <v>1</v>
      </c>
      <c r="S61" s="15" t="s">
        <v>370</v>
      </c>
      <c r="T61" s="15">
        <v>0</v>
      </c>
    </row>
    <row r="62" spans="2:20" x14ac:dyDescent="0.3">
      <c r="B62" s="15" t="s">
        <v>272</v>
      </c>
      <c r="C62" s="15" t="s">
        <v>93</v>
      </c>
      <c r="D62" s="15" t="s">
        <v>94</v>
      </c>
      <c r="E62" s="15">
        <v>5700</v>
      </c>
      <c r="F62" s="15">
        <v>1</v>
      </c>
      <c r="G62" s="16">
        <v>1.4999999999999999E-2</v>
      </c>
      <c r="H62" s="15">
        <v>86</v>
      </c>
      <c r="I62" s="17">
        <v>1.4999999999999999E-2</v>
      </c>
      <c r="J62" s="15"/>
      <c r="K62" s="36">
        <f t="shared" si="0"/>
        <v>0</v>
      </c>
      <c r="L62" s="15">
        <v>12</v>
      </c>
      <c r="M62" s="10">
        <f t="shared" si="5"/>
        <v>92.5</v>
      </c>
      <c r="N62" s="10"/>
      <c r="O62" s="10"/>
      <c r="P62" s="15" t="s">
        <v>370</v>
      </c>
      <c r="Q62" s="15"/>
      <c r="R62" s="15">
        <v>1</v>
      </c>
      <c r="S62" s="15" t="s">
        <v>370</v>
      </c>
      <c r="T62" s="15">
        <v>0</v>
      </c>
    </row>
    <row r="63" spans="2:20" x14ac:dyDescent="0.3">
      <c r="B63" s="15" t="s">
        <v>273</v>
      </c>
      <c r="C63" s="15" t="s">
        <v>93</v>
      </c>
      <c r="D63" s="15" t="s">
        <v>94</v>
      </c>
      <c r="E63" s="15">
        <v>5700</v>
      </c>
      <c r="F63" s="15">
        <v>1</v>
      </c>
      <c r="G63" s="16">
        <v>1.9E-2</v>
      </c>
      <c r="H63" s="15">
        <v>109</v>
      </c>
      <c r="I63" s="17">
        <v>1.9E-2</v>
      </c>
      <c r="J63" s="15"/>
      <c r="K63" s="36">
        <f t="shared" si="0"/>
        <v>0</v>
      </c>
      <c r="L63" s="15">
        <v>12</v>
      </c>
      <c r="M63" s="10">
        <f t="shared" si="5"/>
        <v>92.5</v>
      </c>
      <c r="N63" s="10"/>
      <c r="O63" s="10"/>
      <c r="P63" s="15" t="s">
        <v>370</v>
      </c>
      <c r="Q63" s="15"/>
      <c r="R63" s="15">
        <v>1</v>
      </c>
      <c r="S63" s="15" t="s">
        <v>370</v>
      </c>
      <c r="T63" s="15">
        <v>0</v>
      </c>
    </row>
    <row r="64" spans="2:20" x14ac:dyDescent="0.3">
      <c r="B64" s="15" t="s">
        <v>274</v>
      </c>
      <c r="C64" s="15" t="s">
        <v>93</v>
      </c>
      <c r="D64" s="15" t="s">
        <v>94</v>
      </c>
      <c r="E64" s="15">
        <v>5700</v>
      </c>
      <c r="F64" s="15">
        <v>1</v>
      </c>
      <c r="G64" s="16">
        <v>1.2999999999999999E-2</v>
      </c>
      <c r="H64" s="15">
        <v>79</v>
      </c>
      <c r="I64" s="17">
        <v>1.2999999999999999E-2</v>
      </c>
      <c r="J64" s="15"/>
      <c r="K64" s="36">
        <f t="shared" si="0"/>
        <v>0</v>
      </c>
      <c r="L64" s="15">
        <v>12</v>
      </c>
      <c r="M64" s="10">
        <f t="shared" si="5"/>
        <v>92.5</v>
      </c>
      <c r="N64" s="10"/>
      <c r="O64" s="10"/>
      <c r="P64" s="15" t="s">
        <v>370</v>
      </c>
      <c r="Q64" s="15"/>
      <c r="R64" s="15">
        <v>1</v>
      </c>
      <c r="S64" s="15" t="s">
        <v>370</v>
      </c>
      <c r="T64" s="15">
        <v>0</v>
      </c>
    </row>
    <row r="65" spans="2:20" x14ac:dyDescent="0.3">
      <c r="B65" s="15" t="s">
        <v>275</v>
      </c>
      <c r="C65" s="15" t="s">
        <v>95</v>
      </c>
      <c r="D65" s="15" t="s">
        <v>96</v>
      </c>
      <c r="E65" s="15">
        <v>5700</v>
      </c>
      <c r="F65" s="15">
        <v>1</v>
      </c>
      <c r="G65" s="16">
        <v>1.6E-2</v>
      </c>
      <c r="H65" s="15">
        <v>96</v>
      </c>
      <c r="I65" s="17">
        <v>1.6E-2</v>
      </c>
      <c r="J65" s="15"/>
      <c r="K65" s="36">
        <f t="shared" si="0"/>
        <v>0</v>
      </c>
      <c r="L65" s="15">
        <v>12</v>
      </c>
      <c r="M65" s="10">
        <f t="shared" si="5"/>
        <v>92.5</v>
      </c>
      <c r="N65" s="10"/>
      <c r="O65" s="10"/>
      <c r="P65" s="15" t="s">
        <v>370</v>
      </c>
      <c r="Q65" s="15"/>
      <c r="R65" s="15">
        <v>1</v>
      </c>
      <c r="S65" s="15" t="s">
        <v>370</v>
      </c>
      <c r="T65" s="15">
        <v>0</v>
      </c>
    </row>
    <row r="66" spans="2:20" x14ac:dyDescent="0.3">
      <c r="B66" s="15" t="s">
        <v>276</v>
      </c>
      <c r="C66" s="15" t="s">
        <v>95</v>
      </c>
      <c r="D66" s="15" t="s">
        <v>96</v>
      </c>
      <c r="E66" s="15">
        <v>5700</v>
      </c>
      <c r="F66" s="15">
        <v>1</v>
      </c>
      <c r="G66" s="16">
        <v>8.0000000000000002E-3</v>
      </c>
      <c r="H66" s="15">
        <v>46</v>
      </c>
      <c r="I66" s="17">
        <v>8.0000000000000002E-3</v>
      </c>
      <c r="J66" s="15"/>
      <c r="K66" s="36">
        <f t="shared" si="0"/>
        <v>0</v>
      </c>
      <c r="L66" s="15">
        <v>12</v>
      </c>
      <c r="M66" s="10">
        <f t="shared" si="5"/>
        <v>92.5</v>
      </c>
      <c r="N66" s="10"/>
      <c r="O66" s="10"/>
      <c r="P66" s="15" t="s">
        <v>370</v>
      </c>
      <c r="Q66" s="15"/>
      <c r="R66" s="15">
        <v>1</v>
      </c>
      <c r="S66" s="15" t="s">
        <v>370</v>
      </c>
      <c r="T66" s="15">
        <v>0</v>
      </c>
    </row>
    <row r="67" spans="2:20" x14ac:dyDescent="0.3">
      <c r="B67" s="15" t="s">
        <v>277</v>
      </c>
      <c r="C67" s="15" t="s">
        <v>95</v>
      </c>
      <c r="D67" s="15" t="s">
        <v>96</v>
      </c>
      <c r="E67" s="15">
        <v>5700</v>
      </c>
      <c r="F67" s="15">
        <v>1</v>
      </c>
      <c r="G67" s="16">
        <v>1.4E-2</v>
      </c>
      <c r="H67" s="15">
        <v>81</v>
      </c>
      <c r="I67" s="17">
        <v>1.4E-2</v>
      </c>
      <c r="J67" s="15"/>
      <c r="K67" s="36">
        <f t="shared" si="0"/>
        <v>0</v>
      </c>
      <c r="L67" s="15">
        <v>12</v>
      </c>
      <c r="M67" s="10">
        <f t="shared" si="5"/>
        <v>92.5</v>
      </c>
      <c r="N67" s="10"/>
      <c r="O67" s="10"/>
      <c r="P67" s="15" t="s">
        <v>370</v>
      </c>
      <c r="Q67" s="15"/>
      <c r="R67" s="15">
        <v>1</v>
      </c>
      <c r="S67" s="15" t="s">
        <v>370</v>
      </c>
      <c r="T67" s="15">
        <v>0</v>
      </c>
    </row>
    <row r="68" spans="2:20" x14ac:dyDescent="0.3">
      <c r="B68" s="15" t="s">
        <v>278</v>
      </c>
      <c r="C68" s="15" t="s">
        <v>97</v>
      </c>
      <c r="D68" s="15" t="s">
        <v>98</v>
      </c>
      <c r="E68" s="15">
        <v>8760</v>
      </c>
      <c r="F68" s="15">
        <v>1</v>
      </c>
      <c r="G68" s="16">
        <v>0.191</v>
      </c>
      <c r="H68" s="15">
        <v>1672</v>
      </c>
      <c r="I68" s="17">
        <v>0.191</v>
      </c>
      <c r="J68" s="15"/>
      <c r="K68" s="36">
        <f t="shared" ref="K68:K106" si="6">J68/1.024</f>
        <v>0</v>
      </c>
      <c r="L68" s="15">
        <v>8</v>
      </c>
      <c r="M68" s="10">
        <v>93</v>
      </c>
      <c r="N68" s="10"/>
      <c r="O68" s="10"/>
      <c r="P68" s="15" t="s">
        <v>370</v>
      </c>
      <c r="Q68" s="15"/>
      <c r="R68" s="15">
        <v>1</v>
      </c>
      <c r="S68" s="15" t="s">
        <v>370</v>
      </c>
      <c r="T68" s="15">
        <v>93</v>
      </c>
    </row>
    <row r="69" spans="2:20" x14ac:dyDescent="0.3">
      <c r="B69" s="15" t="s">
        <v>279</v>
      </c>
      <c r="C69" s="15" t="s">
        <v>99</v>
      </c>
      <c r="D69" s="15" t="s">
        <v>100</v>
      </c>
      <c r="E69" s="15">
        <v>8760</v>
      </c>
      <c r="F69" s="15">
        <v>1</v>
      </c>
      <c r="G69" s="16">
        <v>0.17699999999999999</v>
      </c>
      <c r="H69" s="15">
        <v>1551</v>
      </c>
      <c r="I69" s="17">
        <v>0.17699999999999999</v>
      </c>
      <c r="J69" s="15"/>
      <c r="K69" s="36">
        <f t="shared" si="6"/>
        <v>0</v>
      </c>
      <c r="L69" s="15">
        <v>8</v>
      </c>
      <c r="M69" s="10">
        <v>93</v>
      </c>
      <c r="N69" s="10"/>
      <c r="O69" s="10"/>
      <c r="P69" s="15" t="s">
        <v>370</v>
      </c>
      <c r="Q69" s="15"/>
      <c r="R69" s="15">
        <v>1</v>
      </c>
      <c r="S69" s="15" t="s">
        <v>370</v>
      </c>
      <c r="T69" s="15">
        <v>93</v>
      </c>
    </row>
    <row r="70" spans="2:20" x14ac:dyDescent="0.3">
      <c r="B70" s="15" t="s">
        <v>280</v>
      </c>
      <c r="C70" s="15" t="s">
        <v>101</v>
      </c>
      <c r="D70" s="15" t="s">
        <v>102</v>
      </c>
      <c r="E70" s="15">
        <v>1056</v>
      </c>
      <c r="F70" s="15">
        <v>1</v>
      </c>
      <c r="G70" s="16">
        <v>0.107</v>
      </c>
      <c r="H70" s="15">
        <v>113</v>
      </c>
      <c r="I70" s="17">
        <v>0.107</v>
      </c>
      <c r="J70" s="15"/>
      <c r="K70" s="36">
        <f t="shared" si="6"/>
        <v>0</v>
      </c>
      <c r="L70" s="15">
        <v>8</v>
      </c>
      <c r="M70" s="10">
        <v>49</v>
      </c>
      <c r="N70" s="10"/>
      <c r="O70" s="10"/>
      <c r="P70" s="15" t="s">
        <v>370</v>
      </c>
      <c r="Q70" s="15"/>
      <c r="R70" s="15">
        <v>1</v>
      </c>
      <c r="S70" s="15" t="s">
        <v>370</v>
      </c>
      <c r="T70" s="15">
        <v>49</v>
      </c>
    </row>
    <row r="71" spans="2:20" x14ac:dyDescent="0.3">
      <c r="B71" s="15" t="s">
        <v>281</v>
      </c>
      <c r="C71" s="15" t="s">
        <v>101</v>
      </c>
      <c r="D71" s="15" t="s">
        <v>102</v>
      </c>
      <c r="E71" s="15">
        <v>3970</v>
      </c>
      <c r="F71" s="15">
        <v>1</v>
      </c>
      <c r="G71" s="16">
        <v>3.5000000000000003E-2</v>
      </c>
      <c r="H71" s="15">
        <v>139</v>
      </c>
      <c r="I71" s="17">
        <v>3.5000000000000003E-2</v>
      </c>
      <c r="J71" s="15"/>
      <c r="K71" s="36">
        <f t="shared" si="6"/>
        <v>0</v>
      </c>
      <c r="L71" s="15">
        <v>8</v>
      </c>
      <c r="M71" s="10">
        <v>49</v>
      </c>
      <c r="N71" s="10"/>
      <c r="O71" s="10"/>
      <c r="P71" s="15" t="s">
        <v>370</v>
      </c>
      <c r="Q71" s="15"/>
      <c r="R71" s="15">
        <v>1</v>
      </c>
      <c r="S71" s="15" t="s">
        <v>370</v>
      </c>
      <c r="T71" s="15">
        <v>49</v>
      </c>
    </row>
    <row r="72" spans="2:20" x14ac:dyDescent="0.3">
      <c r="B72" s="15" t="s">
        <v>104</v>
      </c>
      <c r="C72" s="15" t="s">
        <v>103</v>
      </c>
      <c r="D72" s="15" t="s">
        <v>104</v>
      </c>
      <c r="E72" s="15">
        <f>67.5*24</f>
        <v>1620</v>
      </c>
      <c r="F72" s="15">
        <v>1</v>
      </c>
      <c r="G72" s="16">
        <v>5.1999999999999998E-2</v>
      </c>
      <c r="H72" s="15">
        <v>84.1</v>
      </c>
      <c r="I72" s="17">
        <v>5.1999999999999998E-2</v>
      </c>
      <c r="J72" s="15"/>
      <c r="K72" s="36">
        <f t="shared" si="6"/>
        <v>0</v>
      </c>
      <c r="L72" s="15">
        <v>12</v>
      </c>
      <c r="M72" s="10">
        <v>75</v>
      </c>
      <c r="N72" s="10"/>
      <c r="O72" s="10"/>
      <c r="P72" s="15" t="s">
        <v>370</v>
      </c>
      <c r="Q72" s="15"/>
      <c r="R72" s="15">
        <v>1</v>
      </c>
      <c r="S72" s="15" t="s">
        <v>370</v>
      </c>
      <c r="T72" s="15">
        <v>0</v>
      </c>
    </row>
    <row r="73" spans="2:20" x14ac:dyDescent="0.3">
      <c r="B73" s="15" t="s">
        <v>282</v>
      </c>
      <c r="C73" s="15" t="s">
        <v>105</v>
      </c>
      <c r="D73" s="15" t="s">
        <v>106</v>
      </c>
      <c r="E73" s="15">
        <v>287</v>
      </c>
      <c r="F73" s="15">
        <v>0.1</v>
      </c>
      <c r="G73" s="16">
        <v>0.27</v>
      </c>
      <c r="H73" s="15">
        <v>77.400000000000006</v>
      </c>
      <c r="I73" s="17">
        <v>2.7E-2</v>
      </c>
      <c r="J73" s="15">
        <v>12.69</v>
      </c>
      <c r="K73" s="36">
        <f t="shared" si="6"/>
        <v>12.392578125</v>
      </c>
      <c r="L73" s="15">
        <v>11</v>
      </c>
      <c r="M73" s="10">
        <v>211</v>
      </c>
      <c r="N73" s="10"/>
      <c r="O73" s="10"/>
      <c r="P73" s="15" t="s">
        <v>370</v>
      </c>
      <c r="Q73" s="15"/>
      <c r="R73" s="15">
        <v>1</v>
      </c>
      <c r="S73" s="15" t="s">
        <v>370</v>
      </c>
      <c r="T73" s="15">
        <v>116</v>
      </c>
    </row>
    <row r="74" spans="2:20" x14ac:dyDescent="0.3">
      <c r="B74" s="15" t="s">
        <v>283</v>
      </c>
      <c r="C74" s="15" t="s">
        <v>105</v>
      </c>
      <c r="D74" s="15" t="s">
        <v>106</v>
      </c>
      <c r="E74" s="15">
        <v>287</v>
      </c>
      <c r="F74" s="15">
        <v>0.1</v>
      </c>
      <c r="G74" s="16">
        <v>0.47299999999999998</v>
      </c>
      <c r="H74" s="15">
        <v>135</v>
      </c>
      <c r="I74" s="17">
        <v>4.7300000000000002E-2</v>
      </c>
      <c r="J74" s="15"/>
      <c r="K74" s="36">
        <f t="shared" si="6"/>
        <v>0</v>
      </c>
      <c r="L74" s="15">
        <v>11</v>
      </c>
      <c r="M74" s="10">
        <v>211</v>
      </c>
      <c r="N74" s="10"/>
      <c r="O74" s="10"/>
      <c r="P74" s="15" t="s">
        <v>370</v>
      </c>
      <c r="Q74" s="15"/>
      <c r="R74" s="15">
        <v>1</v>
      </c>
      <c r="S74" s="15" t="s">
        <v>370</v>
      </c>
      <c r="T74" s="15">
        <v>116</v>
      </c>
    </row>
    <row r="75" spans="2:20" x14ac:dyDescent="0.3">
      <c r="B75" s="15" t="s">
        <v>284</v>
      </c>
      <c r="C75" s="15" t="s">
        <v>105</v>
      </c>
      <c r="D75" s="15" t="s">
        <v>107</v>
      </c>
      <c r="E75" s="15">
        <v>287</v>
      </c>
      <c r="F75" s="15">
        <v>0.1</v>
      </c>
      <c r="G75" s="16">
        <v>0.27</v>
      </c>
      <c r="H75" s="15">
        <v>77.400000000000006</v>
      </c>
      <c r="I75" s="17">
        <v>2.7E-2</v>
      </c>
      <c r="J75" s="15">
        <v>13.12</v>
      </c>
      <c r="K75" s="36">
        <f t="shared" si="6"/>
        <v>12.812499999999998</v>
      </c>
      <c r="L75" s="15">
        <v>11</v>
      </c>
      <c r="M75" s="10">
        <v>211</v>
      </c>
      <c r="N75" s="10"/>
      <c r="O75" s="10"/>
      <c r="P75" s="15" t="s">
        <v>370</v>
      </c>
      <c r="Q75" s="15"/>
      <c r="R75" s="15">
        <v>1</v>
      </c>
      <c r="S75" s="15" t="s">
        <v>370</v>
      </c>
      <c r="T75" s="15">
        <v>116</v>
      </c>
    </row>
    <row r="76" spans="2:20" x14ac:dyDescent="0.3">
      <c r="B76" s="15" t="s">
        <v>285</v>
      </c>
      <c r="C76" s="15" t="s">
        <v>105</v>
      </c>
      <c r="D76" s="15" t="s">
        <v>107</v>
      </c>
      <c r="E76" s="15">
        <v>287</v>
      </c>
      <c r="F76" s="15">
        <v>0.1</v>
      </c>
      <c r="G76" s="16">
        <v>0.52300000000000002</v>
      </c>
      <c r="H76" s="15">
        <v>150</v>
      </c>
      <c r="I76" s="17">
        <v>5.2299999999999999E-2</v>
      </c>
      <c r="J76" s="15"/>
      <c r="K76" s="36">
        <f t="shared" si="6"/>
        <v>0</v>
      </c>
      <c r="L76" s="15">
        <v>11</v>
      </c>
      <c r="M76" s="10">
        <v>211</v>
      </c>
      <c r="N76" s="10"/>
      <c r="O76" s="10"/>
      <c r="P76" s="15" t="s">
        <v>370</v>
      </c>
      <c r="Q76" s="15"/>
      <c r="R76" s="15">
        <v>1</v>
      </c>
      <c r="S76" s="15" t="s">
        <v>370</v>
      </c>
      <c r="T76" s="15">
        <v>116</v>
      </c>
    </row>
    <row r="77" spans="2:20" x14ac:dyDescent="0.3">
      <c r="B77" s="15" t="s">
        <v>286</v>
      </c>
      <c r="C77" s="15" t="s">
        <v>108</v>
      </c>
      <c r="D77" s="15" t="s">
        <v>109</v>
      </c>
      <c r="E77" s="15">
        <v>416</v>
      </c>
      <c r="F77" s="15"/>
      <c r="G77" s="16"/>
      <c r="H77" s="15"/>
      <c r="I77" s="17"/>
      <c r="J77" s="15">
        <v>3.7</v>
      </c>
      <c r="K77" s="36">
        <f t="shared" si="6"/>
        <v>3.61328125</v>
      </c>
      <c r="L77" s="15">
        <v>14</v>
      </c>
      <c r="M77" s="10">
        <v>150</v>
      </c>
      <c r="N77" s="10"/>
      <c r="O77" s="10"/>
      <c r="P77" s="15" t="s">
        <v>370</v>
      </c>
      <c r="Q77" s="15"/>
      <c r="R77" s="15">
        <v>1</v>
      </c>
      <c r="S77" s="15" t="s">
        <v>370</v>
      </c>
      <c r="T77" s="15">
        <v>116</v>
      </c>
    </row>
    <row r="78" spans="2:20" x14ac:dyDescent="0.3">
      <c r="B78" s="15" t="s">
        <v>287</v>
      </c>
      <c r="C78" s="15" t="s">
        <v>110</v>
      </c>
      <c r="D78" s="15" t="s">
        <v>111</v>
      </c>
      <c r="E78" s="15">
        <v>416</v>
      </c>
      <c r="F78" s="15">
        <v>0.1</v>
      </c>
      <c r="G78" s="16">
        <v>0.34615384615384615</v>
      </c>
      <c r="H78" s="15">
        <v>144</v>
      </c>
      <c r="I78" s="17">
        <v>3.5000000000000003E-2</v>
      </c>
      <c r="J78" s="15"/>
      <c r="K78" s="36">
        <f t="shared" si="6"/>
        <v>0</v>
      </c>
      <c r="L78" s="15">
        <v>14</v>
      </c>
      <c r="M78" s="10">
        <v>150</v>
      </c>
      <c r="N78" s="10"/>
      <c r="O78" s="10"/>
      <c r="P78" s="15" t="s">
        <v>370</v>
      </c>
      <c r="Q78" s="15"/>
      <c r="R78" s="15">
        <v>1</v>
      </c>
      <c r="S78" s="15" t="s">
        <v>370</v>
      </c>
      <c r="T78" s="15">
        <v>116</v>
      </c>
    </row>
    <row r="79" spans="2:20" x14ac:dyDescent="0.3">
      <c r="B79" s="15" t="s">
        <v>288</v>
      </c>
      <c r="C79" s="19" t="s">
        <v>112</v>
      </c>
      <c r="D79" s="15" t="s">
        <v>113</v>
      </c>
      <c r="E79" s="15">
        <v>1281</v>
      </c>
      <c r="F79" s="15">
        <v>0.47</v>
      </c>
      <c r="G79" s="16">
        <v>1</v>
      </c>
      <c r="H79" s="15">
        <v>1281</v>
      </c>
      <c r="I79" s="17">
        <v>0.47</v>
      </c>
      <c r="J79" s="15"/>
      <c r="K79" s="36">
        <f t="shared" si="6"/>
        <v>0</v>
      </c>
      <c r="L79" s="15">
        <v>20</v>
      </c>
      <c r="M79" s="10">
        <v>8000</v>
      </c>
      <c r="N79" s="10">
        <f>IF(M79*0.3&gt;=2000,2000,M79*0.3)+(2*1000*G79)</f>
        <v>4000</v>
      </c>
      <c r="O79" s="10">
        <f>34*H79/1000</f>
        <v>43.554000000000002</v>
      </c>
      <c r="P79" s="15" t="s">
        <v>378</v>
      </c>
      <c r="Q79" s="19" t="s">
        <v>379</v>
      </c>
      <c r="R79" s="15">
        <v>1</v>
      </c>
      <c r="S79" s="15" t="s">
        <v>370</v>
      </c>
      <c r="T79" s="15">
        <v>800</v>
      </c>
    </row>
    <row r="80" spans="2:20" x14ac:dyDescent="0.3">
      <c r="B80" s="15" t="s">
        <v>289</v>
      </c>
      <c r="C80" s="15" t="s">
        <v>63</v>
      </c>
      <c r="D80" s="15" t="s">
        <v>114</v>
      </c>
      <c r="E80" s="15">
        <v>1281</v>
      </c>
      <c r="F80" s="15">
        <v>1</v>
      </c>
      <c r="G80" s="16">
        <v>0.42</v>
      </c>
      <c r="H80" s="15">
        <v>2546</v>
      </c>
      <c r="I80" s="17">
        <v>0.42</v>
      </c>
      <c r="J80" s="15"/>
      <c r="K80" s="36">
        <f t="shared" si="6"/>
        <v>0</v>
      </c>
      <c r="L80" s="15">
        <v>20</v>
      </c>
      <c r="M80" s="10">
        <v>4500</v>
      </c>
      <c r="N80" s="10"/>
      <c r="O80" s="10"/>
      <c r="P80" s="15" t="s">
        <v>380</v>
      </c>
      <c r="Q80" s="15"/>
      <c r="R80" s="15">
        <v>40</v>
      </c>
      <c r="S80" s="15" t="s">
        <v>381</v>
      </c>
      <c r="T80" s="15">
        <v>450</v>
      </c>
    </row>
    <row r="81" spans="2:20" x14ac:dyDescent="0.3">
      <c r="B81" s="15" t="s">
        <v>290</v>
      </c>
      <c r="C81" s="15" t="s">
        <v>66</v>
      </c>
      <c r="D81" s="15" t="s">
        <v>115</v>
      </c>
      <c r="E81" s="15">
        <v>1281</v>
      </c>
      <c r="F81" s="15"/>
      <c r="G81" s="16"/>
      <c r="H81" s="15"/>
      <c r="I81" s="17"/>
      <c r="J81" s="15">
        <v>111</v>
      </c>
      <c r="K81" s="36">
        <f t="shared" si="6"/>
        <v>108.3984375</v>
      </c>
      <c r="L81" s="15">
        <v>20</v>
      </c>
      <c r="M81" s="10">
        <v>4500</v>
      </c>
      <c r="N81" s="10"/>
      <c r="O81" s="10"/>
      <c r="P81" s="15" t="s">
        <v>380</v>
      </c>
      <c r="Q81" s="15"/>
      <c r="R81" s="15">
        <v>40</v>
      </c>
      <c r="S81" s="15" t="s">
        <v>381</v>
      </c>
      <c r="T81" s="15">
        <v>450</v>
      </c>
    </row>
    <row r="82" spans="2:20" x14ac:dyDescent="0.3">
      <c r="B82" s="15" t="s">
        <v>291</v>
      </c>
      <c r="C82" s="15" t="s">
        <v>47</v>
      </c>
      <c r="D82" s="15" t="s">
        <v>116</v>
      </c>
      <c r="E82" s="15">
        <v>2920</v>
      </c>
      <c r="F82" s="15">
        <v>0</v>
      </c>
      <c r="G82" s="16">
        <v>0.06</v>
      </c>
      <c r="H82" s="15">
        <v>175</v>
      </c>
      <c r="I82" s="17">
        <v>0</v>
      </c>
      <c r="J82" s="15"/>
      <c r="K82" s="36">
        <f t="shared" si="6"/>
        <v>0</v>
      </c>
      <c r="L82" s="15">
        <v>15</v>
      </c>
      <c r="M82" s="10">
        <v>140</v>
      </c>
      <c r="N82" s="10"/>
      <c r="O82" s="10"/>
      <c r="P82" s="15" t="s">
        <v>361</v>
      </c>
      <c r="Q82" s="15"/>
      <c r="R82" s="15">
        <v>1</v>
      </c>
      <c r="S82" s="15" t="s">
        <v>361</v>
      </c>
      <c r="T82" s="15">
        <v>0</v>
      </c>
    </row>
    <row r="83" spans="2:20" x14ac:dyDescent="0.3">
      <c r="B83" s="15" t="s">
        <v>118</v>
      </c>
      <c r="C83" s="15" t="s">
        <v>117</v>
      </c>
      <c r="D83" s="15" t="s">
        <v>118</v>
      </c>
      <c r="E83" s="15">
        <v>720</v>
      </c>
      <c r="F83" s="15">
        <v>0.95</v>
      </c>
      <c r="G83" s="16">
        <v>0.02</v>
      </c>
      <c r="H83" s="15">
        <v>14.4</v>
      </c>
      <c r="I83" s="17">
        <f>G83*F83</f>
        <v>1.9E-2</v>
      </c>
      <c r="J83" s="15"/>
      <c r="K83" s="36">
        <f t="shared" si="6"/>
        <v>0</v>
      </c>
      <c r="L83" s="15">
        <v>19</v>
      </c>
      <c r="M83" s="10">
        <v>550</v>
      </c>
      <c r="N83" s="10"/>
      <c r="O83" s="10"/>
      <c r="P83" s="15" t="s">
        <v>370</v>
      </c>
      <c r="Q83" s="15"/>
      <c r="R83" s="15">
        <v>20</v>
      </c>
      <c r="S83" s="15" t="s">
        <v>369</v>
      </c>
      <c r="T83" s="15">
        <v>300</v>
      </c>
    </row>
    <row r="84" spans="2:20" x14ac:dyDescent="0.3">
      <c r="B84" s="8" t="s">
        <v>120</v>
      </c>
      <c r="C84" s="8" t="s">
        <v>119</v>
      </c>
      <c r="D84" s="8" t="s">
        <v>120</v>
      </c>
      <c r="E84" s="8"/>
      <c r="F84" s="8"/>
      <c r="G84" s="8"/>
      <c r="H84" s="8">
        <v>171</v>
      </c>
      <c r="I84" s="20">
        <v>0.05</v>
      </c>
      <c r="J84" s="30">
        <v>14</v>
      </c>
      <c r="K84" s="21">
        <f t="shared" si="6"/>
        <v>13.671875</v>
      </c>
      <c r="L84" s="8">
        <v>30</v>
      </c>
      <c r="M84" s="22">
        <v>436</v>
      </c>
      <c r="N84" s="22"/>
      <c r="O84" s="22"/>
      <c r="P84" s="8"/>
      <c r="Q84" s="8"/>
      <c r="R84" s="8">
        <v>1</v>
      </c>
      <c r="S84" s="8" t="s">
        <v>370</v>
      </c>
      <c r="T84" s="8"/>
    </row>
    <row r="85" spans="2:20" x14ac:dyDescent="0.3">
      <c r="B85" s="8" t="s">
        <v>292</v>
      </c>
      <c r="C85" s="8" t="s">
        <v>121</v>
      </c>
      <c r="D85" s="8" t="s">
        <v>122</v>
      </c>
      <c r="E85" s="8"/>
      <c r="F85" s="8"/>
      <c r="G85" s="8"/>
      <c r="H85" s="8">
        <v>1540</v>
      </c>
      <c r="I85" s="20">
        <v>0.17</v>
      </c>
      <c r="J85" s="30"/>
      <c r="K85" s="21">
        <f t="shared" si="6"/>
        <v>0</v>
      </c>
      <c r="L85" s="8">
        <v>10</v>
      </c>
      <c r="M85" s="22">
        <v>239</v>
      </c>
      <c r="N85" s="22"/>
      <c r="O85" s="22"/>
      <c r="P85" s="8"/>
      <c r="Q85" s="8"/>
      <c r="R85" s="8">
        <v>1</v>
      </c>
      <c r="S85" s="8" t="s">
        <v>370</v>
      </c>
      <c r="T85" s="8"/>
    </row>
    <row r="86" spans="2:20" x14ac:dyDescent="0.3">
      <c r="B86" s="8" t="s">
        <v>124</v>
      </c>
      <c r="C86" s="8" t="s">
        <v>123</v>
      </c>
      <c r="D86" s="8" t="s">
        <v>124</v>
      </c>
      <c r="E86" s="8"/>
      <c r="F86" s="8"/>
      <c r="G86" s="8"/>
      <c r="H86" s="8">
        <v>603</v>
      </c>
      <c r="I86" s="20">
        <v>0</v>
      </c>
      <c r="J86" s="30"/>
      <c r="K86" s="21">
        <f t="shared" si="6"/>
        <v>0</v>
      </c>
      <c r="L86" s="8">
        <v>6</v>
      </c>
      <c r="M86" s="22">
        <v>84.85</v>
      </c>
      <c r="N86" s="22"/>
      <c r="O86" s="22"/>
      <c r="P86" s="8"/>
      <c r="Q86" s="8"/>
      <c r="R86" s="8">
        <v>1</v>
      </c>
      <c r="S86" s="8" t="s">
        <v>370</v>
      </c>
      <c r="T86" s="8"/>
    </row>
    <row r="87" spans="2:20" x14ac:dyDescent="0.3">
      <c r="B87" s="8" t="s">
        <v>293</v>
      </c>
      <c r="C87" s="8" t="s">
        <v>125</v>
      </c>
      <c r="D87" s="8" t="s">
        <v>126</v>
      </c>
      <c r="E87" s="8"/>
      <c r="F87" s="8"/>
      <c r="G87" s="8"/>
      <c r="H87" s="8">
        <v>217</v>
      </c>
      <c r="I87" s="20">
        <v>0.04</v>
      </c>
      <c r="J87" s="30"/>
      <c r="K87" s="21">
        <f t="shared" si="6"/>
        <v>0</v>
      </c>
      <c r="L87" s="8">
        <v>10</v>
      </c>
      <c r="M87" s="22">
        <v>61</v>
      </c>
      <c r="N87" s="22"/>
      <c r="O87" s="22"/>
      <c r="P87" s="8"/>
      <c r="Q87" s="8"/>
      <c r="R87" s="8">
        <v>1</v>
      </c>
      <c r="S87" s="8" t="s">
        <v>370</v>
      </c>
      <c r="T87" s="8"/>
    </row>
    <row r="88" spans="2:20" x14ac:dyDescent="0.3">
      <c r="B88" s="8" t="s">
        <v>294</v>
      </c>
      <c r="C88" s="8" t="s">
        <v>127</v>
      </c>
      <c r="D88" s="8" t="s">
        <v>128</v>
      </c>
      <c r="E88" s="8"/>
      <c r="F88" s="8"/>
      <c r="G88" s="8"/>
      <c r="H88" s="8">
        <v>474</v>
      </c>
      <c r="I88" s="20">
        <v>0</v>
      </c>
      <c r="J88" s="30"/>
      <c r="K88" s="21">
        <f t="shared" si="6"/>
        <v>0</v>
      </c>
      <c r="L88" s="8">
        <v>8</v>
      </c>
      <c r="M88" s="22">
        <v>240</v>
      </c>
      <c r="N88" s="22"/>
      <c r="O88" s="22"/>
      <c r="P88" s="8"/>
      <c r="Q88" s="8"/>
      <c r="R88" s="8">
        <v>1</v>
      </c>
      <c r="S88" s="8" t="s">
        <v>370</v>
      </c>
      <c r="T88" s="8"/>
    </row>
    <row r="89" spans="2:20" x14ac:dyDescent="0.3">
      <c r="B89" s="8" t="s">
        <v>129</v>
      </c>
      <c r="C89" s="8" t="s">
        <v>93</v>
      </c>
      <c r="D89" s="8" t="s">
        <v>129</v>
      </c>
      <c r="E89" s="8"/>
      <c r="F89" s="8"/>
      <c r="G89" s="8"/>
      <c r="H89" s="8">
        <v>300</v>
      </c>
      <c r="I89" s="20">
        <v>4.3999999999999997E-2</v>
      </c>
      <c r="J89" s="30"/>
      <c r="K89" s="21">
        <f t="shared" si="6"/>
        <v>0</v>
      </c>
      <c r="L89" s="8">
        <v>13</v>
      </c>
      <c r="M89" s="22">
        <v>258.51</v>
      </c>
      <c r="N89" s="22"/>
      <c r="O89" s="22"/>
      <c r="P89" s="8"/>
      <c r="Q89" s="8"/>
      <c r="R89" s="8">
        <v>1</v>
      </c>
      <c r="S89" s="8" t="s">
        <v>370</v>
      </c>
      <c r="T89" s="8"/>
    </row>
    <row r="90" spans="2:20" x14ac:dyDescent="0.3">
      <c r="B90" s="8" t="s">
        <v>295</v>
      </c>
      <c r="C90" s="8" t="s">
        <v>130</v>
      </c>
      <c r="D90" s="8" t="s">
        <v>131</v>
      </c>
      <c r="E90" s="8"/>
      <c r="F90" s="8"/>
      <c r="G90" s="8"/>
      <c r="H90" s="8">
        <v>12</v>
      </c>
      <c r="I90" s="20">
        <v>0</v>
      </c>
      <c r="J90" s="30"/>
      <c r="K90" s="21">
        <f t="shared" si="6"/>
        <v>0</v>
      </c>
      <c r="L90" s="8">
        <v>5</v>
      </c>
      <c r="M90" s="22">
        <v>10</v>
      </c>
      <c r="N90" s="22"/>
      <c r="O90" s="22"/>
      <c r="P90" s="8"/>
      <c r="Q90" s="8"/>
      <c r="R90" s="8">
        <v>1</v>
      </c>
      <c r="S90" s="8" t="s">
        <v>370</v>
      </c>
      <c r="T90" s="8"/>
    </row>
    <row r="91" spans="2:20" x14ac:dyDescent="0.3">
      <c r="B91" s="8" t="s">
        <v>296</v>
      </c>
      <c r="C91" s="8" t="s">
        <v>130</v>
      </c>
      <c r="D91" s="8" t="s">
        <v>131</v>
      </c>
      <c r="E91" s="8"/>
      <c r="F91" s="8"/>
      <c r="G91" s="8"/>
      <c r="H91" s="8">
        <v>65</v>
      </c>
      <c r="I91" s="20">
        <v>0.01</v>
      </c>
      <c r="J91" s="30"/>
      <c r="K91" s="21">
        <f t="shared" si="6"/>
        <v>0</v>
      </c>
      <c r="L91" s="8">
        <v>6</v>
      </c>
      <c r="M91" s="22">
        <v>35</v>
      </c>
      <c r="N91" s="22"/>
      <c r="O91" s="22"/>
      <c r="P91" s="8"/>
      <c r="Q91" s="8"/>
      <c r="R91" s="8">
        <v>1</v>
      </c>
      <c r="S91" s="8" t="s">
        <v>370</v>
      </c>
      <c r="T91" s="8"/>
    </row>
    <row r="92" spans="2:20" x14ac:dyDescent="0.3">
      <c r="B92" s="8" t="s">
        <v>297</v>
      </c>
      <c r="C92" s="8" t="s">
        <v>130</v>
      </c>
      <c r="D92" s="8" t="s">
        <v>131</v>
      </c>
      <c r="E92" s="8"/>
      <c r="F92" s="8"/>
      <c r="G92" s="8"/>
      <c r="H92" s="8">
        <v>44</v>
      </c>
      <c r="I92" s="20">
        <v>0</v>
      </c>
      <c r="J92" s="30"/>
      <c r="K92" s="21">
        <f t="shared" si="6"/>
        <v>0</v>
      </c>
      <c r="L92" s="8">
        <v>4</v>
      </c>
      <c r="M92" s="22">
        <v>10</v>
      </c>
      <c r="N92" s="22"/>
      <c r="O92" s="22"/>
      <c r="P92" s="8"/>
      <c r="Q92" s="8"/>
      <c r="R92" s="8">
        <v>1</v>
      </c>
      <c r="S92" s="8" t="s">
        <v>370</v>
      </c>
      <c r="T92" s="8"/>
    </row>
    <row r="93" spans="2:20" x14ac:dyDescent="0.3">
      <c r="B93" s="8" t="s">
        <v>298</v>
      </c>
      <c r="C93" s="8" t="s">
        <v>130</v>
      </c>
      <c r="D93" s="8" t="s">
        <v>131</v>
      </c>
      <c r="E93" s="8"/>
      <c r="F93" s="8"/>
      <c r="G93" s="8"/>
      <c r="H93" s="8">
        <v>143</v>
      </c>
      <c r="I93" s="20">
        <v>1.4E-2</v>
      </c>
      <c r="J93" s="30"/>
      <c r="K93" s="21">
        <f t="shared" si="6"/>
        <v>0</v>
      </c>
      <c r="L93" s="8">
        <v>5</v>
      </c>
      <c r="M93" s="22">
        <v>1.2</v>
      </c>
      <c r="N93" s="22"/>
      <c r="O93" s="22"/>
      <c r="P93" s="8"/>
      <c r="Q93" s="8"/>
      <c r="R93" s="8">
        <v>1</v>
      </c>
      <c r="S93" s="8" t="s">
        <v>370</v>
      </c>
      <c r="T93" s="8"/>
    </row>
    <row r="94" spans="2:20" x14ac:dyDescent="0.3">
      <c r="B94" s="8" t="s">
        <v>299</v>
      </c>
      <c r="C94" s="8" t="s">
        <v>130</v>
      </c>
      <c r="D94" s="8" t="s">
        <v>131</v>
      </c>
      <c r="E94" s="8"/>
      <c r="F94" s="8"/>
      <c r="G94" s="8"/>
      <c r="H94" s="8">
        <v>32</v>
      </c>
      <c r="I94" s="20">
        <v>0</v>
      </c>
      <c r="J94" s="30"/>
      <c r="K94" s="21">
        <f t="shared" si="6"/>
        <v>0</v>
      </c>
      <c r="L94" s="8">
        <v>9</v>
      </c>
      <c r="M94" s="8">
        <v>5</v>
      </c>
      <c r="N94" s="8"/>
      <c r="O94" s="8"/>
      <c r="P94" s="20"/>
      <c r="Q94" s="8"/>
      <c r="R94" s="8">
        <v>1</v>
      </c>
      <c r="S94" s="8" t="s">
        <v>370</v>
      </c>
      <c r="T94" s="8"/>
    </row>
    <row r="95" spans="2:20" x14ac:dyDescent="0.3">
      <c r="B95" s="8" t="s">
        <v>300</v>
      </c>
      <c r="C95" s="8" t="s">
        <v>132</v>
      </c>
      <c r="D95" s="8" t="s">
        <v>133</v>
      </c>
      <c r="E95" s="8"/>
      <c r="F95" s="8"/>
      <c r="G95" s="8"/>
      <c r="H95" s="8">
        <v>35</v>
      </c>
      <c r="I95" s="20">
        <v>0</v>
      </c>
      <c r="J95" s="30"/>
      <c r="K95" s="21">
        <f t="shared" si="6"/>
        <v>0</v>
      </c>
      <c r="L95" s="8">
        <v>7</v>
      </c>
      <c r="M95" s="8">
        <v>30</v>
      </c>
      <c r="N95" s="8"/>
      <c r="O95" s="8"/>
      <c r="P95" s="8"/>
      <c r="Q95" s="8"/>
      <c r="R95" s="8">
        <v>1</v>
      </c>
      <c r="S95" s="8" t="s">
        <v>370</v>
      </c>
      <c r="T95" s="8"/>
    </row>
    <row r="96" spans="2:20" x14ac:dyDescent="0.3">
      <c r="B96" s="8" t="s">
        <v>301</v>
      </c>
      <c r="C96" s="8" t="s">
        <v>130</v>
      </c>
      <c r="D96" s="8" t="s">
        <v>131</v>
      </c>
      <c r="E96" s="8"/>
      <c r="F96" s="8"/>
      <c r="G96" s="8"/>
      <c r="H96" s="8">
        <v>4</v>
      </c>
      <c r="I96" s="20">
        <v>0</v>
      </c>
      <c r="J96" s="30"/>
      <c r="K96" s="21">
        <f t="shared" si="6"/>
        <v>0</v>
      </c>
      <c r="L96" s="8">
        <v>7</v>
      </c>
      <c r="M96" s="22">
        <v>4</v>
      </c>
      <c r="N96" s="22"/>
      <c r="O96" s="22"/>
      <c r="P96" s="8"/>
      <c r="Q96" s="8"/>
      <c r="R96" s="8">
        <v>1</v>
      </c>
      <c r="S96" s="8" t="s">
        <v>370</v>
      </c>
      <c r="T96" s="8"/>
    </row>
    <row r="97" spans="2:20" x14ac:dyDescent="0.3">
      <c r="B97" s="8" t="s">
        <v>302</v>
      </c>
      <c r="C97" s="8" t="s">
        <v>134</v>
      </c>
      <c r="D97" s="8" t="s">
        <v>135</v>
      </c>
      <c r="E97" s="8"/>
      <c r="F97" s="8"/>
      <c r="G97" s="8"/>
      <c r="H97" s="8">
        <v>180</v>
      </c>
      <c r="I97" s="20">
        <v>0.02</v>
      </c>
      <c r="J97" s="30"/>
      <c r="K97" s="21">
        <f t="shared" si="6"/>
        <v>0</v>
      </c>
      <c r="L97" s="8">
        <v>10</v>
      </c>
      <c r="M97" s="22">
        <v>18</v>
      </c>
      <c r="N97" s="22"/>
      <c r="O97" s="22"/>
      <c r="P97" s="8"/>
      <c r="Q97" s="8"/>
      <c r="R97" s="8">
        <v>1</v>
      </c>
      <c r="S97" s="8" t="s">
        <v>370</v>
      </c>
      <c r="T97" s="8"/>
    </row>
    <row r="98" spans="2:20" x14ac:dyDescent="0.3">
      <c r="B98" s="8" t="s">
        <v>303</v>
      </c>
      <c r="C98" s="8" t="s">
        <v>134</v>
      </c>
      <c r="D98" s="8" t="s">
        <v>135</v>
      </c>
      <c r="E98" s="8"/>
      <c r="F98" s="8"/>
      <c r="G98" s="8"/>
      <c r="H98" s="8"/>
      <c r="I98" s="20"/>
      <c r="J98" s="30">
        <v>12</v>
      </c>
      <c r="K98" s="21">
        <f t="shared" si="6"/>
        <v>11.71875</v>
      </c>
      <c r="L98" s="8">
        <v>10</v>
      </c>
      <c r="M98" s="22">
        <v>18</v>
      </c>
      <c r="N98" s="22"/>
      <c r="O98" s="22"/>
      <c r="P98" s="8"/>
      <c r="Q98" s="8"/>
      <c r="R98" s="8">
        <v>1</v>
      </c>
      <c r="S98" s="8" t="s">
        <v>370</v>
      </c>
      <c r="T98" s="8"/>
    </row>
    <row r="99" spans="2:20" x14ac:dyDescent="0.3">
      <c r="B99" s="8" t="s">
        <v>304</v>
      </c>
      <c r="C99" s="8" t="s">
        <v>136</v>
      </c>
      <c r="D99" s="8" t="s">
        <v>137</v>
      </c>
      <c r="E99" s="8"/>
      <c r="F99" s="8"/>
      <c r="G99" s="8"/>
      <c r="H99" s="8">
        <v>163</v>
      </c>
      <c r="I99" s="20">
        <v>0.02</v>
      </c>
      <c r="J99" s="30"/>
      <c r="K99" s="21">
        <f t="shared" si="6"/>
        <v>0</v>
      </c>
      <c r="L99" s="8">
        <v>4</v>
      </c>
      <c r="M99" s="22">
        <v>8</v>
      </c>
      <c r="N99" s="22"/>
      <c r="O99" s="22"/>
      <c r="P99" s="8"/>
      <c r="Q99" s="8"/>
      <c r="R99" s="8">
        <v>1</v>
      </c>
      <c r="S99" s="8" t="s">
        <v>370</v>
      </c>
      <c r="T99" s="8"/>
    </row>
    <row r="100" spans="2:20" x14ac:dyDescent="0.3">
      <c r="B100" s="8" t="s">
        <v>305</v>
      </c>
      <c r="C100" s="8" t="s">
        <v>136</v>
      </c>
      <c r="D100" s="8" t="s">
        <v>137</v>
      </c>
      <c r="E100" s="8"/>
      <c r="F100" s="8"/>
      <c r="G100" s="8"/>
      <c r="H100" s="8"/>
      <c r="I100" s="20"/>
      <c r="J100" s="30">
        <v>11</v>
      </c>
      <c r="K100" s="21">
        <f t="shared" si="6"/>
        <v>10.7421875</v>
      </c>
      <c r="L100" s="8">
        <v>4</v>
      </c>
      <c r="M100" s="22">
        <v>8</v>
      </c>
      <c r="N100" s="22"/>
      <c r="O100" s="22"/>
      <c r="P100" s="8"/>
      <c r="Q100" s="8"/>
      <c r="R100" s="8">
        <v>1</v>
      </c>
      <c r="S100" s="8" t="s">
        <v>370</v>
      </c>
      <c r="T100" s="8"/>
    </row>
    <row r="101" spans="2:20" x14ac:dyDescent="0.3">
      <c r="B101" s="8" t="s">
        <v>306</v>
      </c>
      <c r="C101" s="8" t="s">
        <v>138</v>
      </c>
      <c r="D101" s="8" t="s">
        <v>139</v>
      </c>
      <c r="E101" s="8"/>
      <c r="F101" s="8"/>
      <c r="G101" s="8"/>
      <c r="H101" s="8">
        <v>251</v>
      </c>
      <c r="I101" s="20">
        <v>0.03</v>
      </c>
      <c r="J101" s="30"/>
      <c r="K101" s="21">
        <f t="shared" si="6"/>
        <v>0</v>
      </c>
      <c r="L101" s="8">
        <v>9</v>
      </c>
      <c r="M101" s="22">
        <v>130</v>
      </c>
      <c r="N101" s="22"/>
      <c r="O101" s="22"/>
      <c r="P101" s="8"/>
      <c r="Q101" s="8"/>
      <c r="R101" s="8">
        <v>1</v>
      </c>
      <c r="S101" s="8" t="s">
        <v>370</v>
      </c>
      <c r="T101" s="8"/>
    </row>
    <row r="102" spans="2:20" x14ac:dyDescent="0.3">
      <c r="B102" s="8" t="s">
        <v>307</v>
      </c>
      <c r="C102" s="8" t="s">
        <v>138</v>
      </c>
      <c r="D102" s="8" t="s">
        <v>139</v>
      </c>
      <c r="E102" s="8"/>
      <c r="F102" s="8"/>
      <c r="G102" s="8"/>
      <c r="H102" s="8"/>
      <c r="I102" s="20"/>
      <c r="J102" s="30">
        <v>16</v>
      </c>
      <c r="K102" s="21">
        <f t="shared" si="6"/>
        <v>15.625</v>
      </c>
      <c r="L102" s="8">
        <v>9</v>
      </c>
      <c r="M102" s="22">
        <v>130</v>
      </c>
      <c r="N102" s="22"/>
      <c r="O102" s="22"/>
      <c r="P102" s="8"/>
      <c r="Q102" s="8"/>
      <c r="R102" s="8">
        <v>1</v>
      </c>
      <c r="S102" s="8" t="s">
        <v>370</v>
      </c>
      <c r="T102" s="8"/>
    </row>
    <row r="103" spans="2:20" x14ac:dyDescent="0.3">
      <c r="B103" s="8" t="s">
        <v>141</v>
      </c>
      <c r="C103" s="8" t="s">
        <v>140</v>
      </c>
      <c r="D103" s="8" t="s">
        <v>141</v>
      </c>
      <c r="E103" s="8"/>
      <c r="F103" s="8"/>
      <c r="G103" s="20"/>
      <c r="H103" s="8">
        <v>358</v>
      </c>
      <c r="I103" s="23"/>
      <c r="J103" s="30"/>
      <c r="K103" s="21">
        <f t="shared" si="6"/>
        <v>0</v>
      </c>
      <c r="L103" s="8">
        <v>14</v>
      </c>
      <c r="M103" s="22">
        <v>603</v>
      </c>
      <c r="N103" s="22"/>
      <c r="O103" s="22"/>
      <c r="P103" s="8"/>
      <c r="Q103" s="8"/>
      <c r="R103" s="8">
        <v>1</v>
      </c>
      <c r="S103" s="8" t="s">
        <v>370</v>
      </c>
      <c r="T103" s="8"/>
    </row>
    <row r="104" spans="2:20" x14ac:dyDescent="0.3">
      <c r="B104" s="8" t="s">
        <v>308</v>
      </c>
      <c r="C104" s="8" t="s">
        <v>142</v>
      </c>
      <c r="D104" s="8" t="s">
        <v>143</v>
      </c>
      <c r="E104" s="8">
        <f>8760*0.16</f>
        <v>1401.6000000000001</v>
      </c>
      <c r="F104" s="8"/>
      <c r="G104" s="20">
        <v>2.5</v>
      </c>
      <c r="H104" s="8">
        <f>G104*E104</f>
        <v>3504.0000000000005</v>
      </c>
      <c r="I104" s="23">
        <v>2.5</v>
      </c>
      <c r="J104" s="30"/>
      <c r="K104" s="21">
        <f t="shared" si="6"/>
        <v>0</v>
      </c>
      <c r="L104" s="8">
        <v>25</v>
      </c>
      <c r="M104" s="22">
        <f>4400*R104</f>
        <v>11000</v>
      </c>
      <c r="N104" s="22">
        <f>IF(M104*0.3&gt;=4000,4000,M104*0.3)</f>
        <v>3300</v>
      </c>
      <c r="O104" s="22">
        <f>30*H104/1000</f>
        <v>105.12000000000002</v>
      </c>
      <c r="P104" s="8"/>
      <c r="Q104" s="8" t="s">
        <v>382</v>
      </c>
      <c r="R104" s="8">
        <v>2.5</v>
      </c>
      <c r="S104" s="8" t="s">
        <v>383</v>
      </c>
      <c r="T104" s="8"/>
    </row>
    <row r="105" spans="2:20" x14ac:dyDescent="0.3">
      <c r="B105" s="8" t="s">
        <v>309</v>
      </c>
      <c r="C105" s="8" t="s">
        <v>144</v>
      </c>
      <c r="D105" s="8" t="s">
        <v>145</v>
      </c>
      <c r="E105" s="8"/>
      <c r="F105" s="8"/>
      <c r="G105" s="20">
        <v>3.1</v>
      </c>
      <c r="H105" s="8"/>
      <c r="I105" s="23">
        <v>3.1</v>
      </c>
      <c r="J105" s="30"/>
      <c r="K105" s="21">
        <f t="shared" si="6"/>
        <v>0</v>
      </c>
      <c r="L105" s="8">
        <v>10</v>
      </c>
      <c r="M105" s="22">
        <f>2200*R105</f>
        <v>6820</v>
      </c>
      <c r="N105" s="22"/>
      <c r="O105" s="24">
        <v>0</v>
      </c>
      <c r="P105" s="8"/>
      <c r="Q105" s="8"/>
      <c r="R105" s="8">
        <v>3.1</v>
      </c>
      <c r="S105" s="8" t="s">
        <v>383</v>
      </c>
      <c r="T105" s="8"/>
    </row>
    <row r="106" spans="2:20" x14ac:dyDescent="0.3">
      <c r="B106" s="8" t="s">
        <v>310</v>
      </c>
      <c r="C106" s="8" t="s">
        <v>146</v>
      </c>
      <c r="D106" s="8" t="s">
        <v>147</v>
      </c>
      <c r="E106" s="8"/>
      <c r="F106" s="8"/>
      <c r="G106" s="20"/>
      <c r="H106" s="8">
        <v>11936</v>
      </c>
      <c r="I106" s="23">
        <v>0.71</v>
      </c>
      <c r="J106" s="30"/>
      <c r="K106" s="21">
        <f t="shared" si="6"/>
        <v>0</v>
      </c>
      <c r="L106" s="8">
        <v>15</v>
      </c>
      <c r="M106" s="22">
        <f>15000-4000</f>
        <v>11000</v>
      </c>
      <c r="N106" s="22">
        <f>IF(M106*0.3&gt;=4000,4000,M106*0.3)</f>
        <v>3300</v>
      </c>
      <c r="O106" s="22"/>
      <c r="P106" s="22"/>
      <c r="Q106" s="8" t="s">
        <v>384</v>
      </c>
      <c r="R106" s="8">
        <v>1</v>
      </c>
      <c r="S106" s="8" t="s">
        <v>370</v>
      </c>
      <c r="T106" s="8"/>
    </row>
    <row r="107" spans="2:20" x14ac:dyDescent="0.3">
      <c r="B107" s="8" t="s">
        <v>311</v>
      </c>
      <c r="C107" s="8" t="s">
        <v>148</v>
      </c>
      <c r="D107" s="8" t="s">
        <v>147</v>
      </c>
      <c r="E107" s="8"/>
      <c r="F107" s="8"/>
      <c r="G107" s="20"/>
      <c r="H107" s="8">
        <v>-2006</v>
      </c>
      <c r="I107" s="23">
        <v>0.62</v>
      </c>
      <c r="J107" s="30">
        <v>550</v>
      </c>
      <c r="K107" s="21">
        <f>J107/1.024</f>
        <v>537.109375</v>
      </c>
      <c r="L107" s="8">
        <v>15</v>
      </c>
      <c r="M107" s="22">
        <f>15000-7000</f>
        <v>8000</v>
      </c>
      <c r="N107" s="22">
        <f>IF(M107*0.3&gt;=4000,4000,M107*0.3)</f>
        <v>2400</v>
      </c>
      <c r="O107" s="22"/>
      <c r="P107" s="8"/>
      <c r="Q107" s="8" t="s">
        <v>384</v>
      </c>
      <c r="R107" s="8">
        <v>1</v>
      </c>
      <c r="S107" s="8" t="s">
        <v>370</v>
      </c>
      <c r="T107" s="8"/>
    </row>
    <row r="108" spans="2:20" x14ac:dyDescent="0.3">
      <c r="B108" s="8" t="s">
        <v>385</v>
      </c>
      <c r="C108" s="8"/>
      <c r="D108" s="8"/>
      <c r="E108" s="8"/>
      <c r="F108" s="8"/>
      <c r="G108" s="20"/>
      <c r="H108" s="8"/>
      <c r="I108" s="23"/>
      <c r="J108" s="30"/>
      <c r="K108" s="21">
        <f>J108/1.024</f>
        <v>0</v>
      </c>
      <c r="L108" s="8"/>
      <c r="M108" s="22"/>
      <c r="N108" s="22"/>
      <c r="O108" s="22"/>
      <c r="P108" s="8"/>
      <c r="Q108" s="8"/>
      <c r="R108" s="8"/>
      <c r="S108" s="8"/>
      <c r="T108" s="8"/>
    </row>
    <row r="109" spans="2:20" x14ac:dyDescent="0.3">
      <c r="B109" s="8" t="s">
        <v>386</v>
      </c>
      <c r="C109" s="8"/>
      <c r="D109" s="8"/>
      <c r="E109" s="8"/>
      <c r="F109" s="8"/>
      <c r="G109" s="20"/>
      <c r="H109" s="8"/>
      <c r="I109" s="23"/>
      <c r="J109" s="30"/>
      <c r="K109" s="21">
        <f>J109/1.024</f>
        <v>0</v>
      </c>
      <c r="L109" s="8"/>
      <c r="M109" s="22"/>
      <c r="N109" s="22"/>
      <c r="O109" s="22"/>
      <c r="P109" s="8"/>
      <c r="Q109" s="8"/>
      <c r="R109" s="8"/>
      <c r="S109" s="8"/>
      <c r="T109" s="8"/>
    </row>
    <row r="110" spans="2:20" x14ac:dyDescent="0.3">
      <c r="B110" s="8" t="s">
        <v>387</v>
      </c>
      <c r="C110" s="8"/>
      <c r="D110" s="8"/>
      <c r="E110" s="8"/>
      <c r="F110" s="8"/>
      <c r="G110" s="8"/>
      <c r="H110" s="8"/>
      <c r="I110" s="20"/>
      <c r="J110" s="30"/>
      <c r="K110" s="21">
        <f>J110/1.024</f>
        <v>0</v>
      </c>
      <c r="L110" s="8"/>
      <c r="M110" s="22"/>
      <c r="N110" s="22"/>
      <c r="O110" s="22"/>
      <c r="P110" s="8"/>
      <c r="Q110" s="8"/>
      <c r="R110" s="8"/>
      <c r="S110" s="8"/>
      <c r="T110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26"/>
  <sheetViews>
    <sheetView topLeftCell="A46" workbookViewId="0">
      <selection activeCell="F66" sqref="F66"/>
    </sheetView>
  </sheetViews>
  <sheetFormatPr defaultRowHeight="14.4" x14ac:dyDescent="0.3"/>
  <cols>
    <col min="3" max="3" width="11.88671875" bestFit="1" customWidth="1"/>
  </cols>
  <sheetData>
    <row r="4" spans="3:12" x14ac:dyDescent="0.3">
      <c r="E4" s="44">
        <v>592.22210526315803</v>
      </c>
    </row>
    <row r="5" spans="3:12" x14ac:dyDescent="0.3">
      <c r="C5" s="39" t="s">
        <v>396</v>
      </c>
      <c r="D5" s="7" t="s">
        <v>397</v>
      </c>
      <c r="E5" s="7" t="s">
        <v>398</v>
      </c>
      <c r="F5" s="7" t="s">
        <v>399</v>
      </c>
    </row>
    <row r="6" spans="3:12" x14ac:dyDescent="0.3">
      <c r="C6">
        <v>1</v>
      </c>
      <c r="D6" s="48">
        <f>IPMT(0.05/12,C6,60,$L$6)</f>
        <v>-0.59164110125277725</v>
      </c>
      <c r="E6" s="48">
        <f>PPMT(0.05/12,C6,60,$L$6)</f>
        <v>-2.0879582879810843</v>
      </c>
      <c r="F6" s="48">
        <f>PMT(0.05/12,60,$L$6)</f>
        <v>-2.6795993892338617</v>
      </c>
      <c r="G6">
        <v>1.7423513440547134</v>
      </c>
      <c r="I6" s="48">
        <f>NPV(0.05/12,G6:G65)</f>
        <v>92.328428385903365</v>
      </c>
      <c r="L6">
        <v>141.99386430066653</v>
      </c>
    </row>
    <row r="7" spans="3:12" x14ac:dyDescent="0.3">
      <c r="C7">
        <v>2</v>
      </c>
      <c r="D7" s="48">
        <f t="shared" ref="D7:D65" si="0">IPMT(0.05/12,C7,60,$L$6)</f>
        <v>-0.58294127505285587</v>
      </c>
      <c r="E7" s="48">
        <f t="shared" ref="E7:E65" si="1">PPMT(0.05/12,C7,60,$L$6)</f>
        <v>-2.0966581141810057</v>
      </c>
      <c r="F7" s="48">
        <f t="shared" ref="F7:F65" si="2">PMT(0.05/12,60,$L$6)</f>
        <v>-2.6795993892338617</v>
      </c>
      <c r="G7">
        <v>1.7423513440547134</v>
      </c>
    </row>
    <row r="8" spans="3:12" x14ac:dyDescent="0.3">
      <c r="C8">
        <v>3</v>
      </c>
      <c r="D8" s="48">
        <f t="shared" si="0"/>
        <v>-0.57420519957710192</v>
      </c>
      <c r="E8" s="48">
        <f t="shared" si="1"/>
        <v>-2.1053941896567596</v>
      </c>
      <c r="F8" s="48">
        <f t="shared" si="2"/>
        <v>-2.6795993892338617</v>
      </c>
      <c r="G8">
        <v>1.7423513440547134</v>
      </c>
    </row>
    <row r="9" spans="3:12" x14ac:dyDescent="0.3">
      <c r="C9" s="39">
        <v>4</v>
      </c>
      <c r="D9" s="48">
        <f t="shared" si="0"/>
        <v>-0.56543272378686527</v>
      </c>
      <c r="E9" s="48">
        <f t="shared" si="1"/>
        <v>-2.1141666654469962</v>
      </c>
      <c r="F9" s="48">
        <f t="shared" si="2"/>
        <v>-2.6795993892338617</v>
      </c>
      <c r="G9">
        <v>1.7423513440547134</v>
      </c>
    </row>
    <row r="10" spans="3:12" x14ac:dyDescent="0.3">
      <c r="C10" s="39">
        <v>5</v>
      </c>
      <c r="D10" s="48">
        <f t="shared" si="0"/>
        <v>-0.5566236960141695</v>
      </c>
      <c r="E10" s="48">
        <f t="shared" si="1"/>
        <v>-2.1229756932196922</v>
      </c>
      <c r="F10" s="48">
        <f t="shared" si="2"/>
        <v>-2.6795993892338617</v>
      </c>
      <c r="G10">
        <v>1.7423513440547134</v>
      </c>
    </row>
    <row r="11" spans="3:12" x14ac:dyDescent="0.3">
      <c r="C11" s="39">
        <v>6</v>
      </c>
      <c r="D11" s="48">
        <f t="shared" si="0"/>
        <v>-0.5477779639590874</v>
      </c>
      <c r="E11" s="48">
        <f t="shared" si="1"/>
        <v>-2.131821425274774</v>
      </c>
      <c r="F11" s="48">
        <f t="shared" si="2"/>
        <v>-2.6795993892338617</v>
      </c>
      <c r="G11">
        <v>1.7423513440547134</v>
      </c>
    </row>
    <row r="12" spans="3:12" x14ac:dyDescent="0.3">
      <c r="C12" s="39">
        <v>7</v>
      </c>
      <c r="D12" s="48">
        <f t="shared" si="0"/>
        <v>-0.53889537468710924</v>
      </c>
      <c r="E12" s="48">
        <f t="shared" si="1"/>
        <v>-2.1407040145467517</v>
      </c>
      <c r="F12" s="48">
        <f t="shared" si="2"/>
        <v>-2.6795993892338617</v>
      </c>
      <c r="G12">
        <v>1.7423513440547134</v>
      </c>
    </row>
    <row r="13" spans="3:12" x14ac:dyDescent="0.3">
      <c r="C13" s="39">
        <v>8</v>
      </c>
      <c r="D13" s="48">
        <f t="shared" si="0"/>
        <v>-0.52997577462649781</v>
      </c>
      <c r="E13" s="48">
        <f t="shared" si="1"/>
        <v>-2.1496236146073637</v>
      </c>
      <c r="F13" s="48">
        <f t="shared" si="2"/>
        <v>-2.6795993892338617</v>
      </c>
      <c r="G13">
        <v>1.7423513440547134</v>
      </c>
      <c r="I13" s="48"/>
    </row>
    <row r="14" spans="3:12" x14ac:dyDescent="0.3">
      <c r="C14" s="39">
        <v>9</v>
      </c>
      <c r="D14" s="48">
        <f t="shared" si="0"/>
        <v>-0.52101900956563374</v>
      </c>
      <c r="E14" s="48">
        <f t="shared" si="1"/>
        <v>-2.1585803796682277</v>
      </c>
      <c r="F14" s="48">
        <f t="shared" si="2"/>
        <v>-2.6795993892338617</v>
      </c>
      <c r="G14">
        <v>1.7423513440547134</v>
      </c>
    </row>
    <row r="15" spans="3:12" x14ac:dyDescent="0.3">
      <c r="C15" s="39">
        <v>10</v>
      </c>
      <c r="D15" s="48">
        <f t="shared" si="0"/>
        <v>-0.51202492465034943</v>
      </c>
      <c r="E15" s="48">
        <f t="shared" si="1"/>
        <v>-2.1675744645835118</v>
      </c>
      <c r="F15" s="48">
        <f t="shared" si="2"/>
        <v>-2.6795993892338617</v>
      </c>
      <c r="G15">
        <v>1.7423513440547134</v>
      </c>
    </row>
    <row r="16" spans="3:12" x14ac:dyDescent="0.3">
      <c r="C16" s="39">
        <v>11</v>
      </c>
      <c r="D16" s="48">
        <f t="shared" si="0"/>
        <v>-0.50299336438125153</v>
      </c>
      <c r="E16" s="48">
        <f t="shared" si="1"/>
        <v>-2.1766060248526102</v>
      </c>
      <c r="F16" s="48">
        <f t="shared" si="2"/>
        <v>-2.6795993892338617</v>
      </c>
      <c r="G16">
        <v>1.7423513440547134</v>
      </c>
    </row>
    <row r="17" spans="3:7" x14ac:dyDescent="0.3">
      <c r="C17" s="39">
        <v>12</v>
      </c>
      <c r="D17" s="48">
        <f t="shared" si="0"/>
        <v>-0.49392417261103222</v>
      </c>
      <c r="E17" s="48">
        <f t="shared" si="1"/>
        <v>-2.1856752166228293</v>
      </c>
      <c r="F17" s="48">
        <f t="shared" si="2"/>
        <v>-2.6795993892338617</v>
      </c>
      <c r="G17">
        <v>1.7423513440547134</v>
      </c>
    </row>
    <row r="18" spans="3:7" x14ac:dyDescent="0.3">
      <c r="C18" s="39">
        <v>13</v>
      </c>
      <c r="D18" s="48">
        <f t="shared" si="0"/>
        <v>-0.48481719254177047</v>
      </c>
      <c r="E18" s="48">
        <f t="shared" si="1"/>
        <v>-2.1947821966920906</v>
      </c>
      <c r="F18" s="48">
        <f t="shared" si="2"/>
        <v>-2.6795993892338617</v>
      </c>
      <c r="G18">
        <v>1.7423513440547134</v>
      </c>
    </row>
    <row r="19" spans="3:7" x14ac:dyDescent="0.3">
      <c r="C19" s="39">
        <v>14</v>
      </c>
      <c r="D19" s="48">
        <f t="shared" si="0"/>
        <v>-0.47567226672222007</v>
      </c>
      <c r="E19" s="48">
        <f t="shared" si="1"/>
        <v>-2.2039271225116415</v>
      </c>
      <c r="F19" s="48">
        <f t="shared" si="2"/>
        <v>-2.6795993892338617</v>
      </c>
      <c r="G19">
        <v>1.7423513440547134</v>
      </c>
    </row>
    <row r="20" spans="3:7" x14ac:dyDescent="0.3">
      <c r="C20" s="39">
        <v>15</v>
      </c>
      <c r="D20" s="48">
        <f t="shared" si="0"/>
        <v>-0.46648923704508832</v>
      </c>
      <c r="E20" s="48">
        <f t="shared" si="1"/>
        <v>-2.2131101521887735</v>
      </c>
      <c r="F20" s="48">
        <f t="shared" si="2"/>
        <v>-2.6795993892338617</v>
      </c>
      <c r="G20">
        <v>1.7423513440547134</v>
      </c>
    </row>
    <row r="21" spans="3:7" x14ac:dyDescent="0.3">
      <c r="C21" s="39">
        <v>16</v>
      </c>
      <c r="D21" s="48">
        <f t="shared" si="0"/>
        <v>-0.45726794474430166</v>
      </c>
      <c r="E21" s="48">
        <f t="shared" si="1"/>
        <v>-2.2223314444895599</v>
      </c>
      <c r="F21" s="48">
        <f t="shared" si="2"/>
        <v>-2.6795993892338617</v>
      </c>
      <c r="G21">
        <v>1.7423513440547134</v>
      </c>
    </row>
    <row r="22" spans="3:7" x14ac:dyDescent="0.3">
      <c r="C22" s="39">
        <v>17</v>
      </c>
      <c r="D22" s="48">
        <f t="shared" si="0"/>
        <v>-0.44800823039226184</v>
      </c>
      <c r="E22" s="48">
        <f t="shared" si="1"/>
        <v>-2.2315911588415993</v>
      </c>
      <c r="F22" s="48">
        <f t="shared" si="2"/>
        <v>-2.6795993892338617</v>
      </c>
      <c r="G22">
        <v>1.7423513440547134</v>
      </c>
    </row>
    <row r="23" spans="3:7" x14ac:dyDescent="0.3">
      <c r="C23" s="39">
        <v>18</v>
      </c>
      <c r="D23" s="48">
        <f t="shared" si="0"/>
        <v>-0.43870993389708857</v>
      </c>
      <c r="E23" s="48">
        <f t="shared" si="1"/>
        <v>-2.2408894553367729</v>
      </c>
      <c r="F23" s="48">
        <f t="shared" si="2"/>
        <v>-2.6795993892338617</v>
      </c>
      <c r="G23">
        <v>1.7423513440547134</v>
      </c>
    </row>
    <row r="24" spans="3:7" x14ac:dyDescent="0.3">
      <c r="C24" s="39">
        <v>19</v>
      </c>
      <c r="D24" s="48">
        <f t="shared" si="0"/>
        <v>-0.429372894499852</v>
      </c>
      <c r="E24" s="48">
        <f t="shared" si="1"/>
        <v>-2.2502264947340094</v>
      </c>
      <c r="F24" s="48">
        <f t="shared" si="2"/>
        <v>-2.6795993892338617</v>
      </c>
      <c r="G24">
        <v>1.7423513440547134</v>
      </c>
    </row>
    <row r="25" spans="3:7" x14ac:dyDescent="0.3">
      <c r="C25" s="39">
        <v>20</v>
      </c>
      <c r="D25" s="48">
        <f t="shared" si="0"/>
        <v>-0.41999695077179372</v>
      </c>
      <c r="E25" s="48">
        <f t="shared" si="1"/>
        <v>-2.2596024384620677</v>
      </c>
      <c r="F25" s="48">
        <f t="shared" si="2"/>
        <v>-2.6795993892338617</v>
      </c>
      <c r="G25">
        <v>1.7423513440547134</v>
      </c>
    </row>
    <row r="26" spans="3:7" x14ac:dyDescent="0.3">
      <c r="C26" s="39">
        <v>21</v>
      </c>
      <c r="D26" s="48">
        <f t="shared" si="0"/>
        <v>-0.41058194061153497</v>
      </c>
      <c r="E26" s="48">
        <f t="shared" si="1"/>
        <v>-2.2690174486223267</v>
      </c>
      <c r="F26" s="48">
        <f t="shared" si="2"/>
        <v>-2.6795993892338617</v>
      </c>
      <c r="G26">
        <v>1.7423513440547134</v>
      </c>
    </row>
    <row r="27" spans="3:7" x14ac:dyDescent="0.3">
      <c r="C27" s="39">
        <v>22</v>
      </c>
      <c r="D27" s="48">
        <f t="shared" si="0"/>
        <v>-0.40112770124227537</v>
      </c>
      <c r="E27" s="48">
        <f t="shared" si="1"/>
        <v>-2.2784716879915861</v>
      </c>
      <c r="F27" s="48">
        <f t="shared" si="2"/>
        <v>-2.6795993892338617</v>
      </c>
      <c r="G27">
        <v>1.7423513440547134</v>
      </c>
    </row>
    <row r="28" spans="3:7" x14ac:dyDescent="0.3">
      <c r="C28" s="39">
        <v>23</v>
      </c>
      <c r="D28" s="48">
        <f t="shared" si="0"/>
        <v>-0.39163406920897709</v>
      </c>
      <c r="E28" s="48">
        <f t="shared" si="1"/>
        <v>-2.2879653200248842</v>
      </c>
      <c r="F28" s="48">
        <f t="shared" si="2"/>
        <v>-2.6795993892338617</v>
      </c>
      <c r="G28">
        <v>1.7423513440547134</v>
      </c>
    </row>
    <row r="29" spans="3:7" x14ac:dyDescent="0.3">
      <c r="C29" s="39">
        <v>24</v>
      </c>
      <c r="D29" s="48">
        <f t="shared" si="0"/>
        <v>-0.38210088037554008</v>
      </c>
      <c r="E29" s="48">
        <f t="shared" si="1"/>
        <v>-2.2974985088583209</v>
      </c>
      <c r="F29" s="48">
        <f t="shared" si="2"/>
        <v>-2.6795993892338617</v>
      </c>
      <c r="G29">
        <v>1.7423513440547134</v>
      </c>
    </row>
    <row r="30" spans="3:7" x14ac:dyDescent="0.3">
      <c r="C30" s="39">
        <v>25</v>
      </c>
      <c r="D30" s="48">
        <f t="shared" si="0"/>
        <v>-0.37252796992196369</v>
      </c>
      <c r="E30" s="48">
        <f t="shared" si="1"/>
        <v>-2.3070714193118977</v>
      </c>
      <c r="F30" s="48">
        <f t="shared" si="2"/>
        <v>-2.6795993892338617</v>
      </c>
      <c r="G30">
        <v>1.7423513440547134</v>
      </c>
    </row>
    <row r="31" spans="3:7" x14ac:dyDescent="0.3">
      <c r="C31" s="39">
        <v>26</v>
      </c>
      <c r="D31" s="48">
        <f t="shared" si="0"/>
        <v>-0.36291517234149745</v>
      </c>
      <c r="E31" s="48">
        <f t="shared" si="1"/>
        <v>-2.316684216892364</v>
      </c>
      <c r="F31" s="48">
        <f t="shared" si="2"/>
        <v>-2.6795993892338617</v>
      </c>
      <c r="G31">
        <v>1.7423513440547134</v>
      </c>
    </row>
    <row r="32" spans="3:7" x14ac:dyDescent="0.3">
      <c r="C32" s="39">
        <v>27</v>
      </c>
      <c r="D32" s="48">
        <f t="shared" si="0"/>
        <v>-0.35326232143777936</v>
      </c>
      <c r="E32" s="48">
        <f t="shared" si="1"/>
        <v>-2.3263370677960822</v>
      </c>
      <c r="F32" s="48">
        <f t="shared" si="2"/>
        <v>-2.6795993892338617</v>
      </c>
      <c r="G32">
        <v>1.7423513440547134</v>
      </c>
    </row>
    <row r="33" spans="3:7" x14ac:dyDescent="0.3">
      <c r="C33" s="39">
        <v>28</v>
      </c>
      <c r="D33" s="48">
        <f t="shared" si="0"/>
        <v>-0.34356925032196223</v>
      </c>
      <c r="E33" s="48">
        <f t="shared" si="1"/>
        <v>-2.3360301389118994</v>
      </c>
      <c r="F33" s="48">
        <f t="shared" si="2"/>
        <v>-2.6795993892338617</v>
      </c>
      <c r="G33">
        <v>1.7423513440547134</v>
      </c>
    </row>
    <row r="34" spans="3:7" x14ac:dyDescent="0.3">
      <c r="C34" s="39">
        <v>29</v>
      </c>
      <c r="D34" s="48">
        <f t="shared" si="0"/>
        <v>-0.33383579140982933</v>
      </c>
      <c r="E34" s="48">
        <f t="shared" si="1"/>
        <v>-2.3457635978240323</v>
      </c>
      <c r="F34" s="48">
        <f t="shared" si="2"/>
        <v>-2.6795993892338617</v>
      </c>
      <c r="G34">
        <v>1.7423513440547134</v>
      </c>
    </row>
    <row r="35" spans="3:7" x14ac:dyDescent="0.3">
      <c r="C35" s="39">
        <v>30</v>
      </c>
      <c r="D35" s="48">
        <f t="shared" si="0"/>
        <v>-0.32406177641889594</v>
      </c>
      <c r="E35" s="48">
        <f t="shared" si="1"/>
        <v>-2.3555376128149654</v>
      </c>
      <c r="F35" s="48">
        <f t="shared" si="2"/>
        <v>-2.6795993892338617</v>
      </c>
      <c r="G35">
        <v>1.7423513440547134</v>
      </c>
    </row>
    <row r="36" spans="3:7" x14ac:dyDescent="0.3">
      <c r="C36" s="39">
        <v>31</v>
      </c>
      <c r="D36" s="48">
        <f t="shared" si="0"/>
        <v>-0.31424703636550022</v>
      </c>
      <c r="E36" s="48">
        <f t="shared" si="1"/>
        <v>-2.3653523528683613</v>
      </c>
      <c r="F36" s="48">
        <f t="shared" si="2"/>
        <v>-2.6795993892338617</v>
      </c>
      <c r="G36">
        <v>1.7423513440547134</v>
      </c>
    </row>
    <row r="37" spans="3:7" x14ac:dyDescent="0.3">
      <c r="C37" s="39">
        <v>32</v>
      </c>
      <c r="D37" s="48">
        <f t="shared" si="0"/>
        <v>-0.3043914015618821</v>
      </c>
      <c r="E37" s="48">
        <f t="shared" si="1"/>
        <v>-2.3752079876719794</v>
      </c>
      <c r="F37" s="48">
        <f t="shared" si="2"/>
        <v>-2.6795993892338617</v>
      </c>
      <c r="G37">
        <v>1.7423513440547134</v>
      </c>
    </row>
    <row r="38" spans="3:7" x14ac:dyDescent="0.3">
      <c r="C38" s="39">
        <v>33</v>
      </c>
      <c r="D38" s="48">
        <f t="shared" si="0"/>
        <v>-0.29449470161324881</v>
      </c>
      <c r="E38" s="48">
        <f t="shared" si="1"/>
        <v>-2.3851046876206126</v>
      </c>
      <c r="F38" s="48">
        <f t="shared" si="2"/>
        <v>-2.6795993892338617</v>
      </c>
      <c r="G38">
        <v>1.7423513440547134</v>
      </c>
    </row>
    <row r="39" spans="3:7" x14ac:dyDescent="0.3">
      <c r="C39" s="39">
        <v>34</v>
      </c>
      <c r="D39" s="48">
        <f t="shared" si="0"/>
        <v>-0.2845567654148296</v>
      </c>
      <c r="E39" s="48">
        <f t="shared" si="1"/>
        <v>-2.3950426238190317</v>
      </c>
      <c r="F39" s="48">
        <f t="shared" si="2"/>
        <v>-2.6795993892338617</v>
      </c>
      <c r="G39">
        <v>1.7423513440547134</v>
      </c>
    </row>
    <row r="40" spans="3:7" x14ac:dyDescent="0.3">
      <c r="C40" s="39">
        <v>35</v>
      </c>
      <c r="D40" s="48">
        <f t="shared" si="0"/>
        <v>-0.27457742114891692</v>
      </c>
      <c r="E40" s="48">
        <f t="shared" si="1"/>
        <v>-2.4050219680849447</v>
      </c>
      <c r="F40" s="48">
        <f t="shared" si="2"/>
        <v>-2.6795993892338617</v>
      </c>
      <c r="G40">
        <v>1.7423513440547134</v>
      </c>
    </row>
    <row r="41" spans="3:7" x14ac:dyDescent="0.3">
      <c r="C41" s="39">
        <v>36</v>
      </c>
      <c r="D41" s="48">
        <f t="shared" si="0"/>
        <v>-0.26455649628189642</v>
      </c>
      <c r="E41" s="48">
        <f t="shared" si="1"/>
        <v>-2.4150428929519654</v>
      </c>
      <c r="F41" s="48">
        <f t="shared" si="2"/>
        <v>-2.6795993892338617</v>
      </c>
      <c r="G41">
        <v>1.7423513440547134</v>
      </c>
    </row>
    <row r="42" spans="3:7" x14ac:dyDescent="0.3">
      <c r="C42" s="39">
        <v>37</v>
      </c>
      <c r="D42" s="48">
        <f t="shared" si="0"/>
        <v>-0.25449381756126316</v>
      </c>
      <c r="E42" s="48">
        <f t="shared" si="1"/>
        <v>-2.4251055716725984</v>
      </c>
      <c r="F42" s="48">
        <f t="shared" si="2"/>
        <v>-2.6795993892338617</v>
      </c>
      <c r="G42">
        <v>1.7423513440547134</v>
      </c>
    </row>
    <row r="43" spans="3:7" x14ac:dyDescent="0.3">
      <c r="C43" s="39">
        <v>38</v>
      </c>
      <c r="D43" s="48">
        <f t="shared" si="0"/>
        <v>-0.24438921101262734</v>
      </c>
      <c r="E43" s="48">
        <f t="shared" si="1"/>
        <v>-2.4352101782212339</v>
      </c>
      <c r="F43" s="48">
        <f t="shared" si="2"/>
        <v>-2.6795993892338617</v>
      </c>
      <c r="G43">
        <v>1.7423513440547134</v>
      </c>
    </row>
    <row r="44" spans="3:7" x14ac:dyDescent="0.3">
      <c r="C44" s="39">
        <v>39</v>
      </c>
      <c r="D44" s="48">
        <f t="shared" si="0"/>
        <v>-0.23424250193670554</v>
      </c>
      <c r="E44" s="48">
        <f t="shared" si="1"/>
        <v>-2.4453568872971561</v>
      </c>
      <c r="F44" s="48">
        <f t="shared" si="2"/>
        <v>-2.6795993892338617</v>
      </c>
      <c r="G44">
        <v>1.7423513440547134</v>
      </c>
    </row>
    <row r="45" spans="3:7" x14ac:dyDescent="0.3">
      <c r="C45" s="39">
        <v>40</v>
      </c>
      <c r="D45" s="48">
        <f t="shared" si="0"/>
        <v>-0.22405351490630074</v>
      </c>
      <c r="E45" s="48">
        <f t="shared" si="1"/>
        <v>-2.4555458743275609</v>
      </c>
      <c r="F45" s="48">
        <f t="shared" si="2"/>
        <v>-2.6795993892338617</v>
      </c>
      <c r="G45">
        <v>1.7423513440547134</v>
      </c>
    </row>
    <row r="46" spans="3:7" x14ac:dyDescent="0.3">
      <c r="C46" s="39">
        <v>41</v>
      </c>
      <c r="D46" s="48">
        <f t="shared" si="0"/>
        <v>-0.2138220737632692</v>
      </c>
      <c r="E46" s="48">
        <f t="shared" si="1"/>
        <v>-2.465777315470592</v>
      </c>
      <c r="F46" s="48">
        <f t="shared" si="2"/>
        <v>-2.6795993892338617</v>
      </c>
      <c r="G46">
        <v>1.7423513440547134</v>
      </c>
    </row>
    <row r="47" spans="3:7" x14ac:dyDescent="0.3">
      <c r="C47" s="39">
        <v>42</v>
      </c>
      <c r="D47" s="48">
        <f t="shared" si="0"/>
        <v>-0.20354800161547509</v>
      </c>
      <c r="E47" s="48">
        <f t="shared" si="1"/>
        <v>-2.4760513876183863</v>
      </c>
      <c r="F47" s="48">
        <f t="shared" si="2"/>
        <v>-2.6795993892338617</v>
      </c>
      <c r="G47">
        <v>1.7423513440547134</v>
      </c>
    </row>
    <row r="48" spans="3:7" x14ac:dyDescent="0.3">
      <c r="C48" s="39">
        <v>43</v>
      </c>
      <c r="D48" s="48">
        <f t="shared" si="0"/>
        <v>-0.19323112083373181</v>
      </c>
      <c r="E48" s="48">
        <f t="shared" si="1"/>
        <v>-2.4863682684001298</v>
      </c>
      <c r="F48" s="48">
        <f t="shared" si="2"/>
        <v>-2.6795993892338617</v>
      </c>
      <c r="G48">
        <v>1.7423513440547134</v>
      </c>
    </row>
    <row r="49" spans="3:7" x14ac:dyDescent="0.3">
      <c r="C49" s="39">
        <v>44</v>
      </c>
      <c r="D49" s="48">
        <f t="shared" si="0"/>
        <v>-0.18287125304873131</v>
      </c>
      <c r="E49" s="48">
        <f t="shared" si="1"/>
        <v>-2.4967281361851299</v>
      </c>
      <c r="F49" s="48">
        <f t="shared" si="2"/>
        <v>-2.6795993892338617</v>
      </c>
      <c r="G49">
        <v>1.7423513440547134</v>
      </c>
    </row>
    <row r="50" spans="3:7" x14ac:dyDescent="0.3">
      <c r="C50" s="39">
        <v>45</v>
      </c>
      <c r="D50" s="48">
        <f t="shared" si="0"/>
        <v>-0.17246821914795993</v>
      </c>
      <c r="E50" s="48">
        <f t="shared" si="1"/>
        <v>-2.5071311700859011</v>
      </c>
      <c r="F50" s="48">
        <f t="shared" si="2"/>
        <v>-2.6795993892338617</v>
      </c>
      <c r="G50">
        <v>1.7423513440547134</v>
      </c>
    </row>
    <row r="51" spans="3:7" x14ac:dyDescent="0.3">
      <c r="C51" s="39">
        <v>46</v>
      </c>
      <c r="D51" s="48">
        <f t="shared" si="0"/>
        <v>-0.16202183927260197</v>
      </c>
      <c r="E51" s="48">
        <f t="shared" si="1"/>
        <v>-2.5175775499612594</v>
      </c>
      <c r="F51" s="48">
        <f t="shared" si="2"/>
        <v>-2.6795993892338617</v>
      </c>
      <c r="G51">
        <v>1.7423513440547134</v>
      </c>
    </row>
    <row r="52" spans="3:7" x14ac:dyDescent="0.3">
      <c r="C52" s="39">
        <v>47</v>
      </c>
      <c r="D52" s="48">
        <f t="shared" si="0"/>
        <v>-0.15153193281443009</v>
      </c>
      <c r="E52" s="48">
        <f t="shared" si="1"/>
        <v>-2.5280674564194312</v>
      </c>
      <c r="F52" s="48">
        <f t="shared" si="2"/>
        <v>-2.6795993892338617</v>
      </c>
      <c r="G52">
        <v>1.7423513440547134</v>
      </c>
    </row>
    <row r="53" spans="3:7" x14ac:dyDescent="0.3">
      <c r="C53" s="39">
        <v>48</v>
      </c>
      <c r="D53" s="48">
        <f t="shared" si="0"/>
        <v>-0.14099831841268246</v>
      </c>
      <c r="E53" s="48">
        <f t="shared" si="1"/>
        <v>-2.538601070821179</v>
      </c>
      <c r="F53" s="48">
        <f t="shared" si="2"/>
        <v>-2.6795993892338617</v>
      </c>
      <c r="G53">
        <v>1.7423513440547134</v>
      </c>
    </row>
    <row r="54" spans="3:7" x14ac:dyDescent="0.3">
      <c r="C54" s="39">
        <v>49</v>
      </c>
      <c r="D54" s="48">
        <f t="shared" si="0"/>
        <v>-0.13042081395092753</v>
      </c>
      <c r="E54" s="48">
        <f t="shared" si="1"/>
        <v>-2.5491785752829337</v>
      </c>
      <c r="F54" s="48">
        <f t="shared" si="2"/>
        <v>-2.6795993892338617</v>
      </c>
      <c r="G54">
        <v>1.7423513440547134</v>
      </c>
    </row>
    <row r="55" spans="3:7" x14ac:dyDescent="0.3">
      <c r="C55" s="39">
        <v>50</v>
      </c>
      <c r="D55" s="48">
        <f t="shared" si="0"/>
        <v>-0.11979923655391533</v>
      </c>
      <c r="E55" s="48">
        <f t="shared" si="1"/>
        <v>-2.5598001526799465</v>
      </c>
      <c r="F55" s="48">
        <f t="shared" si="2"/>
        <v>-2.6795993892338617</v>
      </c>
      <c r="G55">
        <v>1.7423513440547134</v>
      </c>
    </row>
    <row r="56" spans="3:7" x14ac:dyDescent="0.3">
      <c r="C56" s="39">
        <v>51</v>
      </c>
      <c r="D56" s="48">
        <f t="shared" si="0"/>
        <v>-0.10913340258441553</v>
      </c>
      <c r="E56" s="48">
        <f t="shared" si="1"/>
        <v>-2.5704659866494457</v>
      </c>
      <c r="F56" s="48">
        <f t="shared" si="2"/>
        <v>-2.6795993892338617</v>
      </c>
      <c r="G56">
        <v>1.7423513440547134</v>
      </c>
    </row>
    <row r="57" spans="3:7" x14ac:dyDescent="0.3">
      <c r="C57" s="39">
        <v>52</v>
      </c>
      <c r="D57" s="48">
        <f t="shared" si="0"/>
        <v>-9.8423127640042851E-2</v>
      </c>
      <c r="E57" s="48">
        <f t="shared" si="1"/>
        <v>-2.5811762615938183</v>
      </c>
      <c r="F57" s="48">
        <f t="shared" si="2"/>
        <v>-2.6795993892338617</v>
      </c>
      <c r="G57">
        <v>1.7423513440547134</v>
      </c>
    </row>
    <row r="58" spans="3:7" x14ac:dyDescent="0.3">
      <c r="C58" s="39">
        <v>53</v>
      </c>
      <c r="D58" s="48">
        <f t="shared" si="0"/>
        <v>-8.7668226550068604E-2</v>
      </c>
      <c r="E58" s="48">
        <f t="shared" si="1"/>
        <v>-2.5919311626837929</v>
      </c>
      <c r="F58" s="48">
        <f t="shared" si="2"/>
        <v>-2.6795993892338617</v>
      </c>
      <c r="G58">
        <v>1.7423513440547134</v>
      </c>
    </row>
    <row r="59" spans="3:7" x14ac:dyDescent="0.3">
      <c r="C59" s="39">
        <v>54</v>
      </c>
      <c r="D59" s="48">
        <f t="shared" si="0"/>
        <v>-7.6868513372219491E-2</v>
      </c>
      <c r="E59" s="48">
        <f t="shared" si="1"/>
        <v>-2.6027308758616421</v>
      </c>
      <c r="F59" s="48">
        <f t="shared" si="2"/>
        <v>-2.6795993892338617</v>
      </c>
      <c r="G59">
        <v>1.7423513440547134</v>
      </c>
    </row>
    <row r="60" spans="3:7" x14ac:dyDescent="0.3">
      <c r="C60" s="39">
        <v>55</v>
      </c>
      <c r="D60" s="48">
        <f t="shared" si="0"/>
        <v>-6.6023801389462636E-2</v>
      </c>
      <c r="E60" s="48">
        <f t="shared" si="1"/>
        <v>-2.6135755878443989</v>
      </c>
      <c r="F60" s="48">
        <f t="shared" si="2"/>
        <v>-2.6795993892338617</v>
      </c>
      <c r="G60">
        <v>1.7423513440547134</v>
      </c>
    </row>
    <row r="61" spans="3:7" x14ac:dyDescent="0.3">
      <c r="C61" s="39">
        <v>56</v>
      </c>
      <c r="D61" s="48">
        <f t="shared" si="0"/>
        <v>-5.5133903106777633E-2</v>
      </c>
      <c r="E61" s="48">
        <f t="shared" si="1"/>
        <v>-2.6244654861270842</v>
      </c>
      <c r="F61" s="48">
        <f t="shared" si="2"/>
        <v>-2.6795993892338617</v>
      </c>
      <c r="G61">
        <v>1.7423513440547134</v>
      </c>
    </row>
    <row r="62" spans="3:7" x14ac:dyDescent="0.3">
      <c r="C62" s="39">
        <v>57</v>
      </c>
      <c r="D62" s="48">
        <f t="shared" si="0"/>
        <v>-4.4198630247914795E-2</v>
      </c>
      <c r="E62" s="48">
        <f t="shared" si="1"/>
        <v>-2.6354007589859467</v>
      </c>
      <c r="F62" s="48">
        <f t="shared" si="2"/>
        <v>-2.6795993892338617</v>
      </c>
      <c r="G62">
        <v>1.7423513440547134</v>
      </c>
    </row>
    <row r="63" spans="3:7" x14ac:dyDescent="0.3">
      <c r="C63" s="39">
        <v>58</v>
      </c>
      <c r="D63" s="48">
        <f t="shared" si="0"/>
        <v>-3.3217793752140026E-2</v>
      </c>
      <c r="E63" s="48">
        <f t="shared" si="1"/>
        <v>-2.6463815954817211</v>
      </c>
      <c r="F63" s="48">
        <f t="shared" si="2"/>
        <v>-2.6795993892338617</v>
      </c>
      <c r="G63">
        <v>1.7423513440547134</v>
      </c>
    </row>
    <row r="64" spans="3:7" x14ac:dyDescent="0.3">
      <c r="C64" s="39">
        <v>59</v>
      </c>
      <c r="D64" s="48">
        <f t="shared" si="0"/>
        <v>-2.2191203770966186E-2</v>
      </c>
      <c r="E64" s="48">
        <f t="shared" si="1"/>
        <v>-2.657408185462895</v>
      </c>
      <c r="F64" s="48">
        <f t="shared" si="2"/>
        <v>-2.6795993892338617</v>
      </c>
      <c r="G64">
        <v>1.7423513440547134</v>
      </c>
    </row>
    <row r="65" spans="3:9" x14ac:dyDescent="0.3">
      <c r="C65" s="39">
        <v>60</v>
      </c>
      <c r="D65" s="48">
        <f t="shared" si="0"/>
        <v>-1.1118669664870792E-2</v>
      </c>
      <c r="E65" s="48">
        <f t="shared" si="1"/>
        <v>-2.6684807195689908</v>
      </c>
      <c r="F65" s="48">
        <f t="shared" si="2"/>
        <v>-2.6795993892338617</v>
      </c>
      <c r="G65">
        <v>1.7423513440547134</v>
      </c>
      <c r="I65" s="48">
        <f>PV(0.05/12,60,F65)</f>
        <v>141.99386430066701</v>
      </c>
    </row>
    <row r="66" spans="3:9" s="39" customFormat="1" x14ac:dyDescent="0.3">
      <c r="D66" s="48">
        <f>SUM(D6:D65)</f>
        <v>-18.782099053365133</v>
      </c>
      <c r="E66" s="48">
        <f t="shared" ref="E66:F66" si="3">SUM(E6:E65)</f>
        <v>-141.99386430066656</v>
      </c>
      <c r="F66" s="48">
        <f t="shared" si="3"/>
        <v>-160.77596335403157</v>
      </c>
      <c r="I66" s="48"/>
    </row>
    <row r="67" spans="3:9" x14ac:dyDescent="0.3">
      <c r="C67" s="39">
        <v>61</v>
      </c>
    </row>
    <row r="68" spans="3:9" x14ac:dyDescent="0.3">
      <c r="C68" s="39">
        <v>62</v>
      </c>
    </row>
    <row r="69" spans="3:9" x14ac:dyDescent="0.3">
      <c r="C69" s="39">
        <v>63</v>
      </c>
    </row>
    <row r="70" spans="3:9" x14ac:dyDescent="0.3">
      <c r="C70" s="39">
        <v>64</v>
      </c>
    </row>
    <row r="71" spans="3:9" x14ac:dyDescent="0.3">
      <c r="C71" s="39">
        <v>65</v>
      </c>
    </row>
    <row r="72" spans="3:9" x14ac:dyDescent="0.3">
      <c r="C72" s="39">
        <v>66</v>
      </c>
    </row>
    <row r="73" spans="3:9" x14ac:dyDescent="0.3">
      <c r="C73" s="39">
        <v>67</v>
      </c>
    </row>
    <row r="74" spans="3:9" x14ac:dyDescent="0.3">
      <c r="C74" s="39">
        <v>68</v>
      </c>
    </row>
    <row r="75" spans="3:9" x14ac:dyDescent="0.3">
      <c r="C75" s="39">
        <v>69</v>
      </c>
    </row>
    <row r="76" spans="3:9" x14ac:dyDescent="0.3">
      <c r="C76" s="39">
        <v>70</v>
      </c>
    </row>
    <row r="77" spans="3:9" x14ac:dyDescent="0.3">
      <c r="C77" s="39">
        <v>71</v>
      </c>
    </row>
    <row r="78" spans="3:9" x14ac:dyDescent="0.3">
      <c r="C78" s="39">
        <v>72</v>
      </c>
    </row>
    <row r="79" spans="3:9" x14ac:dyDescent="0.3">
      <c r="C79" s="39">
        <v>73</v>
      </c>
    </row>
    <row r="80" spans="3:9" x14ac:dyDescent="0.3">
      <c r="C80" s="39">
        <v>74</v>
      </c>
    </row>
    <row r="81" spans="3:3" x14ac:dyDescent="0.3">
      <c r="C81" s="39">
        <v>75</v>
      </c>
    </row>
    <row r="82" spans="3:3" x14ac:dyDescent="0.3">
      <c r="C82" s="39">
        <v>76</v>
      </c>
    </row>
    <row r="83" spans="3:3" x14ac:dyDescent="0.3">
      <c r="C83" s="39">
        <v>77</v>
      </c>
    </row>
    <row r="84" spans="3:3" x14ac:dyDescent="0.3">
      <c r="C84" s="39">
        <v>78</v>
      </c>
    </row>
    <row r="85" spans="3:3" x14ac:dyDescent="0.3">
      <c r="C85" s="39">
        <v>79</v>
      </c>
    </row>
    <row r="86" spans="3:3" x14ac:dyDescent="0.3">
      <c r="C86" s="39">
        <v>80</v>
      </c>
    </row>
    <row r="87" spans="3:3" x14ac:dyDescent="0.3">
      <c r="C87" s="39">
        <v>81</v>
      </c>
    </row>
    <row r="88" spans="3:3" x14ac:dyDescent="0.3">
      <c r="C88" s="39">
        <v>82</v>
      </c>
    </row>
    <row r="89" spans="3:3" x14ac:dyDescent="0.3">
      <c r="C89" s="39">
        <v>83</v>
      </c>
    </row>
    <row r="90" spans="3:3" x14ac:dyDescent="0.3">
      <c r="C90" s="39">
        <v>84</v>
      </c>
    </row>
    <row r="91" spans="3:3" x14ac:dyDescent="0.3">
      <c r="C91" s="39">
        <v>85</v>
      </c>
    </row>
    <row r="92" spans="3:3" x14ac:dyDescent="0.3">
      <c r="C92" s="39">
        <v>86</v>
      </c>
    </row>
    <row r="93" spans="3:3" x14ac:dyDescent="0.3">
      <c r="C93" s="39">
        <v>87</v>
      </c>
    </row>
    <row r="94" spans="3:3" x14ac:dyDescent="0.3">
      <c r="C94" s="39">
        <v>88</v>
      </c>
    </row>
    <row r="95" spans="3:3" x14ac:dyDescent="0.3">
      <c r="C95" s="39">
        <v>89</v>
      </c>
    </row>
    <row r="96" spans="3:3" x14ac:dyDescent="0.3">
      <c r="C96" s="39">
        <v>90</v>
      </c>
    </row>
    <row r="97" spans="3:3" x14ac:dyDescent="0.3">
      <c r="C97" s="39">
        <v>91</v>
      </c>
    </row>
    <row r="98" spans="3:3" x14ac:dyDescent="0.3">
      <c r="C98" s="39">
        <v>92</v>
      </c>
    </row>
    <row r="99" spans="3:3" x14ac:dyDescent="0.3">
      <c r="C99" s="39">
        <v>93</v>
      </c>
    </row>
    <row r="100" spans="3:3" x14ac:dyDescent="0.3">
      <c r="C100" s="39">
        <v>94</v>
      </c>
    </row>
    <row r="101" spans="3:3" x14ac:dyDescent="0.3">
      <c r="C101" s="39">
        <v>95</v>
      </c>
    </row>
    <row r="102" spans="3:3" x14ac:dyDescent="0.3">
      <c r="C102" s="39">
        <v>96</v>
      </c>
    </row>
    <row r="103" spans="3:3" x14ac:dyDescent="0.3">
      <c r="C103" s="39">
        <v>97</v>
      </c>
    </row>
    <row r="104" spans="3:3" x14ac:dyDescent="0.3">
      <c r="C104" s="39">
        <v>98</v>
      </c>
    </row>
    <row r="105" spans="3:3" x14ac:dyDescent="0.3">
      <c r="C105" s="39">
        <v>99</v>
      </c>
    </row>
    <row r="106" spans="3:3" x14ac:dyDescent="0.3">
      <c r="C106" s="39">
        <v>100</v>
      </c>
    </row>
    <row r="107" spans="3:3" x14ac:dyDescent="0.3">
      <c r="C107" s="39">
        <v>101</v>
      </c>
    </row>
    <row r="108" spans="3:3" x14ac:dyDescent="0.3">
      <c r="C108" s="39">
        <v>102</v>
      </c>
    </row>
    <row r="109" spans="3:3" x14ac:dyDescent="0.3">
      <c r="C109" s="39">
        <v>103</v>
      </c>
    </row>
    <row r="110" spans="3:3" x14ac:dyDescent="0.3">
      <c r="C110" s="39">
        <v>104</v>
      </c>
    </row>
    <row r="111" spans="3:3" x14ac:dyDescent="0.3">
      <c r="C111" s="39">
        <v>105</v>
      </c>
    </row>
    <row r="112" spans="3:3" x14ac:dyDescent="0.3">
      <c r="C112" s="39">
        <v>106</v>
      </c>
    </row>
    <row r="113" spans="3:3" x14ac:dyDescent="0.3">
      <c r="C113" s="39">
        <v>107</v>
      </c>
    </row>
    <row r="114" spans="3:3" x14ac:dyDescent="0.3">
      <c r="C114" s="39">
        <v>108</v>
      </c>
    </row>
    <row r="115" spans="3:3" x14ac:dyDescent="0.3">
      <c r="C115" s="39">
        <v>109</v>
      </c>
    </row>
    <row r="116" spans="3:3" x14ac:dyDescent="0.3">
      <c r="C116" s="39">
        <v>110</v>
      </c>
    </row>
    <row r="117" spans="3:3" x14ac:dyDescent="0.3">
      <c r="C117" s="39">
        <v>111</v>
      </c>
    </row>
    <row r="118" spans="3:3" x14ac:dyDescent="0.3">
      <c r="C118" s="39">
        <v>112</v>
      </c>
    </row>
    <row r="119" spans="3:3" x14ac:dyDescent="0.3">
      <c r="C119" s="39">
        <v>113</v>
      </c>
    </row>
    <row r="120" spans="3:3" x14ac:dyDescent="0.3">
      <c r="C120" s="39">
        <v>114</v>
      </c>
    </row>
    <row r="121" spans="3:3" x14ac:dyDescent="0.3">
      <c r="C121" s="39">
        <v>115</v>
      </c>
    </row>
    <row r="122" spans="3:3" x14ac:dyDescent="0.3">
      <c r="C122" s="39">
        <v>116</v>
      </c>
    </row>
    <row r="123" spans="3:3" x14ac:dyDescent="0.3">
      <c r="C123" s="39">
        <v>117</v>
      </c>
    </row>
    <row r="124" spans="3:3" x14ac:dyDescent="0.3">
      <c r="C124" s="39">
        <v>118</v>
      </c>
    </row>
    <row r="125" spans="3:3" x14ac:dyDescent="0.3">
      <c r="C125" s="39">
        <v>119</v>
      </c>
    </row>
    <row r="126" spans="3:3" x14ac:dyDescent="0.3">
      <c r="C126" s="39">
        <v>120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Aggregated Results</vt:lpstr>
      <vt:lpstr>WS</vt:lpstr>
      <vt:lpstr>NWS</vt:lpstr>
      <vt:lpstr>Sanity checks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Shoff, Kyle</dc:creator>
  <cp:lastModifiedBy>Celia Christensen</cp:lastModifiedBy>
  <dcterms:created xsi:type="dcterms:W3CDTF">2010-04-22T13:33:47Z</dcterms:created>
  <dcterms:modified xsi:type="dcterms:W3CDTF">2013-09-05T15:10:47Z</dcterms:modified>
</cp:coreProperties>
</file>